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אינטרנט\אנרגיה מקיימת\פרסומים\"/>
    </mc:Choice>
  </mc:AlternateContent>
  <bookViews>
    <workbookView xWindow="0" yWindow="0" windowWidth="23040" windowHeight="9105"/>
  </bookViews>
  <sheets>
    <sheet name="מחשבון אנרגיה ופליטות" sheetId="1" r:id="rId1"/>
    <sheet name="גיליון1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 l="1"/>
  <c r="M8" i="1"/>
  <c r="M4" i="1"/>
  <c r="N6" i="1" l="1"/>
  <c r="N5" i="1"/>
  <c r="N4" i="1"/>
  <c r="N3" i="1"/>
  <c r="M6" i="1"/>
  <c r="M5" i="1"/>
  <c r="M3" i="1"/>
  <c r="G3" i="1" l="1"/>
  <c r="F3" i="1"/>
  <c r="N11" i="1" l="1"/>
  <c r="N10" i="1"/>
  <c r="N9" i="1"/>
  <c r="N8" i="1"/>
  <c r="N7" i="1"/>
  <c r="M11" i="1"/>
  <c r="M10" i="1"/>
  <c r="M9" i="1"/>
  <c r="N12" i="1"/>
  <c r="M12" i="1"/>
  <c r="G16" i="1" l="1"/>
  <c r="G15" i="1"/>
  <c r="G14" i="1"/>
  <c r="G13" i="1"/>
  <c r="G12" i="1"/>
  <c r="G11" i="1"/>
  <c r="G10" i="1"/>
  <c r="G9" i="1"/>
  <c r="G8" i="1"/>
  <c r="G7" i="1"/>
  <c r="G6" i="1"/>
  <c r="G5" i="1"/>
  <c r="G4" i="1"/>
  <c r="F16" i="1"/>
  <c r="F15" i="1"/>
  <c r="G17" i="1" l="1"/>
  <c r="F14" i="1" l="1"/>
  <c r="F13" i="1"/>
  <c r="F12" i="1"/>
  <c r="F11" i="1"/>
  <c r="F10" i="1"/>
  <c r="F9" i="1"/>
  <c r="F8" i="1"/>
  <c r="F7" i="1"/>
  <c r="F6" i="1"/>
  <c r="F5" i="1"/>
  <c r="F4" i="1"/>
  <c r="F17" i="1" l="1"/>
  <c r="I18" i="1" l="1"/>
  <c r="I16" i="1"/>
</calcChain>
</file>

<file path=xl/sharedStrings.xml><?xml version="1.0" encoding="utf-8"?>
<sst xmlns="http://schemas.openxmlformats.org/spreadsheetml/2006/main" count="69" uniqueCount="43">
  <si>
    <t>Ton</t>
  </si>
  <si>
    <t>פטקוק</t>
  </si>
  <si>
    <t>נפטא</t>
  </si>
  <si>
    <t>Liter</t>
  </si>
  <si>
    <t>קרוסין</t>
  </si>
  <si>
    <t>ביטומן</t>
  </si>
  <si>
    <t>דלק סילוני</t>
  </si>
  <si>
    <t>פחם</t>
  </si>
  <si>
    <t>מזוט</t>
  </si>
  <si>
    <t>Kg</t>
  </si>
  <si>
    <t>גפ"מ</t>
  </si>
  <si>
    <t>בנזין</t>
  </si>
  <si>
    <t>סולר</t>
  </si>
  <si>
    <t>MMBTU</t>
  </si>
  <si>
    <t>גז טבעי</t>
  </si>
  <si>
    <t>KWh</t>
  </si>
  <si>
    <t>חשמל</t>
  </si>
  <si>
    <t>כמות</t>
  </si>
  <si>
    <t>יחידת מידה</t>
  </si>
  <si>
    <t>מקור אנרגיה</t>
  </si>
  <si>
    <t>ביוגז ממטמנות פסולת</t>
  </si>
  <si>
    <t>ביוגז מעיכול אנאירובי של בוצה</t>
  </si>
  <si>
    <t>Nm3</t>
  </si>
  <si>
    <t>סה"כ</t>
  </si>
  <si>
    <t>טון שווה ערך נפט</t>
  </si>
  <si>
    <t>טון שווה ערך פד"ח</t>
  </si>
  <si>
    <t>m3</t>
  </si>
  <si>
    <t>קיטור מזוט</t>
  </si>
  <si>
    <t>קיטור גז טבעי</t>
  </si>
  <si>
    <t>קיטור סולר</t>
  </si>
  <si>
    <t>קיטור גפ"מ</t>
  </si>
  <si>
    <t>מים קרים צ'ילר</t>
  </si>
  <si>
    <t>רווי</t>
  </si>
  <si>
    <t>טמפרטורה (צלזיוס)</t>
  </si>
  <si>
    <t>הפרש 5 מעלות</t>
  </si>
  <si>
    <t>מים חמים חימום חשמלי*</t>
  </si>
  <si>
    <t>מים חמים משאבת חום*</t>
  </si>
  <si>
    <t>מים חמים גז טבעי*</t>
  </si>
  <si>
    <t>מים חמים גפ"מ*</t>
  </si>
  <si>
    <t>מים חמים סולר*</t>
  </si>
  <si>
    <t>סקר אנרגיה</t>
  </si>
  <si>
    <t>דיווח צריכה וממונה אנרגיה</t>
  </si>
  <si>
    <t>החישוב לטובת: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</si>
</sst>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 * #,##0.0_ ;_ * \-#,##0.0_ ;_ * &quot;-&quot;??_ ;_ @_ "/>
    <numFmt numFmtId="165" formatCode="_ * #,##0_ ;_ * \-#,##0_ ;_ * &quot;-&quot;??_ ;_ @_ "/>
  </numFmts>
  <fonts count="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3" borderId="1" xfId="0" applyFill="1" applyBorder="1"/>
    <xf numFmtId="0" fontId="0" fillId="3" borderId="5" xfId="0" applyFill="1" applyBorder="1"/>
    <xf numFmtId="0" fontId="0" fillId="3" borderId="5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164" fontId="0" fillId="3" borderId="1" xfId="1" applyNumberFormat="1" applyFont="1" applyFill="1" applyBorder="1" applyAlignment="1">
      <alignment vertical="center"/>
    </xf>
    <xf numFmtId="164" fontId="0" fillId="3" borderId="6" xfId="1" applyNumberFormat="1" applyFont="1" applyFill="1" applyBorder="1" applyAlignment="1">
      <alignment vertical="center"/>
    </xf>
    <xf numFmtId="164" fontId="2" fillId="2" borderId="8" xfId="1" applyNumberFormat="1" applyFont="1" applyFill="1" applyBorder="1" applyAlignment="1">
      <alignment vertical="center"/>
    </xf>
    <xf numFmtId="164" fontId="2" fillId="2" borderId="9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2" fillId="0" borderId="0" xfId="1" applyNumberFormat="1" applyFont="1" applyFill="1" applyBorder="1" applyAlignment="1">
      <alignment vertical="center"/>
    </xf>
    <xf numFmtId="0" fontId="0" fillId="0" borderId="0" xfId="0" applyFill="1" applyBorder="1"/>
    <xf numFmtId="0" fontId="0" fillId="3" borderId="7" xfId="0" applyFill="1" applyBorder="1"/>
    <xf numFmtId="0" fontId="0" fillId="3" borderId="8" xfId="0" applyFill="1" applyBorder="1"/>
    <xf numFmtId="164" fontId="0" fillId="3" borderId="1" xfId="1" applyNumberFormat="1" applyFont="1" applyFill="1" applyBorder="1"/>
    <xf numFmtId="164" fontId="0" fillId="3" borderId="6" xfId="1" applyNumberFormat="1" applyFont="1" applyFill="1" applyBorder="1"/>
    <xf numFmtId="164" fontId="0" fillId="3" borderId="8" xfId="1" applyNumberFormat="1" applyFont="1" applyFill="1" applyBorder="1"/>
    <xf numFmtId="164" fontId="0" fillId="3" borderId="9" xfId="1" applyNumberFormat="1" applyFont="1" applyFill="1" applyBorder="1"/>
    <xf numFmtId="165" fontId="0" fillId="0" borderId="1" xfId="1" applyNumberFormat="1" applyFont="1" applyBorder="1" applyAlignment="1" applyProtection="1">
      <alignment vertical="center"/>
      <protection locked="0"/>
    </xf>
    <xf numFmtId="164" fontId="0" fillId="0" borderId="1" xfId="1" applyNumberFormat="1" applyFont="1" applyBorder="1" applyProtection="1">
      <protection locked="0"/>
    </xf>
    <xf numFmtId="164" fontId="0" fillId="0" borderId="8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2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</cellXfs>
  <cellStyles count="2">
    <cellStyle name="Comma" xfId="1" builtinId="3"/>
    <cellStyle name="Normal" xfId="0" builtinId="0"/>
  </cellStyles>
  <dxfs count="2">
    <dxf>
      <fill>
        <patternFill>
          <bgColor theme="7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464820</xdr:colOff>
      <xdr:row>12</xdr:row>
      <xdr:rowOff>45720</xdr:rowOff>
    </xdr:from>
    <xdr:to>
      <xdr:col>12</xdr:col>
      <xdr:colOff>716280</xdr:colOff>
      <xdr:row>13</xdr:row>
      <xdr:rowOff>91440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0978591200" y="2720340"/>
          <a:ext cx="300228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27432" rIns="36576" bIns="0" anchor="t" upright="1"/>
        <a:lstStyle/>
        <a:p>
          <a:pPr algn="r" rtl="1">
            <a:defRPr sz="1000"/>
          </a:pP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* חישוב מים חמים מניח כי מי הזינה ב15 מעלות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showGridLines="0" rightToLeft="1" tabSelected="1" topLeftCell="B1" workbookViewId="0">
      <selection activeCell="L10" sqref="L10:L11"/>
    </sheetView>
  </sheetViews>
  <sheetFormatPr defaultRowHeight="14.25" x14ac:dyDescent="0.2"/>
  <cols>
    <col min="1" max="1" width="13" customWidth="1"/>
    <col min="2" max="2" width="2.875" customWidth="1"/>
    <col min="3" max="3" width="14.375" customWidth="1"/>
    <col min="4" max="4" width="10.875" customWidth="1"/>
    <col min="5" max="5" width="12.375" bestFit="1" customWidth="1"/>
    <col min="6" max="6" width="15.625" customWidth="1"/>
    <col min="7" max="7" width="16.75" customWidth="1"/>
    <col min="8" max="8" width="7.125" customWidth="1"/>
    <col min="9" max="9" width="17.875" customWidth="1"/>
    <col min="10" max="10" width="9.875" customWidth="1"/>
    <col min="11" max="11" width="11.75" customWidth="1"/>
    <col min="12" max="12" width="17.75" customWidth="1"/>
    <col min="13" max="13" width="15.75" customWidth="1"/>
    <col min="14" max="14" width="16.25" customWidth="1"/>
  </cols>
  <sheetData>
    <row r="1" spans="1:14" ht="15" thickBot="1" x14ac:dyDescent="0.25"/>
    <row r="2" spans="1:14" ht="22.15" customHeight="1" x14ac:dyDescent="0.2">
      <c r="A2" s="28" t="s">
        <v>42</v>
      </c>
      <c r="C2" s="6" t="s">
        <v>19</v>
      </c>
      <c r="D2" s="7" t="s">
        <v>18</v>
      </c>
      <c r="E2" s="7" t="s">
        <v>17</v>
      </c>
      <c r="F2" s="7" t="s">
        <v>24</v>
      </c>
      <c r="G2" s="8" t="s">
        <v>25</v>
      </c>
      <c r="I2" s="6" t="s">
        <v>19</v>
      </c>
      <c r="J2" s="7" t="s">
        <v>18</v>
      </c>
      <c r="K2" s="7" t="s">
        <v>17</v>
      </c>
      <c r="L2" s="7" t="s">
        <v>33</v>
      </c>
      <c r="M2" s="7" t="s">
        <v>24</v>
      </c>
      <c r="N2" s="8" t="s">
        <v>25</v>
      </c>
    </row>
    <row r="3" spans="1:14" ht="17.45" customHeight="1" x14ac:dyDescent="0.2">
      <c r="A3" s="30" t="s">
        <v>40</v>
      </c>
      <c r="C3" s="3" t="s">
        <v>16</v>
      </c>
      <c r="D3" s="4" t="s">
        <v>15</v>
      </c>
      <c r="E3" s="24"/>
      <c r="F3" s="11" t="str">
        <f>IF(A3="סקר אנרגיה",IF(E3="","",E3*0.00021),IF(E3="","",E3*0.00026))</f>
        <v/>
      </c>
      <c r="G3" s="12" t="str">
        <f>IF(A3="סקר אנרגיה",IF(E3="","",E3*0.0004702),IF(E3="","",E3*0.0005821))</f>
        <v/>
      </c>
      <c r="I3" s="2" t="s">
        <v>27</v>
      </c>
      <c r="J3" s="1" t="s">
        <v>0</v>
      </c>
      <c r="K3" s="25"/>
      <c r="L3" s="1" t="s">
        <v>32</v>
      </c>
      <c r="M3" s="20" t="str">
        <f>IF(K3="","",K3*0.064829)</f>
        <v/>
      </c>
      <c r="N3" s="21" t="str">
        <f>IF(K3="","",K3*0.20895)</f>
        <v/>
      </c>
    </row>
    <row r="4" spans="1:14" ht="17.45" customHeight="1" thickBot="1" x14ac:dyDescent="0.25">
      <c r="A4" s="31"/>
      <c r="C4" s="3" t="s">
        <v>14</v>
      </c>
      <c r="D4" s="4" t="s">
        <v>13</v>
      </c>
      <c r="E4" s="24"/>
      <c r="F4" s="11" t="str">
        <f>IF(E4="","",E4*0.0252)</f>
        <v/>
      </c>
      <c r="G4" s="12" t="str">
        <f>IF(E4="","",E4*0.0590798)</f>
        <v/>
      </c>
      <c r="I4" s="2" t="s">
        <v>28</v>
      </c>
      <c r="J4" s="1" t="s">
        <v>0</v>
      </c>
      <c r="K4" s="25"/>
      <c r="L4" s="1" t="s">
        <v>32</v>
      </c>
      <c r="M4" s="20" t="str">
        <f>IF(K4="","",K4*0.063939)</f>
        <v/>
      </c>
      <c r="N4" s="21" t="str">
        <f>IF(K4="","",K4*0.1499594)</f>
        <v/>
      </c>
    </row>
    <row r="5" spans="1:14" ht="17.45" customHeight="1" x14ac:dyDescent="0.2">
      <c r="C5" s="3" t="s">
        <v>12</v>
      </c>
      <c r="D5" s="4" t="s">
        <v>3</v>
      </c>
      <c r="E5" s="24"/>
      <c r="F5" s="11" t="str">
        <f>IF(E5="","",E5*0.000859)</f>
        <v/>
      </c>
      <c r="G5" s="12" t="str">
        <f>IF(E5="","",E5*0.002715)</f>
        <v/>
      </c>
      <c r="I5" s="2" t="s">
        <v>29</v>
      </c>
      <c r="J5" s="1" t="s">
        <v>0</v>
      </c>
      <c r="K5" s="25"/>
      <c r="L5" s="1" t="s">
        <v>32</v>
      </c>
      <c r="M5" s="20" t="str">
        <f>IF(K5="","",K5*0.06361)</f>
        <v/>
      </c>
      <c r="N5" s="21" t="str">
        <f>IF(K5="","",K5*0.2010689)</f>
        <v/>
      </c>
    </row>
    <row r="6" spans="1:14" ht="17.45" customHeight="1" x14ac:dyDescent="0.2">
      <c r="C6" s="3" t="s">
        <v>11</v>
      </c>
      <c r="D6" s="4" t="s">
        <v>3</v>
      </c>
      <c r="E6" s="24"/>
      <c r="F6" s="11" t="str">
        <f>IF(E6="","",E6*0.000792)</f>
        <v/>
      </c>
      <c r="G6" s="12" t="str">
        <f>IF(E6="","",E6*0.0023591)</f>
        <v/>
      </c>
      <c r="I6" s="2" t="s">
        <v>30</v>
      </c>
      <c r="J6" s="1" t="s">
        <v>0</v>
      </c>
      <c r="K6" s="25"/>
      <c r="L6" s="1" t="s">
        <v>32</v>
      </c>
      <c r="M6" s="20" t="str">
        <f>IF(K6="","",K6*0.066067)</f>
        <v/>
      </c>
      <c r="N6" s="21" t="str">
        <f>IF(K6="","",K6*0.1733355)</f>
        <v/>
      </c>
    </row>
    <row r="7" spans="1:14" ht="17.45" customHeight="1" x14ac:dyDescent="0.2">
      <c r="C7" s="3" t="s">
        <v>10</v>
      </c>
      <c r="D7" s="4" t="s">
        <v>9</v>
      </c>
      <c r="E7" s="24"/>
      <c r="F7" s="11" t="str">
        <f>IF(E7="","",E7*0.00113)</f>
        <v/>
      </c>
      <c r="G7" s="12" t="str">
        <f>IF(E7="","",E7*0.0029646)</f>
        <v/>
      </c>
      <c r="I7" s="2" t="s">
        <v>35</v>
      </c>
      <c r="J7" s="1" t="s">
        <v>26</v>
      </c>
      <c r="K7" s="25"/>
      <c r="L7" s="27"/>
      <c r="M7" s="20" t="str">
        <f>IF(OR(K7="",L7=""),"",K7*0.000244*(L7-15))</f>
        <v/>
      </c>
      <c r="N7" s="21" t="str">
        <f>IF(OR(K7="",L7=""),"",K7*0.000546*(L7-15))</f>
        <v/>
      </c>
    </row>
    <row r="8" spans="1:14" ht="17.45" customHeight="1" x14ac:dyDescent="0.2">
      <c r="C8" s="3" t="s">
        <v>8</v>
      </c>
      <c r="D8" s="4" t="s">
        <v>0</v>
      </c>
      <c r="E8" s="24"/>
      <c r="F8" s="11" t="str">
        <f>IF(E8="","",E8*0.959922)</f>
        <v/>
      </c>
      <c r="G8" s="12" t="str">
        <f>IF(E8="","",E8*3.094)</f>
        <v/>
      </c>
      <c r="I8" s="2" t="s">
        <v>36</v>
      </c>
      <c r="J8" s="1" t="s">
        <v>26</v>
      </c>
      <c r="K8" s="25"/>
      <c r="L8" s="27"/>
      <c r="M8" s="20" t="str">
        <f>IF(OR(K8="",L8=""),"",K8*0.000081*(L8-15))</f>
        <v/>
      </c>
      <c r="N8" s="21" t="str">
        <f>IF(OR(K8="",L8=""),"",K8*0.000182*(L8-15))</f>
        <v/>
      </c>
    </row>
    <row r="9" spans="1:14" ht="17.45" customHeight="1" x14ac:dyDescent="0.2">
      <c r="C9" s="3" t="s">
        <v>7</v>
      </c>
      <c r="D9" s="4" t="s">
        <v>0</v>
      </c>
      <c r="E9" s="24"/>
      <c r="F9" s="11" t="str">
        <f>IF(E9="","",E9*0.590379)</f>
        <v/>
      </c>
      <c r="G9" s="12" t="str">
        <f>IF(E9="","",E9*2.29)</f>
        <v/>
      </c>
      <c r="I9" s="2" t="s">
        <v>37</v>
      </c>
      <c r="J9" s="1" t="s">
        <v>26</v>
      </c>
      <c r="K9" s="25"/>
      <c r="L9" s="27"/>
      <c r="M9" s="20" t="str">
        <f>IF(OR(K9="",L9=""),"",K9*0.000111*(L9-15))</f>
        <v/>
      </c>
      <c r="N9" s="21" t="str">
        <f>IF(OR(K9="",L9=""),"",K9*0.00026*(L9-15))</f>
        <v/>
      </c>
    </row>
    <row r="10" spans="1:14" ht="17.45" customHeight="1" x14ac:dyDescent="0.2">
      <c r="C10" s="3" t="s">
        <v>6</v>
      </c>
      <c r="D10" s="4" t="s">
        <v>0</v>
      </c>
      <c r="E10" s="24"/>
      <c r="F10" s="11" t="str">
        <f>IF(E10="","",E10*1.035)</f>
        <v/>
      </c>
      <c r="G10" s="12" t="str">
        <f>IF(E10="","",E10*3.1844171)</f>
        <v/>
      </c>
      <c r="I10" s="2" t="s">
        <v>38</v>
      </c>
      <c r="J10" s="1" t="s">
        <v>26</v>
      </c>
      <c r="K10" s="25"/>
      <c r="L10" s="27"/>
      <c r="M10" s="20" t="str">
        <f>IF(OR(K10="",L10=""),"",K10*0.000114*(L10-15))</f>
        <v/>
      </c>
      <c r="N10" s="21" t="str">
        <f>IF(OR(K10="",L10=""),"",K10*0.0003*(L10-15))</f>
        <v/>
      </c>
    </row>
    <row r="11" spans="1:14" ht="17.45" customHeight="1" x14ac:dyDescent="0.2">
      <c r="C11" s="3" t="s">
        <v>5</v>
      </c>
      <c r="D11" s="4" t="s">
        <v>0</v>
      </c>
      <c r="E11" s="24"/>
      <c r="F11" s="11" t="str">
        <f>IF(E11="","",E11*0.947)</f>
        <v/>
      </c>
      <c r="G11" s="12" t="str">
        <f>IF(E11="","",E11*3.2613778)</f>
        <v/>
      </c>
      <c r="I11" s="2" t="s">
        <v>39</v>
      </c>
      <c r="J11" s="1" t="s">
        <v>26</v>
      </c>
      <c r="K11" s="25"/>
      <c r="L11" s="27"/>
      <c r="M11" s="20" t="str">
        <f>IF(OR(K11="",L11=""),"",K11*0.00011*(L11-15))</f>
        <v/>
      </c>
      <c r="N11" s="21" t="str">
        <f>IF(OR(K11="",L11=""),"",K11*0.000348*(L11-15))</f>
        <v/>
      </c>
    </row>
    <row r="12" spans="1:14" ht="17.45" customHeight="1" thickBot="1" x14ac:dyDescent="0.25">
      <c r="C12" s="3" t="s">
        <v>4</v>
      </c>
      <c r="D12" s="4" t="s">
        <v>3</v>
      </c>
      <c r="E12" s="24"/>
      <c r="F12" s="11" t="str">
        <f>IF(E12="","",E12*0.000855)</f>
        <v/>
      </c>
      <c r="G12" s="12" t="str">
        <f>IF(E12="","",E12*0.0026017)</f>
        <v/>
      </c>
      <c r="I12" s="18" t="s">
        <v>31</v>
      </c>
      <c r="J12" s="19" t="s">
        <v>26</v>
      </c>
      <c r="K12" s="26"/>
      <c r="L12" s="19" t="s">
        <v>34</v>
      </c>
      <c r="M12" s="22" t="str">
        <f>IF(K12="","",K12*0.000305)</f>
        <v/>
      </c>
      <c r="N12" s="23" t="str">
        <f>IF(K6="","",K6*0.000682)</f>
        <v/>
      </c>
    </row>
    <row r="13" spans="1:14" ht="17.45" customHeight="1" x14ac:dyDescent="0.2">
      <c r="C13" s="3" t="s">
        <v>2</v>
      </c>
      <c r="D13" s="4" t="s">
        <v>0</v>
      </c>
      <c r="E13" s="24"/>
      <c r="F13" s="11" t="str">
        <f>IF(E13="","",E13*1.075045)</f>
        <v/>
      </c>
      <c r="G13" s="12" t="str">
        <f>IF(E13="","",E13*3.280932)</f>
        <v/>
      </c>
      <c r="I13" s="15"/>
      <c r="J13" s="15"/>
      <c r="K13" s="16"/>
      <c r="L13" s="16"/>
      <c r="M13" s="16"/>
      <c r="N13" s="17"/>
    </row>
    <row r="14" spans="1:14" ht="17.45" customHeight="1" x14ac:dyDescent="0.2">
      <c r="C14" s="3" t="s">
        <v>1</v>
      </c>
      <c r="D14" s="4" t="s">
        <v>0</v>
      </c>
      <c r="E14" s="24"/>
      <c r="F14" s="11" t="str">
        <f>IF(E14="","",E14*0.840021)</f>
        <v/>
      </c>
      <c r="G14" s="12" t="str">
        <f>IF(E14="","",E14*3.518864)</f>
        <v/>
      </c>
    </row>
    <row r="15" spans="1:14" ht="27.6" customHeight="1" x14ac:dyDescent="0.2">
      <c r="C15" s="5" t="s">
        <v>20</v>
      </c>
      <c r="D15" s="4" t="s">
        <v>22</v>
      </c>
      <c r="E15" s="24"/>
      <c r="F15" s="11" t="str">
        <f>IF(E15="","",E15*0.000382)</f>
        <v/>
      </c>
      <c r="G15" s="12" t="str">
        <f>IF(E15="","",E15*0.0024837)</f>
        <v/>
      </c>
    </row>
    <row r="16" spans="1:14" ht="27.6" customHeight="1" x14ac:dyDescent="0.2">
      <c r="C16" s="5" t="s">
        <v>21</v>
      </c>
      <c r="D16" s="4" t="s">
        <v>22</v>
      </c>
      <c r="E16" s="24"/>
      <c r="F16" s="11" t="str">
        <f>IF(E16="","",E16*0.000549)</f>
        <v/>
      </c>
      <c r="G16" s="12" t="str">
        <f>IF(E16="","",E16*0.0031736)</f>
        <v/>
      </c>
      <c r="I16" s="29" t="str">
        <f>IF(F17&gt;300,"חברה זאת צורכת מעל 300 טשע''נ ועל כן נדרשת בהגשת דיווח צריכה שנתי ומינוי ממונה אנרגיה","")</f>
        <v/>
      </c>
      <c r="J16" s="29"/>
      <c r="K16" s="29"/>
      <c r="L16" s="29"/>
      <c r="M16" s="29"/>
      <c r="N16" s="29"/>
    </row>
    <row r="17" spans="3:14" ht="20.45" customHeight="1" thickBot="1" x14ac:dyDescent="0.25">
      <c r="C17" s="9" t="s">
        <v>23</v>
      </c>
      <c r="D17" s="10"/>
      <c r="E17" s="13"/>
      <c r="F17" s="13">
        <f>SUM(F3:F16)+SUM(M3:M12)</f>
        <v>0</v>
      </c>
      <c r="G17" s="14">
        <f>SUM(G3:G16)+SUM(N3:N12)</f>
        <v>0</v>
      </c>
    </row>
    <row r="18" spans="3:14" ht="27" customHeight="1" x14ac:dyDescent="0.2">
      <c r="I18" s="29" t="str">
        <f>IF(F17&gt;1250,"חברה זאת צורכת מעל 1250 טשע''נ ועל כן נדרשת בביצוע סקר אנרגיה 4.5 שנתי","")</f>
        <v/>
      </c>
      <c r="J18" s="29"/>
      <c r="K18" s="29"/>
      <c r="L18" s="29"/>
      <c r="M18" s="29"/>
      <c r="N18" s="29"/>
    </row>
    <row r="19" spans="3:14" ht="33" customHeight="1" x14ac:dyDescent="0.2"/>
    <row r="21" spans="3:14" ht="32.450000000000003" customHeight="1" x14ac:dyDescent="0.2"/>
  </sheetData>
  <sheetProtection algorithmName="SHA-512" hashValue="sQKR5mxxLg/NaEvLQn+0F9nx8DqmWhttA8Sd28pKmcC60eCNsVfuA/bcowT4YChseUfX+NbN+sd6bhYHwIBJBQ==" saltValue="BpekCuBwaiCrzhZDVRY35w==" spinCount="100000" sheet="1" selectLockedCells="1"/>
  <mergeCells count="3">
    <mergeCell ref="I16:N16"/>
    <mergeCell ref="I18:N18"/>
    <mergeCell ref="A3:A4"/>
  </mergeCells>
  <conditionalFormatting sqref="I16">
    <cfRule type="notContainsBlanks" dxfId="1" priority="3">
      <formula>LEN(TRIM(I16))&gt;0</formula>
    </cfRule>
  </conditionalFormatting>
  <conditionalFormatting sqref="I18">
    <cfRule type="notContainsBlanks" dxfId="0" priority="1">
      <formula>LEN(TRIM(I18))&gt;0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גיליון1!$B$2:$B$3</xm:f>
          </x14:formula1>
          <xm:sqref>A3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3"/>
  <sheetViews>
    <sheetView rightToLeft="1" workbookViewId="0">
      <selection activeCell="B7" sqref="B7"/>
    </sheetView>
  </sheetViews>
  <sheetFormatPr defaultRowHeight="14.25" x14ac:dyDescent="0.2"/>
  <sheetData>
    <row r="2" spans="2:2" x14ac:dyDescent="0.2">
      <c r="B2" t="s">
        <v>40</v>
      </c>
    </row>
    <row r="3" spans="2:2" x14ac:dyDescent="0.2">
      <c r="B3" t="s">
        <v>41</v>
      </c>
    </row>
  </sheetData>
  <dataValidations count="1">
    <dataValidation type="list" allowBlank="1" showInputMessage="1" showErrorMessage="1" sqref="B2:B3">
      <formula1>$B$2:$B$3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מחשבון אנרגיה ופליטות</vt:lpstr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עמוס בריל</dc:creator>
  <cp:keywords>מחשבון אנרגיה ופליטות פד"ח</cp:keywords>
  <cp:lastModifiedBy>יסמין סיאני</cp:lastModifiedBy>
  <dcterms:created xsi:type="dcterms:W3CDTF">2024-12-30T10:41:29Z</dcterms:created>
  <dcterms:modified xsi:type="dcterms:W3CDTF">2025-01-19T11:31:01Z</dcterms:modified>
</cp:coreProperties>
</file>