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חוברת_עבודה_זו" defaultThemeVersion="124226"/>
  <mc:AlternateContent xmlns:mc="http://schemas.openxmlformats.org/markup-compatibility/2006">
    <mc:Choice Requires="x15">
      <x15ac:absPath xmlns:x15ac="http://schemas.microsoft.com/office/spreadsheetml/2010/11/ac" url="\\mnidom.net\fileserver\Department\מינהל הדלק\מינהל הדלק עדי\ציפי\מחירים באינטרנט\2026\קבצי מבנה מחיר\"/>
    </mc:Choice>
  </mc:AlternateContent>
  <xr:revisionPtr revIDLastSave="0" documentId="13_ncr:1_{B42946EE-E4D8-4BDA-945D-EDA6B6B2F4E0}" xr6:coauthVersionLast="47" xr6:coauthVersionMax="47" xr10:uidLastSave="{00000000-0000-0000-0000-000000000000}"/>
  <bookViews>
    <workbookView xWindow="7580" yWindow="130" windowWidth="11230" windowHeight="9510" tabRatio="694" xr2:uid="{00000000-000D-0000-FFFF-FFFF00000000}"/>
  </bookViews>
  <sheets>
    <sheet name="דף מקדים" sheetId="23" r:id="rId1"/>
    <sheet name="תוכן עניינים" sheetId="22" r:id="rId2"/>
    <sheet name="1" sheetId="21" r:id="rId3"/>
    <sheet name="2" sheetId="1" r:id="rId4"/>
    <sheet name="3" sheetId="2" r:id="rId5"/>
    <sheet name="4" sheetId="5" r:id="rId6"/>
    <sheet name="5" sheetId="9" r:id="rId7"/>
    <sheet name="6" sheetId="11" r:id="rId8"/>
    <sheet name="7" sheetId="12" r:id="rId9"/>
    <sheet name="8" sheetId="13" r:id="rId10"/>
    <sheet name="9" sheetId="14" r:id="rId11"/>
    <sheet name="10" sheetId="16" r:id="rId12"/>
    <sheet name="11" sheetId="17" r:id="rId13"/>
    <sheet name="12" sheetId="18" r:id="rId14"/>
    <sheet name="13" sheetId="19" r:id="rId15"/>
    <sheet name="14" sheetId="20" r:id="rId16"/>
    <sheet name="15" sheetId="24" r:id="rId17"/>
  </sheets>
  <externalReferences>
    <externalReference r:id="rId18"/>
    <externalReference r:id="rId19"/>
  </externalReferences>
  <definedNames>
    <definedName name="AhuzAshlagan">'2'!#REF!</definedName>
    <definedName name="AhuzTosaf">'2'!$C$11</definedName>
    <definedName name="b">'[1]2'!$C$6</definedName>
    <definedName name="Bituach">'2'!$C$9</definedName>
    <definedName name="Dollar">'2'!#REF!</definedName>
    <definedName name="Maam">'2'!$C$8</definedName>
    <definedName name="mekadem">'2'!$C$7</definedName>
    <definedName name="MlayTifuli">'2'!$C$12</definedName>
    <definedName name="Tosaf">'2'!$C$10</definedName>
    <definedName name="TosafAshlagan">'2'!#REF!</definedName>
    <definedName name="Tosf">'2'!$C$10</definedName>
    <definedName name="VaDate">'[1]2'!$B$4</definedName>
    <definedName name="ValidDate">'2'!$B$4</definedName>
    <definedName name="_xlnm.Print_Area" localSheetId="2">'1'!$A$1:$D$37</definedName>
    <definedName name="_xlnm.Print_Area" localSheetId="11">'10'!$A$1:$E$27</definedName>
    <definedName name="_xlnm.Print_Area" localSheetId="12">'11'!$A$1:$F$51</definedName>
    <definedName name="_xlnm.Print_Area" localSheetId="14">'13'!$A$1:$F$14</definedName>
    <definedName name="_xlnm.Print_Area" localSheetId="15">'14'!$A$1:$E$69</definedName>
    <definedName name="_xlnm.Print_Area" localSheetId="16">'15'!$A$1:$G$46</definedName>
    <definedName name="_xlnm.Print_Area" localSheetId="3">'2'!$A$1:$C$19</definedName>
    <definedName name="_xlnm.Print_Area" localSheetId="4">'3'!$A$1:$G$33</definedName>
    <definedName name="_xlnm.Print_Area" localSheetId="5">'4'!$A$1:$G$24</definedName>
    <definedName name="_xlnm.Print_Area" localSheetId="6">'5'!$A$1:$E$27</definedName>
    <definedName name="_xlnm.Print_Area" localSheetId="7">'6'!$A$1:$I$14</definedName>
    <definedName name="_xlnm.Print_Area" localSheetId="8">'7'!$A$1:$F$34</definedName>
    <definedName name="_xlnm.Print_Area" localSheetId="9">'8'!$A$1:$D$28</definedName>
    <definedName name="_xlnm.Print_Area" localSheetId="10">'9'!$A$1:$I$25</definedName>
    <definedName name="_xlnm.Print_Area" localSheetId="0">'דף מקדים'!$A$1:$E$20</definedName>
    <definedName name="_xlnm.Print_Area" localSheetId="1">'תוכן עניינים'!$A$1:$B$31</definedName>
    <definedName name="Yazig">'2'!$C$6</definedName>
    <definedName name="מעמ">'[2]2'!$C$8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2" i="13" l="1"/>
  <c r="B11" i="13"/>
  <c r="B10" i="13"/>
  <c r="B9" i="13"/>
  <c r="B12" i="5" l="1"/>
  <c r="A15" i="12"/>
  <c r="B19" i="5"/>
  <c r="B18" i="5"/>
  <c r="B17" i="5"/>
  <c r="A13" i="12"/>
  <c r="B10" i="5"/>
  <c r="A12" i="12"/>
  <c r="B16" i="5"/>
  <c r="B9" i="5"/>
  <c r="A11" i="12"/>
  <c r="B8" i="5"/>
  <c r="G20" i="5"/>
  <c r="G13" i="5"/>
  <c r="F13" i="5"/>
  <c r="E20" i="5"/>
  <c r="E22" i="5"/>
  <c r="E13" i="5"/>
  <c r="D43" i="24"/>
  <c r="B30" i="24"/>
  <c r="B29" i="24"/>
  <c r="B28" i="24"/>
  <c r="B27" i="24"/>
  <c r="B25" i="24"/>
  <c r="D41" i="24"/>
  <c r="C16" i="12"/>
  <c r="C20" i="5"/>
  <c r="C22" i="5"/>
  <c r="C13" i="5"/>
  <c r="C23" i="5"/>
  <c r="C40" i="17"/>
  <c r="B7" i="12"/>
  <c r="C46" i="17"/>
  <c r="C18" i="16"/>
  <c r="C14" i="17"/>
  <c r="D18" i="16"/>
  <c r="F41" i="24"/>
  <c r="D13" i="9"/>
  <c r="G22" i="5"/>
  <c r="F43" i="24"/>
  <c r="F44" i="24"/>
  <c r="C43" i="17"/>
  <c r="B12" i="21"/>
  <c r="D44" i="24"/>
  <c r="C18" i="17"/>
  <c r="B11" i="21"/>
  <c r="B16" i="12"/>
  <c r="C22" i="12"/>
  <c r="C23" i="12"/>
  <c r="D13" i="5"/>
  <c r="A14" i="12"/>
  <c r="B19" i="13"/>
  <c r="B6" i="5"/>
  <c r="B11" i="5"/>
  <c r="B7" i="11"/>
  <c r="D7" i="11"/>
  <c r="B20" i="13"/>
  <c r="D20" i="13"/>
  <c r="D20" i="5"/>
  <c r="B11" i="11"/>
  <c r="F20" i="5"/>
  <c r="F23" i="5"/>
  <c r="B26" i="24"/>
  <c r="D42" i="24"/>
  <c r="C11" i="17"/>
  <c r="B15" i="5"/>
  <c r="C10" i="16"/>
  <c r="D10" i="16"/>
  <c r="D22" i="5"/>
  <c r="B12" i="11"/>
  <c r="D12" i="11"/>
  <c r="D23" i="5"/>
  <c r="B13" i="13"/>
  <c r="D13" i="13"/>
  <c r="C12" i="14"/>
  <c r="B13" i="11"/>
  <c r="D13" i="11"/>
  <c r="E23" i="5"/>
  <c r="G23" i="5"/>
  <c r="C6" i="17"/>
  <c r="E7" i="11"/>
  <c r="G7" i="11"/>
  <c r="I7" i="11"/>
  <c r="D6" i="18"/>
  <c r="C32" i="17"/>
  <c r="B4" i="19"/>
  <c r="C9" i="2"/>
  <c r="B10" i="9"/>
  <c r="B8" i="13"/>
  <c r="C6" i="14"/>
  <c r="B5" i="11"/>
  <c r="B8" i="22"/>
  <c r="B10" i="11"/>
  <c r="C25" i="12"/>
  <c r="F22" i="5"/>
  <c r="E22" i="12"/>
  <c r="F42" i="24"/>
  <c r="C37" i="17"/>
  <c r="D12" i="9"/>
  <c r="D14" i="9"/>
  <c r="B8" i="11"/>
  <c r="D8" i="11"/>
  <c r="E8" i="11"/>
  <c r="B9" i="11"/>
  <c r="D10" i="13"/>
  <c r="C8" i="17"/>
  <c r="C9" i="16"/>
  <c r="C34" i="17"/>
  <c r="E12" i="11"/>
  <c r="B21" i="13"/>
  <c r="D21" i="13"/>
  <c r="D29" i="21"/>
  <c r="E23" i="12"/>
  <c r="D11" i="11"/>
  <c r="E11" i="11"/>
  <c r="D12" i="13"/>
  <c r="E13" i="11"/>
  <c r="B22" i="13"/>
  <c r="D22" i="13"/>
  <c r="E19" i="9"/>
  <c r="D16" i="9"/>
  <c r="B16" i="9"/>
  <c r="D10" i="11"/>
  <c r="E10" i="11"/>
  <c r="D11" i="13"/>
  <c r="D9" i="13"/>
  <c r="E25" i="12"/>
  <c r="C26" i="12"/>
  <c r="D9" i="11"/>
  <c r="E9" i="11"/>
  <c r="D9" i="19"/>
  <c r="E11" i="14"/>
  <c r="D10" i="19"/>
  <c r="F11" i="14"/>
  <c r="D11" i="19"/>
  <c r="G11" i="14"/>
  <c r="E20" i="9"/>
  <c r="C11" i="14"/>
  <c r="C13" i="14"/>
  <c r="D11" i="14"/>
  <c r="D13" i="14"/>
  <c r="D12" i="19"/>
  <c r="H11" i="14"/>
  <c r="D9" i="16"/>
  <c r="C15" i="16"/>
  <c r="C11" i="16"/>
  <c r="D30" i="21"/>
  <c r="E26" i="12"/>
  <c r="C9" i="17"/>
  <c r="C20" i="16"/>
  <c r="D22" i="21"/>
  <c r="D13" i="19"/>
  <c r="C14" i="14"/>
  <c r="C16" i="14"/>
  <c r="D15" i="16"/>
  <c r="D11" i="16"/>
  <c r="H13" i="14"/>
  <c r="H14" i="14"/>
  <c r="F12" i="19"/>
  <c r="E12" i="19"/>
  <c r="D14" i="19"/>
  <c r="D23" i="21"/>
  <c r="D14" i="14"/>
  <c r="D16" i="14"/>
  <c r="G13" i="14"/>
  <c r="G14" i="14"/>
  <c r="E11" i="19"/>
  <c r="F11" i="19"/>
  <c r="F13" i="14"/>
  <c r="F14" i="14"/>
  <c r="E10" i="19"/>
  <c r="F10" i="19"/>
  <c r="E13" i="14"/>
  <c r="E14" i="14"/>
  <c r="F9" i="19"/>
  <c r="E9" i="19"/>
  <c r="C35" i="17"/>
  <c r="D20" i="16"/>
  <c r="G16" i="14"/>
  <c r="D20" i="21"/>
  <c r="D19" i="21"/>
  <c r="F16" i="14"/>
  <c r="F14" i="19"/>
  <c r="E14" i="19"/>
  <c r="H16" i="14"/>
  <c r="D21" i="21"/>
  <c r="F13" i="19"/>
  <c r="E13" i="19"/>
  <c r="D18" i="21"/>
  <c r="E16" i="14"/>
  <c r="C10" i="17"/>
  <c r="C15" i="17"/>
  <c r="C12" i="17"/>
  <c r="C36" i="17"/>
  <c r="C41" i="17"/>
  <c r="C38" i="17"/>
  <c r="D38" i="17"/>
  <c r="C17" i="17"/>
  <c r="D15" i="17"/>
  <c r="C16" i="17"/>
  <c r="C21" i="17"/>
  <c r="D22" i="17"/>
  <c r="C13" i="17"/>
  <c r="D16" i="17"/>
  <c r="C20" i="17"/>
  <c r="C12" i="18"/>
  <c r="D12" i="18"/>
  <c r="C7" i="21"/>
  <c r="C10" i="18"/>
  <c r="D10" i="18"/>
  <c r="D14" i="17"/>
  <c r="D11" i="17"/>
  <c r="D8" i="17"/>
  <c r="D9" i="17"/>
  <c r="D10" i="17"/>
  <c r="D12" i="17"/>
  <c r="C39" i="17"/>
  <c r="C42" i="17"/>
  <c r="D41" i="17"/>
  <c r="D40" i="17"/>
  <c r="D47" i="17"/>
  <c r="D37" i="17"/>
  <c r="D34" i="17"/>
  <c r="D35" i="17"/>
  <c r="D36" i="17"/>
  <c r="C17" i="18"/>
  <c r="D17" i="18"/>
  <c r="C8" i="21"/>
  <c r="C45" i="17"/>
  <c r="C19" i="18"/>
  <c r="D19" i="18"/>
</calcChain>
</file>

<file path=xl/sharedStrings.xml><?xml version="1.0" encoding="utf-8"?>
<sst xmlns="http://schemas.openxmlformats.org/spreadsheetml/2006/main" count="522" uniqueCount="361">
  <si>
    <t>טבלה 2 - נתונים בסיסיים</t>
  </si>
  <si>
    <t>תאריך תוקף:</t>
  </si>
  <si>
    <t>שער הדולר:</t>
  </si>
  <si>
    <t>שער חליפין יציג  ביום-</t>
  </si>
  <si>
    <t>שיעור המע"מ:</t>
  </si>
  <si>
    <t>עלות התוסף לבנזין (דטרגנטים):</t>
  </si>
  <si>
    <t>אחוז התוסף</t>
  </si>
  <si>
    <t xml:space="preserve"> טבלה 3</t>
  </si>
  <si>
    <t>בלו קצוב</t>
  </si>
  <si>
    <t>מוצר</t>
  </si>
  <si>
    <t>יחידה</t>
  </si>
  <si>
    <t>בלו בש"ח</t>
  </si>
  <si>
    <t xml:space="preserve">בנזין </t>
  </si>
  <si>
    <t>ק"ל</t>
  </si>
  <si>
    <t>ט.מ.</t>
  </si>
  <si>
    <t>גפ"מ</t>
  </si>
  <si>
    <t>טבלה 4</t>
  </si>
  <si>
    <t>מוצרים</t>
  </si>
  <si>
    <t>נפטא</t>
  </si>
  <si>
    <t>טבלה 5</t>
  </si>
  <si>
    <t>טבלה 6</t>
  </si>
  <si>
    <t>ריכוז מחירים ממוצעים ל-5 הימים הקובעים באזור הים התיכון, $ \ ט.מ.</t>
  </si>
  <si>
    <t>תאריך</t>
  </si>
  <si>
    <t>מזוט  1.0 אחוז גפרית</t>
  </si>
  <si>
    <t>מזוט  3.5 אחוז גפרית</t>
  </si>
  <si>
    <t>FOB</t>
  </si>
  <si>
    <t>ממוצע 5 ימים</t>
  </si>
  <si>
    <t>CIF</t>
  </si>
  <si>
    <t>מחיר קודם CIF</t>
  </si>
  <si>
    <t>אחוז שינוי</t>
  </si>
  <si>
    <t>הפרש ממוצע לחישוב הובלה</t>
  </si>
  <si>
    <t>תוכן עניינים</t>
  </si>
  <si>
    <t>טבלה 7</t>
  </si>
  <si>
    <t>טבלה 10</t>
  </si>
  <si>
    <t>ממוצע מזוט 1.0</t>
  </si>
  <si>
    <t>ממוצע מזוט 3.5</t>
  </si>
  <si>
    <t>הפרש מחיר של 2.5% גופרית</t>
  </si>
  <si>
    <t>ערך 1% גופרית</t>
  </si>
  <si>
    <t xml:space="preserve"> /  2.5  =</t>
  </si>
  <si>
    <t>טבלה 11</t>
  </si>
  <si>
    <t>מחיר ממוצע בדולר\ט.מ.</t>
  </si>
  <si>
    <t>תוספת</t>
  </si>
  <si>
    <t>סה"כ
בדולר/טון</t>
  </si>
  <si>
    <t>צפיפות</t>
  </si>
  <si>
    <t>ש"ח/ק"ל</t>
  </si>
  <si>
    <t>מקדם בטמפ' מעשית</t>
  </si>
  <si>
    <t>ש"ח/ק"ל בטמפ' מעשית</t>
  </si>
  <si>
    <t>טבלה 12</t>
  </si>
  <si>
    <t>טבלה 13</t>
  </si>
  <si>
    <t>תוקף</t>
  </si>
  <si>
    <t>אחוז השינוי</t>
  </si>
  <si>
    <t xml:space="preserve">שער חליפין יציג ש"ח\$ </t>
  </si>
  <si>
    <t>טבלה 14</t>
  </si>
  <si>
    <t>מרכיב</t>
  </si>
  <si>
    <t>כה"א</t>
  </si>
  <si>
    <t>באילת</t>
  </si>
  <si>
    <t>עלות תוסף לבנזין</t>
  </si>
  <si>
    <t>ביטוח</t>
  </si>
  <si>
    <t>חוסר (עודף) במתקנים</t>
  </si>
  <si>
    <t xml:space="preserve"> סה"כ</t>
  </si>
  <si>
    <t>טבלה 15</t>
  </si>
  <si>
    <t>ממוצע חמישה ימים</t>
  </si>
  <si>
    <t>תוספת זפת</t>
  </si>
  <si>
    <t>ריכוז עלויות והוצאות למבנה מחיר לצרכן של בנזין בפיקוח, ב - ₪</t>
  </si>
  <si>
    <t xml:space="preserve">   מרכיב</t>
  </si>
  <si>
    <t>% מהמחיר לצרכן בשירות עצמי</t>
  </si>
  <si>
    <t>דלף, ביטוח ותוסף</t>
  </si>
  <si>
    <t>סל הוצאות שווק</t>
  </si>
  <si>
    <t>סה"כ הוצאות</t>
  </si>
  <si>
    <t>סכום הבלו</t>
  </si>
  <si>
    <t>מחיר מעוגל בתוספת מע"מ</t>
  </si>
  <si>
    <t>מחיר לצרכן ללא מע"מ</t>
  </si>
  <si>
    <t>מחיר לליטר בתחנה בתדלוק עצמי</t>
  </si>
  <si>
    <t>תוספת בעד שירות מלא לליטר כולל מע"מ</t>
  </si>
  <si>
    <t>נתונים נוספים</t>
  </si>
  <si>
    <t xml:space="preserve">מחיר לליטר בתחנה בשירות מלא </t>
  </si>
  <si>
    <t>סה"כ מסים מהמחיר בשירות עצמי, ק"ל</t>
  </si>
  <si>
    <t>% סה"כ מסים מהמחיר לצרכן בשירות עצמי</t>
  </si>
  <si>
    <t>ריכוז עלויות והוצאות למבנה מחיר לצרכן באילת</t>
  </si>
  <si>
    <t>מחיר לצרכן (מעוגל)</t>
  </si>
  <si>
    <t>תוספת בעד שירות מלא לליטר לא כולל מע"מ</t>
  </si>
  <si>
    <t>שינויים במחירי בנזין בתחנה לליטר</t>
  </si>
  <si>
    <t>מחיר בתחנה בתדלוק עצמי</t>
  </si>
  <si>
    <t>מוצרים בתחנה</t>
  </si>
  <si>
    <t>מחיר ישן</t>
  </si>
  <si>
    <t>מחיר חדש</t>
  </si>
  <si>
    <t xml:space="preserve"> בש"ח</t>
  </si>
  <si>
    <t>בש"ח</t>
  </si>
  <si>
    <t>% השינוי</t>
  </si>
  <si>
    <t>מחיר בתחנה כולל תוספת בעד שירות מלא</t>
  </si>
  <si>
    <t xml:space="preserve">יחידת </t>
  </si>
  <si>
    <t>מחיר ישן   (לא כולל בלו)</t>
  </si>
  <si>
    <t>מחיר חדש (לא כולל בלו)</t>
  </si>
  <si>
    <t>מכירה</t>
  </si>
  <si>
    <t>ב - ₪</t>
  </si>
  <si>
    <t>ב - $</t>
  </si>
  <si>
    <t>תעריפי תשתית  ליום:</t>
  </si>
  <si>
    <t>הערות</t>
  </si>
  <si>
    <t xml:space="preserve">יחידת חיוב </t>
  </si>
  <si>
    <t>ק"ל\חודש</t>
  </si>
  <si>
    <t>אחסון מזוט</t>
  </si>
  <si>
    <t>ט"מ\חודש</t>
  </si>
  <si>
    <t>ט"מ</t>
  </si>
  <si>
    <t>לצרכנים סופיים המחוברים בצנרת למסוף, כולל החזר הון, אחזקת קווים והגנה קטודית</t>
  </si>
  <si>
    <t>ק"מ\שנה</t>
  </si>
  <si>
    <t>הזרמת מוצרי נפט</t>
  </si>
  <si>
    <t>רכיב קבוע</t>
  </si>
  <si>
    <t>רכיב משתנה</t>
  </si>
  <si>
    <t>ק"ל\ק"מ</t>
  </si>
  <si>
    <t>הזרמת מוצרי דלק בקו אשל שיזפון</t>
  </si>
  <si>
    <t>הזרמת מוצרי נפט, כולל שימוש בצנרת שאורכה אינו עולה על שני קילומטרים וכן שירות הניתן לחברת תשתית המזרימה מוצרי נפט על ידי חברת תשתית אחרת.</t>
  </si>
  <si>
    <t>שאיבת מזוט</t>
  </si>
  <si>
    <t>לא כולל אחסון תפעולי לפני השאיבה</t>
  </si>
  <si>
    <t>לא כולל אחסון</t>
  </si>
  <si>
    <t>פריקה או טעינה של מזוט</t>
  </si>
  <si>
    <t>כולל אחסון תפעולי לפני מילוי כלי השיט</t>
  </si>
  <si>
    <t>שירות תשתית</t>
  </si>
  <si>
    <t>תעריף בשקלים חדשים</t>
  </si>
  <si>
    <t>אחסון גפ"מ וביטומן  -  ע"פ נוהג</t>
  </si>
  <si>
    <t>אחסון גפ"מ</t>
  </si>
  <si>
    <t>ט.מ./חודש</t>
  </si>
  <si>
    <t>אחסון ביטומן</t>
  </si>
  <si>
    <t>ניפוק / מילוי ביטומן</t>
  </si>
  <si>
    <t>כולל אחסון תפעולי ופעולות שאיבה והזרמה הכרוכים בשרות</t>
  </si>
  <si>
    <t>ניפוק גפ"מ למכליות</t>
  </si>
  <si>
    <t>ניפוק גפ"מ בהזרמה</t>
  </si>
  <si>
    <t>הודעה בדבר עדכון מחירים מרביים למוצרי נפט</t>
  </si>
  <si>
    <t>המוצר</t>
  </si>
  <si>
    <t>ב. מחיר לליטר בתחנה באילת</t>
  </si>
  <si>
    <t>תוספת בעד שירות מלא:</t>
  </si>
  <si>
    <t>מדינת ישראל</t>
  </si>
  <si>
    <t>מבנה מחירי הדלקים שבפיקוח</t>
  </si>
  <si>
    <t>תאריך תוקף :</t>
  </si>
  <si>
    <t>טבלה 1</t>
  </si>
  <si>
    <t>טבלה 2</t>
  </si>
  <si>
    <t>נתונים בסיסיים</t>
  </si>
  <si>
    <t>טבלה 3</t>
  </si>
  <si>
    <t>ריכוז מחירים ממוצעים ל-5 הימים הקובעים באזור הים התיכון, $ לט.מ.</t>
  </si>
  <si>
    <t>טבלה 8</t>
  </si>
  <si>
    <t>טבלה 9</t>
  </si>
  <si>
    <t>תעריפי תשתית</t>
  </si>
  <si>
    <t>₪ לטון</t>
  </si>
  <si>
    <t>בנזין 95 אוקטן נטול עופרת</t>
  </si>
  <si>
    <t>בנזין 95 נט"ע</t>
  </si>
  <si>
    <t>בנזין 95 נט"ע  ק"ל במכליות</t>
  </si>
  <si>
    <t xml:space="preserve">מחיר בנזין 95 נט"ע בתחנות </t>
  </si>
  <si>
    <t>מחיר בנזין 95 נט"ע בתחנות אילת</t>
  </si>
  <si>
    <t>בנזין 95 נטול עופרת, בתדלוק עצמי</t>
  </si>
  <si>
    <t>בנזין 95 נטול עופרת, כולל עמלת תדלוק</t>
  </si>
  <si>
    <t>שינויים במחירי בנזין בתחנה</t>
  </si>
  <si>
    <t>פרסום הבלו בעמוד זה אינו פרסום רשמי</t>
  </si>
  <si>
    <t>למידע עדכני ומוסמך יש לפנות למשרד האוצר או לפרסום הרשמי ברשומות.</t>
  </si>
  <si>
    <t>(הפחתה/תוספת ל- 0.1% גפרית ($\ט.מ</t>
  </si>
  <si>
    <t>הפחתה/תוספת ל- 0.1% גפרית (ש"ח\ט.מ.)</t>
  </si>
  <si>
    <t>מחיר בשער בית זיקוק (מחיר לחברות הדלק):</t>
  </si>
  <si>
    <t>מוצר נפט</t>
  </si>
  <si>
    <t>ריכוז השינויים במחירי שער בית זיקוק בדולר</t>
  </si>
  <si>
    <t>מחיר שער בית זיקוק</t>
  </si>
  <si>
    <t>מחיר בשער בית זיקוק הינו המחיר המרבי של מוצר דלק אותו רשאי בית הזיקוק למכור. המחיר אינו כולל בלו, מע"מ, הובלה, ניפוק ותוסף.</t>
  </si>
  <si>
    <t>על בנזין הנמכר בשירות עצמי אין להוסיף כל סכום. בכפוף לאמור בצו פיקוח על מחירי מצרכים ושירותים (מחירים מרביים בתחנות תדלוק), התשס"ב - 2002, בסעיף 3ג', על בנזין הנמכר בשירות מלא מותר לגבות תוספת בעד שירות מלא וכן תשלום בעד מכירת בנזין בין השעות 20:00 בערב ל- 6:00 בבוקר למחרת בלבד ובימי מנוחה כמשמעותם בסעיף 18א (א) לפקודת סדרי שלטון ומשפט, התש"ח - 1948, וביום העצמאות, כמשמעותו בחוק יום העצמאות, התשי"ט - 1949.</t>
  </si>
  <si>
    <t>מזוט  4000 (3.5%)</t>
  </si>
  <si>
    <t>1. מחיר שער בית זיקוק בדולר לט.מ.:</t>
  </si>
  <si>
    <t xml:space="preserve"> ריכוז מחירים בשער בית זיקוק (ש"ח ו-$) ושינויים במחירים בש"ח</t>
  </si>
  <si>
    <t>ריכוז מחירים בשער בית זיקוק (ש"ח ו-$) ושינויים במחירים בש"ח</t>
  </si>
  <si>
    <t>זפת ה.ב. (210-100)</t>
  </si>
  <si>
    <t>80/100 (PG 68-10)</t>
  </si>
  <si>
    <t>ה.ב (210-100)</t>
  </si>
  <si>
    <t>זפת 80/100 (PG 68 - 10)</t>
  </si>
  <si>
    <t xml:space="preserve">זפת 80/100  </t>
  </si>
  <si>
    <t xml:space="preserve">זפת ה.ב. </t>
  </si>
  <si>
    <t>עלות שער בית זיקוק ותוספות עבור מזוט 4000 3.5% גופרית וזפת לסוגיו.</t>
  </si>
  <si>
    <t>עלות שער בית זיקוק ותוספות עבור מזוט 4000 3.5% לסוגיו וזפת לסוגיו</t>
  </si>
  <si>
    <t>חישוב 0.1% ערך גופרית במזוט לצורך חישוב הביטומן</t>
  </si>
  <si>
    <t>בנזין Prem Unl 10ppm</t>
  </si>
  <si>
    <t>מחיר לצרכן בתחנת הדלק (בנזין 95 אוקטן נט"ע):</t>
  </si>
  <si>
    <t>סולר להסקה Gasoil0.1</t>
  </si>
  <si>
    <t>סולר הסקה gasoil  0.1%</t>
  </si>
  <si>
    <t>*בהתאם להוראת מנהל מינהל הדלק מיום 19 בינואר 2010, חישוב מחירי זפת  (ביטומן 80/100 (PG 68-10) ו- ה.ב (100 - 210) יבוצע על בסיס מחיר מזוט כבד 4000 2.0% גופרית כנהוג עד כה, ועל בסיס מחיר סולר הסקה 0.1% גופרית כשהוא מופחת ב- 7.88$ לטון, על-פי ממוצע ההפרשים בשנת 2009 בין סולר הסקה 0.1% גופרית לבין סולר הסקה 0.2% גופרית.</t>
  </si>
  <si>
    <t xml:space="preserve"> *זפת</t>
  </si>
  <si>
    <t>0.15 קצובת בלו בגין דלף</t>
  </si>
  <si>
    <t>ביטוח:</t>
  </si>
  <si>
    <t>דלף ותוסף</t>
  </si>
  <si>
    <t>קצובת דלף</t>
  </si>
  <si>
    <t>מחיר בנזין 95 נט"ע בתחנות בחודש הקודם</t>
  </si>
  <si>
    <t>% מהמחיר לצרכן בשירות עצמי בחודש הקודם</t>
  </si>
  <si>
    <t>מחיר בנזין 95 נט"ע בתחנות אילת בחודש קודם</t>
  </si>
  <si>
    <t>% מהמחיר לצרכן בשירות עצמי בחודש קודם</t>
  </si>
  <si>
    <t>חישוב מרווח השיווק</t>
  </si>
  <si>
    <t>עדכון סל ההוצאות-</t>
  </si>
  <si>
    <t>עידכון תוספת בעד שירות מלא</t>
  </si>
  <si>
    <t>סל הוצאות והתוספת בעד שירות מלא</t>
  </si>
  <si>
    <t>בכל הארץ</t>
  </si>
  <si>
    <t>בנזין 95 בשירות עצמי</t>
  </si>
  <si>
    <t>תוספת בעד שירות מלא לק"ל</t>
  </si>
  <si>
    <t>תוספת בעד שירות מלא לליטר (בכל הארץ-כולל מע"מ)</t>
  </si>
  <si>
    <t>5 הימים הקובעים:</t>
  </si>
  <si>
    <t>טבלה 11 א</t>
  </si>
  <si>
    <t>טבלה 11 ב</t>
  </si>
  <si>
    <t>מחיר בנזין 95 נטול עופרת, כולל עמלת תדלוק</t>
  </si>
  <si>
    <t>בתחנה כולל תוספת בעד שירות מלא</t>
  </si>
  <si>
    <t>חישוב CIF W MED ב - ₪</t>
  </si>
  <si>
    <t>ריכוז השינויים במחירי שער בית זיקוק ובמחירי CIF W MED ב - $</t>
  </si>
  <si>
    <t>מחירי CIF W MED ותוספות עבור בנזין לסוגיו ומזוט 4000 תקני</t>
  </si>
  <si>
    <t>ריכוז השינויים במחירי CIF W MED  בדולר</t>
  </si>
  <si>
    <t>2. מחירי CIF W MED  בדולר לט.מ.:</t>
  </si>
  <si>
    <t xml:space="preserve">* מחיר "CIF W MED" הינו ממוצע חמשת הימים הקובעים כהגדרתם במתכונת הישנה. הנתונים הנם אינפורמטיביים בלבד ומשמשים לצורך החישוב בלבד. </t>
  </si>
  <si>
    <t>מחיר CIF W MED עם תוספות</t>
  </si>
  <si>
    <t>מינהל הדלק והגז</t>
  </si>
  <si>
    <t>יחידת חיוב</t>
  </si>
  <si>
    <t xml:space="preserve">אחסון תפעולי </t>
  </si>
  <si>
    <t>החכרה</t>
  </si>
  <si>
    <t>ק"ל נפח מכל/חודש</t>
  </si>
  <si>
    <t>שימוש במכלי חוף</t>
  </si>
  <si>
    <t>ניפוק מוצרי נפט לקווים יעודיים</t>
  </si>
  <si>
    <t>"ניפוק מוצרי נפט לקווים יעודיים" - ניפוק מוצרי נפט לצרכנים סופיים המחוברים בצנרת למסוף, לא כולל אחסון תפעולי לפני הניפוק</t>
  </si>
  <si>
    <t>לצרכנים סופיים המחוברים בצנרת למסוף, אחזקת קווים והגנה קטודית</t>
  </si>
  <si>
    <t>הזרמה ומילוי כלי שיט במוצרי נפט או במזוט</t>
  </si>
  <si>
    <t>דלף</t>
  </si>
  <si>
    <t xml:space="preserve">אחוז ממחיר המוצר המשולם פעם אחת בכל הזרמה, ללא קשר לכמות מכלי האחסון ששימשו בפועל במהלך ההזרמה.  </t>
  </si>
  <si>
    <t>% ממחיר המוצר</t>
  </si>
  <si>
    <t>א. מחיר קובע לצורך בקשת העלאת המחירים הראשונה לפי פרק ו' לחוק פיקוח על מצרכים ושירותים, התשנ"ו - 1996 (להלן החוק)</t>
  </si>
  <si>
    <t>ב. מחיר במסופי חברת פי גלילות מסופי נפט וצינורות בע"מ לפי היתר להעלאת תעריף ניפוק בהתאם לפרק ו' לחוק</t>
  </si>
  <si>
    <t>בכל הארץ (כולל מע"מ)-</t>
  </si>
  <si>
    <t>באילת (לא כולל מע"מ)-</t>
  </si>
  <si>
    <t>שקלים חדשים לליטר.</t>
  </si>
  <si>
    <t xml:space="preserve"> (חמ 3-2152 – ה1)</t>
  </si>
  <si>
    <t>מקדם שע"ח</t>
  </si>
  <si>
    <t>קרוסין (נפט)</t>
  </si>
  <si>
    <t>סולר</t>
  </si>
  <si>
    <t>הפחתת 0.0193% מבנזין</t>
  </si>
  <si>
    <t>משרד האנרגיה</t>
  </si>
  <si>
    <t xml:space="preserve">התוספת בעד שירות מלא – ביום העבודה הראשון בחודש מרס וביום העבודה הראשון בחודש ספטמבר (לכל אחד מאלה ייקרא להלן- מועד העדכון) לפי  הנוסחה שלהלן:
תוספת בעד שירות מלא=T0*L/L0.
"T0" -התוספת בעד שירות מלא לאלף ליטרים כערכה במועד העדכון הקודם לפני עיגול הסכום.
</t>
  </si>
  <si>
    <t>עיגולים</t>
  </si>
  <si>
    <t>הסכום  המחושב יעוגל כלפי מעלה לגבי כל סכום שמעל  למחצית האגורה, וכל סכום שעד למחצית האגורה יעוגל כלפי מטה. הסכום מחושב על פי הערך היציג של דולר ארה"ב ביום ביצוע התשלום. פרט זה לא יעודכן כאמור בסעיף 7 לצו, על אף האמור באותו סעיף</t>
  </si>
  <si>
    <t>הזרמת נפט גולמי או שארית אטמוספרית בין מסוף הנפט בקריית חיים לבין בית הזיקוק בחיפה</t>
  </si>
  <si>
    <t>פריקה של נפט גולמי או שארית אטמוספרית במסוף הנפט בקרית חיים</t>
  </si>
  <si>
    <t>מחיר בשקלים חדשים לטונה מטרית (לא כולל בלו)</t>
  </si>
  <si>
    <t>רכיב סל ההוצאות  – ביום העבודה הראשון בחודש מרס וביום העבודה הראשון בחודש ספטמבר לפי הנוסחה שלהלן:</t>
  </si>
  <si>
    <t>A+B+C+D+E</t>
  </si>
  <si>
    <t>לענין נוסחה זו-</t>
  </si>
  <si>
    <r>
      <rPr>
        <b/>
        <sz val="10"/>
        <rFont val="Arial"/>
        <family val="2"/>
      </rPr>
      <t>D</t>
    </r>
    <r>
      <rPr>
        <sz val="10"/>
        <rFont val="Arial"/>
        <family val="2"/>
      </rPr>
      <t>=D</t>
    </r>
    <r>
      <rPr>
        <vertAlign val="subscript"/>
        <sz val="10"/>
        <rFont val="Arial"/>
        <family val="2"/>
      </rPr>
      <t>0</t>
    </r>
    <r>
      <rPr>
        <sz val="10"/>
        <rFont val="Arial"/>
        <family val="2"/>
      </rPr>
      <t>*M/M</t>
    </r>
    <r>
      <rPr>
        <vertAlign val="subscript"/>
        <sz val="10"/>
        <rFont val="Arial"/>
        <family val="2"/>
      </rPr>
      <t>0</t>
    </r>
    <r>
      <rPr>
        <sz val="10"/>
        <rFont val="Arial"/>
        <family val="2"/>
      </rPr>
      <t>*F</t>
    </r>
  </si>
  <si>
    <r>
      <rPr>
        <b/>
        <sz val="10"/>
        <rFont val="Arial"/>
        <family val="2"/>
      </rPr>
      <t>C</t>
    </r>
    <r>
      <rPr>
        <sz val="10"/>
        <rFont val="Arial"/>
        <family val="2"/>
      </rPr>
      <t>=C</t>
    </r>
    <r>
      <rPr>
        <vertAlign val="subscript"/>
        <sz val="10"/>
        <rFont val="Arial"/>
        <family val="2"/>
      </rPr>
      <t>0</t>
    </r>
    <r>
      <rPr>
        <sz val="10"/>
        <rFont val="Arial"/>
        <family val="2"/>
      </rPr>
      <t>*0.89*G/G</t>
    </r>
    <r>
      <rPr>
        <vertAlign val="subscript"/>
        <sz val="10"/>
        <rFont val="Arial"/>
        <family val="2"/>
      </rPr>
      <t>0</t>
    </r>
    <r>
      <rPr>
        <sz val="10"/>
        <rFont val="Arial"/>
        <family val="2"/>
      </rPr>
      <t>*S/S</t>
    </r>
    <r>
      <rPr>
        <vertAlign val="subscript"/>
        <sz val="10"/>
        <rFont val="Arial"/>
        <family val="2"/>
      </rPr>
      <t>0</t>
    </r>
    <r>
      <rPr>
        <sz val="10"/>
        <rFont val="Arial"/>
        <family val="2"/>
      </rPr>
      <t>*F+ C</t>
    </r>
    <r>
      <rPr>
        <vertAlign val="subscript"/>
        <sz val="10"/>
        <rFont val="Arial"/>
        <family val="2"/>
      </rPr>
      <t>0</t>
    </r>
    <r>
      <rPr>
        <sz val="10"/>
        <rFont val="Arial"/>
        <family val="2"/>
      </rPr>
      <t>*0.11*G/G</t>
    </r>
    <r>
      <rPr>
        <vertAlign val="subscript"/>
        <sz val="10"/>
        <rFont val="Arial"/>
        <family val="2"/>
      </rPr>
      <t>0</t>
    </r>
    <r>
      <rPr>
        <sz val="10"/>
        <rFont val="Arial"/>
        <family val="2"/>
      </rPr>
      <t>*F</t>
    </r>
  </si>
  <si>
    <r>
      <rPr>
        <b/>
        <sz val="10"/>
        <rFont val="Arial"/>
        <family val="2"/>
      </rPr>
      <t>B</t>
    </r>
    <r>
      <rPr>
        <sz val="10"/>
        <rFont val="Arial"/>
        <family val="2"/>
      </rPr>
      <t>=B</t>
    </r>
    <r>
      <rPr>
        <vertAlign val="subscript"/>
        <sz val="10"/>
        <rFont val="Arial"/>
        <family val="2"/>
      </rPr>
      <t>0</t>
    </r>
    <r>
      <rPr>
        <sz val="10"/>
        <rFont val="Arial"/>
        <family val="2"/>
      </rPr>
      <t>*N/N</t>
    </r>
    <r>
      <rPr>
        <vertAlign val="subscript"/>
        <sz val="10"/>
        <rFont val="Arial"/>
        <family val="2"/>
      </rPr>
      <t>0</t>
    </r>
    <r>
      <rPr>
        <sz val="10"/>
        <rFont val="Arial"/>
        <family val="2"/>
      </rPr>
      <t>*F</t>
    </r>
  </si>
  <si>
    <r>
      <rPr>
        <b/>
        <sz val="10"/>
        <rFont val="Arial"/>
        <family val="2"/>
      </rPr>
      <t>A</t>
    </r>
    <r>
      <rPr>
        <sz val="10"/>
        <rFont val="Arial"/>
        <family val="2"/>
      </rPr>
      <t>=A</t>
    </r>
    <r>
      <rPr>
        <vertAlign val="subscript"/>
        <sz val="10"/>
        <rFont val="Arial"/>
        <family val="2"/>
      </rPr>
      <t>0</t>
    </r>
    <r>
      <rPr>
        <sz val="10"/>
        <rFont val="Arial"/>
        <family val="2"/>
      </rPr>
      <t>*L/L</t>
    </r>
    <r>
      <rPr>
        <vertAlign val="subscript"/>
        <sz val="10"/>
        <rFont val="Arial"/>
        <family val="2"/>
      </rPr>
      <t>0</t>
    </r>
    <r>
      <rPr>
        <sz val="10"/>
        <rFont val="Arial"/>
        <family val="2"/>
      </rPr>
      <t xml:space="preserve">*F </t>
    </r>
  </si>
  <si>
    <r>
      <rPr>
        <b/>
        <sz val="10"/>
        <rFont val="Arial"/>
        <family val="2"/>
      </rPr>
      <t>E</t>
    </r>
    <r>
      <rPr>
        <sz val="10"/>
        <rFont val="Arial"/>
        <family val="2"/>
      </rPr>
      <t>=E</t>
    </r>
    <r>
      <rPr>
        <vertAlign val="subscript"/>
        <sz val="10"/>
        <rFont val="Arial"/>
        <family val="2"/>
      </rPr>
      <t>0</t>
    </r>
    <r>
      <rPr>
        <sz val="10"/>
        <rFont val="Arial"/>
        <family val="2"/>
      </rPr>
      <t>*F</t>
    </r>
  </si>
  <si>
    <t xml:space="preserve">F= מקדם התייעלות שערכו בעדכון שנערך במרס הוא 1 ובעדכון שנערך בספטמבר ערכו 0.9961; </t>
  </si>
  <si>
    <t>G= ממוצע מחירי בנזין 95 אוקטן בשירות עצמי לפי צו זה בששת החודשים שקדמו למועד העדכון;</t>
  </si>
  <si>
    <t>L= שכר המינימום כמשמעותו בחוק שכר מינימום התשמ"ז-1987  , הידוע ביום החמישה עשר בחודש שקדם למועד העדכון;</t>
  </si>
  <si>
    <t>M= מדד המחירים לצרכן הידוע ערב מועד העדכון.</t>
  </si>
  <si>
    <t>N= הממוצע החצי שנתי של מדד השכר החודשי, לעניין זה – 
הממוצע החצי שנתי בעדכון מרס הוא ממוצע המדדים בחודשים יוני עד נובמבר בשנה הקודמת ובעדכון ספטמבר- ממוצע המדדים בחודשים דצמבר בשנה הקודמת עד מאי בשנה נוכחית.
"מדד השכר החודשי" - המדד המפורסם בלוח 1.14.- שכר חודשי ממוצע למשרת שכיר, מדדים במחירים שוטפים, לפי ענף כלכלי ראשי בשורה "סך כולל"</t>
  </si>
  <si>
    <t>0.7% =S
.ואם נקבעה עמלה צולבת בידי בנק ישראל, או גורם אחר שיוסמך לכך על פי דין - שיעור העמלה הצולבת ביום החמישה עשר בחודש שקדם למועד העדכון</t>
  </si>
  <si>
    <t>חישוב:</t>
  </si>
  <si>
    <t>A</t>
  </si>
  <si>
    <t>B</t>
  </si>
  <si>
    <t>C</t>
  </si>
  <si>
    <t>D</t>
  </si>
  <si>
    <t>E</t>
  </si>
  <si>
    <t>G</t>
  </si>
  <si>
    <t>L</t>
  </si>
  <si>
    <t>M</t>
  </si>
  <si>
    <t>N</t>
  </si>
  <si>
    <t>S</t>
  </si>
  <si>
    <t>F</t>
  </si>
  <si>
    <t>אחסון נפט גולמי או שארית אטמוספרית במסוף הנפט בקריית חיים</t>
  </si>
  <si>
    <t>עדכון נוכחי</t>
  </si>
  <si>
    <t>עדכון קודם</t>
  </si>
  <si>
    <t>8א(א)</t>
  </si>
  <si>
    <t>הקמת קו גיבוי סולר- תעריף ההקמה הבסיסי</t>
  </si>
  <si>
    <t>שנה</t>
  </si>
  <si>
    <t>מחיר מרבי לגפ"מ בשער בית זיקוק:</t>
  </si>
  <si>
    <t>על המחיר שבית זיקוק מוכר בו גפ"ם, חל פיקוח לפי פרק ז' לחוק.</t>
  </si>
  <si>
    <r>
      <t xml:space="preserve">אם התברר כי בית זיקוק מכר גפ"ם במחיר העולה על </t>
    </r>
    <r>
      <rPr>
        <b/>
        <sz val="12"/>
        <rFont val="David"/>
        <family val="2"/>
      </rPr>
      <t xml:space="preserve">מחיר היבוא </t>
    </r>
    <r>
      <rPr>
        <sz val="12"/>
        <rFont val="David"/>
        <family val="2"/>
        <charset val="177"/>
      </rPr>
      <t>בחודש הקודם לחודש שבו בוצעה המכירה, או כי בית זיקוק סיפק גפ"ם לצרכנים שונים במחיר שונה באותו מועד, יחול פיקוח לפי פרק ו' לחוק על המחיר שבו מוכר אותו בית זיקוק גפ"ם והוא יקבע על פי ה</t>
    </r>
    <r>
      <rPr>
        <b/>
        <sz val="12"/>
        <rFont val="David"/>
        <family val="2"/>
      </rPr>
      <t>מחיר הקובע</t>
    </r>
    <r>
      <rPr>
        <sz val="12"/>
        <rFont val="David"/>
        <family val="2"/>
        <charset val="177"/>
      </rPr>
      <t>.</t>
    </r>
  </si>
  <si>
    <t>מחיר קובע לגפ"מ</t>
  </si>
  <si>
    <t>מחיר ייבוא גפ"מ</t>
  </si>
  <si>
    <t>מחיר קובע ומחיר יבוא גפ"מ לפי צו פיקוח על מחירי מצרכים ושירותים (מחיר מרבי לגפ"מ בשער בית זיקוק), התש"ס-2000</t>
  </si>
  <si>
    <t xml:space="preserve">   FOB w med ex-ref/stor</t>
  </si>
  <si>
    <t>בוטאן</t>
  </si>
  <si>
    <t>פרופאן</t>
  </si>
  <si>
    <t>ממוצע 5 ימי ציטוט</t>
  </si>
  <si>
    <t>מחיר קודם</t>
  </si>
  <si>
    <t>מחיר נוכחי</t>
  </si>
  <si>
    <t>חורף</t>
  </si>
  <si>
    <t>מחיר קובע ב-$ לטון</t>
  </si>
  <si>
    <t>קיץ</t>
  </si>
  <si>
    <t>מחיר קובע ב-₪ לטון</t>
  </si>
  <si>
    <t>מחיר ייבוא ב-$ לטון</t>
  </si>
  <si>
    <t>מחיר ייבוא ב-₪ לטון</t>
  </si>
  <si>
    <t>מרכיב הגפ"מ באחוזים:</t>
  </si>
  <si>
    <t>נוסחת קיץ: אפריל - אוקטובר</t>
  </si>
  <si>
    <t>נוסחת חורף: נובמבר - מרץ</t>
  </si>
  <si>
    <t>מחיר חודש קודם</t>
  </si>
  <si>
    <t>מחיר קובע ומחיר יבוא גפ"מ</t>
  </si>
  <si>
    <t>8א(ב)</t>
  </si>
  <si>
    <t>בעד כל מקטע שהושלמה הקמתו, בסכום התוספת המעודכן כולל שיעור ההעלאה שהתיר המפקח לפי פרק ו' לחוק</t>
  </si>
  <si>
    <t>לפי צו פיקוח על מחירי מצרכים ושירותים (מחירים מרביים בתחנות תדלוק), התשס"ב-2002 , לפי צו פיקוח על מחירי מצרכים ושירותים (מחירים מרביים למוצרי נפט בשער בית זיקוק), התשנ"ג-1992, ולפי צו פיקוח על מחירי מצרכים ושירותים (מחיר מרבי לגפ"ם בשער בית זיקוק), התש"ס-2000</t>
  </si>
  <si>
    <t>בת שבע אבוחצירה</t>
  </si>
  <si>
    <t>מנהלת מינהל הדלק והגז</t>
  </si>
  <si>
    <t>מזוט דל גופרית</t>
  </si>
  <si>
    <t>מזוט אחר</t>
  </si>
  <si>
    <t>הולכת מוצרי דלק ומזוט בקווים יעודיים, כשהצנרת איננה בבעלות הצרכן, וההשקעה הראשונית בוצעה על ידי תש"א</t>
  </si>
  <si>
    <t>8(א)</t>
  </si>
  <si>
    <t>אחזקת קווים יעודיים- כשהצנרת בבעלות הצרכן</t>
  </si>
  <si>
    <t>8(ב)</t>
  </si>
  <si>
    <t>אחזקת קווים יעודיים-כשהצנרת בבעלות תש"א, והקוויים אינם כלולים בפרט 7</t>
  </si>
  <si>
    <t>כולל אחזקת קווים והגנה קטודית</t>
  </si>
  <si>
    <t>בעד מקטע שהושלמה הקמתו, ועל פי חלקו היחסי של המקטע</t>
  </si>
  <si>
    <t xml:space="preserve">הזרמה, למעט בקווים שאורכם אינו עולה על 2 קילומטרים, מנקודת המוצא אל היעד הסופי שהורה עליו הצרכן, כולל כל השאיבה והשימוש בצנרת הנדרשים לביצוע ההזרמה (לא כולל ניפוק והולכה בקווים יעודיים);
</t>
  </si>
  <si>
    <t>9(א)</t>
  </si>
  <si>
    <t>9(ב)</t>
  </si>
  <si>
    <t>9(ג)</t>
  </si>
  <si>
    <t>הזרמה של בית זיקוק לנפט בע"מ (לההלן בז"ן) מבית הזיקוק בחיפה לקו 12</t>
  </si>
  <si>
    <t>80 אחוזים מן התעריף של פרט משנה (א)</t>
  </si>
  <si>
    <t>שאיבת מוצרי נפט, למעט שאיבה מבית זיקוק</t>
  </si>
  <si>
    <t>נמחק</t>
  </si>
  <si>
    <t>פריקה או טעינה של מוצרי נפט בנמל הדלק בחיפה</t>
  </si>
  <si>
    <t>תעריפי תשתית בפיקוח לפי צו פיקוח על מחירי מצרכים ושירותים (תעריפי תשתית במשק הדלק), התשע"ד - 2014
תעריפים המופיעים בתוספת הראשונה בצו
(בפיקוח לפי פרק ה' לחוק פיקוח על מצרכים ושירותים, התשנ"ו - 1996)</t>
  </si>
  <si>
    <r>
      <t>הקמת קו גיבוי סולר - תוספת לתעריף ההקמה הבסיסי</t>
    </r>
    <r>
      <rPr>
        <vertAlign val="superscript"/>
        <sz val="10"/>
        <color indexed="8"/>
        <rFont val="Arial"/>
        <family val="2"/>
      </rPr>
      <t>(1)</t>
    </r>
  </si>
  <si>
    <r>
      <t>הזרמה בקו חיפה אשדוד ובקו אלרואי-אשדוד</t>
    </r>
    <r>
      <rPr>
        <vertAlign val="superscript"/>
        <sz val="10"/>
        <color indexed="8"/>
        <rFont val="Arial"/>
        <family val="2"/>
      </rPr>
      <t>(2)</t>
    </r>
  </si>
  <si>
    <r>
      <t>רכיב קבוע</t>
    </r>
    <r>
      <rPr>
        <vertAlign val="superscript"/>
        <sz val="10"/>
        <color indexed="8"/>
        <rFont val="Arial"/>
        <family val="2"/>
      </rPr>
      <t>(3)</t>
    </r>
  </si>
  <si>
    <r>
      <t>רכיב משתנה</t>
    </r>
    <r>
      <rPr>
        <vertAlign val="superscript"/>
        <sz val="10"/>
        <color indexed="8"/>
        <rFont val="Arial"/>
        <family val="2"/>
      </rPr>
      <t>(4)</t>
    </r>
  </si>
  <si>
    <r>
      <t>הזרמה בכל שאר הקווים</t>
    </r>
    <r>
      <rPr>
        <vertAlign val="superscript"/>
        <sz val="10"/>
        <color indexed="8"/>
        <rFont val="Arial"/>
        <family val="2"/>
      </rPr>
      <t>(2)</t>
    </r>
  </si>
  <si>
    <r>
      <t>1.</t>
    </r>
    <r>
      <rPr>
        <sz val="10"/>
        <color indexed="8"/>
        <rFont val="Arial"/>
        <family val="2"/>
      </rPr>
      <t>      בנזין</t>
    </r>
  </si>
  <si>
    <r>
      <t>2.</t>
    </r>
    <r>
      <rPr>
        <sz val="10"/>
        <color indexed="8"/>
        <rFont val="Arial"/>
        <family val="2"/>
      </rPr>
      <t>      סולר</t>
    </r>
  </si>
  <si>
    <r>
      <t>3.</t>
    </r>
    <r>
      <rPr>
        <sz val="10"/>
        <color indexed="8"/>
        <rFont val="Arial"/>
        <family val="2"/>
      </rPr>
      <t>      דס"ל</t>
    </r>
  </si>
  <si>
    <r>
      <t>(1)</t>
    </r>
    <r>
      <rPr>
        <sz val="10"/>
        <rFont val="Arial"/>
        <family val="2"/>
      </rPr>
      <t>תחת פרט 8א(ב) יפורטו מקטעים שהמפקח נתן לגביהם היתר כאמור בסעיף 6א(ב) להעלאת מחיר לתוספת לתעריף ההקמה הבסיסי, בפירוט מספר המקטע שניתן לגביו היתר כאמור, סכום התוספת המעודכן לאחר מתן ההיתר ומועד התשלום הראשון.</t>
    </r>
  </si>
  <si>
    <r>
      <t>(2)</t>
    </r>
    <r>
      <rPr>
        <sz val="10"/>
        <rFont val="Arial"/>
        <family val="2"/>
      </rPr>
      <t>תעריף ההזרמה בקו 12 מבית הזיקוק בחיפה לאלרואי  אינו כולל עלות נוספת של שאיבת מוצרי נפט, שבז"ן רשאי לגבות; תעריף ההזרמה ביציאה מבית זיקוק אשדוד בע"מ אינו כולל עלות שאיבת מוצרי נפט מבית הזיקוק באשדוד, שבית זיקוק אשדוד בע"מ רשאי לגבות.</t>
    </r>
  </si>
  <si>
    <r>
      <t>(3)</t>
    </r>
    <r>
      <rPr>
        <sz val="10"/>
        <rFont val="Arial"/>
        <family val="2"/>
      </rPr>
      <t xml:space="preserve"> רכיב קבוע לקילו ליטר; משולם פעם אחת בעבור כל קילו ליטר; משולם  לתש"א, למעט במקרים שבהם כל תהליך ההזרמה (שאיבה ושימוש בצנרת), מבוצע על ידי בז"ן, ובהם ישולם התשלום הקבוע לבז"ן.</t>
    </r>
  </si>
  <si>
    <r>
      <t xml:space="preserve">(4) </t>
    </r>
    <r>
      <rPr>
        <sz val="10"/>
        <rFont val="Arial"/>
        <family val="2"/>
      </rPr>
      <t>רכיב משתנה; משולם לפי אורך ההזרמה בקילומטרים.</t>
    </r>
  </si>
  <si>
    <t>תעריפים בפיקוח לפי צו פיקוח על מחירי מצרכים ושירותים (תעריפי תשתית במשק הדלק), התשע"ד - 2014 
(בפיקוח לפי פרק ו' לחוק פיקוח על מצרכים ושירותים, התשנ"ו - 1996)</t>
  </si>
  <si>
    <t>ניפוק מוצרי נפט</t>
  </si>
  <si>
    <t>הזרמה מבתי זיקוק בחיפה או מנמל הדלק בחיפה למיתקני הניפוק של חברות שיווק דלק בצפון</t>
  </si>
  <si>
    <t>פריקה או טעינה של מוצרי נפט שאינה בנמל הדלק בחיפה</t>
  </si>
  <si>
    <t>תעריפי ניפוק גפ"מ לפי צו פיקוח על מחירי מצרכים ושירותים (מחירי ניפוק גפ"מ), התשנ"ט - 1999</t>
  </si>
  <si>
    <t>התעריף כולל אחסון תפעולי ופעולות שאיבה והזרמה הכרוכים בשרות</t>
  </si>
  <si>
    <t>א. מחיר לליטר בתחנה (כולל 18% מע"מ)</t>
  </si>
  <si>
    <t>מזוט קל בעל תכולת גופרית של 1%</t>
  </si>
  <si>
    <t>מזוט כבד בעל תכולת גופרית של 1%</t>
  </si>
  <si>
    <t>מזוט קל בעל תכולת גופרית של 0.5%</t>
  </si>
  <si>
    <t>מזוט כבד בעל תכולת גופרית של 0.5%</t>
  </si>
  <si>
    <t>מזוט 0.5 אחוז גפרית</t>
  </si>
  <si>
    <t>מזוט על כבד 3.5%</t>
  </si>
  <si>
    <r>
      <t>*</t>
    </r>
    <r>
      <rPr>
        <sz val="10"/>
        <rFont val="Arial (Hebrew)"/>
        <family val="2"/>
        <charset val="177"/>
      </rPr>
      <t>נוסחת ההפחתה והתוספת מפורסמת לצורך הבהרת אופן חישוב</t>
    </r>
    <r>
      <rPr>
        <sz val="10"/>
        <rFont val="Arial (Hebrew)"/>
        <family val="2"/>
        <charset val="177"/>
      </rPr>
      <t xml:space="preserve"> המחירים בפיקוח בלבד.</t>
    </r>
  </si>
  <si>
    <r>
      <t>בתוקף סמכותי לפי סעיף 4(ד) לצו פיקוח על מחירי מצרכים ושירותים (מחירים מרביים בתחנות תדלוק), התשס"ב-</t>
    </r>
    <r>
      <rPr>
        <b/>
        <vertAlign val="superscript"/>
        <sz val="11"/>
        <color indexed="8"/>
        <rFont val="Arial (Hebrew)"/>
        <charset val="177"/>
      </rPr>
      <t>1</t>
    </r>
    <r>
      <rPr>
        <b/>
        <sz val="11"/>
        <color indexed="8"/>
        <rFont val="Arial (Hebrew)"/>
        <family val="2"/>
        <charset val="177"/>
      </rPr>
      <t xml:space="preserve">2002 (להלן – צו תחנות תדלוק), לפי סעיף 2 לצו פיקוח על מחירי מצרכים ושירותים (מחירים מרביים למוצרי נפט בשער בית זיקוק), התשנ"ג-1992 </t>
    </r>
    <r>
      <rPr>
        <b/>
        <vertAlign val="superscript"/>
        <sz val="11"/>
        <color indexed="8"/>
        <rFont val="Arial (Hebrew)"/>
        <charset val="177"/>
      </rPr>
      <t>2</t>
    </r>
    <r>
      <rPr>
        <b/>
        <sz val="11"/>
        <color indexed="8"/>
        <rFont val="Arial (Hebrew)"/>
        <family val="2"/>
        <charset val="177"/>
      </rPr>
      <t xml:space="preserve"> (להלן – צו מוצרי נפט), ולפי סעיף 4 לצו פיקוח על מחירי מצרכים ושירותים (מחיר מרבי לגפ"ם בשער בית זיקוק), התש"ס- 2000 </t>
    </r>
    <r>
      <rPr>
        <b/>
        <vertAlign val="superscript"/>
        <sz val="11"/>
        <rFont val="Arial (Hebrew)"/>
        <charset val="177"/>
      </rPr>
      <t>3</t>
    </r>
    <r>
      <rPr>
        <b/>
        <sz val="11"/>
        <color indexed="8"/>
        <rFont val="Arial (Hebrew)"/>
        <family val="2"/>
        <charset val="177"/>
      </rPr>
      <t xml:space="preserve"> (להלן-צו מחירי גפ"ם)</t>
    </r>
  </si>
  <si>
    <t>1. מחירים מרביים של בנזין בתחנות תדלוק כאמור בצו תחנות תדלוק:</t>
  </si>
  <si>
    <t>2.מחירים מרביים למוצרי נפט בשער בית זיקוק כאמור בצו מוצרי נפט:</t>
  </si>
  <si>
    <t>3.המחיר הקובע ומחיר ייבוא לגפ"מ כאמור בצו מחירי גפ"מ:</t>
  </si>
  <si>
    <t>מחירי CIF W MED ותוספות עבור בנזין 95 נט"ע.</t>
  </si>
  <si>
    <t>מחיר CIF W MED* לאחר הכפלה במקדם שער חליפין</t>
  </si>
  <si>
    <t>י"ז באלול התשפ"ו</t>
  </si>
  <si>
    <t>30 באוגוסט 2026</t>
  </si>
  <si>
    <t>מחירי מוצרי דלק ליום 01.09.2026</t>
  </si>
  <si>
    <r>
      <t xml:space="preserve">מחירים מרביים למוצרי נפט בשער בית זיקוק </t>
    </r>
    <r>
      <rPr>
        <b/>
        <sz val="12"/>
        <rFont val="David"/>
        <family val="2"/>
        <charset val="177"/>
      </rPr>
      <t>יכנסו לתוקף החל מחצות ביום 1/9/2026</t>
    </r>
    <r>
      <rPr>
        <sz val="12"/>
        <rFont val="David"/>
        <family val="2"/>
        <charset val="177"/>
      </rPr>
      <t>.</t>
    </r>
  </si>
  <si>
    <r>
      <t xml:space="preserve">מחיר קובע ומחיר יבוא לגפ"מ </t>
    </r>
    <r>
      <rPr>
        <b/>
        <sz val="12"/>
        <rFont val="David"/>
        <family val="2"/>
      </rPr>
      <t>יכנסו לתוקף החל מחצות ביום 1/9/2026.</t>
    </r>
  </si>
  <si>
    <t>מחירים מרביים למוצרי נפט בתחנה (מחיר לצרכן), (בנזין 95 אוקטן נט"ע) יכנס לתוקף החל מחצות ביום 1/9/2026.</t>
  </si>
  <si>
    <t>אני מודיעה כי מיום י"ט באלול התשפ"ו (1 בספטמבר 2026) המחירים המרביים הם כמפורט להלן:</t>
  </si>
  <si>
    <t>(30 באוגוסט 2026)</t>
  </si>
  <si>
    <t>1 ק"ת התשס"ב, עמ' 909;  י"פ התשפ"ו, עמ' 8687.</t>
  </si>
  <si>
    <t>2 ק"ת התשנ"ג, עמ' 262;  י"פ התשפ"ו, עמ' 8687.</t>
  </si>
  <si>
    <t>3 ק"ת התש"ס, עמ' 354;  התשפ"ו, עמ' 8687.</t>
  </si>
  <si>
    <t>-</t>
  </si>
  <si>
    <t>התעריף שמשלמת תש"א לבעל הקו עבור הזרמה בקו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</si>
</sst>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2" formatCode="_ &quot;₪&quot;\ * #,##0_ ;_ &quot;₪&quot;\ * \-#,##0_ ;_ &quot;₪&quot;\ * &quot;-&quot;_ ;_ @_ "/>
    <numFmt numFmtId="44" formatCode="_ &quot;₪&quot;\ * #,##0.00_ ;_ &quot;₪&quot;\ * \-#,##0.00_ ;_ &quot;₪&quot;\ * &quot;-&quot;??_ ;_ @_ "/>
    <numFmt numFmtId="43" formatCode="_ * #,##0.00_ ;_ * \-#,##0.00_ ;_ * &quot;-&quot;??_ ;_ @_ "/>
    <numFmt numFmtId="164" formatCode="[$-1010000]d/m/yyyy;@"/>
    <numFmt numFmtId="165" formatCode="#,##0.00_);\(#,##0.00\)"/>
    <numFmt numFmtId="166" formatCode="#,##0.0000_);\(#,##0.0000\)"/>
    <numFmt numFmtId="167" formatCode="0.0000"/>
    <numFmt numFmtId="168" formatCode="0.000"/>
    <numFmt numFmtId="169" formatCode="General_)"/>
    <numFmt numFmtId="170" formatCode="0.0000_)"/>
    <numFmt numFmtId="171" formatCode="0.00_)"/>
    <numFmt numFmtId="172" formatCode="_ * #,##0.000_ ;_ * \-#,##0.000_ ;_ * &quot;-&quot;??_ ;_ @_ "/>
    <numFmt numFmtId="173" formatCode="0.000%"/>
    <numFmt numFmtId="174" formatCode="0.0000%"/>
    <numFmt numFmtId="175" formatCode="&quot;₪&quot;#,##0.00_);\(&quot;₪&quot;#,##0.00\)"/>
    <numFmt numFmtId="176" formatCode="#,##0.00;\(#,##0.00\)"/>
    <numFmt numFmtId="177" formatCode="[$-F800]dddd\,\ dd\ mmmm\,\ yyyy"/>
    <numFmt numFmtId="178" formatCode="\$#,##0.00"/>
    <numFmt numFmtId="179" formatCode="&quot;₪&quot;\ #,##0.00"/>
    <numFmt numFmtId="180" formatCode="0.00000"/>
    <numFmt numFmtId="181" formatCode="_ * #,##0.0000_ ;_ * \-#,##0.0000_ ;_ * &quot;-&quot;??_ ;_ @_ "/>
    <numFmt numFmtId="182" formatCode="_ * #,##0.00_ ;_ * \-#,##0.00_ ;_ * &quot;-&quot;_ ;_ @_ "/>
    <numFmt numFmtId="183" formatCode="#,##0.00_ ;\-#,##0.00\ "/>
    <numFmt numFmtId="184" formatCode="0.0%"/>
    <numFmt numFmtId="185" formatCode="_ * #,##0_ ;_ * \-#,##0_ ;_ * &quot;-&quot;??_ ;_ @_ "/>
    <numFmt numFmtId="186" formatCode="_ * #,##0.000000_ ;_ * \-#,##0.000000_ ;_ * &quot;-&quot;??_ ;_ @_ "/>
    <numFmt numFmtId="187" formatCode="#,##0.000"/>
  </numFmts>
  <fonts count="92">
    <font>
      <sz val="10"/>
      <name val="Arial"/>
      <charset val="177"/>
    </font>
    <font>
      <sz val="10"/>
      <name val="Arial"/>
      <charset val="177"/>
    </font>
    <font>
      <sz val="10"/>
      <name val="Arial (Hebrew)"/>
      <family val="2"/>
      <charset val="177"/>
    </font>
    <font>
      <b/>
      <sz val="12"/>
      <color indexed="18"/>
      <name val="Arial (Hebrew)"/>
      <family val="2"/>
      <charset val="177"/>
    </font>
    <font>
      <b/>
      <sz val="11"/>
      <color indexed="18"/>
      <name val="Arial (Hebrew)"/>
      <family val="2"/>
      <charset val="177"/>
    </font>
    <font>
      <b/>
      <u/>
      <sz val="10"/>
      <name val="Arial (Hebrew)"/>
      <family val="2"/>
      <charset val="177"/>
    </font>
    <font>
      <b/>
      <sz val="10"/>
      <name val="Arial (Hebrew)"/>
      <family val="2"/>
      <charset val="177"/>
    </font>
    <font>
      <u/>
      <sz val="12"/>
      <color indexed="12"/>
      <name val="Courier"/>
      <family val="3"/>
      <charset val="177"/>
    </font>
    <font>
      <sz val="12"/>
      <name val="Arial (Hebrew)"/>
      <family val="2"/>
      <charset val="177"/>
    </font>
    <font>
      <sz val="12"/>
      <name val="David"/>
      <family val="2"/>
      <charset val="177"/>
    </font>
    <font>
      <sz val="10"/>
      <name val="Courier"/>
      <family val="3"/>
      <charset val="177"/>
    </font>
    <font>
      <sz val="10"/>
      <name val="David"/>
      <family val="2"/>
      <charset val="177"/>
    </font>
    <font>
      <sz val="12"/>
      <name val="Courier"/>
      <family val="3"/>
      <charset val="177"/>
    </font>
    <font>
      <b/>
      <sz val="12"/>
      <name val="Arial (Hebrew)"/>
      <family val="2"/>
      <charset val="177"/>
    </font>
    <font>
      <b/>
      <sz val="12"/>
      <name val="David"/>
      <family val="2"/>
      <charset val="177"/>
    </font>
    <font>
      <b/>
      <u/>
      <sz val="22"/>
      <name val="David"/>
      <family val="2"/>
      <charset val="177"/>
    </font>
    <font>
      <b/>
      <u/>
      <sz val="14"/>
      <name val="David"/>
      <family val="2"/>
      <charset val="177"/>
    </font>
    <font>
      <b/>
      <sz val="13"/>
      <name val="David"/>
      <family val="2"/>
      <charset val="177"/>
    </font>
    <font>
      <sz val="10"/>
      <color indexed="10"/>
      <name val="Arial (Hebrew)"/>
      <family val="2"/>
      <charset val="177"/>
    </font>
    <font>
      <b/>
      <sz val="10"/>
      <color indexed="10"/>
      <name val="Arial (Hebrew)"/>
      <family val="2"/>
      <charset val="177"/>
    </font>
    <font>
      <b/>
      <sz val="10"/>
      <color indexed="18"/>
      <name val="Arial (Hebrew)"/>
      <family val="2"/>
      <charset val="177"/>
    </font>
    <font>
      <u/>
      <sz val="10"/>
      <color indexed="12"/>
      <name val="Arial (Hebrew)"/>
      <family val="2"/>
      <charset val="177"/>
    </font>
    <font>
      <b/>
      <u/>
      <sz val="12"/>
      <color indexed="62"/>
      <name val="Arial (Hebrew)"/>
      <family val="2"/>
      <charset val="177"/>
    </font>
    <font>
      <u/>
      <sz val="12"/>
      <color indexed="12"/>
      <name val="Arial (Hebrew)"/>
      <family val="2"/>
      <charset val="177"/>
    </font>
    <font>
      <sz val="10"/>
      <color indexed="8"/>
      <name val="Arial (Hebrew)"/>
      <family val="2"/>
      <charset val="177"/>
    </font>
    <font>
      <b/>
      <sz val="10"/>
      <color indexed="8"/>
      <name val="Arial (Hebrew)"/>
      <family val="2"/>
      <charset val="177"/>
    </font>
    <font>
      <sz val="12"/>
      <color indexed="8"/>
      <name val="Arial (Hebrew)"/>
      <family val="2"/>
      <charset val="177"/>
    </font>
    <font>
      <sz val="6"/>
      <color indexed="8"/>
      <name val="Arial (Hebrew)"/>
      <family val="2"/>
      <charset val="177"/>
    </font>
    <font>
      <b/>
      <sz val="14"/>
      <color indexed="18"/>
      <name val="Arial (Hebrew)"/>
      <family val="2"/>
      <charset val="177"/>
    </font>
    <font>
      <sz val="12"/>
      <color indexed="18"/>
      <name val="Arial (Hebrew)"/>
      <family val="2"/>
      <charset val="177"/>
    </font>
    <font>
      <sz val="10"/>
      <color indexed="12"/>
      <name val="Arial (Hebrew)"/>
      <family val="2"/>
      <charset val="177"/>
    </font>
    <font>
      <sz val="11"/>
      <name val="Arial (Hebrew)"/>
      <family val="2"/>
      <charset val="177"/>
    </font>
    <font>
      <b/>
      <sz val="11"/>
      <name val="Arial (Hebrew)"/>
      <family val="2"/>
      <charset val="177"/>
    </font>
    <font>
      <u/>
      <sz val="11"/>
      <name val="Arial (Hebrew)"/>
      <family val="2"/>
      <charset val="177"/>
    </font>
    <font>
      <sz val="11"/>
      <color indexed="63"/>
      <name val="Arial (Hebrew)"/>
      <family val="2"/>
      <charset val="177"/>
    </font>
    <font>
      <sz val="10"/>
      <color indexed="18"/>
      <name val="Arial (Hebrew)"/>
      <family val="2"/>
      <charset val="177"/>
    </font>
    <font>
      <b/>
      <u/>
      <sz val="11"/>
      <name val="Arial (Hebrew)"/>
      <family val="2"/>
      <charset val="177"/>
    </font>
    <font>
      <b/>
      <sz val="11"/>
      <color indexed="10"/>
      <name val="Arial (Hebrew)"/>
      <family val="2"/>
      <charset val="177"/>
    </font>
    <font>
      <sz val="11"/>
      <color indexed="10"/>
      <name val="Arial (Hebrew)"/>
      <family val="2"/>
      <charset val="177"/>
    </font>
    <font>
      <b/>
      <sz val="9"/>
      <name val="Arial (Hebrew)"/>
      <family val="2"/>
      <charset val="177"/>
    </font>
    <font>
      <sz val="12"/>
      <color indexed="10"/>
      <name val="Arial (Hebrew)"/>
      <family val="2"/>
      <charset val="177"/>
    </font>
    <font>
      <sz val="9"/>
      <name val="Arial (Hebrew)"/>
      <family val="2"/>
      <charset val="177"/>
    </font>
    <font>
      <b/>
      <sz val="10"/>
      <color indexed="62"/>
      <name val="Arial (Hebrew)"/>
      <family val="2"/>
      <charset val="177"/>
    </font>
    <font>
      <b/>
      <u/>
      <sz val="10"/>
      <color indexed="63"/>
      <name val="Arial (Hebrew)"/>
      <family val="2"/>
      <charset val="177"/>
    </font>
    <font>
      <b/>
      <sz val="10"/>
      <color indexed="63"/>
      <name val="Arial (Hebrew)"/>
      <family val="2"/>
      <charset val="177"/>
    </font>
    <font>
      <sz val="10"/>
      <color indexed="62"/>
      <name val="Arial (Hebrew)"/>
      <family val="2"/>
      <charset val="177"/>
    </font>
    <font>
      <b/>
      <sz val="10"/>
      <name val="Arial (Hebrew)"/>
      <charset val="177"/>
    </font>
    <font>
      <b/>
      <sz val="9"/>
      <color indexed="8"/>
      <name val="Arial (Hebrew)"/>
      <charset val="177"/>
    </font>
    <font>
      <b/>
      <sz val="10"/>
      <color indexed="8"/>
      <name val="Arial (Hebrew)"/>
      <charset val="177"/>
    </font>
    <font>
      <b/>
      <sz val="9"/>
      <name val="Arial (Hebrew)"/>
      <charset val="177"/>
    </font>
    <font>
      <sz val="10"/>
      <name val="Arial"/>
      <family val="2"/>
    </font>
    <font>
      <b/>
      <u/>
      <sz val="10"/>
      <color indexed="18"/>
      <name val="Arial (Hebrew)"/>
      <family val="2"/>
      <charset val="177"/>
    </font>
    <font>
      <sz val="10"/>
      <name val="Arial (Hebrew)"/>
      <charset val="177"/>
    </font>
    <font>
      <sz val="10"/>
      <name val="Times New Roman"/>
      <family val="1"/>
    </font>
    <font>
      <vertAlign val="subscript"/>
      <sz val="10"/>
      <name val="Arial"/>
      <family val="2"/>
    </font>
    <font>
      <b/>
      <sz val="11"/>
      <color indexed="8"/>
      <name val="Arial (Hebrew)"/>
      <family val="2"/>
      <charset val="177"/>
    </font>
    <font>
      <b/>
      <sz val="10"/>
      <name val="Arial"/>
      <family val="2"/>
    </font>
    <font>
      <vertAlign val="superscript"/>
      <sz val="9"/>
      <name val="Arial"/>
      <family val="2"/>
    </font>
    <font>
      <b/>
      <vertAlign val="superscript"/>
      <sz val="11"/>
      <color indexed="8"/>
      <name val="Arial (Hebrew)"/>
      <charset val="177"/>
    </font>
    <font>
      <sz val="11"/>
      <color indexed="8"/>
      <name val="Arial (Hebrew)"/>
      <family val="2"/>
      <charset val="177"/>
    </font>
    <font>
      <b/>
      <u/>
      <sz val="11"/>
      <color indexed="8"/>
      <name val="Arial (Hebrew)"/>
      <family val="2"/>
      <charset val="177"/>
    </font>
    <font>
      <sz val="11"/>
      <name val="Arial"/>
      <family val="2"/>
    </font>
    <font>
      <u/>
      <sz val="11"/>
      <color indexed="8"/>
      <name val="Arial (Hebrew)"/>
      <family val="2"/>
      <charset val="177"/>
    </font>
    <font>
      <vertAlign val="superscript"/>
      <sz val="9"/>
      <color indexed="8"/>
      <name val="Arial (Hebrew)"/>
      <family val="2"/>
      <charset val="177"/>
    </font>
    <font>
      <b/>
      <sz val="12"/>
      <name val="David"/>
      <family val="2"/>
    </font>
    <font>
      <sz val="10"/>
      <name val="Arial"/>
      <family val="2"/>
    </font>
    <font>
      <b/>
      <vertAlign val="superscript"/>
      <sz val="11"/>
      <name val="Arial (Hebrew)"/>
      <charset val="177"/>
    </font>
    <font>
      <b/>
      <sz val="12"/>
      <color indexed="18"/>
      <name val="Arial"/>
      <family val="2"/>
    </font>
    <font>
      <sz val="12"/>
      <color indexed="18"/>
      <name val="Arial"/>
      <family val="2"/>
    </font>
    <font>
      <sz val="10"/>
      <color indexed="18"/>
      <name val="Arial"/>
      <family val="2"/>
    </font>
    <font>
      <vertAlign val="superscript"/>
      <sz val="10"/>
      <color indexed="8"/>
      <name val="Arial"/>
      <family val="2"/>
    </font>
    <font>
      <u/>
      <sz val="12"/>
      <color indexed="12"/>
      <name val="Arial"/>
      <family val="2"/>
    </font>
    <font>
      <sz val="10"/>
      <color indexed="8"/>
      <name val="Arial"/>
      <family val="2"/>
    </font>
    <font>
      <vertAlign val="superscript"/>
      <sz val="10"/>
      <name val="Arial"/>
      <family val="2"/>
    </font>
    <font>
      <sz val="8"/>
      <name val="Arial"/>
      <family val="2"/>
    </font>
    <font>
      <sz val="12"/>
      <name val="Arial"/>
      <family val="2"/>
    </font>
    <font>
      <sz val="11"/>
      <name val="Arial (Hebrew)"/>
      <charset val="177"/>
    </font>
    <font>
      <u/>
      <sz val="10"/>
      <color indexed="12"/>
      <name val="Arial"/>
      <family val="2"/>
    </font>
    <font>
      <b/>
      <sz val="11"/>
      <color indexed="8"/>
      <name val="Arial (Hebrew)"/>
      <charset val="177"/>
    </font>
    <font>
      <b/>
      <sz val="11"/>
      <name val="Arial (Hebrew)"/>
      <charset val="177"/>
    </font>
    <font>
      <sz val="11"/>
      <color indexed="10"/>
      <name val="Arial (Hebrew)"/>
      <charset val="177"/>
    </font>
    <font>
      <b/>
      <sz val="10"/>
      <color rgb="FFFF0000"/>
      <name val="Arial (Hebrew)"/>
      <family val="2"/>
      <charset val="177"/>
    </font>
    <font>
      <sz val="10"/>
      <color rgb="FFFF0000"/>
      <name val="Arial (Hebrew)"/>
      <family val="2"/>
      <charset val="177"/>
    </font>
    <font>
      <b/>
      <u/>
      <sz val="10"/>
      <color rgb="FFFF0000"/>
      <name val="Arial (Hebrew)"/>
      <family val="2"/>
      <charset val="177"/>
    </font>
    <font>
      <sz val="10"/>
      <color rgb="FFFF0000"/>
      <name val="Arial (Hebrew)"/>
      <charset val="177"/>
    </font>
    <font>
      <sz val="10"/>
      <name val="Arial"/>
      <family val="2"/>
      <scheme val="minor"/>
    </font>
    <font>
      <b/>
      <sz val="10"/>
      <color rgb="FFFF0000"/>
      <name val="Arial (Hebrew)"/>
      <charset val="177"/>
    </font>
    <font>
      <b/>
      <sz val="12"/>
      <color theme="1"/>
      <name val="Arial"/>
      <family val="2"/>
    </font>
    <font>
      <sz val="10"/>
      <color rgb="FF000000"/>
      <name val="Arial"/>
      <family val="2"/>
    </font>
    <font>
      <sz val="10"/>
      <color theme="1"/>
      <name val="Arial"/>
      <family val="2"/>
    </font>
    <font>
      <sz val="10"/>
      <color theme="1"/>
      <name val="Arial (Hebrew)"/>
      <family val="2"/>
      <charset val="177"/>
    </font>
    <font>
      <b/>
      <sz val="11"/>
      <color theme="1"/>
      <name val="Arial (Hebrew)"/>
      <family val="2"/>
      <charset val="177"/>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30">
    <border>
      <left/>
      <right/>
      <top/>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thin">
        <color indexed="64"/>
      </bottom>
      <diagonal/>
    </border>
    <border>
      <left style="double">
        <color indexed="64"/>
      </left>
      <right/>
      <top/>
      <bottom/>
      <diagonal/>
    </border>
    <border>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double">
        <color indexed="64"/>
      </top>
      <bottom/>
      <diagonal/>
    </border>
    <border>
      <left style="medium">
        <color indexed="64"/>
      </left>
      <right style="medium">
        <color indexed="64"/>
      </right>
      <top style="double">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thick">
        <color indexed="64"/>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medium">
        <color indexed="64"/>
      </right>
      <top/>
      <bottom/>
      <diagonal/>
    </border>
    <border>
      <left style="medium">
        <color indexed="64"/>
      </left>
      <right style="medium">
        <color indexed="64"/>
      </right>
      <top/>
      <bottom/>
      <diagonal/>
    </border>
    <border>
      <left style="thick">
        <color indexed="64"/>
      </left>
      <right style="thin">
        <color indexed="64"/>
      </right>
      <top/>
      <bottom/>
      <diagonal/>
    </border>
    <border>
      <left style="double">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thin">
        <color indexed="64"/>
      </right>
      <top/>
      <bottom/>
      <diagonal/>
    </border>
    <border>
      <left style="thin">
        <color indexed="64"/>
      </left>
      <right/>
      <top/>
      <bottom style="double">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thick">
        <color indexed="64"/>
      </left>
      <right style="thin">
        <color indexed="64"/>
      </right>
      <top style="double">
        <color indexed="64"/>
      </top>
      <bottom style="double">
        <color indexed="64"/>
      </bottom>
      <diagonal/>
    </border>
    <border>
      <left style="double">
        <color indexed="64"/>
      </left>
      <right style="medium">
        <color indexed="64"/>
      </right>
      <top style="thin">
        <color indexed="64"/>
      </top>
      <bottom style="double">
        <color indexed="64"/>
      </bottom>
      <diagonal/>
    </border>
    <border>
      <left style="thick">
        <color indexed="64"/>
      </left>
      <right style="thin">
        <color indexed="64"/>
      </right>
      <top/>
      <bottom style="double">
        <color indexed="64"/>
      </bottom>
      <diagonal/>
    </border>
    <border>
      <left style="medium">
        <color indexed="64"/>
      </left>
      <right/>
      <top/>
      <bottom style="double">
        <color indexed="64"/>
      </bottom>
      <diagonal/>
    </border>
    <border>
      <left style="double">
        <color indexed="64"/>
      </left>
      <right style="medium">
        <color indexed="64"/>
      </right>
      <top/>
      <bottom style="double">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style="double">
        <color indexed="64"/>
      </bottom>
      <diagonal/>
    </border>
    <border>
      <left style="double">
        <color indexed="64"/>
      </left>
      <right style="medium">
        <color indexed="64"/>
      </right>
      <top style="thin">
        <color indexed="64"/>
      </top>
      <bottom style="medium">
        <color indexed="64"/>
      </bottom>
      <diagonal/>
    </border>
    <border>
      <left style="medium">
        <color indexed="64"/>
      </left>
      <right/>
      <top style="double">
        <color indexed="64"/>
      </top>
      <bottom style="double">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bottom style="thin">
        <color indexed="64"/>
      </bottom>
      <diagonal/>
    </border>
    <border>
      <left style="medium">
        <color indexed="64"/>
      </left>
      <right style="double">
        <color indexed="64"/>
      </right>
      <top style="double">
        <color indexed="64"/>
      </top>
      <bottom style="medium">
        <color indexed="64"/>
      </bottom>
      <diagonal/>
    </border>
    <border>
      <left style="medium">
        <color indexed="64"/>
      </left>
      <right/>
      <top/>
      <bottom style="medium">
        <color indexed="64"/>
      </bottom>
      <diagonal/>
    </border>
    <border>
      <left style="medium">
        <color indexed="64"/>
      </left>
      <right style="double">
        <color indexed="64"/>
      </right>
      <top/>
      <bottom style="medium">
        <color indexed="64"/>
      </bottom>
      <diagonal/>
    </border>
    <border>
      <left style="medium">
        <color indexed="64"/>
      </left>
      <right/>
      <top/>
      <bottom style="thin">
        <color indexed="64"/>
      </bottom>
      <diagonal/>
    </border>
    <border>
      <left style="medium">
        <color indexed="64"/>
      </left>
      <right style="double">
        <color indexed="64"/>
      </right>
      <top/>
      <bottom style="thin">
        <color indexed="64"/>
      </bottom>
      <diagonal/>
    </border>
    <border>
      <left style="medium">
        <color indexed="64"/>
      </left>
      <right style="double">
        <color indexed="64"/>
      </right>
      <top/>
      <bottom/>
      <diagonal/>
    </border>
    <border>
      <left style="medium">
        <color indexed="64"/>
      </left>
      <right style="double">
        <color indexed="64"/>
      </right>
      <top style="double">
        <color indexed="64"/>
      </top>
      <bottom style="double">
        <color indexed="64"/>
      </bottom>
      <diagonal/>
    </border>
    <border>
      <left style="medium">
        <color indexed="64"/>
      </left>
      <right/>
      <top style="thin">
        <color indexed="64"/>
      </top>
      <bottom style="medium">
        <color indexed="64"/>
      </bottom>
      <diagonal/>
    </border>
    <border>
      <left style="medium">
        <color indexed="64"/>
      </left>
      <right style="double">
        <color indexed="64"/>
      </right>
      <top style="thin">
        <color indexed="64"/>
      </top>
      <bottom style="medium">
        <color indexed="64"/>
      </bottom>
      <diagonal/>
    </border>
    <border>
      <left style="medium">
        <color indexed="64"/>
      </left>
      <right style="double">
        <color indexed="64"/>
      </right>
      <top/>
      <bottom style="double">
        <color indexed="64"/>
      </bottom>
      <diagonal/>
    </border>
    <border>
      <left style="thin">
        <color indexed="64"/>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double">
        <color indexed="64"/>
      </left>
      <right/>
      <top/>
      <bottom style="medium">
        <color indexed="64"/>
      </bottom>
      <diagonal/>
    </border>
    <border>
      <left style="thin">
        <color indexed="64"/>
      </left>
      <right/>
      <top style="thin">
        <color indexed="64"/>
      </top>
      <bottom/>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s>
  <cellStyleXfs count="15">
    <xf numFmtId="0" fontId="0" fillId="0" borderId="0"/>
    <xf numFmtId="43" fontId="1" fillId="0" borderId="0" applyFont="0" applyFill="0" applyBorder="0" applyAlignment="0" applyProtection="0"/>
    <xf numFmtId="43" fontId="50" fillId="0" borderId="0" applyFont="0" applyFill="0" applyBorder="0" applyAlignment="0" applyProtection="0"/>
    <xf numFmtId="43" fontId="65" fillId="0" borderId="0" applyFont="0" applyFill="0" applyBorder="0" applyAlignment="0" applyProtection="0"/>
    <xf numFmtId="44" fontId="1" fillId="0" borderId="0" applyFont="0" applyFill="0" applyBorder="0" applyAlignment="0" applyProtection="0"/>
    <xf numFmtId="169" fontId="10" fillId="0" borderId="0"/>
    <xf numFmtId="0" fontId="1" fillId="0" borderId="0"/>
    <xf numFmtId="0" fontId="50" fillId="0" borderId="0"/>
    <xf numFmtId="171" fontId="12" fillId="0" borderId="0"/>
    <xf numFmtId="0" fontId="1" fillId="0" borderId="0"/>
    <xf numFmtId="0" fontId="65" fillId="0" borderId="0"/>
    <xf numFmtId="9" fontId="1"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0" fontId="7" fillId="0" borderId="0" applyNumberFormat="0" applyFill="0" applyBorder="0" applyAlignment="0" applyProtection="0">
      <alignment vertical="top"/>
      <protection locked="0"/>
    </xf>
  </cellStyleXfs>
  <cellXfs count="844">
    <xf numFmtId="0" fontId="0" fillId="0" borderId="0" xfId="0"/>
    <xf numFmtId="0" fontId="8" fillId="0" borderId="0" xfId="0" applyFont="1" applyFill="1"/>
    <xf numFmtId="0" fontId="8" fillId="0" borderId="1" xfId="0" applyFont="1" applyFill="1" applyBorder="1"/>
    <xf numFmtId="0" fontId="2" fillId="0" borderId="0" xfId="0" applyFont="1" applyFill="1" applyBorder="1"/>
    <xf numFmtId="0" fontId="8" fillId="0" borderId="0" xfId="0" applyFont="1" applyFill="1" applyBorder="1"/>
    <xf numFmtId="0" fontId="2" fillId="0" borderId="2" xfId="0" applyFont="1" applyFill="1" applyBorder="1"/>
    <xf numFmtId="0" fontId="2" fillId="0" borderId="1" xfId="0" applyFont="1" applyFill="1" applyBorder="1"/>
    <xf numFmtId="0" fontId="2" fillId="0" borderId="3" xfId="0" applyFont="1" applyFill="1" applyBorder="1"/>
    <xf numFmtId="0" fontId="11" fillId="0" borderId="0" xfId="0" applyFont="1" applyAlignment="1">
      <alignment horizontal="justify" vertical="center" readingOrder="2"/>
    </xf>
    <xf numFmtId="0" fontId="11" fillId="0" borderId="0" xfId="0" applyFont="1" applyAlignment="1">
      <alignment horizontal="justify" vertical="center" wrapText="1" readingOrder="2"/>
    </xf>
    <xf numFmtId="0" fontId="3" fillId="0" borderId="0" xfId="0" applyFont="1" applyFill="1" applyBorder="1" applyAlignment="1">
      <alignment horizontal="center"/>
    </xf>
    <xf numFmtId="0" fontId="2" fillId="0" borderId="0" xfId="0" applyFont="1"/>
    <xf numFmtId="0" fontId="6" fillId="0" borderId="0" xfId="0" applyFont="1"/>
    <xf numFmtId="0" fontId="2" fillId="0" borderId="0" xfId="0" applyFont="1" applyFill="1"/>
    <xf numFmtId="0" fontId="8" fillId="0" borderId="0" xfId="0" applyFont="1" applyFill="1" applyAlignment="1">
      <alignment horizontal="center"/>
    </xf>
    <xf numFmtId="0" fontId="20"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wrapText="1"/>
    </xf>
    <xf numFmtId="0" fontId="24" fillId="0" borderId="0" xfId="0" applyFont="1" applyBorder="1" applyAlignment="1">
      <alignment horizontal="center"/>
    </xf>
    <xf numFmtId="0" fontId="24" fillId="0" borderId="0" xfId="0" applyFont="1" applyFill="1" applyBorder="1" applyAlignment="1">
      <alignment horizontal="center"/>
    </xf>
    <xf numFmtId="0" fontId="24" fillId="0" borderId="0" xfId="0" applyFont="1" applyBorder="1" applyAlignment="1">
      <alignment horizontal="center" wrapText="1"/>
    </xf>
    <xf numFmtId="0" fontId="18" fillId="0" borderId="0" xfId="0" applyFont="1" applyBorder="1" applyAlignment="1">
      <alignment horizontal="center"/>
    </xf>
    <xf numFmtId="0" fontId="26" fillId="0" borderId="4" xfId="0" applyFont="1" applyBorder="1"/>
    <xf numFmtId="0" fontId="26" fillId="0" borderId="0" xfId="0" applyFont="1"/>
    <xf numFmtId="0" fontId="8" fillId="0" borderId="0" xfId="0" applyFont="1"/>
    <xf numFmtId="0" fontId="28" fillId="0" borderId="1" xfId="0" applyFont="1" applyFill="1" applyBorder="1" applyAlignment="1">
      <alignment horizontal="center"/>
    </xf>
    <xf numFmtId="0" fontId="3" fillId="0" borderId="2" xfId="0" applyFont="1" applyBorder="1"/>
    <xf numFmtId="0" fontId="29" fillId="0" borderId="5" xfId="0" quotePrefix="1" applyFont="1" applyBorder="1" applyAlignment="1">
      <alignment horizontal="right" wrapText="1"/>
    </xf>
    <xf numFmtId="0" fontId="8" fillId="0" borderId="6" xfId="0" applyFont="1" applyFill="1" applyBorder="1" applyAlignment="1">
      <alignment horizontal="right" wrapText="1"/>
    </xf>
    <xf numFmtId="0" fontId="29" fillId="0" borderId="5" xfId="0" applyFont="1" applyFill="1" applyBorder="1"/>
    <xf numFmtId="43" fontId="8" fillId="0" borderId="0" xfId="1" applyFont="1"/>
    <xf numFmtId="0" fontId="29" fillId="0" borderId="2" xfId="0" applyFont="1" applyBorder="1"/>
    <xf numFmtId="0" fontId="8" fillId="0" borderId="1" xfId="0" applyFont="1" applyBorder="1"/>
    <xf numFmtId="180" fontId="8" fillId="0" borderId="3" xfId="0" applyNumberFormat="1" applyFont="1" applyFill="1" applyBorder="1"/>
    <xf numFmtId="0" fontId="29" fillId="0" borderId="5" xfId="0" applyFont="1" applyBorder="1"/>
    <xf numFmtId="0" fontId="8" fillId="0" borderId="0" xfId="0" applyFont="1" applyBorder="1"/>
    <xf numFmtId="178" fontId="8" fillId="0" borderId="6" xfId="4" applyNumberFormat="1" applyFont="1" applyFill="1" applyBorder="1"/>
    <xf numFmtId="0" fontId="8" fillId="0" borderId="6" xfId="0" applyFont="1" applyFill="1" applyBorder="1"/>
    <xf numFmtId="0" fontId="29" fillId="0" borderId="7" xfId="0" applyFont="1" applyFill="1" applyBorder="1"/>
    <xf numFmtId="0" fontId="8" fillId="0" borderId="8" xfId="0" applyFont="1" applyBorder="1"/>
    <xf numFmtId="179" fontId="8" fillId="0" borderId="9" xfId="0" applyNumberFormat="1" applyFont="1" applyFill="1" applyBorder="1"/>
    <xf numFmtId="0" fontId="3" fillId="0" borderId="5" xfId="0" applyFont="1" applyBorder="1" applyAlignment="1">
      <alignment horizontal="right" wrapText="1" readingOrder="2"/>
    </xf>
    <xf numFmtId="0" fontId="3" fillId="0" borderId="0" xfId="0" applyFont="1" applyBorder="1" applyAlignment="1">
      <alignment horizontal="right" readingOrder="2"/>
    </xf>
    <xf numFmtId="0" fontId="8" fillId="0" borderId="5" xfId="0" applyFont="1" applyBorder="1"/>
    <xf numFmtId="0" fontId="8" fillId="0" borderId="2" xfId="0" applyFont="1" applyBorder="1"/>
    <xf numFmtId="0" fontId="30" fillId="0" borderId="0" xfId="14" applyFont="1" applyBorder="1" applyAlignment="1" applyProtection="1">
      <alignment horizontal="center"/>
    </xf>
    <xf numFmtId="0" fontId="21" fillId="0" borderId="0" xfId="14" applyFont="1" applyBorder="1" applyAlignment="1" applyProtection="1">
      <alignment horizontal="center"/>
    </xf>
    <xf numFmtId="0" fontId="3" fillId="0" borderId="0" xfId="0" applyFont="1" applyAlignment="1">
      <alignment horizontal="center" readingOrder="2"/>
    </xf>
    <xf numFmtId="0" fontId="8" fillId="0" borderId="0" xfId="0" applyFont="1" applyAlignment="1">
      <alignment horizontal="right" readingOrder="2"/>
    </xf>
    <xf numFmtId="0" fontId="3" fillId="0" borderId="0" xfId="0" applyFont="1" applyAlignment="1">
      <alignment horizontal="right" readingOrder="2"/>
    </xf>
    <xf numFmtId="0" fontId="2" fillId="0" borderId="0" xfId="0" applyFont="1" applyAlignment="1">
      <alignment horizontal="right" readingOrder="2"/>
    </xf>
    <xf numFmtId="0" fontId="20" fillId="0" borderId="0" xfId="0" applyFont="1" applyAlignment="1">
      <alignment horizontal="right" readingOrder="2"/>
    </xf>
    <xf numFmtId="14" fontId="20" fillId="0" borderId="0" xfId="0" applyNumberFormat="1" applyFont="1" applyAlignment="1">
      <alignment horizontal="right" readingOrder="2"/>
    </xf>
    <xf numFmtId="0" fontId="13" fillId="0" borderId="10" xfId="0" applyFont="1" applyBorder="1" applyAlignment="1">
      <alignment horizontal="center" readingOrder="2"/>
    </xf>
    <xf numFmtId="0" fontId="13" fillId="0" borderId="11" xfId="0" applyFont="1" applyBorder="1" applyAlignment="1">
      <alignment horizontal="center" readingOrder="2"/>
    </xf>
    <xf numFmtId="0" fontId="31" fillId="0" borderId="12" xfId="0" applyFont="1" applyBorder="1" applyAlignment="1">
      <alignment horizontal="right" readingOrder="2"/>
    </xf>
    <xf numFmtId="0" fontId="31" fillId="0" borderId="13" xfId="0" applyFont="1" applyBorder="1" applyAlignment="1">
      <alignment horizontal="right" readingOrder="2"/>
    </xf>
    <xf numFmtId="0" fontId="6" fillId="0" borderId="0" xfId="0" applyFont="1" applyAlignment="1">
      <alignment horizontal="right" readingOrder="2"/>
    </xf>
    <xf numFmtId="179" fontId="6" fillId="0" borderId="0" xfId="0" applyNumberFormat="1" applyFont="1" applyAlignment="1">
      <alignment horizontal="right" readingOrder="1"/>
    </xf>
    <xf numFmtId="0" fontId="20" fillId="0" borderId="0" xfId="0" applyFont="1"/>
    <xf numFmtId="14" fontId="20" fillId="0" borderId="0" xfId="0" applyNumberFormat="1" applyFont="1"/>
    <xf numFmtId="0" fontId="6" fillId="0" borderId="10" xfId="0" applyFont="1" applyFill="1" applyBorder="1" applyAlignment="1">
      <alignment horizontal="center" wrapText="1" readingOrder="2"/>
    </xf>
    <xf numFmtId="164" fontId="6" fillId="0" borderId="11" xfId="0" applyNumberFormat="1" applyFont="1" applyFill="1" applyBorder="1" applyAlignment="1">
      <alignment horizontal="center" wrapText="1"/>
    </xf>
    <xf numFmtId="0" fontId="6" fillId="0" borderId="11" xfId="0" applyFont="1" applyFill="1" applyBorder="1" applyAlignment="1">
      <alignment horizontal="center" wrapText="1"/>
    </xf>
    <xf numFmtId="0" fontId="2" fillId="0" borderId="0" xfId="0" applyFont="1" applyFill="1" applyAlignment="1">
      <alignment horizontal="center" wrapText="1"/>
    </xf>
    <xf numFmtId="0" fontId="6" fillId="0" borderId="14" xfId="0" applyFont="1" applyBorder="1" applyAlignment="1">
      <alignment horizontal="center" readingOrder="2"/>
    </xf>
    <xf numFmtId="164" fontId="2" fillId="0" borderId="15" xfId="0" applyNumberFormat="1" applyFont="1" applyBorder="1"/>
    <xf numFmtId="164" fontId="6" fillId="0" borderId="16" xfId="0" applyNumberFormat="1" applyFont="1" applyBorder="1"/>
    <xf numFmtId="0" fontId="6" fillId="0" borderId="7" xfId="0" applyFont="1" applyBorder="1" applyAlignment="1">
      <alignment horizontal="center" readingOrder="2"/>
    </xf>
    <xf numFmtId="164" fontId="2" fillId="0" borderId="17" xfId="0" applyNumberFormat="1" applyFont="1" applyBorder="1"/>
    <xf numFmtId="164" fontId="2" fillId="0" borderId="18" xfId="0" applyNumberFormat="1" applyFont="1" applyBorder="1"/>
    <xf numFmtId="164" fontId="6" fillId="0" borderId="15" xfId="0" applyNumberFormat="1" applyFont="1" applyBorder="1"/>
    <xf numFmtId="0" fontId="18" fillId="0" borderId="0" xfId="0" applyFont="1" applyFill="1"/>
    <xf numFmtId="0" fontId="6" fillId="0" borderId="12" xfId="0" applyFont="1" applyBorder="1" applyAlignment="1">
      <alignment horizontal="center" readingOrder="2"/>
    </xf>
    <xf numFmtId="0" fontId="6" fillId="0" borderId="13" xfId="0" applyFont="1" applyBorder="1" applyAlignment="1">
      <alignment horizontal="center" wrapText="1" readingOrder="2"/>
    </xf>
    <xf numFmtId="164" fontId="2" fillId="0" borderId="19" xfId="0" applyNumberFormat="1" applyFont="1" applyBorder="1"/>
    <xf numFmtId="43" fontId="2" fillId="0" borderId="19" xfId="1" applyFont="1" applyBorder="1"/>
    <xf numFmtId="43" fontId="2" fillId="0" borderId="20" xfId="1" applyFont="1" applyBorder="1"/>
    <xf numFmtId="0" fontId="2" fillId="0" borderId="0" xfId="0" applyFont="1" applyAlignment="1">
      <alignment horizontal="center" readingOrder="2"/>
    </xf>
    <xf numFmtId="164" fontId="2" fillId="0" borderId="0" xfId="0" applyNumberFormat="1" applyFont="1"/>
    <xf numFmtId="0" fontId="31" fillId="0" borderId="0" xfId="0" applyFont="1" applyFill="1"/>
    <xf numFmtId="0" fontId="3" fillId="0" borderId="1" xfId="0" applyFont="1" applyFill="1" applyBorder="1" applyAlignment="1">
      <alignment horizontal="center"/>
    </xf>
    <xf numFmtId="14" fontId="3" fillId="0" borderId="1" xfId="0" applyNumberFormat="1" applyFont="1" applyFill="1" applyBorder="1" applyAlignment="1">
      <alignment horizontal="center"/>
    </xf>
    <xf numFmtId="0" fontId="31" fillId="0" borderId="5" xfId="0" applyFont="1" applyFill="1" applyBorder="1"/>
    <xf numFmtId="0" fontId="31" fillId="0" borderId="0" xfId="0" applyFont="1" applyFill="1" applyBorder="1"/>
    <xf numFmtId="0" fontId="31" fillId="0" borderId="6" xfId="0" applyFont="1" applyFill="1" applyBorder="1"/>
    <xf numFmtId="165" fontId="31" fillId="0" borderId="0" xfId="0" applyNumberFormat="1" applyFont="1" applyFill="1" applyBorder="1" applyAlignment="1" applyProtection="1">
      <alignment horizontal="right"/>
    </xf>
    <xf numFmtId="2" fontId="31" fillId="0" borderId="0" xfId="0" applyNumberFormat="1" applyFont="1" applyFill="1" applyBorder="1"/>
    <xf numFmtId="2" fontId="31" fillId="0" borderId="6" xfId="0" applyNumberFormat="1" applyFont="1" applyFill="1" applyBorder="1"/>
    <xf numFmtId="2" fontId="31" fillId="0" borderId="21" xfId="0" applyNumberFormat="1" applyFont="1" applyFill="1" applyBorder="1"/>
    <xf numFmtId="0" fontId="31" fillId="0" borderId="0" xfId="0" quotePrefix="1" applyFont="1" applyFill="1" applyBorder="1" applyAlignment="1">
      <alignment horizontal="right"/>
    </xf>
    <xf numFmtId="0" fontId="31" fillId="0" borderId="5" xfId="0" applyFont="1" applyFill="1" applyBorder="1" applyAlignment="1"/>
    <xf numFmtId="2" fontId="31" fillId="0" borderId="0" xfId="0" applyNumberFormat="1" applyFont="1" applyFill="1" applyBorder="1" applyAlignment="1">
      <alignment horizontal="left"/>
    </xf>
    <xf numFmtId="2" fontId="31" fillId="0" borderId="0" xfId="0" quotePrefix="1" applyNumberFormat="1" applyFont="1" applyFill="1" applyBorder="1" applyAlignment="1">
      <alignment horizontal="center"/>
    </xf>
    <xf numFmtId="0" fontId="32" fillId="0" borderId="22" xfId="0" applyFont="1" applyFill="1" applyBorder="1"/>
    <xf numFmtId="2" fontId="32" fillId="0" borderId="23" xfId="0" applyNumberFormat="1" applyFont="1" applyFill="1" applyBorder="1" applyAlignment="1">
      <alignment horizontal="left"/>
    </xf>
    <xf numFmtId="0" fontId="8" fillId="0" borderId="5" xfId="0" applyFont="1" applyFill="1" applyBorder="1"/>
    <xf numFmtId="2" fontId="31" fillId="0" borderId="24" xfId="0" applyNumberFormat="1" applyFont="1" applyFill="1" applyBorder="1" applyAlignment="1">
      <alignment horizontal="right"/>
    </xf>
    <xf numFmtId="0" fontId="31" fillId="0" borderId="0" xfId="0" applyFont="1" applyFill="1" applyAlignment="1">
      <alignment wrapText="1"/>
    </xf>
    <xf numFmtId="0" fontId="31" fillId="0" borderId="0" xfId="0" applyFont="1" applyFill="1" applyAlignment="1">
      <alignment horizontal="center"/>
    </xf>
    <xf numFmtId="169" fontId="4" fillId="0" borderId="0" xfId="5" applyFont="1" applyFill="1" applyAlignment="1">
      <alignment horizontal="center" wrapText="1"/>
    </xf>
    <xf numFmtId="0" fontId="29" fillId="0" borderId="0" xfId="0" applyFont="1" applyFill="1"/>
    <xf numFmtId="0" fontId="20" fillId="0" borderId="0" xfId="0" applyFont="1" applyFill="1" applyAlignment="1">
      <alignment wrapText="1"/>
    </xf>
    <xf numFmtId="14" fontId="20" fillId="0" borderId="0" xfId="0" applyNumberFormat="1" applyFont="1" applyFill="1" applyAlignment="1">
      <alignment horizontal="right" readingOrder="2"/>
    </xf>
    <xf numFmtId="0" fontId="20" fillId="0" borderId="0" xfId="0" applyFont="1" applyFill="1" applyAlignment="1">
      <alignment horizontal="right" readingOrder="2"/>
    </xf>
    <xf numFmtId="0" fontId="33" fillId="0" borderId="0" xfId="0" applyFont="1" applyFill="1"/>
    <xf numFmtId="0" fontId="32" fillId="0" borderId="0" xfId="0" applyFont="1" applyFill="1"/>
    <xf numFmtId="0" fontId="8" fillId="0" borderId="0" xfId="0" applyFont="1" applyFill="1" applyAlignment="1">
      <alignment horizontal="left"/>
    </xf>
    <xf numFmtId="14" fontId="8" fillId="0" borderId="0" xfId="0" applyNumberFormat="1" applyFont="1" applyFill="1"/>
    <xf numFmtId="169" fontId="32" fillId="0" borderId="25" xfId="5" applyFont="1" applyFill="1" applyBorder="1" applyAlignment="1">
      <alignment horizontal="center" wrapText="1"/>
    </xf>
    <xf numFmtId="0" fontId="32" fillId="0" borderId="26" xfId="5" quotePrefix="1" applyNumberFormat="1" applyFont="1" applyFill="1" applyBorder="1" applyAlignment="1">
      <alignment horizontal="center" wrapText="1"/>
    </xf>
    <xf numFmtId="169" fontId="32" fillId="0" borderId="26" xfId="5" quotePrefix="1" applyFont="1" applyFill="1" applyBorder="1" applyAlignment="1">
      <alignment horizontal="center" wrapText="1"/>
    </xf>
    <xf numFmtId="169" fontId="32" fillId="0" borderId="26" xfId="5" applyFont="1" applyFill="1" applyBorder="1" applyAlignment="1">
      <alignment horizontal="center" wrapText="1" readingOrder="2"/>
    </xf>
    <xf numFmtId="169" fontId="32" fillId="0" borderId="26" xfId="5" applyFont="1" applyFill="1" applyBorder="1" applyAlignment="1">
      <alignment horizontal="center" wrapText="1"/>
    </xf>
    <xf numFmtId="169" fontId="32" fillId="0" borderId="26" xfId="5" applyFont="1" applyFill="1" applyBorder="1" applyAlignment="1">
      <alignment horizontal="right" wrapText="1"/>
    </xf>
    <xf numFmtId="169" fontId="32" fillId="0" borderId="27" xfId="5" applyFont="1" applyFill="1" applyBorder="1" applyAlignment="1">
      <alignment horizontal="right" wrapText="1"/>
    </xf>
    <xf numFmtId="169" fontId="32" fillId="0" borderId="12" xfId="5" applyFont="1" applyFill="1" applyBorder="1" applyAlignment="1">
      <alignment horizontal="right" vertical="center" wrapText="1"/>
    </xf>
    <xf numFmtId="43" fontId="31" fillId="0" borderId="15" xfId="1" applyFont="1" applyFill="1" applyBorder="1" applyAlignment="1">
      <alignment horizontal="center" vertical="center"/>
    </xf>
    <xf numFmtId="165" fontId="31" fillId="0" borderId="15" xfId="5" applyNumberFormat="1" applyFont="1" applyFill="1" applyBorder="1" applyAlignment="1" applyProtection="1">
      <alignment horizontal="center" vertical="center"/>
    </xf>
    <xf numFmtId="43" fontId="31" fillId="0" borderId="15" xfId="1" applyFont="1" applyFill="1" applyBorder="1" applyAlignment="1" applyProtection="1">
      <alignment horizontal="center" vertical="center"/>
    </xf>
    <xf numFmtId="43" fontId="31" fillId="0" borderId="15" xfId="1" applyFont="1" applyFill="1" applyBorder="1" applyAlignment="1" applyProtection="1">
      <alignment vertical="center"/>
    </xf>
    <xf numFmtId="166" fontId="31" fillId="0" borderId="15" xfId="5" applyNumberFormat="1" applyFont="1" applyFill="1" applyBorder="1" applyAlignment="1" applyProtection="1">
      <alignment vertical="center"/>
    </xf>
    <xf numFmtId="43" fontId="31" fillId="0" borderId="28" xfId="1" applyFont="1" applyFill="1" applyBorder="1" applyAlignment="1" applyProtection="1">
      <alignment vertical="center"/>
    </xf>
    <xf numFmtId="0" fontId="8" fillId="0" borderId="0" xfId="0" applyFont="1" applyFill="1" applyAlignment="1">
      <alignment wrapText="1"/>
    </xf>
    <xf numFmtId="169" fontId="20" fillId="0" borderId="0" xfId="5" applyFont="1" applyFill="1" applyAlignment="1">
      <alignment horizontal="center" wrapText="1"/>
    </xf>
    <xf numFmtId="0" fontId="35" fillId="0" borderId="0" xfId="9" applyFont="1" applyFill="1"/>
    <xf numFmtId="0" fontId="2" fillId="0" borderId="0" xfId="9" applyFont="1" applyFill="1"/>
    <xf numFmtId="2" fontId="2" fillId="0" borderId="0" xfId="0" applyNumberFormat="1" applyFont="1" applyFill="1"/>
    <xf numFmtId="2" fontId="2" fillId="0" borderId="0" xfId="9" applyNumberFormat="1" applyFont="1" applyFill="1" applyBorder="1" applyProtection="1">
      <protection locked="0"/>
    </xf>
    <xf numFmtId="173" fontId="2" fillId="0" borderId="0" xfId="11" applyNumberFormat="1" applyFont="1" applyFill="1"/>
    <xf numFmtId="0" fontId="21" fillId="0" borderId="0" xfId="14" applyFont="1" applyFill="1" applyAlignment="1" applyProtection="1">
      <alignment horizontal="center"/>
    </xf>
    <xf numFmtId="0" fontId="35" fillId="0" borderId="0" xfId="0" applyFont="1" applyFill="1"/>
    <xf numFmtId="0" fontId="3" fillId="0" borderId="0" xfId="0" applyFont="1" applyFill="1" applyAlignment="1">
      <alignment horizontal="center"/>
    </xf>
    <xf numFmtId="0" fontId="40" fillId="0" borderId="0" xfId="0" applyFont="1" applyFill="1"/>
    <xf numFmtId="0" fontId="8" fillId="0" borderId="0" xfId="0" applyFont="1" applyFill="1" applyAlignment="1">
      <alignment horizontal="right" readingOrder="2"/>
    </xf>
    <xf numFmtId="169" fontId="13" fillId="0" borderId="0" xfId="5" applyFont="1" applyFill="1" applyAlignment="1">
      <alignment horizontal="center"/>
    </xf>
    <xf numFmtId="14" fontId="6" fillId="0" borderId="0" xfId="0" applyNumberFormat="1" applyFont="1" applyFill="1" applyAlignment="1"/>
    <xf numFmtId="0" fontId="41" fillId="0" borderId="0" xfId="0" applyFont="1" applyFill="1"/>
    <xf numFmtId="169" fontId="39" fillId="0" borderId="0" xfId="5" applyFont="1" applyFill="1" applyAlignment="1">
      <alignment horizontal="left"/>
    </xf>
    <xf numFmtId="0" fontId="39" fillId="0" borderId="0" xfId="0" applyFont="1" applyFill="1"/>
    <xf numFmtId="169" fontId="41" fillId="0" borderId="29" xfId="5" applyFont="1" applyFill="1" applyBorder="1" applyAlignment="1">
      <alignment horizontal="center"/>
    </xf>
    <xf numFmtId="169" fontId="6" fillId="0" borderId="30" xfId="5" applyFont="1" applyFill="1" applyBorder="1" applyAlignment="1">
      <alignment horizontal="center" vertical="top" readingOrder="2"/>
    </xf>
    <xf numFmtId="169" fontId="41" fillId="0" borderId="31" xfId="5" applyFont="1" applyFill="1" applyBorder="1" applyAlignment="1">
      <alignment horizontal="center"/>
    </xf>
    <xf numFmtId="169" fontId="6" fillId="0" borderId="32" xfId="5" applyFont="1" applyFill="1" applyBorder="1" applyAlignment="1">
      <alignment horizontal="center" vertical="top" readingOrder="2"/>
    </xf>
    <xf numFmtId="0" fontId="6" fillId="0" borderId="33" xfId="0" applyFont="1" applyFill="1" applyBorder="1" applyAlignment="1">
      <alignment horizontal="center" vertical="top"/>
    </xf>
    <xf numFmtId="0" fontId="6" fillId="0" borderId="34" xfId="0" applyFont="1" applyFill="1" applyBorder="1" applyAlignment="1">
      <alignment horizontal="center" vertical="top"/>
    </xf>
    <xf numFmtId="0" fontId="2" fillId="0" borderId="35" xfId="0" applyFont="1" applyFill="1" applyBorder="1"/>
    <xf numFmtId="175" fontId="2" fillId="0" borderId="36" xfId="5" applyNumberFormat="1" applyFont="1" applyFill="1" applyBorder="1" applyAlignment="1" applyProtection="1">
      <alignment horizontal="right" vertical="center" readingOrder="2"/>
    </xf>
    <xf numFmtId="182" fontId="2" fillId="0" borderId="37" xfId="5" applyNumberFormat="1" applyFont="1" applyFill="1" applyBorder="1" applyAlignment="1" applyProtection="1">
      <alignment horizontal="right" vertical="center"/>
    </xf>
    <xf numFmtId="182" fontId="2" fillId="0" borderId="6" xfId="5" applyNumberFormat="1" applyFont="1" applyFill="1" applyBorder="1" applyAlignment="1" applyProtection="1">
      <alignment horizontal="right" vertical="center"/>
    </xf>
    <xf numFmtId="169" fontId="2" fillId="0" borderId="36" xfId="5" applyFont="1" applyFill="1" applyBorder="1" applyAlignment="1">
      <alignment horizontal="right" vertical="center" readingOrder="2"/>
    </xf>
    <xf numFmtId="182" fontId="18" fillId="0" borderId="37" xfId="5" applyNumberFormat="1" applyFont="1" applyFill="1" applyBorder="1" applyAlignment="1" applyProtection="1">
      <alignment horizontal="right" vertical="center"/>
    </xf>
    <xf numFmtId="182" fontId="18" fillId="0" borderId="6" xfId="5" applyNumberFormat="1" applyFont="1" applyFill="1" applyBorder="1" applyAlignment="1" applyProtection="1">
      <alignment horizontal="right" vertical="center"/>
    </xf>
    <xf numFmtId="169" fontId="2" fillId="0" borderId="0" xfId="5" applyFont="1" applyFill="1" applyBorder="1" applyAlignment="1">
      <alignment horizontal="right" vertical="center" readingOrder="2"/>
    </xf>
    <xf numFmtId="182" fontId="2" fillId="0" borderId="0" xfId="5" applyNumberFormat="1" applyFont="1" applyFill="1" applyBorder="1" applyAlignment="1" applyProtection="1">
      <alignment horizontal="right" vertical="center"/>
    </xf>
    <xf numFmtId="169" fontId="2" fillId="0" borderId="0" xfId="5" quotePrefix="1" applyFont="1" applyFill="1" applyAlignment="1">
      <alignment horizontal="right" readingOrder="2"/>
    </xf>
    <xf numFmtId="2" fontId="2" fillId="0" borderId="0" xfId="5" applyNumberFormat="1" applyFont="1" applyFill="1" applyProtection="1"/>
    <xf numFmtId="0" fontId="23" fillId="0" borderId="0" xfId="14" applyFont="1" applyFill="1" applyAlignment="1" applyProtection="1">
      <alignment horizontal="center"/>
    </xf>
    <xf numFmtId="169" fontId="2" fillId="0" borderId="0" xfId="5" quotePrefix="1" applyFont="1" applyFill="1" applyAlignment="1">
      <alignment horizontal="right"/>
    </xf>
    <xf numFmtId="182" fontId="18" fillId="0" borderId="0" xfId="0" applyNumberFormat="1" applyFont="1" applyFill="1"/>
    <xf numFmtId="167" fontId="2" fillId="0" borderId="0" xfId="0" applyNumberFormat="1" applyFont="1" applyFill="1"/>
    <xf numFmtId="169" fontId="2" fillId="0" borderId="0" xfId="5" applyFont="1" applyFill="1" applyAlignment="1">
      <alignment horizontal="right"/>
    </xf>
    <xf numFmtId="169" fontId="6" fillId="0" borderId="0" xfId="5" applyFont="1" applyFill="1" applyAlignment="1">
      <alignment horizontal="right"/>
    </xf>
    <xf numFmtId="0" fontId="20" fillId="0" borderId="0" xfId="0" applyFont="1" applyFill="1"/>
    <xf numFmtId="0" fontId="2" fillId="0" borderId="38" xfId="0" applyFont="1" applyFill="1" applyBorder="1"/>
    <xf numFmtId="0" fontId="2" fillId="0" borderId="39" xfId="0" applyFont="1" applyFill="1" applyBorder="1" applyAlignment="1">
      <alignment horizontal="right" readingOrder="2"/>
    </xf>
    <xf numFmtId="182" fontId="2" fillId="0" borderId="36" xfId="0" applyNumberFormat="1" applyFont="1" applyFill="1" applyBorder="1"/>
    <xf numFmtId="0" fontId="21" fillId="0" borderId="0" xfId="14" applyFont="1" applyFill="1" applyBorder="1" applyAlignment="1" applyProtection="1">
      <alignment horizontal="center"/>
    </xf>
    <xf numFmtId="0" fontId="19" fillId="0" borderId="0" xfId="0" applyFont="1" applyFill="1"/>
    <xf numFmtId="169" fontId="42" fillId="0" borderId="0" xfId="5" applyFont="1" applyFill="1" applyAlignment="1">
      <alignment horizontal="center"/>
    </xf>
    <xf numFmtId="169" fontId="42" fillId="0" borderId="0" xfId="5" quotePrefix="1" applyFont="1" applyFill="1" applyAlignment="1">
      <alignment horizontal="center"/>
    </xf>
    <xf numFmtId="169" fontId="20" fillId="0" borderId="0" xfId="5" quotePrefix="1" applyFont="1" applyFill="1" applyAlignment="1">
      <alignment horizontal="center"/>
    </xf>
    <xf numFmtId="169" fontId="20" fillId="0" borderId="0" xfId="5" applyFont="1" applyFill="1" applyAlignment="1">
      <alignment horizontal="right"/>
    </xf>
    <xf numFmtId="14" fontId="20" fillId="0" borderId="0" xfId="0" applyNumberFormat="1" applyFont="1" applyFill="1"/>
    <xf numFmtId="169" fontId="6" fillId="0" borderId="10" xfId="5" applyFont="1" applyFill="1" applyBorder="1" applyAlignment="1">
      <alignment horizontal="center" wrapText="1" readingOrder="2"/>
    </xf>
    <xf numFmtId="169" fontId="6" fillId="0" borderId="11" xfId="5" applyFont="1" applyFill="1" applyBorder="1" applyAlignment="1">
      <alignment horizontal="center" wrapText="1" readingOrder="2"/>
    </xf>
    <xf numFmtId="169" fontId="6" fillId="0" borderId="40" xfId="5" applyFont="1" applyFill="1" applyBorder="1" applyAlignment="1">
      <alignment horizontal="center" wrapText="1" readingOrder="2"/>
    </xf>
    <xf numFmtId="0" fontId="2" fillId="0" borderId="0" xfId="0" applyFont="1" applyFill="1" applyAlignment="1">
      <alignment horizontal="center" wrapText="1" readingOrder="2"/>
    </xf>
    <xf numFmtId="0" fontId="5" fillId="0" borderId="41" xfId="0" applyFont="1" applyFill="1" applyBorder="1" applyAlignment="1">
      <alignment horizontal="center"/>
    </xf>
    <xf numFmtId="0" fontId="5" fillId="0" borderId="14" xfId="0" applyFont="1" applyFill="1" applyBorder="1" applyAlignment="1">
      <alignment horizontal="center"/>
    </xf>
    <xf numFmtId="169" fontId="2" fillId="0" borderId="42" xfId="5" applyFont="1" applyFill="1" applyBorder="1" applyAlignment="1">
      <alignment horizontal="right" vertical="center"/>
    </xf>
    <xf numFmtId="169" fontId="2" fillId="0" borderId="16" xfId="5" applyFont="1" applyFill="1" applyBorder="1" applyAlignment="1">
      <alignment horizontal="right" vertical="center"/>
    </xf>
    <xf numFmtId="10" fontId="2" fillId="0" borderId="0" xfId="11" applyNumberFormat="1" applyFont="1" applyFill="1"/>
    <xf numFmtId="0" fontId="5" fillId="0" borderId="12" xfId="0" applyFont="1" applyFill="1" applyBorder="1" applyAlignment="1">
      <alignment horizontal="center"/>
    </xf>
    <xf numFmtId="169" fontId="6" fillId="0" borderId="43" xfId="5" applyFont="1" applyFill="1" applyBorder="1" applyAlignment="1">
      <alignment horizontal="right" vertical="center"/>
    </xf>
    <xf numFmtId="43" fontId="6" fillId="0" borderId="44" xfId="1" applyFont="1" applyFill="1" applyBorder="1" applyAlignment="1">
      <alignment horizontal="right" vertical="center"/>
    </xf>
    <xf numFmtId="0" fontId="6" fillId="0" borderId="0" xfId="0" applyFont="1" applyFill="1"/>
    <xf numFmtId="0" fontId="5" fillId="0" borderId="45" xfId="0" applyFont="1" applyFill="1" applyBorder="1" applyAlignment="1">
      <alignment horizontal="center"/>
    </xf>
    <xf numFmtId="0" fontId="6" fillId="0" borderId="17" xfId="0" quotePrefix="1" applyFont="1" applyFill="1" applyBorder="1" applyAlignment="1">
      <alignment horizontal="right" wrapText="1"/>
    </xf>
    <xf numFmtId="2" fontId="6" fillId="0" borderId="17" xfId="0" applyNumberFormat="1" applyFont="1" applyFill="1" applyBorder="1" applyAlignment="1">
      <alignment horizontal="right" vertical="center"/>
    </xf>
    <xf numFmtId="2" fontId="6" fillId="0" borderId="46" xfId="0" applyNumberFormat="1" applyFont="1" applyFill="1" applyBorder="1" applyAlignment="1">
      <alignment horizontal="right" vertical="center"/>
    </xf>
    <xf numFmtId="0" fontId="5" fillId="0" borderId="47" xfId="0" applyFont="1" applyFill="1" applyBorder="1" applyAlignment="1">
      <alignment horizontal="center"/>
    </xf>
    <xf numFmtId="2" fontId="6" fillId="0" borderId="48" xfId="0" applyNumberFormat="1" applyFont="1" applyFill="1" applyBorder="1" applyAlignment="1">
      <alignment horizontal="right" vertical="center"/>
    </xf>
    <xf numFmtId="0" fontId="6" fillId="0" borderId="17" xfId="0" applyFont="1" applyFill="1" applyBorder="1" applyAlignment="1">
      <alignment horizontal="right" wrapText="1"/>
    </xf>
    <xf numFmtId="0" fontId="43" fillId="0" borderId="47" xfId="0" applyFont="1" applyFill="1" applyBorder="1" applyAlignment="1">
      <alignment horizontal="center"/>
    </xf>
    <xf numFmtId="0" fontId="44" fillId="0" borderId="0" xfId="0" applyFont="1" applyFill="1" applyBorder="1"/>
    <xf numFmtId="2" fontId="6" fillId="0" borderId="0" xfId="0" applyNumberFormat="1" applyFont="1" applyFill="1" applyBorder="1" applyAlignment="1">
      <alignment horizontal="right" vertical="center"/>
    </xf>
    <xf numFmtId="0" fontId="45" fillId="0" borderId="0" xfId="0" applyFont="1" applyFill="1"/>
    <xf numFmtId="169" fontId="20" fillId="0" borderId="0" xfId="0" applyNumberFormat="1" applyFont="1" applyFill="1" applyAlignment="1">
      <alignment horizontal="right"/>
    </xf>
    <xf numFmtId="14" fontId="6" fillId="0" borderId="0" xfId="0" applyNumberFormat="1" applyFont="1" applyFill="1" applyAlignment="1">
      <alignment horizontal="center"/>
    </xf>
    <xf numFmtId="43" fontId="2" fillId="0" borderId="49" xfId="1" applyFont="1" applyFill="1" applyBorder="1" applyAlignment="1">
      <alignment horizontal="right"/>
    </xf>
    <xf numFmtId="169" fontId="2" fillId="0" borderId="42" xfId="5" applyFont="1" applyFill="1" applyBorder="1" applyAlignment="1">
      <alignment horizontal="right" vertical="center" readingOrder="2"/>
    </xf>
    <xf numFmtId="43" fontId="2" fillId="0" borderId="44" xfId="1" applyFont="1" applyFill="1" applyBorder="1" applyAlignment="1">
      <alignment horizontal="right"/>
    </xf>
    <xf numFmtId="0" fontId="5" fillId="0" borderId="45" xfId="0" quotePrefix="1" applyFont="1" applyFill="1" applyBorder="1" applyAlignment="1">
      <alignment horizontal="center"/>
    </xf>
    <xf numFmtId="0" fontId="6" fillId="0" borderId="17" xfId="0" quotePrefix="1" applyFont="1" applyFill="1" applyBorder="1" applyAlignment="1">
      <alignment horizontal="right" wrapText="1" readingOrder="2"/>
    </xf>
    <xf numFmtId="43" fontId="6" fillId="0" borderId="50" xfId="0" applyNumberFormat="1" applyFont="1" applyFill="1" applyBorder="1" applyAlignment="1">
      <alignment horizontal="right" readingOrder="2"/>
    </xf>
    <xf numFmtId="43" fontId="6" fillId="0" borderId="46" xfId="1" applyFont="1" applyFill="1" applyBorder="1" applyAlignment="1">
      <alignment horizontal="right"/>
    </xf>
    <xf numFmtId="2" fontId="6" fillId="0" borderId="48" xfId="0" applyNumberFormat="1" applyFont="1" applyFill="1" applyBorder="1" applyAlignment="1">
      <alignment horizontal="right"/>
    </xf>
    <xf numFmtId="0" fontId="3" fillId="0" borderId="0" xfId="0" applyFont="1" applyFill="1" applyAlignment="1" applyProtection="1">
      <alignment horizontal="center" readingOrder="2"/>
    </xf>
    <xf numFmtId="0" fontId="29" fillId="0" borderId="0" xfId="0" applyFont="1" applyFill="1" applyAlignment="1">
      <alignment horizontal="center"/>
    </xf>
    <xf numFmtId="0" fontId="20" fillId="0" borderId="0" xfId="0" applyFont="1" applyFill="1" applyAlignment="1" applyProtection="1">
      <alignment horizontal="right" readingOrder="2"/>
    </xf>
    <xf numFmtId="0" fontId="32" fillId="0" borderId="51" xfId="0" applyFont="1" applyFill="1" applyBorder="1" applyAlignment="1">
      <alignment horizontal="centerContinuous"/>
    </xf>
    <xf numFmtId="0" fontId="32" fillId="0" borderId="52" xfId="0" quotePrefix="1" applyFont="1" applyFill="1" applyBorder="1" applyAlignment="1">
      <alignment horizontal="center" readingOrder="2"/>
    </xf>
    <xf numFmtId="0" fontId="32" fillId="0" borderId="53" xfId="0" applyFont="1" applyFill="1" applyBorder="1" applyAlignment="1">
      <alignment horizontal="centerContinuous" readingOrder="2"/>
    </xf>
    <xf numFmtId="0" fontId="32" fillId="0" borderId="54" xfId="0" applyFont="1" applyFill="1" applyBorder="1" applyAlignment="1">
      <alignment readingOrder="2"/>
    </xf>
    <xf numFmtId="0" fontId="31" fillId="0" borderId="55" xfId="0" applyFont="1" applyFill="1" applyBorder="1"/>
    <xf numFmtId="0" fontId="32" fillId="0" borderId="56" xfId="0" applyFont="1" applyFill="1" applyBorder="1" applyAlignment="1">
      <alignment horizontal="center" readingOrder="2"/>
    </xf>
    <xf numFmtId="0" fontId="32" fillId="0" borderId="57" xfId="0" applyFont="1" applyFill="1" applyBorder="1" applyAlignment="1">
      <alignment horizontal="center" readingOrder="2"/>
    </xf>
    <xf numFmtId="169" fontId="8" fillId="0" borderId="0" xfId="5" applyFont="1" applyFill="1" applyBorder="1" applyAlignment="1">
      <alignment horizontal="center" wrapText="1" readingOrder="2"/>
    </xf>
    <xf numFmtId="2" fontId="8" fillId="0" borderId="0" xfId="0" applyNumberFormat="1" applyFont="1" applyFill="1" applyBorder="1"/>
    <xf numFmtId="0" fontId="20" fillId="0" borderId="0" xfId="0" applyFont="1" applyFill="1" applyAlignment="1" applyProtection="1">
      <alignment horizontal="center" readingOrder="2"/>
    </xf>
    <xf numFmtId="2" fontId="35" fillId="0" borderId="0" xfId="0" applyNumberFormat="1" applyFont="1" applyFill="1"/>
    <xf numFmtId="2" fontId="20" fillId="0" borderId="0" xfId="0" applyNumberFormat="1" applyFont="1" applyFill="1" applyBorder="1"/>
    <xf numFmtId="2" fontId="20" fillId="0" borderId="0" xfId="0" applyNumberFormat="1" applyFont="1" applyFill="1"/>
    <xf numFmtId="169" fontId="20" fillId="0" borderId="52" xfId="5" quotePrefix="1" applyFont="1" applyFill="1" applyBorder="1" applyAlignment="1">
      <alignment horizontal="center" wrapText="1" readingOrder="2"/>
    </xf>
    <xf numFmtId="0" fontId="20" fillId="0" borderId="52" xfId="0" applyFont="1" applyFill="1" applyBorder="1" applyAlignment="1">
      <alignment horizontal="center" wrapText="1" readingOrder="2"/>
    </xf>
    <xf numFmtId="0" fontId="20" fillId="0" borderId="53" xfId="0" applyFont="1" applyFill="1" applyBorder="1" applyAlignment="1">
      <alignment horizontal="centerContinuous" readingOrder="2"/>
    </xf>
    <xf numFmtId="2" fontId="18" fillId="0" borderId="0" xfId="0" applyNumberFormat="1" applyFont="1" applyFill="1" applyBorder="1"/>
    <xf numFmtId="176" fontId="2" fillId="0" borderId="0" xfId="0" applyNumberFormat="1" applyFont="1" applyFill="1"/>
    <xf numFmtId="176" fontId="2" fillId="0" borderId="53" xfId="5" applyNumberFormat="1" applyFont="1" applyFill="1" applyBorder="1" applyAlignment="1">
      <alignment horizontal="center"/>
    </xf>
    <xf numFmtId="43" fontId="2" fillId="0" borderId="53" xfId="1" applyNumberFormat="1" applyFont="1" applyFill="1" applyBorder="1"/>
    <xf numFmtId="168" fontId="2" fillId="0" borderId="0" xfId="0" applyNumberFormat="1" applyFont="1" applyFill="1"/>
    <xf numFmtId="176" fontId="2" fillId="0" borderId="0" xfId="5" applyNumberFormat="1" applyFont="1" applyFill="1" applyBorder="1" applyAlignment="1">
      <alignment horizontal="center"/>
    </xf>
    <xf numFmtId="43" fontId="2" fillId="0" borderId="0" xfId="1" applyNumberFormat="1" applyFont="1" applyFill="1" applyBorder="1"/>
    <xf numFmtId="4" fontId="2" fillId="0" borderId="0" xfId="0" applyNumberFormat="1" applyFont="1" applyFill="1" applyBorder="1"/>
    <xf numFmtId="176" fontId="2" fillId="0" borderId="0" xfId="0" applyNumberFormat="1" applyFont="1" applyFill="1" applyBorder="1"/>
    <xf numFmtId="167" fontId="32" fillId="0" borderId="0" xfId="0" applyNumberFormat="1" applyFont="1" applyFill="1" applyAlignment="1">
      <alignment horizontal="center"/>
    </xf>
    <xf numFmtId="0" fontId="8" fillId="0" borderId="0" xfId="0" quotePrefix="1" applyFont="1" applyFill="1" applyBorder="1" applyAlignment="1">
      <alignment horizontal="right" wrapText="1"/>
    </xf>
    <xf numFmtId="0" fontId="19" fillId="0" borderId="12" xfId="0" applyFont="1" applyFill="1" applyBorder="1" applyAlignment="1">
      <alignment horizontal="center" readingOrder="2"/>
    </xf>
    <xf numFmtId="164" fontId="18" fillId="0" borderId="15" xfId="0" applyNumberFormat="1" applyFont="1" applyFill="1" applyBorder="1"/>
    <xf numFmtId="0" fontId="32" fillId="0" borderId="23" xfId="0" quotePrefix="1" applyFont="1" applyFill="1" applyBorder="1" applyAlignment="1">
      <alignment horizontal="left"/>
    </xf>
    <xf numFmtId="2" fontId="32" fillId="0" borderId="34" xfId="0" applyNumberFormat="1" applyFont="1" applyFill="1" applyBorder="1" applyAlignment="1">
      <alignment horizontal="right"/>
    </xf>
    <xf numFmtId="0" fontId="8" fillId="0" borderId="58" xfId="0" applyFont="1" applyFill="1" applyBorder="1"/>
    <xf numFmtId="0" fontId="8" fillId="0" borderId="59" xfId="0" applyFont="1" applyFill="1" applyBorder="1"/>
    <xf numFmtId="0" fontId="8" fillId="0" borderId="60" xfId="0" applyFont="1" applyFill="1" applyBorder="1"/>
    <xf numFmtId="2" fontId="31" fillId="0" borderId="0" xfId="0" applyNumberFormat="1" applyFont="1" applyFill="1" applyBorder="1" applyAlignment="1">
      <alignment horizontal="right"/>
    </xf>
    <xf numFmtId="0" fontId="6" fillId="0" borderId="61" xfId="0" applyFont="1" applyFill="1" applyBorder="1" applyAlignment="1">
      <alignment horizontal="centerContinuous" vertical="center"/>
    </xf>
    <xf numFmtId="0" fontId="2" fillId="0" borderId="0" xfId="0" applyFont="1" applyFill="1" applyAlignment="1">
      <alignment vertical="center"/>
    </xf>
    <xf numFmtId="0" fontId="6" fillId="0" borderId="62" xfId="0" applyFont="1" applyFill="1" applyBorder="1" applyAlignment="1">
      <alignment horizontal="center" vertical="center" wrapText="1"/>
    </xf>
    <xf numFmtId="0" fontId="6" fillId="0" borderId="63" xfId="0" applyFont="1" applyFill="1" applyBorder="1" applyAlignment="1">
      <alignment horizontal="center" vertical="center"/>
    </xf>
    <xf numFmtId="0" fontId="6" fillId="0" borderId="0" xfId="0" applyFont="1" applyFill="1" applyAlignment="1">
      <alignment horizontal="center" vertical="center"/>
    </xf>
    <xf numFmtId="4" fontId="2" fillId="0" borderId="0" xfId="0" applyNumberFormat="1" applyFont="1" applyAlignment="1">
      <alignment horizontal="right" readingOrder="2"/>
    </xf>
    <xf numFmtId="0" fontId="11" fillId="0" borderId="0" xfId="0" applyFont="1" applyAlignment="1">
      <alignment vertical="center" readingOrder="2"/>
    </xf>
    <xf numFmtId="0" fontId="46" fillId="0" borderId="64" xfId="0" applyFont="1" applyFill="1" applyBorder="1"/>
    <xf numFmtId="0" fontId="46" fillId="0" borderId="65" xfId="0" applyFont="1" applyFill="1" applyBorder="1" applyAlignment="1">
      <alignment horizontal="right" vertical="center" readingOrder="2"/>
    </xf>
    <xf numFmtId="182" fontId="46" fillId="0" borderId="66" xfId="0" applyNumberFormat="1" applyFont="1" applyFill="1" applyBorder="1" applyAlignment="1">
      <alignment horizontal="right" vertical="center"/>
    </xf>
    <xf numFmtId="182" fontId="46" fillId="0" borderId="46" xfId="0" applyNumberFormat="1" applyFont="1" applyFill="1" applyBorder="1" applyAlignment="1">
      <alignment horizontal="right" vertical="center"/>
    </xf>
    <xf numFmtId="0" fontId="46" fillId="0" borderId="0" xfId="0" applyFont="1" applyFill="1"/>
    <xf numFmtId="0" fontId="47" fillId="0" borderId="67" xfId="0" applyFont="1" applyFill="1" applyBorder="1"/>
    <xf numFmtId="182" fontId="49" fillId="0" borderId="68" xfId="0" applyNumberFormat="1" applyFont="1" applyFill="1" applyBorder="1" applyAlignment="1">
      <alignment horizontal="right" vertical="center"/>
    </xf>
    <xf numFmtId="182" fontId="49" fillId="0" borderId="3" xfId="0" applyNumberFormat="1" applyFont="1" applyFill="1" applyBorder="1" applyAlignment="1">
      <alignment horizontal="right" vertical="center"/>
    </xf>
    <xf numFmtId="0" fontId="46" fillId="0" borderId="69" xfId="0" applyFont="1" applyFill="1" applyBorder="1" applyAlignment="1">
      <alignment horizontal="right" readingOrder="2"/>
    </xf>
    <xf numFmtId="0" fontId="46" fillId="0" borderId="70" xfId="0" applyFont="1" applyFill="1" applyBorder="1"/>
    <xf numFmtId="0" fontId="3" fillId="0" borderId="6" xfId="0" applyFont="1" applyFill="1" applyBorder="1" applyAlignment="1">
      <alignment horizontal="center" readingOrder="2"/>
    </xf>
    <xf numFmtId="0" fontId="21" fillId="0" borderId="0" xfId="14" applyFont="1" applyFill="1" applyAlignment="1" applyProtection="1">
      <alignment horizontal="left"/>
    </xf>
    <xf numFmtId="0" fontId="20" fillId="0" borderId="0" xfId="0" applyFont="1" applyFill="1" applyAlignment="1">
      <alignment horizontal="center"/>
    </xf>
    <xf numFmtId="170" fontId="31" fillId="2" borderId="0" xfId="5" applyNumberFormat="1" applyFont="1" applyFill="1" applyBorder="1" applyAlignment="1" applyProtection="1">
      <alignment vertical="center"/>
    </xf>
    <xf numFmtId="170" fontId="31" fillId="2" borderId="0" xfId="5" applyNumberFormat="1" applyFont="1" applyFill="1" applyBorder="1" applyAlignment="1">
      <alignment vertical="center"/>
    </xf>
    <xf numFmtId="0" fontId="3" fillId="0" borderId="0" xfId="0" applyFont="1" applyFill="1" applyAlignment="1"/>
    <xf numFmtId="169" fontId="20" fillId="0" borderId="0" xfId="5" applyFont="1" applyFill="1" applyAlignment="1"/>
    <xf numFmtId="0" fontId="20" fillId="0" borderId="42" xfId="0" applyFont="1" applyFill="1" applyBorder="1" applyAlignment="1">
      <alignment horizontal="center"/>
    </xf>
    <xf numFmtId="0" fontId="20" fillId="0" borderId="42" xfId="0" applyFont="1" applyFill="1" applyBorder="1" applyAlignment="1">
      <alignment horizontal="center" readingOrder="2"/>
    </xf>
    <xf numFmtId="0" fontId="2" fillId="3" borderId="0" xfId="0" applyFont="1" applyFill="1"/>
    <xf numFmtId="0" fontId="3" fillId="3" borderId="0" xfId="0" applyFont="1" applyFill="1"/>
    <xf numFmtId="0" fontId="2" fillId="3" borderId="0" xfId="0" applyFont="1" applyFill="1" applyAlignment="1">
      <alignment wrapText="1"/>
    </xf>
    <xf numFmtId="0" fontId="22" fillId="3" borderId="0" xfId="0" applyFont="1" applyFill="1" applyAlignment="1">
      <alignment horizontal="center"/>
    </xf>
    <xf numFmtId="0" fontId="22" fillId="3" borderId="0" xfId="0" applyFont="1" applyFill="1" applyAlignment="1"/>
    <xf numFmtId="0" fontId="13" fillId="3" borderId="0" xfId="0" applyFont="1" applyFill="1"/>
    <xf numFmtId="177" fontId="13" fillId="3" borderId="0" xfId="0" applyNumberFormat="1" applyFont="1" applyFill="1" applyAlignment="1">
      <alignment wrapText="1" readingOrder="2"/>
    </xf>
    <xf numFmtId="0" fontId="21" fillId="3" borderId="28" xfId="14" applyFont="1" applyFill="1" applyBorder="1" applyAlignment="1" applyProtection="1">
      <alignment wrapText="1"/>
    </xf>
    <xf numFmtId="0" fontId="6" fillId="0" borderId="71" xfId="0" applyFont="1" applyFill="1" applyBorder="1" applyAlignment="1">
      <alignment horizontal="center" vertical="center" wrapText="1"/>
    </xf>
    <xf numFmtId="182" fontId="2" fillId="0" borderId="72" xfId="0" applyNumberFormat="1" applyFont="1" applyFill="1" applyBorder="1" applyAlignment="1">
      <alignment horizontal="right"/>
    </xf>
    <xf numFmtId="0" fontId="6" fillId="0" borderId="73" xfId="0" applyFont="1" applyFill="1" applyBorder="1" applyAlignment="1">
      <alignment horizontal="center" vertical="center"/>
    </xf>
    <xf numFmtId="0" fontId="6" fillId="0" borderId="62" xfId="0" applyFont="1" applyFill="1" applyBorder="1" applyAlignment="1">
      <alignment horizontal="center" vertical="center"/>
    </xf>
    <xf numFmtId="182" fontId="46" fillId="0" borderId="74" xfId="5" applyNumberFormat="1" applyFont="1" applyFill="1" applyBorder="1" applyAlignment="1" applyProtection="1">
      <alignment horizontal="right"/>
    </xf>
    <xf numFmtId="0" fontId="2" fillId="0" borderId="75" xfId="0" applyFont="1" applyFill="1" applyBorder="1"/>
    <xf numFmtId="182" fontId="2" fillId="0" borderId="36" xfId="5" applyNumberFormat="1" applyFont="1" applyFill="1" applyBorder="1" applyAlignment="1" applyProtection="1">
      <alignment horizontal="right"/>
    </xf>
    <xf numFmtId="182" fontId="2" fillId="0" borderId="30" xfId="5" applyNumberFormat="1" applyFont="1" applyFill="1" applyBorder="1" applyAlignment="1" applyProtection="1">
      <alignment horizontal="right"/>
    </xf>
    <xf numFmtId="0" fontId="6" fillId="0" borderId="64" xfId="0" applyFont="1" applyFill="1" applyBorder="1"/>
    <xf numFmtId="0" fontId="6" fillId="0" borderId="76" xfId="0" applyFont="1" applyFill="1" applyBorder="1" applyAlignment="1">
      <alignment horizontal="right" readingOrder="2"/>
    </xf>
    <xf numFmtId="182" fontId="6" fillId="0" borderId="65" xfId="5" applyNumberFormat="1" applyFont="1" applyFill="1" applyBorder="1" applyAlignment="1" applyProtection="1">
      <alignment horizontal="right"/>
    </xf>
    <xf numFmtId="0" fontId="2" fillId="0" borderId="77" xfId="0" applyFont="1" applyFill="1" applyBorder="1" applyAlignment="1">
      <alignment horizontal="right" readingOrder="2"/>
    </xf>
    <xf numFmtId="182" fontId="2" fillId="0" borderId="77" xfId="0" applyNumberFormat="1" applyFont="1" applyFill="1" applyBorder="1"/>
    <xf numFmtId="0" fontId="2" fillId="0" borderId="78" xfId="0" applyFont="1" applyFill="1" applyBorder="1" applyAlignment="1">
      <alignment horizontal="right" wrapText="1"/>
    </xf>
    <xf numFmtId="169" fontId="20" fillId="0" borderId="51" xfId="5" applyFont="1" applyFill="1" applyBorder="1" applyAlignment="1">
      <alignment horizontal="right" readingOrder="2"/>
    </xf>
    <xf numFmtId="0" fontId="20" fillId="0" borderId="14" xfId="0" applyFont="1" applyFill="1" applyBorder="1" applyAlignment="1">
      <alignment horizontal="centerContinuous"/>
    </xf>
    <xf numFmtId="176" fontId="2" fillId="0" borderId="19" xfId="5" applyNumberFormat="1" applyFont="1" applyFill="1" applyBorder="1" applyAlignment="1">
      <alignment horizontal="center"/>
    </xf>
    <xf numFmtId="43" fontId="2" fillId="0" borderId="19" xfId="1" applyNumberFormat="1" applyFont="1" applyFill="1" applyBorder="1"/>
    <xf numFmtId="43" fontId="2" fillId="0" borderId="20" xfId="1" applyFont="1" applyFill="1" applyBorder="1"/>
    <xf numFmtId="0" fontId="0" fillId="0" borderId="0" xfId="0" applyAlignment="1">
      <alignment horizontal="right" wrapText="1" readingOrder="2"/>
    </xf>
    <xf numFmtId="169" fontId="2" fillId="3" borderId="79" xfId="5" applyFont="1" applyFill="1" applyBorder="1" applyAlignment="1">
      <alignment horizontal="right" vertical="center" readingOrder="2"/>
    </xf>
    <xf numFmtId="169" fontId="2" fillId="3" borderId="13" xfId="5" applyFont="1" applyFill="1" applyBorder="1" applyAlignment="1">
      <alignment horizontal="right" vertical="center" readingOrder="2"/>
    </xf>
    <xf numFmtId="169" fontId="2" fillId="0" borderId="15" xfId="5" applyFont="1" applyFill="1" applyBorder="1" applyAlignment="1">
      <alignment horizontal="right" vertical="center"/>
    </xf>
    <xf numFmtId="0" fontId="20" fillId="3" borderId="0" xfId="9" applyFont="1" applyFill="1" applyBorder="1" applyAlignment="1">
      <alignment horizontal="center" readingOrder="2"/>
    </xf>
    <xf numFmtId="0" fontId="6" fillId="3" borderId="0" xfId="9" applyFont="1" applyFill="1" applyBorder="1" applyAlignment="1">
      <alignment horizontal="right" readingOrder="2"/>
    </xf>
    <xf numFmtId="0" fontId="20" fillId="0" borderId="0" xfId="0" applyFont="1" applyFill="1" applyAlignment="1"/>
    <xf numFmtId="0" fontId="2" fillId="0" borderId="0" xfId="0" applyNumberFormat="1" applyFont="1" applyFill="1" applyBorder="1" applyAlignment="1">
      <alignment wrapText="1" readingOrder="2"/>
    </xf>
    <xf numFmtId="0" fontId="0" fillId="0" borderId="0" xfId="0" applyBorder="1" applyAlignment="1">
      <alignment wrapText="1" readingOrder="2"/>
    </xf>
    <xf numFmtId="0" fontId="0" fillId="0" borderId="0" xfId="0" applyAlignment="1">
      <alignment wrapText="1" readingOrder="2"/>
    </xf>
    <xf numFmtId="0" fontId="31" fillId="0" borderId="80" xfId="0" applyFont="1" applyBorder="1" applyAlignment="1">
      <alignment horizontal="center" readingOrder="2"/>
    </xf>
    <xf numFmtId="0" fontId="13" fillId="0" borderId="81" xfId="0" applyFont="1" applyBorder="1" applyAlignment="1">
      <alignment horizontal="center" readingOrder="2"/>
    </xf>
    <xf numFmtId="14" fontId="8" fillId="0" borderId="0" xfId="0" applyNumberFormat="1" applyFont="1" applyFill="1" applyAlignment="1">
      <alignment horizontal="center"/>
    </xf>
    <xf numFmtId="164" fontId="26" fillId="0" borderId="6" xfId="0" applyNumberFormat="1" applyFont="1" applyFill="1" applyBorder="1" applyAlignment="1">
      <alignment horizontal="center"/>
    </xf>
    <xf numFmtId="164" fontId="26" fillId="0" borderId="3" xfId="0" applyNumberFormat="1" applyFont="1" applyFill="1" applyBorder="1" applyAlignment="1">
      <alignment horizontal="center"/>
    </xf>
    <xf numFmtId="14" fontId="13" fillId="0" borderId="1" xfId="0" applyNumberFormat="1" applyFont="1" applyFill="1" applyBorder="1" applyAlignment="1" applyProtection="1">
      <alignment horizontal="center"/>
    </xf>
    <xf numFmtId="43" fontId="31" fillId="0" borderId="28" xfId="1" applyFont="1" applyFill="1" applyBorder="1" applyAlignment="1">
      <alignment horizontal="right" readingOrder="2"/>
    </xf>
    <xf numFmtId="167" fontId="26" fillId="0" borderId="6" xfId="0" applyNumberFormat="1" applyFont="1" applyFill="1" applyBorder="1" applyProtection="1"/>
    <xf numFmtId="167" fontId="26" fillId="0" borderId="3" xfId="0" applyNumberFormat="1" applyFont="1" applyFill="1" applyBorder="1" applyProtection="1"/>
    <xf numFmtId="0" fontId="36" fillId="0" borderId="82" xfId="0" applyFont="1" applyFill="1" applyBorder="1" applyAlignment="1" applyProtection="1">
      <alignment horizontal="center" vertical="center"/>
    </xf>
    <xf numFmtId="0" fontId="32" fillId="0" borderId="83" xfId="0" applyFont="1" applyFill="1" applyBorder="1" applyAlignment="1">
      <alignment horizontal="center"/>
    </xf>
    <xf numFmtId="0" fontId="37" fillId="0" borderId="83" xfId="0" applyFont="1" applyFill="1" applyBorder="1" applyAlignment="1">
      <alignment horizontal="center"/>
    </xf>
    <xf numFmtId="0" fontId="32" fillId="0" borderId="84" xfId="0" applyFont="1" applyFill="1" applyBorder="1" applyAlignment="1">
      <alignment horizontal="center"/>
    </xf>
    <xf numFmtId="0" fontId="36" fillId="0" borderId="85" xfId="0" applyFont="1" applyFill="1" applyBorder="1" applyAlignment="1" applyProtection="1">
      <alignment horizontal="center" vertical="center"/>
    </xf>
    <xf numFmtId="14" fontId="32" fillId="0" borderId="86" xfId="0" applyNumberFormat="1" applyFont="1" applyFill="1" applyBorder="1" applyAlignment="1">
      <alignment horizontal="center"/>
    </xf>
    <xf numFmtId="14" fontId="37" fillId="0" borderId="86" xfId="0" applyNumberFormat="1" applyFont="1" applyFill="1" applyBorder="1" applyAlignment="1">
      <alignment horizontal="center"/>
    </xf>
    <xf numFmtId="0" fontId="32" fillId="0" borderId="87" xfId="0" applyFont="1" applyFill="1" applyBorder="1" applyAlignment="1">
      <alignment horizontal="center"/>
    </xf>
    <xf numFmtId="2" fontId="34" fillId="0" borderId="15" xfId="0" applyNumberFormat="1" applyFont="1" applyFill="1" applyBorder="1" applyAlignment="1">
      <alignment horizontal="center"/>
    </xf>
    <xf numFmtId="2" fontId="38" fillId="0" borderId="15" xfId="0" applyNumberFormat="1" applyFont="1" applyFill="1" applyBorder="1" applyAlignment="1">
      <alignment horizontal="center"/>
    </xf>
    <xf numFmtId="183" fontId="31" fillId="0" borderId="28" xfId="1" applyNumberFormat="1" applyFont="1" applyFill="1" applyBorder="1" applyAlignment="1">
      <alignment horizontal="center"/>
    </xf>
    <xf numFmtId="0" fontId="39" fillId="0" borderId="13" xfId="0" quotePrefix="1" applyFont="1" applyFill="1" applyBorder="1" applyAlignment="1" applyProtection="1">
      <alignment horizontal="right" wrapText="1"/>
    </xf>
    <xf numFmtId="0" fontId="31" fillId="0" borderId="12" xfId="0" applyFont="1" applyFill="1" applyBorder="1" applyAlignment="1" applyProtection="1">
      <alignment horizontal="right"/>
    </xf>
    <xf numFmtId="0" fontId="31" fillId="0" borderId="88" xfId="0" applyFont="1" applyFill="1" applyBorder="1"/>
    <xf numFmtId="2" fontId="38" fillId="0" borderId="89" xfId="0" applyNumberFormat="1" applyFont="1" applyFill="1" applyBorder="1" applyAlignment="1">
      <alignment horizontal="right"/>
    </xf>
    <xf numFmtId="2" fontId="31" fillId="0" borderId="89" xfId="0" applyNumberFormat="1" applyFont="1" applyFill="1" applyBorder="1"/>
    <xf numFmtId="10" fontId="31" fillId="0" borderId="90" xfId="11" applyNumberFormat="1" applyFont="1" applyFill="1" applyBorder="1" applyAlignment="1">
      <alignment horizontal="right"/>
    </xf>
    <xf numFmtId="43" fontId="18" fillId="0" borderId="53" xfId="1" applyNumberFormat="1" applyFont="1" applyFill="1" applyBorder="1"/>
    <xf numFmtId="43" fontId="18" fillId="0" borderId="19" xfId="1" applyNumberFormat="1" applyFont="1" applyFill="1" applyBorder="1"/>
    <xf numFmtId="174" fontId="8" fillId="0" borderId="3" xfId="11" applyNumberFormat="1" applyFont="1" applyFill="1" applyBorder="1"/>
    <xf numFmtId="2" fontId="6" fillId="0" borderId="91" xfId="0" applyNumberFormat="1" applyFont="1" applyFill="1" applyBorder="1" applyAlignment="1">
      <alignment horizontal="right" vertical="center"/>
    </xf>
    <xf numFmtId="43" fontId="6" fillId="0" borderId="50" xfId="1" applyNumberFormat="1" applyFont="1" applyFill="1" applyBorder="1" applyAlignment="1">
      <alignment horizontal="right" readingOrder="2"/>
    </xf>
    <xf numFmtId="9" fontId="0" fillId="0" borderId="0" xfId="11" applyFont="1" applyAlignment="1">
      <alignment horizontal="right" wrapText="1" readingOrder="2"/>
    </xf>
    <xf numFmtId="9" fontId="45" fillId="0" borderId="0" xfId="11" applyFont="1" applyFill="1"/>
    <xf numFmtId="9" fontId="42" fillId="0" borderId="0" xfId="11" quotePrefix="1" applyFont="1" applyFill="1" applyAlignment="1">
      <alignment horizontal="center"/>
    </xf>
    <xf numFmtId="14" fontId="20" fillId="0" borderId="0" xfId="0" applyNumberFormat="1" applyFont="1" applyFill="1" applyBorder="1" applyAlignment="1">
      <alignment horizontal="right"/>
    </xf>
    <xf numFmtId="0" fontId="13" fillId="0" borderId="3" xfId="0" applyFont="1" applyFill="1" applyBorder="1"/>
    <xf numFmtId="10" fontId="8" fillId="0" borderId="3" xfId="0" applyNumberFormat="1" applyFont="1" applyFill="1" applyBorder="1"/>
    <xf numFmtId="43" fontId="2" fillId="0" borderId="15" xfId="1" applyFont="1" applyBorder="1"/>
    <xf numFmtId="43" fontId="6" fillId="0" borderId="16" xfId="1" applyFont="1" applyBorder="1"/>
    <xf numFmtId="43" fontId="2" fillId="0" borderId="17" xfId="1" applyFont="1" applyBorder="1"/>
    <xf numFmtId="43" fontId="2" fillId="0" borderId="18" xfId="1" applyFont="1" applyBorder="1"/>
    <xf numFmtId="43" fontId="6" fillId="0" borderId="15" xfId="1" applyFont="1" applyBorder="1"/>
    <xf numFmtId="43" fontId="18" fillId="0" borderId="15" xfId="1" applyFont="1" applyFill="1" applyBorder="1" applyAlignment="1">
      <alignment horizontal="right"/>
    </xf>
    <xf numFmtId="9" fontId="2" fillId="0" borderId="15" xfId="11" applyFont="1" applyBorder="1"/>
    <xf numFmtId="9" fontId="2" fillId="0" borderId="28" xfId="11" applyFont="1" applyBorder="1"/>
    <xf numFmtId="169" fontId="81" fillId="0" borderId="11" xfId="5" applyFont="1" applyFill="1" applyBorder="1" applyAlignment="1">
      <alignment horizontal="center" wrapText="1" readingOrder="2"/>
    </xf>
    <xf numFmtId="169" fontId="81" fillId="0" borderId="40" xfId="5" applyFont="1" applyFill="1" applyBorder="1" applyAlignment="1">
      <alignment horizontal="center" wrapText="1" readingOrder="2"/>
    </xf>
    <xf numFmtId="2" fontId="81" fillId="0" borderId="45" xfId="0" applyNumberFormat="1" applyFont="1" applyFill="1" applyBorder="1" applyAlignment="1">
      <alignment horizontal="right" vertical="center"/>
    </xf>
    <xf numFmtId="2" fontId="81" fillId="0" borderId="46" xfId="0" applyNumberFormat="1" applyFont="1" applyFill="1" applyBorder="1" applyAlignment="1">
      <alignment horizontal="right" vertical="center"/>
    </xf>
    <xf numFmtId="2" fontId="81" fillId="0" borderId="14" xfId="0" applyNumberFormat="1" applyFont="1" applyFill="1" applyBorder="1" applyAlignment="1">
      <alignment horizontal="right" vertical="center"/>
    </xf>
    <xf numFmtId="2" fontId="81" fillId="0" borderId="92" xfId="0" applyNumberFormat="1" applyFont="1" applyFill="1" applyBorder="1" applyAlignment="1">
      <alignment horizontal="right" vertical="center"/>
    </xf>
    <xf numFmtId="43" fontId="2" fillId="0" borderId="93" xfId="2" applyFont="1" applyFill="1" applyBorder="1" applyAlignment="1">
      <alignment horizontal="right" vertical="center"/>
    </xf>
    <xf numFmtId="43" fontId="2" fillId="0" borderId="94" xfId="2" applyFont="1" applyFill="1" applyBorder="1" applyAlignment="1">
      <alignment horizontal="right" vertical="center"/>
    </xf>
    <xf numFmtId="43" fontId="82" fillId="0" borderId="93" xfId="2" applyFont="1" applyFill="1" applyBorder="1" applyAlignment="1">
      <alignment horizontal="right" vertical="center"/>
    </xf>
    <xf numFmtId="43" fontId="82" fillId="0" borderId="94" xfId="2" applyFont="1" applyFill="1" applyBorder="1" applyAlignment="1">
      <alignment horizontal="right" vertical="center"/>
    </xf>
    <xf numFmtId="43" fontId="2" fillId="0" borderId="49" xfId="2" applyFont="1" applyFill="1" applyBorder="1" applyAlignment="1">
      <alignment horizontal="right" vertical="center"/>
    </xf>
    <xf numFmtId="43" fontId="2" fillId="0" borderId="92" xfId="2" applyFont="1" applyFill="1" applyBorder="1" applyAlignment="1">
      <alignment horizontal="right" vertical="center"/>
    </xf>
    <xf numFmtId="43" fontId="82" fillId="0" borderId="49" xfId="2" applyFont="1" applyFill="1" applyBorder="1" applyAlignment="1">
      <alignment horizontal="right" vertical="center"/>
    </xf>
    <xf numFmtId="43" fontId="82" fillId="0" borderId="92" xfId="2" applyFont="1" applyFill="1" applyBorder="1" applyAlignment="1">
      <alignment horizontal="right" vertical="center"/>
    </xf>
    <xf numFmtId="43" fontId="6" fillId="0" borderId="44" xfId="2" applyFont="1" applyFill="1" applyBorder="1" applyAlignment="1">
      <alignment horizontal="right" vertical="center"/>
    </xf>
    <xf numFmtId="43" fontId="6" fillId="0" borderId="28" xfId="2" applyFont="1" applyFill="1" applyBorder="1" applyAlignment="1">
      <alignment horizontal="right" vertical="center"/>
    </xf>
    <xf numFmtId="43" fontId="81" fillId="0" borderId="44" xfId="2" applyFont="1" applyFill="1" applyBorder="1" applyAlignment="1">
      <alignment horizontal="right" vertical="center"/>
    </xf>
    <xf numFmtId="43" fontId="81" fillId="0" borderId="28" xfId="2" applyFont="1" applyFill="1" applyBorder="1" applyAlignment="1">
      <alignment horizontal="right" vertical="center"/>
    </xf>
    <xf numFmtId="43" fontId="2" fillId="0" borderId="49" xfId="2" applyNumberFormat="1" applyFont="1" applyFill="1" applyBorder="1" applyAlignment="1">
      <alignment horizontal="right" vertical="center"/>
    </xf>
    <xf numFmtId="43" fontId="2" fillId="0" borderId="48" xfId="2" applyFont="1" applyFill="1" applyBorder="1" applyAlignment="1">
      <alignment horizontal="right" vertical="center"/>
    </xf>
    <xf numFmtId="43" fontId="82" fillId="0" borderId="48" xfId="2" applyFont="1" applyFill="1" applyBorder="1" applyAlignment="1">
      <alignment horizontal="right" vertical="center"/>
    </xf>
    <xf numFmtId="183" fontId="6" fillId="0" borderId="50" xfId="2" applyNumberFormat="1" applyFont="1" applyFill="1" applyBorder="1" applyAlignment="1">
      <alignment horizontal="right" vertical="center"/>
    </xf>
    <xf numFmtId="183" fontId="81" fillId="0" borderId="2" xfId="2" applyNumberFormat="1" applyFont="1" applyFill="1" applyBorder="1" applyAlignment="1">
      <alignment horizontal="right" vertical="center"/>
    </xf>
    <xf numFmtId="185" fontId="6" fillId="0" borderId="50" xfId="1" applyNumberFormat="1" applyFont="1" applyFill="1" applyBorder="1" applyAlignment="1">
      <alignment horizontal="right" vertical="center"/>
    </xf>
    <xf numFmtId="185" fontId="81" fillId="0" borderId="2" xfId="1" applyNumberFormat="1" applyFont="1" applyFill="1" applyBorder="1" applyAlignment="1">
      <alignment horizontal="right" vertical="center"/>
    </xf>
    <xf numFmtId="43" fontId="82" fillId="0" borderId="49" xfId="2" applyFont="1" applyFill="1" applyBorder="1" applyAlignment="1">
      <alignment horizontal="right"/>
    </xf>
    <xf numFmtId="43" fontId="82" fillId="0" borderId="94" xfId="2" applyFont="1" applyFill="1" applyBorder="1" applyAlignment="1">
      <alignment horizontal="right"/>
    </xf>
    <xf numFmtId="43" fontId="82" fillId="0" borderId="92" xfId="2" applyFont="1" applyFill="1" applyBorder="1" applyAlignment="1">
      <alignment horizontal="right"/>
    </xf>
    <xf numFmtId="43" fontId="82" fillId="0" borderId="44" xfId="2" applyFont="1" applyFill="1" applyBorder="1" applyAlignment="1">
      <alignment horizontal="right"/>
    </xf>
    <xf numFmtId="43" fontId="82" fillId="0" borderId="28" xfId="2" applyFont="1" applyFill="1" applyBorder="1" applyAlignment="1">
      <alignment horizontal="right"/>
    </xf>
    <xf numFmtId="43" fontId="82" fillId="0" borderId="95" xfId="2" applyFont="1" applyFill="1" applyBorder="1" applyAlignment="1">
      <alignment horizontal="right"/>
    </xf>
    <xf numFmtId="43" fontId="82" fillId="0" borderId="48" xfId="2" applyFont="1" applyFill="1" applyBorder="1" applyAlignment="1">
      <alignment horizontal="right"/>
    </xf>
    <xf numFmtId="43" fontId="81" fillId="0" borderId="50" xfId="0" applyNumberFormat="1" applyFont="1" applyFill="1" applyBorder="1" applyAlignment="1">
      <alignment horizontal="right" readingOrder="2"/>
    </xf>
    <xf numFmtId="43" fontId="81" fillId="0" borderId="46" xfId="2" applyFont="1" applyFill="1" applyBorder="1" applyAlignment="1">
      <alignment horizontal="right"/>
    </xf>
    <xf numFmtId="2" fontId="81" fillId="0" borderId="48" xfId="0" applyNumberFormat="1" applyFont="1" applyFill="1" applyBorder="1" applyAlignment="1">
      <alignment horizontal="right"/>
    </xf>
    <xf numFmtId="0" fontId="5" fillId="0" borderId="0" xfId="0" applyFont="1" applyFill="1" applyAlignment="1">
      <alignment vertical="top"/>
    </xf>
    <xf numFmtId="0" fontId="5" fillId="0" borderId="0" xfId="0" applyFont="1" applyFill="1" applyAlignment="1"/>
    <xf numFmtId="0" fontId="5" fillId="0" borderId="0" xfId="0" applyFont="1" applyFill="1" applyAlignment="1">
      <alignment horizontal="right"/>
    </xf>
    <xf numFmtId="0" fontId="5" fillId="0" borderId="0" xfId="0" applyFont="1" applyFill="1" applyAlignment="1">
      <alignment horizontal="center"/>
    </xf>
    <xf numFmtId="0" fontId="5" fillId="0" borderId="11" xfId="0" applyFont="1" applyFill="1" applyBorder="1" applyAlignment="1">
      <alignment horizontal="center"/>
    </xf>
    <xf numFmtId="0" fontId="5" fillId="0" borderId="15" xfId="0" applyFont="1" applyFill="1" applyBorder="1" applyAlignment="1">
      <alignment horizontal="center"/>
    </xf>
    <xf numFmtId="0" fontId="6" fillId="0" borderId="12" xfId="0" applyFont="1" applyFill="1" applyBorder="1" applyAlignment="1">
      <alignment horizontal="right"/>
    </xf>
    <xf numFmtId="0" fontId="6" fillId="0" borderId="13" xfId="0" applyFont="1" applyFill="1" applyBorder="1" applyAlignment="1">
      <alignment horizontal="right"/>
    </xf>
    <xf numFmtId="0" fontId="6" fillId="0" borderId="0" xfId="0" applyFont="1" applyFill="1" applyBorder="1" applyAlignment="1">
      <alignment horizontal="right"/>
    </xf>
    <xf numFmtId="0" fontId="21" fillId="0" borderId="0" xfId="14" applyFont="1" applyFill="1" applyBorder="1" applyAlignment="1" applyProtection="1"/>
    <xf numFmtId="0" fontId="6" fillId="3" borderId="10" xfId="0" applyFont="1" applyFill="1" applyBorder="1"/>
    <xf numFmtId="0" fontId="21" fillId="3" borderId="40" xfId="14" applyFont="1" applyFill="1" applyBorder="1" applyAlignment="1" applyProtection="1">
      <alignment wrapText="1"/>
    </xf>
    <xf numFmtId="0" fontId="6" fillId="3" borderId="12" xfId="0" applyFont="1" applyFill="1" applyBorder="1"/>
    <xf numFmtId="0" fontId="6" fillId="3" borderId="13" xfId="0" applyFont="1" applyFill="1" applyBorder="1"/>
    <xf numFmtId="43" fontId="31" fillId="0" borderId="20" xfId="1" applyFont="1" applyFill="1" applyBorder="1" applyAlignment="1">
      <alignment horizontal="right" readingOrder="2"/>
    </xf>
    <xf numFmtId="0" fontId="51" fillId="0" borderId="0" xfId="0" applyFont="1" applyFill="1" applyAlignment="1">
      <alignment horizontal="center"/>
    </xf>
    <xf numFmtId="0" fontId="6" fillId="0" borderId="0" xfId="0" applyFont="1" applyFill="1" applyAlignment="1">
      <alignment horizontal="center"/>
    </xf>
    <xf numFmtId="0" fontId="18" fillId="0" borderId="0" xfId="0" applyFont="1" applyFill="1" applyAlignment="1">
      <alignment horizontal="center"/>
    </xf>
    <xf numFmtId="14" fontId="18" fillId="0" borderId="0" xfId="0" applyNumberFormat="1" applyFont="1" applyFill="1" applyAlignment="1">
      <alignment horizontal="center"/>
    </xf>
    <xf numFmtId="0" fontId="2" fillId="0" borderId="0" xfId="0" applyFont="1" applyFill="1" applyAlignment="1">
      <alignment horizontal="right" wrapText="1" readingOrder="2"/>
    </xf>
    <xf numFmtId="0" fontId="2" fillId="0" borderId="0" xfId="0" applyFont="1" applyFill="1" applyAlignment="1">
      <alignment wrapText="1" readingOrder="2"/>
    </xf>
    <xf numFmtId="0" fontId="2" fillId="0" borderId="15" xfId="0" applyFont="1" applyFill="1" applyBorder="1"/>
    <xf numFmtId="186" fontId="52" fillId="0" borderId="0" xfId="2" applyNumberFormat="1" applyFont="1" applyFill="1" applyAlignment="1"/>
    <xf numFmtId="43" fontId="52" fillId="0" borderId="0" xfId="2" applyFont="1" applyFill="1" applyAlignment="1"/>
    <xf numFmtId="0" fontId="2" fillId="0" borderId="10" xfId="0" applyFont="1" applyFill="1" applyBorder="1"/>
    <xf numFmtId="14" fontId="5" fillId="0" borderId="15" xfId="0" applyNumberFormat="1" applyFont="1" applyFill="1" applyBorder="1" applyAlignment="1">
      <alignment horizontal="center"/>
    </xf>
    <xf numFmtId="14" fontId="83" fillId="0" borderId="15" xfId="0" applyNumberFormat="1" applyFont="1" applyFill="1" applyBorder="1" applyAlignment="1">
      <alignment horizontal="center"/>
    </xf>
    <xf numFmtId="14" fontId="83" fillId="0" borderId="28" xfId="0" applyNumberFormat="1" applyFont="1" applyFill="1" applyBorder="1" applyAlignment="1">
      <alignment horizontal="center"/>
    </xf>
    <xf numFmtId="0" fontId="2" fillId="0" borderId="19" xfId="0" applyFont="1" applyFill="1" applyBorder="1"/>
    <xf numFmtId="43" fontId="2" fillId="0" borderId="19" xfId="2" applyNumberFormat="1" applyFont="1" applyFill="1" applyBorder="1" applyAlignment="1">
      <alignment horizontal="right" vertical="center"/>
    </xf>
    <xf numFmtId="2" fontId="52" fillId="0" borderId="0" xfId="0" applyNumberFormat="1" applyFont="1" applyFill="1" applyBorder="1" applyAlignment="1"/>
    <xf numFmtId="0" fontId="11" fillId="0" borderId="0" xfId="0" applyFont="1" applyFill="1"/>
    <xf numFmtId="0" fontId="53" fillId="0" borderId="0" xfId="0" applyFont="1" applyFill="1" applyAlignment="1">
      <alignment horizontal="right" readingOrder="2"/>
    </xf>
    <xf numFmtId="0" fontId="27" fillId="0" borderId="4" xfId="0" applyFont="1" applyBorder="1" applyAlignment="1">
      <alignment horizontal="right"/>
    </xf>
    <xf numFmtId="0" fontId="51" fillId="0" borderId="0" xfId="0" applyFont="1" applyFill="1" applyAlignment="1"/>
    <xf numFmtId="43" fontId="2" fillId="0" borderId="95" xfId="2" applyFont="1" applyFill="1" applyBorder="1" applyAlignment="1">
      <alignment horizontal="right"/>
    </xf>
    <xf numFmtId="43" fontId="2" fillId="0" borderId="94" xfId="2" applyFont="1" applyFill="1" applyBorder="1" applyAlignment="1">
      <alignment horizontal="right"/>
    </xf>
    <xf numFmtId="43" fontId="2" fillId="0" borderId="92" xfId="2" applyFont="1" applyFill="1" applyBorder="1" applyAlignment="1">
      <alignment horizontal="right"/>
    </xf>
    <xf numFmtId="43" fontId="2" fillId="0" borderId="28" xfId="2" applyFont="1" applyFill="1" applyBorder="1" applyAlignment="1">
      <alignment horizontal="right"/>
    </xf>
    <xf numFmtId="43" fontId="2" fillId="0" borderId="48" xfId="2" applyFont="1" applyFill="1" applyBorder="1" applyAlignment="1">
      <alignment horizontal="right"/>
    </xf>
    <xf numFmtId="43" fontId="2" fillId="0" borderId="53" xfId="2" applyNumberFormat="1" applyFont="1" applyFill="1" applyBorder="1"/>
    <xf numFmtId="43" fontId="2" fillId="0" borderId="19" xfId="2" applyNumberFormat="1" applyFont="1" applyFill="1" applyBorder="1"/>
    <xf numFmtId="9" fontId="81" fillId="0" borderId="48" xfId="11" applyFont="1" applyFill="1" applyBorder="1" applyAlignment="1">
      <alignment horizontal="right" vertical="center"/>
    </xf>
    <xf numFmtId="9" fontId="6" fillId="0" borderId="48" xfId="11" applyFont="1" applyFill="1" applyBorder="1" applyAlignment="1">
      <alignment horizontal="right" vertical="center"/>
    </xf>
    <xf numFmtId="0" fontId="31" fillId="0" borderId="14" xfId="0" applyFont="1" applyFill="1" applyBorder="1"/>
    <xf numFmtId="2" fontId="38" fillId="0" borderId="15" xfId="0" applyNumberFormat="1" applyFont="1" applyFill="1" applyBorder="1" applyAlignment="1">
      <alignment horizontal="right"/>
    </xf>
    <xf numFmtId="2" fontId="31" fillId="0" borderId="15" xfId="0" applyNumberFormat="1" applyFont="1" applyFill="1" applyBorder="1"/>
    <xf numFmtId="10" fontId="31" fillId="0" borderId="28" xfId="12" applyNumberFormat="1" applyFont="1" applyFill="1" applyBorder="1" applyAlignment="1">
      <alignment horizontal="right"/>
    </xf>
    <xf numFmtId="2" fontId="8" fillId="0" borderId="0" xfId="0" applyNumberFormat="1" applyFont="1" applyFill="1"/>
    <xf numFmtId="10" fontId="31" fillId="0" borderId="90" xfId="12" applyNumberFormat="1" applyFont="1" applyFill="1" applyBorder="1" applyAlignment="1">
      <alignment horizontal="right"/>
    </xf>
    <xf numFmtId="0" fontId="3" fillId="3" borderId="0" xfId="0" applyFont="1" applyFill="1" applyAlignment="1">
      <alignment horizontal="center"/>
    </xf>
    <xf numFmtId="43" fontId="52" fillId="0" borderId="0" xfId="2" applyFont="1" applyFill="1" applyBorder="1" applyAlignment="1">
      <alignment wrapText="1"/>
    </xf>
    <xf numFmtId="43" fontId="84" fillId="0" borderId="0" xfId="2" applyFont="1" applyFill="1" applyBorder="1" applyAlignment="1">
      <alignment wrapText="1"/>
    </xf>
    <xf numFmtId="0" fontId="46" fillId="0" borderId="0" xfId="0" applyFont="1" applyFill="1" applyBorder="1" applyAlignment="1">
      <alignment horizontal="right" vertical="top"/>
    </xf>
    <xf numFmtId="43" fontId="6" fillId="0" borderId="16" xfId="1" applyFont="1" applyFill="1" applyBorder="1"/>
    <xf numFmtId="170" fontId="31" fillId="0" borderId="15" xfId="5" applyNumberFormat="1" applyFont="1" applyFill="1" applyBorder="1" applyAlignment="1" applyProtection="1">
      <alignment vertical="center"/>
    </xf>
    <xf numFmtId="43" fontId="2" fillId="0" borderId="15" xfId="2" applyNumberFormat="1" applyFont="1" applyFill="1" applyBorder="1" applyAlignment="1"/>
    <xf numFmtId="169" fontId="6" fillId="0" borderId="44" xfId="5" applyFont="1" applyFill="1" applyBorder="1" applyAlignment="1">
      <alignment horizontal="right" vertical="center"/>
    </xf>
    <xf numFmtId="43" fontId="6" fillId="0" borderId="0" xfId="1" applyFont="1" applyFill="1" applyAlignment="1">
      <alignment horizontal="center" vertical="center"/>
    </xf>
    <xf numFmtId="43" fontId="82" fillId="0" borderId="49" xfId="2" applyNumberFormat="1" applyFont="1" applyFill="1" applyBorder="1" applyAlignment="1">
      <alignment horizontal="right" vertical="center"/>
    </xf>
    <xf numFmtId="43" fontId="82" fillId="0" borderId="49" xfId="1" applyFont="1" applyFill="1" applyBorder="1" applyAlignment="1">
      <alignment horizontal="right"/>
    </xf>
    <xf numFmtId="43" fontId="2" fillId="0" borderId="0" xfId="0" applyNumberFormat="1" applyFont="1" applyFill="1"/>
    <xf numFmtId="43" fontId="6" fillId="0" borderId="0" xfId="0" applyNumberFormat="1" applyFont="1" applyFill="1"/>
    <xf numFmtId="0" fontId="29" fillId="0" borderId="1" xfId="0" applyFont="1" applyBorder="1"/>
    <xf numFmtId="0" fontId="2" fillId="3" borderId="0" xfId="0" quotePrefix="1" applyFont="1" applyFill="1"/>
    <xf numFmtId="0" fontId="85" fillId="0" borderId="0" xfId="0" applyFont="1" applyFill="1" applyBorder="1" applyAlignment="1">
      <alignment horizontal="right" readingOrder="2"/>
    </xf>
    <xf numFmtId="0" fontId="85" fillId="0" borderId="0" xfId="0" applyFont="1" applyFill="1" applyBorder="1" applyAlignment="1">
      <alignment horizontal="right"/>
    </xf>
    <xf numFmtId="0" fontId="85" fillId="0" borderId="0" xfId="0" applyFont="1" applyFill="1" applyBorder="1" applyAlignment="1">
      <alignment wrapText="1"/>
    </xf>
    <xf numFmtId="0" fontId="85" fillId="0" borderId="0" xfId="0" applyFont="1" applyFill="1" applyAlignment="1">
      <alignment vertical="top" wrapText="1" readingOrder="2"/>
    </xf>
    <xf numFmtId="0" fontId="2" fillId="0" borderId="0" xfId="0" applyFont="1" applyFill="1" applyBorder="1" applyAlignment="1">
      <alignment horizontal="right" vertical="top"/>
    </xf>
    <xf numFmtId="0" fontId="2" fillId="0" borderId="0" xfId="0" applyFont="1" applyFill="1" applyBorder="1" applyAlignment="1">
      <alignment horizontal="right" vertical="top" wrapText="1" readingOrder="2"/>
    </xf>
    <xf numFmtId="0" fontId="2" fillId="0" borderId="0" xfId="0" applyFont="1" applyFill="1" applyBorder="1" applyAlignment="1">
      <alignment horizontal="right" vertical="top" readingOrder="2"/>
    </xf>
    <xf numFmtId="0" fontId="2" fillId="0" borderId="0" xfId="0" applyFont="1" applyFill="1" applyAlignment="1"/>
    <xf numFmtId="0" fontId="85" fillId="0" borderId="0" xfId="0" applyFont="1" applyFill="1" applyBorder="1" applyAlignment="1">
      <alignment horizontal="left"/>
    </xf>
    <xf numFmtId="0" fontId="85" fillId="0" borderId="0" xfId="0" applyFont="1" applyFill="1" applyBorder="1" applyAlignment="1">
      <alignment horizontal="left" readingOrder="1"/>
    </xf>
    <xf numFmtId="0" fontId="46" fillId="0" borderId="15" xfId="0" applyFont="1" applyFill="1" applyBorder="1" applyAlignment="1">
      <alignment horizontal="right" vertical="top"/>
    </xf>
    <xf numFmtId="14" fontId="46" fillId="0" borderId="15" xfId="2" applyNumberFormat="1" applyFont="1" applyFill="1" applyBorder="1" applyAlignment="1">
      <alignment horizontal="center" wrapText="1"/>
    </xf>
    <xf numFmtId="43" fontId="52" fillId="0" borderId="15" xfId="2" applyNumberFormat="1" applyFont="1" applyFill="1" applyBorder="1" applyAlignment="1">
      <alignment horizontal="center" wrapText="1"/>
    </xf>
    <xf numFmtId="43" fontId="84" fillId="0" borderId="15" xfId="2" applyFont="1" applyFill="1" applyBorder="1" applyAlignment="1">
      <alignment horizontal="center" wrapText="1"/>
    </xf>
    <xf numFmtId="43" fontId="84" fillId="0" borderId="15" xfId="2" applyFont="1" applyFill="1" applyBorder="1" applyAlignment="1">
      <alignment horizontal="center" wrapText="1" readingOrder="2"/>
    </xf>
    <xf numFmtId="172" fontId="2" fillId="0" borderId="15" xfId="0" applyNumberFormat="1" applyFont="1" applyFill="1" applyBorder="1" applyAlignment="1">
      <alignment horizontal="right"/>
    </xf>
    <xf numFmtId="172" fontId="84" fillId="0" borderId="15" xfId="2" applyNumberFormat="1" applyFont="1" applyFill="1" applyBorder="1" applyAlignment="1">
      <alignment horizontal="center" wrapText="1"/>
    </xf>
    <xf numFmtId="185" fontId="84" fillId="0" borderId="15" xfId="2" applyNumberFormat="1" applyFont="1" applyFill="1" applyBorder="1" applyAlignment="1">
      <alignment horizontal="center" wrapText="1"/>
    </xf>
    <xf numFmtId="43" fontId="52" fillId="0" borderId="15" xfId="2" applyFont="1" applyFill="1" applyBorder="1" applyAlignment="1">
      <alignment horizontal="center" wrapText="1"/>
    </xf>
    <xf numFmtId="184" fontId="52" fillId="0" borderId="15" xfId="11" applyNumberFormat="1" applyFont="1" applyFill="1" applyBorder="1" applyAlignment="1">
      <alignment horizontal="left" wrapText="1"/>
    </xf>
    <xf numFmtId="184" fontId="84" fillId="0" borderId="15" xfId="11" applyNumberFormat="1" applyFont="1" applyFill="1" applyBorder="1" applyAlignment="1">
      <alignment horizontal="left" wrapText="1"/>
    </xf>
    <xf numFmtId="181" fontId="52" fillId="0" borderId="15" xfId="1" applyNumberFormat="1" applyFont="1" applyFill="1" applyBorder="1" applyAlignment="1">
      <alignment wrapText="1"/>
    </xf>
    <xf numFmtId="43" fontId="84" fillId="0" borderId="15" xfId="2" applyFont="1" applyFill="1" applyBorder="1" applyAlignment="1">
      <alignment wrapText="1"/>
    </xf>
    <xf numFmtId="43" fontId="82" fillId="0" borderId="15" xfId="2" applyNumberFormat="1" applyFont="1" applyFill="1" applyBorder="1" applyAlignment="1"/>
    <xf numFmtId="43" fontId="82" fillId="0" borderId="19" xfId="2" applyNumberFormat="1" applyFont="1" applyFill="1" applyBorder="1" applyAlignment="1"/>
    <xf numFmtId="43" fontId="82" fillId="0" borderId="28" xfId="2" applyNumberFormat="1" applyFont="1" applyFill="1" applyBorder="1" applyAlignment="1"/>
    <xf numFmtId="43" fontId="82" fillId="0" borderId="20" xfId="2" applyNumberFormat="1" applyFont="1" applyFill="1" applyBorder="1" applyAlignment="1"/>
    <xf numFmtId="0" fontId="55" fillId="0" borderId="40" xfId="0" applyFont="1" applyBorder="1" applyAlignment="1">
      <alignment horizontal="center" vertical="center" wrapText="1"/>
    </xf>
    <xf numFmtId="0" fontId="55" fillId="0" borderId="0" xfId="0" applyFont="1" applyAlignment="1">
      <alignment horizontal="center" wrapText="1"/>
    </xf>
    <xf numFmtId="2" fontId="59" fillId="0" borderId="28" xfId="0" applyNumberFormat="1" applyFont="1" applyBorder="1" applyAlignment="1">
      <alignment horizontal="center"/>
    </xf>
    <xf numFmtId="0" fontId="59" fillId="0" borderId="0" xfId="0" applyFont="1" applyAlignment="1">
      <alignment horizontal="center"/>
    </xf>
    <xf numFmtId="2" fontId="59" fillId="0" borderId="20" xfId="0" applyNumberFormat="1" applyFont="1" applyBorder="1" applyAlignment="1">
      <alignment horizontal="center"/>
    </xf>
    <xf numFmtId="0" fontId="59" fillId="0" borderId="0" xfId="0" applyFont="1" applyBorder="1" applyAlignment="1">
      <alignment horizontal="center"/>
    </xf>
    <xf numFmtId="0" fontId="59" fillId="0" borderId="0" xfId="0" applyFont="1" applyBorder="1" applyAlignment="1"/>
    <xf numFmtId="2" fontId="59" fillId="0" borderId="0" xfId="0" applyNumberFormat="1" applyFont="1" applyBorder="1" applyAlignment="1">
      <alignment horizontal="center"/>
    </xf>
    <xf numFmtId="0" fontId="59" fillId="0" borderId="0" xfId="0" applyFont="1" applyBorder="1" applyAlignment="1">
      <alignment horizontal="right" readingOrder="2"/>
    </xf>
    <xf numFmtId="0" fontId="60" fillId="0" borderId="0" xfId="0" applyFont="1" applyAlignment="1">
      <alignment horizontal="center"/>
    </xf>
    <xf numFmtId="0" fontId="55" fillId="0" borderId="0" xfId="0" applyFont="1" applyFill="1" applyBorder="1" applyAlignment="1">
      <alignment horizontal="right" wrapText="1" readingOrder="2"/>
    </xf>
    <xf numFmtId="43" fontId="59" fillId="0" borderId="28" xfId="1" applyFont="1" applyFill="1" applyBorder="1" applyAlignment="1">
      <alignment horizontal="right" vertical="center" readingOrder="2"/>
    </xf>
    <xf numFmtId="43" fontId="59" fillId="0" borderId="20" xfId="1" applyFont="1" applyFill="1" applyBorder="1" applyAlignment="1">
      <alignment horizontal="right" vertical="center" readingOrder="2"/>
    </xf>
    <xf numFmtId="0" fontId="59" fillId="0" borderId="0" xfId="0" applyFont="1" applyBorder="1" applyAlignment="1">
      <alignment horizontal="right" wrapText="1"/>
    </xf>
    <xf numFmtId="0" fontId="59" fillId="0" borderId="0" xfId="0" applyFont="1" applyBorder="1" applyAlignment="1">
      <alignment wrapText="1"/>
    </xf>
    <xf numFmtId="2" fontId="59" fillId="0" borderId="0" xfId="0" applyNumberFormat="1" applyFont="1" applyFill="1" applyBorder="1" applyAlignment="1">
      <alignment horizontal="center"/>
    </xf>
    <xf numFmtId="0" fontId="59" fillId="0" borderId="0" xfId="0" applyFont="1" applyFill="1" applyBorder="1" applyAlignment="1">
      <alignment horizontal="center"/>
    </xf>
    <xf numFmtId="0" fontId="57" fillId="0" borderId="0" xfId="0" applyFont="1" applyAlignment="1">
      <alignment horizontal="right" readingOrder="2"/>
    </xf>
    <xf numFmtId="0" fontId="63" fillId="0" borderId="0" xfId="0" applyFont="1" applyAlignment="1">
      <alignment horizontal="right" vertical="top" readingOrder="2"/>
    </xf>
    <xf numFmtId="0" fontId="21" fillId="3" borderId="20" xfId="14" applyFont="1" applyFill="1" applyBorder="1" applyAlignment="1" applyProtection="1">
      <alignment wrapText="1"/>
    </xf>
    <xf numFmtId="169" fontId="31" fillId="0" borderId="2" xfId="5" applyFont="1" applyFill="1" applyBorder="1" applyAlignment="1">
      <alignment horizontal="right" wrapText="1" readingOrder="2"/>
    </xf>
    <xf numFmtId="2" fontId="31" fillId="0" borderId="1" xfId="0" applyNumberFormat="1" applyFont="1" applyFill="1" applyBorder="1"/>
    <xf numFmtId="10" fontId="31" fillId="0" borderId="3" xfId="11" applyNumberFormat="1" applyFont="1" applyFill="1" applyBorder="1"/>
    <xf numFmtId="0" fontId="32" fillId="0" borderId="82" xfId="0" applyFont="1" applyFill="1" applyBorder="1" applyAlignment="1">
      <alignment horizontal="centerContinuous"/>
    </xf>
    <xf numFmtId="0" fontId="32" fillId="0" borderId="96" xfId="0" quotePrefix="1" applyFont="1" applyFill="1" applyBorder="1" applyAlignment="1">
      <alignment horizontal="center" readingOrder="2"/>
    </xf>
    <xf numFmtId="0" fontId="32" fillId="0" borderId="11" xfId="0" applyFont="1" applyFill="1" applyBorder="1" applyAlignment="1">
      <alignment horizontal="centerContinuous" readingOrder="2"/>
    </xf>
    <xf numFmtId="0" fontId="32" fillId="0" borderId="81" xfId="0" applyFont="1" applyFill="1" applyBorder="1" applyAlignment="1">
      <alignment readingOrder="2"/>
    </xf>
    <xf numFmtId="14" fontId="86" fillId="0" borderId="15" xfId="2" applyNumberFormat="1" applyFont="1" applyFill="1" applyBorder="1" applyAlignment="1">
      <alignment horizontal="center" wrapText="1" readingOrder="2"/>
    </xf>
    <xf numFmtId="0" fontId="9" fillId="0" borderId="0" xfId="0" applyFont="1" applyFill="1" applyAlignment="1">
      <alignment horizontal="right" vertical="center" wrapText="1" readingOrder="2"/>
    </xf>
    <xf numFmtId="43" fontId="59" fillId="0" borderId="0" xfId="1" applyFont="1" applyFill="1" applyBorder="1" applyAlignment="1">
      <alignment horizontal="right" vertical="center" readingOrder="2"/>
    </xf>
    <xf numFmtId="43" fontId="59" fillId="0" borderId="28" xfId="0" applyNumberFormat="1" applyFont="1" applyFill="1" applyBorder="1" applyAlignment="1">
      <alignment horizontal="center"/>
    </xf>
    <xf numFmtId="43" fontId="59" fillId="0" borderId="20" xfId="0" applyNumberFormat="1" applyFont="1" applyFill="1" applyBorder="1" applyAlignment="1">
      <alignment horizontal="center"/>
    </xf>
    <xf numFmtId="0" fontId="2" fillId="0" borderId="0" xfId="10" applyFont="1" applyFill="1"/>
    <xf numFmtId="169" fontId="20" fillId="0" borderId="0" xfId="5" applyFont="1" applyFill="1" applyAlignment="1">
      <alignment wrapText="1"/>
    </xf>
    <xf numFmtId="169" fontId="4" fillId="0" borderId="0" xfId="5" applyFont="1" applyFill="1" applyAlignment="1">
      <alignment wrapText="1"/>
    </xf>
    <xf numFmtId="0" fontId="20" fillId="0" borderId="0" xfId="10" applyFont="1" applyFill="1" applyBorder="1" applyAlignment="1">
      <alignment readingOrder="2"/>
    </xf>
    <xf numFmtId="0" fontId="20" fillId="0" borderId="15" xfId="10" applyFont="1" applyFill="1" applyBorder="1" applyAlignment="1">
      <alignment horizontal="center"/>
    </xf>
    <xf numFmtId="0" fontId="20" fillId="0" borderId="15" xfId="10" applyFont="1" applyFill="1" applyBorder="1" applyAlignment="1">
      <alignment horizontal="center" readingOrder="2"/>
    </xf>
    <xf numFmtId="14" fontId="20" fillId="0" borderId="15" xfId="0" applyNumberFormat="1" applyFont="1" applyFill="1" applyBorder="1" applyAlignment="1">
      <alignment horizontal="center" readingOrder="2"/>
    </xf>
    <xf numFmtId="14" fontId="2" fillId="0" borderId="15" xfId="10" applyNumberFormat="1" applyFont="1" applyFill="1" applyBorder="1" applyAlignment="1" applyProtection="1">
      <alignment horizontal="right"/>
      <protection locked="0"/>
    </xf>
    <xf numFmtId="43" fontId="2" fillId="0" borderId="15" xfId="2" quotePrefix="1" applyFont="1" applyFill="1" applyBorder="1" applyAlignment="1" applyProtection="1">
      <alignment horizontal="center"/>
    </xf>
    <xf numFmtId="0" fontId="6" fillId="0" borderId="15" xfId="10" applyFont="1" applyFill="1" applyBorder="1"/>
    <xf numFmtId="43" fontId="20" fillId="0" borderId="15" xfId="10" applyNumberFormat="1" applyFont="1" applyFill="1" applyBorder="1" applyAlignment="1">
      <alignment horizontal="center" readingOrder="2"/>
    </xf>
    <xf numFmtId="0" fontId="81" fillId="0" borderId="15" xfId="10" applyFont="1" applyFill="1" applyBorder="1"/>
    <xf numFmtId="43" fontId="81" fillId="0" borderId="15" xfId="10" applyNumberFormat="1" applyFont="1" applyFill="1" applyBorder="1" applyAlignment="1">
      <alignment horizontal="right" readingOrder="2"/>
    </xf>
    <xf numFmtId="0" fontId="52" fillId="0" borderId="15" xfId="10" applyFont="1" applyFill="1" applyBorder="1"/>
    <xf numFmtId="9" fontId="46" fillId="0" borderId="15" xfId="10" applyNumberFormat="1" applyFont="1" applyFill="1" applyBorder="1" applyAlignment="1">
      <alignment horizontal="center"/>
    </xf>
    <xf numFmtId="0" fontId="86" fillId="0" borderId="15" xfId="10" applyFont="1" applyFill="1" applyBorder="1" applyAlignment="1">
      <alignment horizontal="center" wrapText="1"/>
    </xf>
    <xf numFmtId="0" fontId="46" fillId="0" borderId="15" xfId="10" applyFont="1" applyFill="1" applyBorder="1" applyAlignment="1">
      <alignment horizontal="center" wrapText="1"/>
    </xf>
    <xf numFmtId="0" fontId="52" fillId="0" borderId="80" xfId="10" applyFont="1" applyFill="1" applyBorder="1"/>
    <xf numFmtId="0" fontId="52" fillId="0" borderId="44" xfId="10" applyFont="1" applyFill="1" applyBorder="1"/>
    <xf numFmtId="43" fontId="46" fillId="0" borderId="15" xfId="2" applyNumberFormat="1" applyFont="1" applyFill="1" applyBorder="1" applyAlignment="1">
      <alignment horizontal="center" vertical="center" readingOrder="2"/>
    </xf>
    <xf numFmtId="43" fontId="52" fillId="0" borderId="15" xfId="2" applyNumberFormat="1" applyFont="1" applyFill="1" applyBorder="1" applyAlignment="1">
      <alignment vertical="center" readingOrder="2"/>
    </xf>
    <xf numFmtId="43" fontId="52" fillId="0" borderId="15" xfId="3" applyFont="1" applyFill="1" applyBorder="1" applyAlignment="1"/>
    <xf numFmtId="43" fontId="52" fillId="0" borderId="15" xfId="2" applyNumberFormat="1" applyFont="1" applyFill="1" applyBorder="1" applyAlignment="1">
      <alignment horizontal="center"/>
    </xf>
    <xf numFmtId="43" fontId="52" fillId="0" borderId="15" xfId="10" applyNumberFormat="1" applyFont="1" applyFill="1" applyBorder="1" applyAlignment="1">
      <alignment horizontal="center"/>
    </xf>
    <xf numFmtId="43" fontId="84" fillId="0" borderId="15" xfId="2" applyNumberFormat="1" applyFont="1" applyFill="1" applyBorder="1" applyAlignment="1">
      <alignment vertical="center" readingOrder="2"/>
    </xf>
    <xf numFmtId="10" fontId="52" fillId="0" borderId="15" xfId="13" applyNumberFormat="1" applyFont="1" applyFill="1" applyBorder="1" applyAlignment="1">
      <alignment vertical="center" readingOrder="2"/>
    </xf>
    <xf numFmtId="0" fontId="46" fillId="0" borderId="15" xfId="10" applyFont="1" applyFill="1" applyBorder="1" applyAlignment="1">
      <alignment horizontal="center"/>
    </xf>
    <xf numFmtId="0" fontId="2" fillId="0" borderId="97" xfId="10" quotePrefix="1" applyFont="1" applyFill="1" applyBorder="1" applyAlignment="1"/>
    <xf numFmtId="0" fontId="2" fillId="0" borderId="44" xfId="10" quotePrefix="1" applyFont="1" applyFill="1" applyBorder="1" applyAlignment="1"/>
    <xf numFmtId="9" fontId="2" fillId="0" borderId="15" xfId="10" applyNumberFormat="1" applyFont="1" applyFill="1" applyBorder="1" applyAlignment="1">
      <alignment horizontal="center"/>
    </xf>
    <xf numFmtId="0" fontId="6" fillId="3" borderId="0" xfId="9" applyFont="1" applyFill="1" applyBorder="1" applyAlignment="1">
      <alignment wrapText="1" readingOrder="2"/>
    </xf>
    <xf numFmtId="0" fontId="6" fillId="3" borderId="0" xfId="9" applyFont="1" applyFill="1" applyBorder="1" applyAlignment="1">
      <alignment readingOrder="2"/>
    </xf>
    <xf numFmtId="14" fontId="20" fillId="3" borderId="0" xfId="9" applyNumberFormat="1" applyFont="1" applyFill="1" applyBorder="1" applyAlignment="1">
      <alignment horizontal="center" readingOrder="2"/>
    </xf>
    <xf numFmtId="43" fontId="84" fillId="0" borderId="15" xfId="2" applyFont="1" applyFill="1" applyBorder="1" applyAlignment="1"/>
    <xf numFmtId="43" fontId="84" fillId="0" borderId="15" xfId="2" applyNumberFormat="1" applyFont="1" applyFill="1" applyBorder="1" applyAlignment="1">
      <alignment horizontal="center"/>
    </xf>
    <xf numFmtId="43" fontId="84" fillId="0" borderId="15" xfId="10" applyNumberFormat="1" applyFont="1" applyFill="1" applyBorder="1" applyAlignment="1">
      <alignment horizontal="center"/>
    </xf>
    <xf numFmtId="0" fontId="6" fillId="0" borderId="12" xfId="0" applyFont="1" applyFill="1" applyBorder="1"/>
    <xf numFmtId="0" fontId="21" fillId="0" borderId="28" xfId="14" applyFont="1" applyFill="1" applyBorder="1" applyAlignment="1" applyProtection="1">
      <alignment wrapText="1"/>
    </xf>
    <xf numFmtId="0" fontId="31" fillId="0" borderId="41" xfId="0" applyFont="1" applyBorder="1" applyAlignment="1">
      <alignment horizontal="right" readingOrder="2"/>
    </xf>
    <xf numFmtId="43" fontId="31" fillId="0" borderId="94" xfId="1" applyFont="1" applyFill="1" applyBorder="1" applyAlignment="1">
      <alignment horizontal="right" readingOrder="2"/>
    </xf>
    <xf numFmtId="0" fontId="31" fillId="0" borderId="15" xfId="0" applyFont="1" applyBorder="1" applyAlignment="1">
      <alignment horizontal="center" readingOrder="2"/>
    </xf>
    <xf numFmtId="0" fontId="31" fillId="0" borderId="19" xfId="0" applyFont="1" applyBorder="1" applyAlignment="1">
      <alignment horizontal="center" readingOrder="2"/>
    </xf>
    <xf numFmtId="0" fontId="67" fillId="0" borderId="0" xfId="0" applyFont="1" applyFill="1" applyAlignment="1" applyProtection="1">
      <alignment horizontal="center" readingOrder="2"/>
    </xf>
    <xf numFmtId="0" fontId="68" fillId="0" borderId="0" xfId="0" applyFont="1" applyFill="1"/>
    <xf numFmtId="14" fontId="67" fillId="0" borderId="0" xfId="8" applyNumberFormat="1" applyFont="1" applyFill="1" applyAlignment="1" applyProtection="1">
      <alignment horizontal="right"/>
    </xf>
    <xf numFmtId="0" fontId="69" fillId="0" borderId="0" xfId="6" applyFont="1" applyFill="1"/>
    <xf numFmtId="43" fontId="69" fillId="0" borderId="0" xfId="1" applyFont="1" applyFill="1" applyAlignment="1">
      <alignment horizontal="left"/>
    </xf>
    <xf numFmtId="0" fontId="69" fillId="0" borderId="0" xfId="6" applyFont="1" applyFill="1" applyAlignment="1">
      <alignment horizontal="center" vertical="center"/>
    </xf>
    <xf numFmtId="171" fontId="67" fillId="0" borderId="0" xfId="8" applyNumberFormat="1" applyFont="1" applyFill="1" applyAlignment="1" applyProtection="1">
      <alignment vertical="center" readingOrder="2"/>
    </xf>
    <xf numFmtId="0" fontId="87" fillId="0" borderId="4" xfId="6" applyFont="1" applyFill="1" applyBorder="1" applyAlignment="1">
      <alignment horizontal="center" vertical="center" wrapText="1"/>
    </xf>
    <xf numFmtId="0" fontId="56" fillId="0" borderId="15" xfId="7" applyFont="1" applyFill="1" applyBorder="1" applyAlignment="1">
      <alignment horizontal="center" vertical="center" wrapText="1" readingOrder="2"/>
    </xf>
    <xf numFmtId="43" fontId="56" fillId="0" borderId="15" xfId="1" applyFont="1" applyFill="1" applyBorder="1" applyAlignment="1">
      <alignment horizontal="center" vertical="center" wrapText="1" readingOrder="2"/>
    </xf>
    <xf numFmtId="0" fontId="50" fillId="0" borderId="0" xfId="6" applyFont="1" applyFill="1"/>
    <xf numFmtId="0" fontId="88" fillId="0" borderId="15" xfId="0" applyFont="1" applyBorder="1" applyAlignment="1">
      <alignment horizontal="right" vertical="center" readingOrder="2"/>
    </xf>
    <xf numFmtId="0" fontId="88" fillId="0" borderId="15" xfId="0" applyFont="1" applyBorder="1" applyAlignment="1">
      <alignment horizontal="right" vertical="center" wrapText="1" readingOrder="2"/>
    </xf>
    <xf numFmtId="0" fontId="88" fillId="0" borderId="15" xfId="0" applyFont="1" applyBorder="1" applyAlignment="1">
      <alignment horizontal="justify" vertical="center" wrapText="1" readingOrder="2"/>
    </xf>
    <xf numFmtId="4" fontId="50" fillId="0" borderId="15" xfId="1" applyNumberFormat="1" applyFont="1" applyFill="1" applyBorder="1" applyAlignment="1">
      <alignment horizontal="left" vertical="center" wrapText="1" readingOrder="2"/>
    </xf>
    <xf numFmtId="0" fontId="88" fillId="0" borderId="15" xfId="0" applyFont="1" applyFill="1" applyBorder="1" applyAlignment="1">
      <alignment horizontal="right" vertical="center" wrapText="1" readingOrder="2"/>
    </xf>
    <xf numFmtId="4" fontId="50" fillId="0" borderId="15" xfId="1" applyNumberFormat="1" applyFont="1" applyFill="1" applyBorder="1" applyAlignment="1">
      <alignment horizontal="center" vertical="center" wrapText="1" readingOrder="2"/>
    </xf>
    <xf numFmtId="187" fontId="50" fillId="0" borderId="15" xfId="1" applyNumberFormat="1" applyFont="1" applyFill="1" applyBorder="1" applyAlignment="1">
      <alignment horizontal="left" vertical="center" wrapText="1" readingOrder="2"/>
    </xf>
    <xf numFmtId="4" fontId="71" fillId="0" borderId="15" xfId="1" quotePrefix="1" applyNumberFormat="1" applyFont="1" applyBorder="1" applyAlignment="1" applyProtection="1">
      <alignment horizontal="left" vertical="center" wrapText="1" readingOrder="2"/>
    </xf>
    <xf numFmtId="43" fontId="50" fillId="0" borderId="15" xfId="1" applyFont="1" applyFill="1" applyBorder="1" applyAlignment="1">
      <alignment horizontal="right" vertical="center" wrapText="1" readingOrder="2"/>
    </xf>
    <xf numFmtId="0" fontId="88" fillId="0" borderId="15" xfId="0" applyFont="1" applyBorder="1" applyAlignment="1">
      <alignment vertical="center"/>
    </xf>
    <xf numFmtId="0" fontId="89" fillId="0" borderId="15" xfId="0" applyFont="1" applyBorder="1" applyAlignment="1">
      <alignment horizontal="center" vertical="center" wrapText="1" readingOrder="2"/>
    </xf>
    <xf numFmtId="10" fontId="50" fillId="0" borderId="15" xfId="11" applyNumberFormat="1" applyFont="1" applyFill="1" applyBorder="1" applyAlignment="1">
      <alignment horizontal="left" vertical="center" wrapText="1" readingOrder="2"/>
    </xf>
    <xf numFmtId="0" fontId="88" fillId="0" borderId="98" xfId="0" applyFont="1" applyBorder="1" applyAlignment="1">
      <alignment horizontal="right" vertical="center" readingOrder="2"/>
    </xf>
    <xf numFmtId="0" fontId="88" fillId="0" borderId="98" xfId="0" applyFont="1" applyBorder="1" applyAlignment="1">
      <alignment horizontal="justify" vertical="center" wrapText="1" readingOrder="2"/>
    </xf>
    <xf numFmtId="0" fontId="89" fillId="0" borderId="98" xfId="0" applyFont="1" applyBorder="1" applyAlignment="1">
      <alignment horizontal="center" vertical="center" wrapText="1" readingOrder="2"/>
    </xf>
    <xf numFmtId="0" fontId="88" fillId="0" borderId="98" xfId="0" applyFont="1" applyBorder="1" applyAlignment="1">
      <alignment horizontal="right" vertical="center" wrapText="1" readingOrder="2"/>
    </xf>
    <xf numFmtId="10" fontId="50" fillId="0" borderId="98" xfId="11" applyNumberFormat="1" applyFont="1" applyFill="1" applyBorder="1" applyAlignment="1">
      <alignment horizontal="left" vertical="center" wrapText="1" readingOrder="2"/>
    </xf>
    <xf numFmtId="0" fontId="50" fillId="0" borderId="0" xfId="7" applyFont="1" applyFill="1"/>
    <xf numFmtId="0" fontId="88" fillId="0" borderId="0" xfId="0" applyFont="1" applyBorder="1" applyAlignment="1">
      <alignment horizontal="right" vertical="center" readingOrder="2"/>
    </xf>
    <xf numFmtId="0" fontId="88" fillId="0" borderId="0" xfId="0" applyFont="1" applyBorder="1" applyAlignment="1">
      <alignment horizontal="justify" vertical="center" wrapText="1" readingOrder="2"/>
    </xf>
    <xf numFmtId="0" fontId="89" fillId="0" borderId="0" xfId="0" applyFont="1" applyBorder="1" applyAlignment="1">
      <alignment horizontal="center" vertical="center" wrapText="1" readingOrder="2"/>
    </xf>
    <xf numFmtId="0" fontId="88" fillId="0" borderId="0" xfId="0" applyFont="1" applyBorder="1" applyAlignment="1">
      <alignment horizontal="right" vertical="center" wrapText="1" readingOrder="2"/>
    </xf>
    <xf numFmtId="10" fontId="50" fillId="0" borderId="0" xfId="11" applyNumberFormat="1" applyFont="1" applyFill="1" applyBorder="1" applyAlignment="1">
      <alignment horizontal="left" vertical="center" wrapText="1" readingOrder="2"/>
    </xf>
    <xf numFmtId="0" fontId="87" fillId="0" borderId="0" xfId="6" applyFont="1" applyFill="1" applyBorder="1" applyAlignment="1">
      <alignment horizontal="center" vertical="center" wrapText="1"/>
    </xf>
    <xf numFmtId="0" fontId="56" fillId="0" borderId="0" xfId="7" applyFont="1" applyFill="1" applyBorder="1" applyAlignment="1">
      <alignment horizontal="center" vertical="center" wrapText="1" readingOrder="2"/>
    </xf>
    <xf numFmtId="0" fontId="50" fillId="0" borderId="0" xfId="7" applyFont="1" applyFill="1" applyBorder="1" applyAlignment="1">
      <alignment horizontal="center" vertical="center"/>
    </xf>
    <xf numFmtId="0" fontId="50" fillId="0" borderId="15" xfId="7" applyFont="1" applyFill="1" applyBorder="1" applyAlignment="1">
      <alignment horizontal="center" vertical="center" wrapText="1" readingOrder="2"/>
    </xf>
    <xf numFmtId="0" fontId="50" fillId="0" borderId="15" xfId="7" applyFont="1" applyFill="1" applyBorder="1" applyAlignment="1">
      <alignment horizontal="justify" vertical="center" wrapText="1" readingOrder="2"/>
    </xf>
    <xf numFmtId="0" fontId="50" fillId="0" borderId="15" xfId="7" applyFont="1" applyFill="1" applyBorder="1" applyAlignment="1">
      <alignment horizontal="center" vertical="center" wrapText="1"/>
    </xf>
    <xf numFmtId="0" fontId="74" fillId="0" borderId="0" xfId="7" applyFont="1" applyFill="1" applyBorder="1" applyAlignment="1">
      <alignment horizontal="justify" vertical="center" wrapText="1" readingOrder="2"/>
    </xf>
    <xf numFmtId="0" fontId="88" fillId="0" borderId="15" xfId="0" applyFont="1" applyBorder="1" applyAlignment="1">
      <alignment horizontal="center" vertical="center"/>
    </xf>
    <xf numFmtId="0" fontId="50" fillId="0" borderId="0" xfId="7" applyFont="1" applyFill="1" applyBorder="1" applyAlignment="1">
      <alignment horizontal="center" vertical="center" wrapText="1" readingOrder="2"/>
    </xf>
    <xf numFmtId="0" fontId="88" fillId="0" borderId="0" xfId="0" applyFont="1" applyBorder="1" applyAlignment="1">
      <alignment vertical="center"/>
    </xf>
    <xf numFmtId="4" fontId="50" fillId="0" borderId="0" xfId="1" applyNumberFormat="1" applyFont="1" applyFill="1" applyBorder="1" applyAlignment="1">
      <alignment horizontal="left" vertical="center" wrapText="1" readingOrder="2"/>
    </xf>
    <xf numFmtId="0" fontId="50" fillId="0" borderId="0" xfId="7" applyFont="1" applyFill="1" applyBorder="1" applyAlignment="1">
      <alignment vertical="center" wrapText="1" readingOrder="2"/>
    </xf>
    <xf numFmtId="0" fontId="74" fillId="0" borderId="0" xfId="7" applyFont="1" applyFill="1" applyBorder="1" applyAlignment="1">
      <alignment horizontal="justify" vertical="top" wrapText="1"/>
    </xf>
    <xf numFmtId="0" fontId="50" fillId="0" borderId="0" xfId="7" applyFont="1" applyFill="1" applyBorder="1" applyAlignment="1">
      <alignment horizontal="center" vertical="center" wrapText="1"/>
    </xf>
    <xf numFmtId="43" fontId="50" fillId="0" borderId="0" xfId="1" applyFont="1" applyFill="1" applyBorder="1" applyAlignment="1">
      <alignment horizontal="left" vertical="center" wrapText="1"/>
    </xf>
    <xf numFmtId="0" fontId="50" fillId="0" borderId="0" xfId="7" applyFont="1" applyFill="1" applyAlignment="1">
      <alignment horizontal="center" vertical="center"/>
    </xf>
    <xf numFmtId="0" fontId="56" fillId="0" borderId="15" xfId="7" applyFont="1" applyFill="1" applyBorder="1" applyAlignment="1">
      <alignment horizontal="center" wrapText="1"/>
    </xf>
    <xf numFmtId="43" fontId="56" fillId="0" borderId="15" xfId="1" applyFont="1" applyFill="1" applyBorder="1" applyAlignment="1">
      <alignment horizontal="center" wrapText="1"/>
    </xf>
    <xf numFmtId="0" fontId="50" fillId="0" borderId="15" xfId="0" applyFont="1" applyFill="1" applyBorder="1" applyAlignment="1">
      <alignment horizontal="right" vertical="center" readingOrder="2"/>
    </xf>
    <xf numFmtId="171" fontId="50" fillId="0" borderId="15" xfId="8" applyNumberFormat="1" applyFont="1" applyFill="1" applyBorder="1" applyAlignment="1" applyProtection="1">
      <alignment horizontal="center"/>
    </xf>
    <xf numFmtId="43" fontId="50" fillId="0" borderId="15" xfId="1" applyFont="1" applyFill="1" applyBorder="1" applyAlignment="1" applyProtection="1">
      <alignment horizontal="left"/>
    </xf>
    <xf numFmtId="0" fontId="75" fillId="0" borderId="0" xfId="0" applyFont="1" applyFill="1" applyBorder="1" applyAlignment="1">
      <alignment horizontal="right" vertical="center" readingOrder="2"/>
    </xf>
    <xf numFmtId="0" fontId="50" fillId="0" borderId="0" xfId="6" applyFont="1" applyFill="1" applyBorder="1" applyAlignment="1">
      <alignment horizontal="right" wrapText="1"/>
    </xf>
    <xf numFmtId="171" fontId="61" fillId="0" borderId="0" xfId="8" applyNumberFormat="1" applyFont="1" applyFill="1" applyBorder="1" applyAlignment="1" applyProtection="1">
      <alignment horizontal="center"/>
    </xf>
    <xf numFmtId="43" fontId="61" fillId="0" borderId="0" xfId="1" applyFont="1" applyFill="1" applyBorder="1" applyAlignment="1" applyProtection="1">
      <alignment horizontal="left"/>
    </xf>
    <xf numFmtId="169" fontId="52" fillId="0" borderId="0" xfId="5" quotePrefix="1" applyFont="1" applyFill="1" applyBorder="1" applyAlignment="1">
      <alignment vertical="center" readingOrder="2"/>
    </xf>
    <xf numFmtId="169" fontId="76" fillId="0" borderId="0" xfId="5" quotePrefix="1" applyFont="1" applyFill="1" applyBorder="1" applyAlignment="1">
      <alignment vertical="center" readingOrder="2"/>
    </xf>
    <xf numFmtId="0" fontId="87" fillId="0" borderId="0" xfId="6" applyFont="1" applyFill="1" applyBorder="1" applyAlignment="1">
      <alignment vertical="center" wrapText="1"/>
    </xf>
    <xf numFmtId="0" fontId="56" fillId="0" borderId="44" xfId="7" applyFont="1" applyFill="1" applyBorder="1" applyAlignment="1">
      <alignment horizontal="center" vertical="center" wrapText="1"/>
    </xf>
    <xf numFmtId="43" fontId="56" fillId="0" borderId="15" xfId="1" applyFont="1" applyFill="1" applyBorder="1" applyAlignment="1">
      <alignment horizontal="center" vertical="center" wrapText="1"/>
    </xf>
    <xf numFmtId="171" fontId="50" fillId="0" borderId="44" xfId="8" applyNumberFormat="1" applyFont="1" applyFill="1" applyBorder="1" applyAlignment="1" applyProtection="1">
      <alignment horizontal="center"/>
    </xf>
    <xf numFmtId="169" fontId="61" fillId="0" borderId="0" xfId="5" applyFont="1" applyFill="1" applyBorder="1" applyAlignment="1">
      <alignment vertical="center" readingOrder="2"/>
    </xf>
    <xf numFmtId="0" fontId="61" fillId="0" borderId="0" xfId="7" applyFont="1" applyFill="1" applyAlignment="1">
      <alignment horizontal="justify"/>
    </xf>
    <xf numFmtId="0" fontId="50" fillId="0" borderId="0" xfId="7" applyFont="1" applyFill="1" applyAlignment="1">
      <alignment vertical="center" readingOrder="2"/>
    </xf>
    <xf numFmtId="0" fontId="50" fillId="0" borderId="0" xfId="7" applyFont="1" applyFill="1" applyAlignment="1">
      <alignment horizontal="justify"/>
    </xf>
    <xf numFmtId="0" fontId="50" fillId="0" borderId="0" xfId="6" applyFont="1" applyFill="1" applyAlignment="1">
      <alignment horizontal="center" vertical="center"/>
    </xf>
    <xf numFmtId="0" fontId="50" fillId="0" borderId="0" xfId="6" applyFont="1" applyFill="1" applyAlignment="1">
      <alignment vertical="center" readingOrder="2"/>
    </xf>
    <xf numFmtId="0" fontId="50" fillId="0" borderId="0" xfId="6" applyFont="1" applyFill="1" applyAlignment="1">
      <alignment horizontal="justify" vertical="center" readingOrder="2"/>
    </xf>
    <xf numFmtId="43" fontId="50" fillId="0" borderId="0" xfId="1" applyFont="1" applyFill="1" applyAlignment="1">
      <alignment horizontal="left"/>
    </xf>
    <xf numFmtId="0" fontId="50" fillId="0" borderId="0" xfId="6" applyFont="1" applyFill="1" applyAlignment="1">
      <alignment horizontal="justify"/>
    </xf>
    <xf numFmtId="43" fontId="2" fillId="0" borderId="15" xfId="1" applyFont="1" applyFill="1" applyBorder="1"/>
    <xf numFmtId="43" fontId="2" fillId="0" borderId="17" xfId="1" applyFont="1" applyFill="1" applyBorder="1"/>
    <xf numFmtId="43" fontId="2" fillId="0" borderId="18" xfId="1" applyFont="1" applyFill="1" applyBorder="1"/>
    <xf numFmtId="43" fontId="6" fillId="0" borderId="15" xfId="1" applyFont="1" applyFill="1" applyBorder="1"/>
    <xf numFmtId="0" fontId="36" fillId="0" borderId="14" xfId="0" applyFont="1" applyFill="1" applyBorder="1" applyAlignment="1" applyProtection="1">
      <alignment horizontal="center" vertical="center"/>
    </xf>
    <xf numFmtId="169" fontId="2" fillId="3" borderId="15" xfId="5" applyFont="1" applyFill="1" applyBorder="1" applyAlignment="1">
      <alignment horizontal="right" vertical="center" readingOrder="2"/>
    </xf>
    <xf numFmtId="176" fontId="2" fillId="0" borderId="15" xfId="5" applyNumberFormat="1" applyFont="1" applyFill="1" applyBorder="1" applyAlignment="1">
      <alignment horizontal="center"/>
    </xf>
    <xf numFmtId="43" fontId="18" fillId="0" borderId="15" xfId="1" applyNumberFormat="1" applyFont="1" applyFill="1" applyBorder="1"/>
    <xf numFmtId="43" fontId="2" fillId="0" borderId="15" xfId="1" applyNumberFormat="1" applyFont="1" applyFill="1" applyBorder="1"/>
    <xf numFmtId="169" fontId="32" fillId="0" borderId="13" xfId="5" quotePrefix="1" applyFont="1" applyFill="1" applyBorder="1" applyAlignment="1">
      <alignment horizontal="right" vertical="center" wrapText="1"/>
    </xf>
    <xf numFmtId="43" fontId="31" fillId="0" borderId="19" xfId="1" applyFont="1" applyFill="1" applyBorder="1" applyAlignment="1">
      <alignment horizontal="center" vertical="center"/>
    </xf>
    <xf numFmtId="165" fontId="31" fillId="0" borderId="19" xfId="5" applyNumberFormat="1" applyFont="1" applyFill="1" applyBorder="1" applyAlignment="1" applyProtection="1">
      <alignment horizontal="center" vertical="center"/>
    </xf>
    <xf numFmtId="43" fontId="31" fillId="0" borderId="19" xfId="1" applyFont="1" applyFill="1" applyBorder="1" applyAlignment="1" applyProtection="1">
      <alignment horizontal="center" vertical="center"/>
    </xf>
    <xf numFmtId="170" fontId="31" fillId="0" borderId="19" xfId="5" applyNumberFormat="1" applyFont="1" applyFill="1" applyBorder="1" applyAlignment="1" applyProtection="1">
      <alignment vertical="center"/>
    </xf>
    <xf numFmtId="43" fontId="31" fillId="0" borderId="19" xfId="1" applyFont="1" applyFill="1" applyBorder="1" applyAlignment="1" applyProtection="1">
      <alignment vertical="center"/>
    </xf>
    <xf numFmtId="166" fontId="31" fillId="0" borderId="19" xfId="5" applyNumberFormat="1" applyFont="1" applyFill="1" applyBorder="1" applyAlignment="1" applyProtection="1">
      <alignment vertical="center"/>
    </xf>
    <xf numFmtId="43" fontId="31" fillId="0" borderId="20" xfId="1" applyFont="1" applyFill="1" applyBorder="1" applyAlignment="1" applyProtection="1">
      <alignment vertical="center"/>
    </xf>
    <xf numFmtId="170" fontId="31" fillId="0" borderId="15" xfId="5" applyNumberFormat="1" applyFont="1" applyFill="1" applyBorder="1" applyAlignment="1">
      <alignment vertical="center"/>
    </xf>
    <xf numFmtId="169" fontId="6" fillId="0" borderId="15" xfId="5" applyFont="1" applyFill="1" applyBorder="1" applyAlignment="1">
      <alignment horizontal="right" wrapText="1"/>
    </xf>
    <xf numFmtId="43" fontId="31" fillId="0" borderId="28" xfId="1" applyFont="1" applyFill="1" applyBorder="1" applyAlignment="1">
      <alignment horizontal="right" vertical="center" readingOrder="2"/>
    </xf>
    <xf numFmtId="43" fontId="2" fillId="0" borderId="28" xfId="1" applyFont="1" applyFill="1" applyBorder="1"/>
    <xf numFmtId="43" fontId="6" fillId="0" borderId="94" xfId="1" applyFont="1" applyFill="1" applyBorder="1"/>
    <xf numFmtId="43" fontId="2" fillId="0" borderId="46" xfId="1" applyFont="1" applyFill="1" applyBorder="1"/>
    <xf numFmtId="43" fontId="2" fillId="0" borderId="99" xfId="1" applyFont="1" applyFill="1" applyBorder="1"/>
    <xf numFmtId="43" fontId="6" fillId="0" borderId="28" xfId="1" applyFont="1" applyFill="1" applyBorder="1"/>
    <xf numFmtId="43" fontId="18" fillId="0" borderId="28" xfId="1" applyFont="1" applyFill="1" applyBorder="1" applyAlignment="1">
      <alignment horizontal="right"/>
    </xf>
    <xf numFmtId="0" fontId="6" fillId="0" borderId="40" xfId="0" applyFont="1" applyFill="1" applyBorder="1" applyAlignment="1">
      <alignment horizontal="center" wrapText="1"/>
    </xf>
    <xf numFmtId="169" fontId="6" fillId="0" borderId="100" xfId="5" applyFont="1" applyFill="1" applyBorder="1" applyAlignment="1">
      <alignment horizontal="center" wrapText="1"/>
    </xf>
    <xf numFmtId="0" fontId="6" fillId="0" borderId="101" xfId="0" applyFont="1" applyFill="1" applyBorder="1" applyAlignment="1">
      <alignment horizontal="center" vertical="center" wrapText="1"/>
    </xf>
    <xf numFmtId="0" fontId="6" fillId="0" borderId="102" xfId="0" applyFont="1" applyFill="1" applyBorder="1" applyAlignment="1">
      <alignment horizontal="center" vertical="center" wrapText="1"/>
    </xf>
    <xf numFmtId="182" fontId="2" fillId="0" borderId="103" xfId="0" applyNumberFormat="1" applyFont="1" applyFill="1" applyBorder="1" applyAlignment="1">
      <alignment horizontal="right"/>
    </xf>
    <xf numFmtId="182" fontId="2" fillId="0" borderId="104" xfId="0" applyNumberFormat="1" applyFont="1" applyFill="1" applyBorder="1" applyAlignment="1">
      <alignment horizontal="right"/>
    </xf>
    <xf numFmtId="182" fontId="6" fillId="0" borderId="39" xfId="5" applyNumberFormat="1" applyFont="1" applyFill="1" applyBorder="1" applyAlignment="1" applyProtection="1">
      <alignment horizontal="right"/>
    </xf>
    <xf numFmtId="182" fontId="6" fillId="0" borderId="105" xfId="5" applyNumberFormat="1" applyFont="1" applyFill="1" applyBorder="1" applyAlignment="1" applyProtection="1">
      <alignment horizontal="right"/>
    </xf>
    <xf numFmtId="182" fontId="6" fillId="0" borderId="76" xfId="5" applyNumberFormat="1" applyFont="1" applyFill="1" applyBorder="1" applyAlignment="1" applyProtection="1">
      <alignment horizontal="right"/>
    </xf>
    <xf numFmtId="182" fontId="6" fillId="0" borderId="106" xfId="5" applyNumberFormat="1" applyFont="1" applyFill="1" applyBorder="1" applyAlignment="1" applyProtection="1">
      <alignment horizontal="right"/>
    </xf>
    <xf numFmtId="182" fontId="2" fillId="0" borderId="39" xfId="5" applyNumberFormat="1" applyFont="1" applyFill="1" applyBorder="1" applyAlignment="1" applyProtection="1">
      <alignment horizontal="right"/>
    </xf>
    <xf numFmtId="182" fontId="2" fillId="0" borderId="105" xfId="5" applyNumberFormat="1" applyFont="1" applyFill="1" applyBorder="1" applyAlignment="1" applyProtection="1">
      <alignment horizontal="right"/>
    </xf>
    <xf numFmtId="182" fontId="2" fillId="0" borderId="107" xfId="0" applyNumberFormat="1" applyFont="1" applyFill="1" applyBorder="1"/>
    <xf numFmtId="182" fontId="2" fillId="0" borderId="108" xfId="0" applyNumberFormat="1" applyFont="1" applyFill="1" applyBorder="1"/>
    <xf numFmtId="182" fontId="46" fillId="0" borderId="69" xfId="5" applyNumberFormat="1" applyFont="1" applyFill="1" applyBorder="1" applyAlignment="1" applyProtection="1">
      <alignment horizontal="right"/>
    </xf>
    <xf numFmtId="182" fontId="46" fillId="0" borderId="109" xfId="5" applyNumberFormat="1" applyFont="1" applyFill="1" applyBorder="1" applyAlignment="1" applyProtection="1">
      <alignment horizontal="right"/>
    </xf>
    <xf numFmtId="43" fontId="90" fillId="0" borderId="15" xfId="1" applyNumberFormat="1" applyFont="1" applyFill="1" applyBorder="1"/>
    <xf numFmtId="0" fontId="78" fillId="0" borderId="85" xfId="0" applyFont="1" applyFill="1" applyBorder="1" applyAlignment="1">
      <alignment wrapText="1"/>
    </xf>
    <xf numFmtId="0" fontId="79" fillId="0" borderId="12" xfId="0" applyFont="1" applyFill="1" applyBorder="1" applyAlignment="1" applyProtection="1">
      <alignment horizontal="right" vertical="center" wrapText="1"/>
    </xf>
    <xf numFmtId="10" fontId="52" fillId="0" borderId="15" xfId="11" applyNumberFormat="1" applyFont="1" applyFill="1" applyBorder="1" applyAlignment="1">
      <alignment vertical="center" readingOrder="2"/>
    </xf>
    <xf numFmtId="169" fontId="48" fillId="0" borderId="74" xfId="5" applyFont="1" applyFill="1" applyBorder="1" applyAlignment="1">
      <alignment horizontal="right" vertical="center" wrapText="1" readingOrder="2"/>
    </xf>
    <xf numFmtId="43" fontId="2" fillId="0" borderId="110" xfId="1" applyFont="1" applyFill="1" applyBorder="1"/>
    <xf numFmtId="43" fontId="76" fillId="0" borderId="86" xfId="0" applyNumberFormat="1" applyFont="1" applyFill="1" applyBorder="1" applyAlignment="1">
      <alignment horizontal="right"/>
    </xf>
    <xf numFmtId="43" fontId="80" fillId="0" borderId="86" xfId="1" applyFont="1" applyFill="1" applyBorder="1" applyAlignment="1">
      <alignment horizontal="right"/>
    </xf>
    <xf numFmtId="43" fontId="76" fillId="0" borderId="87" xfId="1" applyFont="1" applyFill="1" applyBorder="1" applyAlignment="1">
      <alignment horizontal="right"/>
    </xf>
    <xf numFmtId="167" fontId="31" fillId="0" borderId="19" xfId="0" applyNumberFormat="1" applyFont="1" applyFill="1" applyBorder="1" applyAlignment="1">
      <alignment horizontal="right"/>
    </xf>
    <xf numFmtId="167" fontId="38" fillId="0" borderId="19" xfId="0" applyNumberFormat="1" applyFont="1" applyFill="1" applyBorder="1" applyAlignment="1">
      <alignment horizontal="right"/>
    </xf>
    <xf numFmtId="183" fontId="31" fillId="0" borderId="20" xfId="1" applyNumberFormat="1" applyFont="1" applyFill="1" applyBorder="1" applyAlignment="1">
      <alignment horizontal="right"/>
    </xf>
    <xf numFmtId="0" fontId="9" fillId="0" borderId="0" xfId="0" applyFont="1" applyFill="1" applyAlignment="1">
      <alignment horizontal="justify" vertical="center" wrapText="1" readingOrder="2"/>
    </xf>
    <xf numFmtId="0" fontId="9" fillId="0" borderId="0" xfId="0" applyFont="1" applyFill="1" applyAlignment="1">
      <alignment horizontal="right" vertical="center" readingOrder="2"/>
    </xf>
    <xf numFmtId="0" fontId="16" fillId="0" borderId="0" xfId="0" applyFont="1" applyFill="1" applyAlignment="1">
      <alignment horizontal="justify" vertical="center" wrapText="1" readingOrder="2"/>
    </xf>
    <xf numFmtId="0" fontId="62" fillId="0" borderId="0" xfId="0" applyFont="1" applyFill="1" applyBorder="1" applyAlignment="1">
      <alignment horizontal="right" readingOrder="2"/>
    </xf>
    <xf numFmtId="0" fontId="11" fillId="0" borderId="0" xfId="0" applyFont="1" applyFill="1" applyAlignment="1">
      <alignment horizontal="center" vertical="center" readingOrder="2"/>
    </xf>
    <xf numFmtId="0" fontId="15" fillId="0" borderId="0" xfId="0" applyFont="1" applyFill="1" applyAlignment="1">
      <alignment horizontal="center" vertical="center" readingOrder="2"/>
    </xf>
    <xf numFmtId="0" fontId="17" fillId="0" borderId="0" xfId="0" applyFont="1" applyAlignment="1">
      <alignment horizontal="center" vertical="center" readingOrder="2"/>
    </xf>
    <xf numFmtId="0" fontId="9" fillId="4" borderId="0" xfId="0" applyFont="1" applyFill="1" applyAlignment="1">
      <alignment horizontal="justify" vertical="center" wrapText="1" readingOrder="2"/>
    </xf>
    <xf numFmtId="0" fontId="16" fillId="0" borderId="0" xfId="0" applyFont="1" applyFill="1" applyAlignment="1">
      <alignment horizontal="justify" vertical="center" readingOrder="2"/>
    </xf>
    <xf numFmtId="0" fontId="11" fillId="0" borderId="0" xfId="0" applyFont="1" applyFill="1" applyAlignment="1">
      <alignment horizontal="justify" vertical="center" readingOrder="2"/>
    </xf>
    <xf numFmtId="0" fontId="9" fillId="0" borderId="0" xfId="0" applyFont="1" applyFill="1" applyAlignment="1">
      <alignment horizontal="justify" vertical="center" readingOrder="2"/>
    </xf>
    <xf numFmtId="0" fontId="11" fillId="0" borderId="0" xfId="0" applyFont="1" applyAlignment="1">
      <alignment horizontal="center" vertical="center" readingOrder="2"/>
    </xf>
    <xf numFmtId="0" fontId="14" fillId="0" borderId="0" xfId="0" applyFont="1" applyFill="1" applyAlignment="1">
      <alignment horizontal="left" vertical="center" readingOrder="2"/>
    </xf>
    <xf numFmtId="0" fontId="9" fillId="0" borderId="0" xfId="0" applyFont="1" applyFill="1" applyAlignment="1">
      <alignment horizontal="justify" vertical="center" wrapText="1" readingOrder="2"/>
    </xf>
    <xf numFmtId="0" fontId="11" fillId="0" borderId="0" xfId="0" applyFont="1" applyAlignment="1">
      <alignment horizontal="justify" vertical="center" wrapText="1" readingOrder="2"/>
    </xf>
    <xf numFmtId="0" fontId="9" fillId="0" borderId="0" xfId="0" applyFont="1" applyFill="1" applyAlignment="1">
      <alignment horizontal="right" vertical="center" wrapText="1" readingOrder="2"/>
    </xf>
    <xf numFmtId="0" fontId="16" fillId="0" borderId="0" xfId="0" applyFont="1" applyFill="1" applyAlignment="1">
      <alignment horizontal="justify" vertical="center" wrapText="1" readingOrder="2"/>
    </xf>
    <xf numFmtId="0" fontId="5" fillId="3" borderId="0" xfId="0" applyFont="1" applyFill="1" applyAlignment="1">
      <alignment horizontal="center" wrapText="1"/>
    </xf>
    <xf numFmtId="0" fontId="3" fillId="3" borderId="0" xfId="0" applyFont="1" applyFill="1" applyAlignment="1">
      <alignment horizontal="center"/>
    </xf>
    <xf numFmtId="0" fontId="20" fillId="3" borderId="0" xfId="0" applyFont="1" applyFill="1" applyAlignment="1">
      <alignment horizontal="center"/>
    </xf>
    <xf numFmtId="0" fontId="22" fillId="3" borderId="0" xfId="0" applyFont="1" applyFill="1" applyAlignment="1">
      <alignment horizontal="center"/>
    </xf>
    <xf numFmtId="0" fontId="91" fillId="0" borderId="0" xfId="0" applyFont="1" applyFill="1" applyAlignment="1">
      <alignment horizontal="right" wrapText="1"/>
    </xf>
    <xf numFmtId="0" fontId="13" fillId="0" borderId="0" xfId="0" applyFont="1" applyBorder="1" applyAlignment="1">
      <alignment horizontal="center" wrapText="1"/>
    </xf>
    <xf numFmtId="0" fontId="13" fillId="3" borderId="0" xfId="0" applyFont="1" applyFill="1" applyAlignment="1">
      <alignment horizontal="center"/>
    </xf>
    <xf numFmtId="0" fontId="13" fillId="0" borderId="0" xfId="0" applyFont="1" applyFill="1" applyBorder="1" applyAlignment="1">
      <alignment horizontal="center"/>
    </xf>
    <xf numFmtId="0" fontId="62" fillId="0" borderId="0" xfId="0" applyFont="1" applyFill="1" applyBorder="1" applyAlignment="1">
      <alignment horizontal="right" readingOrder="2"/>
    </xf>
    <xf numFmtId="0" fontId="59" fillId="0" borderId="85" xfId="0" applyFont="1" applyFill="1" applyBorder="1" applyAlignment="1">
      <alignment horizontal="right" wrapText="1"/>
    </xf>
    <xf numFmtId="0" fontId="59" fillId="0" borderId="18" xfId="0" applyFont="1" applyFill="1" applyBorder="1" applyAlignment="1">
      <alignment horizontal="right" wrapText="1"/>
    </xf>
    <xf numFmtId="0" fontId="55" fillId="0" borderId="0" xfId="0" applyFont="1" applyFill="1" applyBorder="1" applyAlignment="1">
      <alignment horizontal="right" wrapText="1" readingOrder="2"/>
    </xf>
    <xf numFmtId="0" fontId="55" fillId="3" borderId="0" xfId="0" applyFont="1" applyFill="1" applyAlignment="1">
      <alignment horizontal="right" wrapText="1"/>
    </xf>
    <xf numFmtId="0" fontId="55" fillId="0" borderId="0" xfId="0" applyFont="1" applyFill="1" applyAlignment="1">
      <alignment horizontal="right" wrapText="1"/>
    </xf>
    <xf numFmtId="0" fontId="55" fillId="0" borderId="0" xfId="0" applyFont="1" applyFill="1" applyAlignment="1">
      <alignment horizontal="right" wrapText="1" readingOrder="2"/>
    </xf>
    <xf numFmtId="0" fontId="60" fillId="0" borderId="111" xfId="0" applyFont="1" applyBorder="1" applyAlignment="1">
      <alignment horizontal="center" vertical="center" wrapText="1" readingOrder="2"/>
    </xf>
    <xf numFmtId="0" fontId="60" fillId="0" borderId="112" xfId="0" applyFont="1" applyBorder="1" applyAlignment="1">
      <alignment horizontal="center" vertical="center" wrapText="1" readingOrder="2"/>
    </xf>
    <xf numFmtId="0" fontId="60" fillId="0" borderId="83" xfId="0" applyFont="1" applyBorder="1" applyAlignment="1">
      <alignment horizontal="center" vertical="center" wrapText="1" readingOrder="2"/>
    </xf>
    <xf numFmtId="0" fontId="60" fillId="0" borderId="113" xfId="0" applyFont="1" applyBorder="1" applyAlignment="1">
      <alignment horizontal="center" vertical="center" wrapText="1" readingOrder="2"/>
    </xf>
    <xf numFmtId="0" fontId="60" fillId="0" borderId="4" xfId="0" applyFont="1" applyBorder="1" applyAlignment="1">
      <alignment horizontal="center" vertical="center" wrapText="1" readingOrder="2"/>
    </xf>
    <xf numFmtId="0" fontId="60" fillId="0" borderId="86" xfId="0" applyFont="1" applyBorder="1" applyAlignment="1">
      <alignment horizontal="center" vertical="center" wrapText="1" readingOrder="2"/>
    </xf>
    <xf numFmtId="42" fontId="60" fillId="0" borderId="81" xfId="0" applyNumberFormat="1" applyFont="1" applyFill="1" applyBorder="1" applyAlignment="1">
      <alignment horizontal="center" wrapText="1" readingOrder="2"/>
    </xf>
    <xf numFmtId="42" fontId="60" fillId="0" borderId="99" xfId="0" applyNumberFormat="1" applyFont="1" applyFill="1" applyBorder="1" applyAlignment="1">
      <alignment horizontal="center" wrapText="1" readingOrder="2"/>
    </xf>
    <xf numFmtId="0" fontId="55" fillId="0" borderId="10" xfId="0" applyFont="1" applyBorder="1" applyAlignment="1">
      <alignment horizontal="center" wrapText="1"/>
    </xf>
    <xf numFmtId="0" fontId="55" fillId="0" borderId="11" xfId="0" applyFont="1" applyBorder="1" applyAlignment="1">
      <alignment horizontal="center" wrapText="1"/>
    </xf>
    <xf numFmtId="42" fontId="60" fillId="0" borderId="40" xfId="0" applyNumberFormat="1" applyFont="1" applyFill="1" applyBorder="1" applyAlignment="1">
      <alignment horizontal="center" wrapText="1" readingOrder="2"/>
    </xf>
    <xf numFmtId="42" fontId="60" fillId="0" borderId="28" xfId="0" applyNumberFormat="1" applyFont="1" applyFill="1" applyBorder="1" applyAlignment="1">
      <alignment horizontal="center" wrapText="1" readingOrder="2"/>
    </xf>
    <xf numFmtId="0" fontId="59" fillId="0" borderId="114" xfId="0" applyFont="1" applyBorder="1" applyAlignment="1">
      <alignment horizontal="right"/>
    </xf>
    <xf numFmtId="0" fontId="59" fillId="0" borderId="115" xfId="0" applyFont="1" applyBorder="1" applyAlignment="1"/>
    <xf numFmtId="0" fontId="59" fillId="0" borderId="12" xfId="0" applyFont="1" applyFill="1" applyBorder="1" applyAlignment="1">
      <alignment horizontal="right"/>
    </xf>
    <xf numFmtId="0" fontId="59" fillId="0" borderId="15" xfId="0" applyFont="1" applyFill="1" applyBorder="1" applyAlignment="1"/>
    <xf numFmtId="0" fontId="59" fillId="0" borderId="111" xfId="0" applyFont="1" applyBorder="1" applyAlignment="1">
      <alignment horizontal="center" wrapText="1"/>
    </xf>
    <xf numFmtId="0" fontId="59" fillId="0" borderId="112" xfId="0" applyFont="1" applyBorder="1" applyAlignment="1">
      <alignment horizontal="center" wrapText="1"/>
    </xf>
    <xf numFmtId="0" fontId="59" fillId="0" borderId="83" xfId="0" applyFont="1" applyBorder="1" applyAlignment="1">
      <alignment horizontal="center" wrapText="1"/>
    </xf>
    <xf numFmtId="0" fontId="59" fillId="0" borderId="113" xfId="0" applyFont="1" applyBorder="1" applyAlignment="1">
      <alignment horizontal="center" wrapText="1"/>
    </xf>
    <xf numFmtId="0" fontId="59" fillId="0" borderId="4" xfId="0" applyFont="1" applyBorder="1" applyAlignment="1">
      <alignment horizontal="center" wrapText="1"/>
    </xf>
    <xf numFmtId="0" fontId="59" fillId="0" borderId="86" xfId="0" applyFont="1" applyBorder="1" applyAlignment="1">
      <alignment horizontal="center" wrapText="1"/>
    </xf>
    <xf numFmtId="0" fontId="55" fillId="0" borderId="0" xfId="0" applyFont="1" applyBorder="1" applyAlignment="1">
      <alignment horizontal="right"/>
    </xf>
    <xf numFmtId="0" fontId="59" fillId="0" borderId="116" xfId="0" applyFont="1" applyBorder="1" applyAlignment="1">
      <alignment horizontal="right" wrapText="1"/>
    </xf>
    <xf numFmtId="0" fontId="59" fillId="0" borderId="97" xfId="0" applyFont="1" applyBorder="1" applyAlignment="1">
      <alignment horizontal="right" wrapText="1"/>
    </xf>
    <xf numFmtId="0" fontId="59" fillId="0" borderId="44" xfId="0" applyFont="1" applyBorder="1" applyAlignment="1">
      <alignment horizontal="right" wrapText="1"/>
    </xf>
    <xf numFmtId="0" fontId="59" fillId="0" borderId="114" xfId="0" applyFont="1" applyBorder="1" applyAlignment="1">
      <alignment horizontal="right" wrapText="1"/>
    </xf>
    <xf numFmtId="0" fontId="59" fillId="0" borderId="117" xfId="0" applyFont="1" applyBorder="1" applyAlignment="1">
      <alignment horizontal="right" wrapText="1"/>
    </xf>
    <xf numFmtId="0" fontId="59" fillId="0" borderId="115" xfId="0" applyFont="1" applyBorder="1" applyAlignment="1">
      <alignment horizontal="right" wrapText="1"/>
    </xf>
    <xf numFmtId="0" fontId="59" fillId="0" borderId="13" xfId="0" applyFont="1" applyBorder="1" applyAlignment="1">
      <alignment horizontal="right" wrapText="1"/>
    </xf>
    <xf numFmtId="0" fontId="59" fillId="0" borderId="19" xfId="0" applyFont="1" applyBorder="1" applyAlignment="1">
      <alignment horizontal="right" wrapText="1"/>
    </xf>
    <xf numFmtId="0" fontId="28" fillId="0" borderId="0" xfId="0" applyFont="1" applyFill="1" applyBorder="1" applyAlignment="1">
      <alignment horizontal="center"/>
    </xf>
    <xf numFmtId="0" fontId="6" fillId="0" borderId="118" xfId="0" applyFont="1" applyFill="1" applyBorder="1" applyAlignment="1">
      <alignment horizontal="center" readingOrder="2"/>
    </xf>
    <xf numFmtId="0" fontId="6" fillId="0" borderId="59" xfId="0" applyFont="1" applyFill="1" applyBorder="1" applyAlignment="1">
      <alignment horizontal="center" readingOrder="2"/>
    </xf>
    <xf numFmtId="0" fontId="6" fillId="0" borderId="119" xfId="0" applyFont="1" applyFill="1" applyBorder="1" applyAlignment="1">
      <alignment horizontal="center" readingOrder="2"/>
    </xf>
    <xf numFmtId="0" fontId="6" fillId="0" borderId="101" xfId="0" applyFont="1" applyBorder="1" applyAlignment="1">
      <alignment horizontal="center" readingOrder="2"/>
    </xf>
    <xf numFmtId="0" fontId="6" fillId="0" borderId="21" xfId="0" applyFont="1" applyBorder="1" applyAlignment="1">
      <alignment horizontal="center" readingOrder="2"/>
    </xf>
    <xf numFmtId="0" fontId="6" fillId="0" borderId="120" xfId="0" applyFont="1" applyBorder="1" applyAlignment="1">
      <alignment horizontal="center" readingOrder="2"/>
    </xf>
    <xf numFmtId="0" fontId="3" fillId="0" borderId="0" xfId="0" applyFont="1" applyAlignment="1">
      <alignment horizontal="center" readingOrder="2"/>
    </xf>
    <xf numFmtId="0" fontId="20" fillId="0" borderId="0" xfId="0" applyFont="1" applyAlignment="1">
      <alignment horizontal="center"/>
    </xf>
    <xf numFmtId="0" fontId="3" fillId="0" borderId="0" xfId="0" applyFont="1" applyFill="1" applyBorder="1" applyAlignment="1">
      <alignment horizontal="center"/>
    </xf>
    <xf numFmtId="0" fontId="2" fillId="0" borderId="0" xfId="0" applyNumberFormat="1" applyFont="1" applyFill="1" applyAlignment="1">
      <alignment horizontal="right" wrapText="1" readingOrder="2"/>
    </xf>
    <xf numFmtId="165" fontId="31" fillId="0" borderId="121" xfId="0" applyNumberFormat="1" applyFont="1" applyFill="1" applyBorder="1" applyAlignment="1">
      <alignment horizontal="right" readingOrder="1"/>
    </xf>
    <xf numFmtId="165" fontId="31" fillId="0" borderId="21" xfId="0" applyNumberFormat="1" applyFont="1" applyFill="1" applyBorder="1" applyAlignment="1">
      <alignment horizontal="right" readingOrder="1"/>
    </xf>
    <xf numFmtId="169" fontId="4" fillId="0" borderId="0" xfId="5" applyFont="1" applyFill="1" applyAlignment="1">
      <alignment horizontal="center" wrapText="1"/>
    </xf>
    <xf numFmtId="169" fontId="4" fillId="0" borderId="0" xfId="5" applyFont="1" applyFill="1" applyBorder="1" applyAlignment="1">
      <alignment horizontal="center" readingOrder="2"/>
    </xf>
    <xf numFmtId="0" fontId="46" fillId="0" borderId="0" xfId="10" applyFont="1" applyFill="1" applyBorder="1" applyAlignment="1">
      <alignment horizontal="right"/>
    </xf>
    <xf numFmtId="169" fontId="20" fillId="0" borderId="0" xfId="5" applyFont="1" applyFill="1" applyAlignment="1">
      <alignment horizontal="center" wrapText="1"/>
    </xf>
    <xf numFmtId="0" fontId="20" fillId="0" borderId="15" xfId="10" applyFont="1" applyFill="1" applyBorder="1" applyAlignment="1">
      <alignment horizontal="center"/>
    </xf>
    <xf numFmtId="0" fontId="2" fillId="0" borderId="122" xfId="10" applyFont="1" applyFill="1" applyBorder="1" applyAlignment="1">
      <alignment horizontal="center"/>
    </xf>
    <xf numFmtId="0" fontId="2" fillId="0" borderId="44" xfId="10" applyFont="1" applyFill="1" applyBorder="1" applyAlignment="1">
      <alignment horizontal="center"/>
    </xf>
    <xf numFmtId="0" fontId="21" fillId="0" borderId="0" xfId="14" applyFont="1" applyFill="1" applyAlignment="1" applyProtection="1">
      <alignment horizontal="left"/>
    </xf>
    <xf numFmtId="0" fontId="46" fillId="0" borderId="80" xfId="10" quotePrefix="1" applyFont="1" applyFill="1" applyBorder="1" applyAlignment="1">
      <alignment horizontal="right"/>
    </xf>
    <xf numFmtId="0" fontId="46" fillId="0" borderId="44" xfId="10" quotePrefix="1" applyFont="1" applyFill="1" applyBorder="1" applyAlignment="1">
      <alignment horizontal="right"/>
    </xf>
    <xf numFmtId="0" fontId="4" fillId="0" borderId="7" xfId="0" quotePrefix="1" applyFont="1" applyFill="1" applyBorder="1" applyAlignment="1" applyProtection="1">
      <alignment horizontal="center" readingOrder="2"/>
    </xf>
    <xf numFmtId="0" fontId="4" fillId="0" borderId="8" xfId="0" quotePrefix="1" applyFont="1" applyFill="1" applyBorder="1" applyAlignment="1" applyProtection="1">
      <alignment horizontal="center" readingOrder="2"/>
    </xf>
    <xf numFmtId="0" fontId="4" fillId="0" borderId="9" xfId="0" quotePrefix="1" applyFont="1" applyFill="1" applyBorder="1" applyAlignment="1" applyProtection="1">
      <alignment horizontal="center" readingOrder="2"/>
    </xf>
    <xf numFmtId="0" fontId="4" fillId="0" borderId="0" xfId="0" applyFont="1" applyFill="1" applyAlignment="1" applyProtection="1">
      <alignment horizontal="center"/>
    </xf>
    <xf numFmtId="0" fontId="4" fillId="0" borderId="0" xfId="0" quotePrefix="1" applyFont="1" applyFill="1" applyAlignment="1" applyProtection="1">
      <alignment horizontal="center"/>
    </xf>
    <xf numFmtId="168" fontId="46" fillId="0" borderId="0" xfId="0" applyNumberFormat="1" applyFont="1" applyAlignment="1">
      <alignment horizontal="right" vertical="center" wrapText="1" readingOrder="2"/>
    </xf>
    <xf numFmtId="0" fontId="3" fillId="0" borderId="0" xfId="0" applyFont="1" applyFill="1" applyAlignment="1">
      <alignment horizontal="center"/>
    </xf>
    <xf numFmtId="0" fontId="3" fillId="0" borderId="0" xfId="0" applyFont="1" applyFill="1" applyAlignment="1">
      <alignment horizontal="center" wrapText="1"/>
    </xf>
    <xf numFmtId="169" fontId="6" fillId="0" borderId="21" xfId="5" applyFont="1" applyFill="1" applyBorder="1" applyAlignment="1">
      <alignment horizontal="center" vertical="center" wrapText="1"/>
    </xf>
    <xf numFmtId="0" fontId="2" fillId="0" borderId="120" xfId="0" applyFont="1" applyFill="1" applyBorder="1" applyAlignment="1">
      <alignment horizontal="center" vertical="center" wrapText="1"/>
    </xf>
    <xf numFmtId="14" fontId="20" fillId="0" borderId="1" xfId="0" applyNumberFormat="1" applyFont="1" applyFill="1" applyBorder="1" applyAlignment="1">
      <alignment horizontal="right"/>
    </xf>
    <xf numFmtId="0" fontId="20" fillId="0" borderId="1" xfId="0" applyFont="1" applyFill="1" applyBorder="1" applyAlignment="1">
      <alignment horizontal="right"/>
    </xf>
    <xf numFmtId="14" fontId="3" fillId="0" borderId="0" xfId="0" applyNumberFormat="1" applyFont="1" applyFill="1" applyBorder="1" applyAlignment="1">
      <alignment horizontal="right"/>
    </xf>
    <xf numFmtId="169" fontId="3" fillId="0" borderId="0" xfId="5" applyFont="1" applyFill="1" applyBorder="1" applyAlignment="1">
      <alignment horizontal="right"/>
    </xf>
    <xf numFmtId="169" fontId="20" fillId="0" borderId="0" xfId="5" applyFont="1" applyFill="1" applyAlignment="1">
      <alignment horizontal="center"/>
    </xf>
    <xf numFmtId="0" fontId="6" fillId="0" borderId="123" xfId="0" applyFont="1" applyFill="1" applyBorder="1" applyAlignment="1">
      <alignment horizontal="center" vertical="top" wrapText="1"/>
    </xf>
    <xf numFmtId="0" fontId="0" fillId="0" borderId="124" xfId="0" applyBorder="1"/>
    <xf numFmtId="0" fontId="20" fillId="0" borderId="0" xfId="0" applyFont="1" applyFill="1" applyAlignment="1">
      <alignment horizontal="center"/>
    </xf>
    <xf numFmtId="0" fontId="2" fillId="0" borderId="0" xfId="0" applyNumberFormat="1" applyFont="1" applyFill="1" applyBorder="1" applyAlignment="1">
      <alignment horizontal="center" wrapText="1" readingOrder="2"/>
    </xf>
    <xf numFmtId="169" fontId="42" fillId="0" borderId="0" xfId="5" applyFont="1" applyFill="1" applyAlignment="1">
      <alignment horizontal="center"/>
    </xf>
    <xf numFmtId="169" fontId="42" fillId="0" borderId="0" xfId="5" quotePrefix="1" applyFont="1" applyFill="1" applyAlignment="1">
      <alignment horizontal="center"/>
    </xf>
    <xf numFmtId="0" fontId="2" fillId="0" borderId="0" xfId="0" applyNumberFormat="1" applyFont="1" applyFill="1" applyBorder="1" applyAlignment="1">
      <alignment horizontal="center" vertical="center" wrapText="1" readingOrder="2"/>
    </xf>
    <xf numFmtId="0" fontId="2" fillId="0" borderId="112" xfId="0" applyNumberFormat="1" applyFont="1" applyFill="1" applyBorder="1" applyAlignment="1">
      <alignment horizontal="center" vertical="center" wrapText="1" readingOrder="2"/>
    </xf>
    <xf numFmtId="0" fontId="6" fillId="0" borderId="7" xfId="0" applyFont="1" applyFill="1" applyBorder="1" applyAlignment="1">
      <alignment horizontal="center" wrapText="1"/>
    </xf>
    <xf numFmtId="0" fontId="6" fillId="0" borderId="8" xfId="0" applyFont="1" applyFill="1" applyBorder="1" applyAlignment="1">
      <alignment horizontal="center" wrapText="1"/>
    </xf>
    <xf numFmtId="0" fontId="6" fillId="0" borderId="9" xfId="0" applyFont="1" applyFill="1" applyBorder="1" applyAlignment="1">
      <alignment horizontal="center" wrapText="1"/>
    </xf>
    <xf numFmtId="0" fontId="3" fillId="0" borderId="0" xfId="0" applyFont="1" applyFill="1" applyAlignment="1" applyProtection="1">
      <alignment horizontal="center" readingOrder="2"/>
    </xf>
    <xf numFmtId="169" fontId="4" fillId="0" borderId="125" xfId="5" applyFont="1" applyFill="1" applyBorder="1" applyAlignment="1">
      <alignment horizontal="center" wrapText="1" readingOrder="2"/>
    </xf>
    <xf numFmtId="169" fontId="4" fillId="0" borderId="126" xfId="5" applyFont="1" applyFill="1" applyBorder="1" applyAlignment="1">
      <alignment horizontal="center" wrapText="1" readingOrder="2"/>
    </xf>
    <xf numFmtId="169" fontId="4" fillId="0" borderId="124" xfId="5" applyFont="1" applyFill="1" applyBorder="1" applyAlignment="1">
      <alignment horizontal="center" wrapText="1" readingOrder="2"/>
    </xf>
    <xf numFmtId="169" fontId="28" fillId="0" borderId="111" xfId="5" applyFont="1" applyFill="1" applyBorder="1" applyAlignment="1">
      <alignment horizontal="center" vertical="center" wrapText="1" readingOrder="2"/>
    </xf>
    <xf numFmtId="169" fontId="28" fillId="0" borderId="112" xfId="5" applyFont="1" applyFill="1" applyBorder="1" applyAlignment="1">
      <alignment horizontal="center" vertical="center" wrapText="1" readingOrder="2"/>
    </xf>
    <xf numFmtId="169" fontId="28" fillId="0" borderId="84" xfId="5" applyFont="1" applyFill="1" applyBorder="1" applyAlignment="1">
      <alignment horizontal="center" vertical="center" wrapText="1" readingOrder="2"/>
    </xf>
    <xf numFmtId="169" fontId="4" fillId="0" borderId="125" xfId="5" applyFont="1" applyFill="1" applyBorder="1" applyAlignment="1">
      <alignment horizontal="center" vertical="center" wrapText="1" readingOrder="2"/>
    </xf>
    <xf numFmtId="169" fontId="4" fillId="0" borderId="126" xfId="5" applyFont="1" applyFill="1" applyBorder="1" applyAlignment="1">
      <alignment horizontal="center" vertical="center" wrapText="1" readingOrder="2"/>
    </xf>
    <xf numFmtId="169" fontId="4" fillId="0" borderId="124" xfId="5" applyFont="1" applyFill="1" applyBorder="1" applyAlignment="1">
      <alignment horizontal="center" vertical="center" wrapText="1" readingOrder="2"/>
    </xf>
    <xf numFmtId="0" fontId="20" fillId="0" borderId="0" xfId="0" applyFont="1" applyFill="1" applyAlignment="1" applyProtection="1">
      <alignment horizontal="center" readingOrder="2"/>
    </xf>
    <xf numFmtId="0" fontId="20" fillId="0" borderId="125" xfId="0" applyFont="1" applyFill="1" applyBorder="1" applyAlignment="1" applyProtection="1">
      <alignment horizontal="center" vertical="center" readingOrder="2"/>
    </xf>
    <xf numFmtId="0" fontId="20" fillId="0" borderId="126" xfId="0" applyFont="1" applyFill="1" applyBorder="1" applyAlignment="1" applyProtection="1">
      <alignment horizontal="center" vertical="center" readingOrder="2"/>
    </xf>
    <xf numFmtId="0" fontId="20" fillId="0" borderId="124" xfId="0" applyFont="1" applyFill="1" applyBorder="1" applyAlignment="1" applyProtection="1">
      <alignment horizontal="center" vertical="center" readingOrder="2"/>
    </xf>
    <xf numFmtId="14" fontId="20" fillId="0" borderId="0" xfId="0" applyNumberFormat="1" applyFont="1" applyFill="1" applyBorder="1" applyAlignment="1">
      <alignment horizontal="right"/>
    </xf>
    <xf numFmtId="0" fontId="20" fillId="0" borderId="54" xfId="0" applyFont="1" applyFill="1" applyBorder="1" applyAlignment="1">
      <alignment horizontal="center" wrapText="1" readingOrder="2"/>
    </xf>
    <xf numFmtId="0" fontId="20" fillId="0" borderId="92" xfId="0" applyFont="1" applyFill="1" applyBorder="1" applyAlignment="1">
      <alignment horizontal="center" wrapText="1" readingOrder="2"/>
    </xf>
    <xf numFmtId="169" fontId="50" fillId="0" borderId="80" xfId="5" applyFont="1" applyFill="1" applyBorder="1" applyAlignment="1">
      <alignment horizontal="right" vertical="center" readingOrder="2"/>
    </xf>
    <xf numFmtId="169" fontId="50" fillId="0" borderId="44" xfId="5" applyFont="1" applyFill="1" applyBorder="1" applyAlignment="1">
      <alignment horizontal="right" vertical="center" readingOrder="2"/>
    </xf>
    <xf numFmtId="0" fontId="77" fillId="0" borderId="0" xfId="14" applyFont="1" applyFill="1" applyBorder="1" applyAlignment="1" applyProtection="1">
      <alignment horizontal="left"/>
    </xf>
    <xf numFmtId="0" fontId="73" fillId="0" borderId="0" xfId="0" applyFont="1" applyAlignment="1">
      <alignment horizontal="right" vertical="center" wrapText="1" readingOrder="2"/>
    </xf>
    <xf numFmtId="0" fontId="87" fillId="0" borderId="0" xfId="6" applyFont="1" applyFill="1" applyBorder="1" applyAlignment="1">
      <alignment horizontal="center" vertical="center" wrapText="1"/>
    </xf>
    <xf numFmtId="0" fontId="50" fillId="0" borderId="0" xfId="7" applyFont="1" applyFill="1" applyBorder="1" applyAlignment="1">
      <alignment horizontal="center" vertical="center"/>
    </xf>
    <xf numFmtId="0" fontId="50" fillId="0" borderId="15" xfId="7" applyFont="1" applyFill="1" applyBorder="1" applyAlignment="1">
      <alignment horizontal="center" vertical="center" wrapText="1" readingOrder="2"/>
    </xf>
    <xf numFmtId="0" fontId="88" fillId="0" borderId="15" xfId="0" applyFont="1" applyBorder="1" applyAlignment="1">
      <alignment horizontal="right" vertical="center" readingOrder="2"/>
    </xf>
    <xf numFmtId="0" fontId="88" fillId="0" borderId="15" xfId="0" applyFont="1" applyBorder="1" applyAlignment="1">
      <alignment horizontal="justify" vertical="center" wrapText="1" readingOrder="2"/>
    </xf>
    <xf numFmtId="0" fontId="88" fillId="0" borderId="15" xfId="0" applyFont="1" applyBorder="1" applyAlignment="1">
      <alignment horizontal="right" vertical="center" wrapText="1" readingOrder="2"/>
    </xf>
    <xf numFmtId="0" fontId="73" fillId="0" borderId="0" xfId="0" applyFont="1" applyBorder="1" applyAlignment="1">
      <alignment horizontal="right" vertical="center" wrapText="1" readingOrder="2"/>
    </xf>
    <xf numFmtId="0" fontId="50" fillId="0" borderId="15" xfId="6" quotePrefix="1" applyFont="1" applyFill="1" applyBorder="1" applyAlignment="1">
      <alignment horizontal="right" wrapText="1"/>
    </xf>
    <xf numFmtId="0" fontId="50" fillId="0" borderId="15" xfId="6" applyFont="1" applyFill="1" applyBorder="1" applyAlignment="1">
      <alignment horizontal="right" wrapText="1"/>
    </xf>
    <xf numFmtId="0" fontId="56" fillId="0" borderId="80" xfId="7" applyFont="1" applyFill="1" applyBorder="1" applyAlignment="1">
      <alignment horizontal="center" vertical="center" wrapText="1" readingOrder="2"/>
    </xf>
    <xf numFmtId="0" fontId="56" fillId="0" borderId="44" xfId="7" applyFont="1" applyFill="1" applyBorder="1" applyAlignment="1">
      <alignment horizontal="center" vertical="center" wrapText="1" readingOrder="2"/>
    </xf>
    <xf numFmtId="0" fontId="67" fillId="0" borderId="0" xfId="0" applyFont="1" applyFill="1" applyAlignment="1" applyProtection="1">
      <alignment horizontal="center" readingOrder="2"/>
    </xf>
    <xf numFmtId="171" fontId="67" fillId="0" borderId="0" xfId="8" applyNumberFormat="1" applyFont="1" applyFill="1" applyAlignment="1" applyProtection="1">
      <alignment horizontal="right" vertical="center" readingOrder="2"/>
    </xf>
    <xf numFmtId="0" fontId="88" fillId="0" borderId="15" xfId="0" applyFont="1" applyBorder="1" applyAlignment="1">
      <alignment horizontal="center" vertical="center" readingOrder="2"/>
    </xf>
    <xf numFmtId="0" fontId="88" fillId="0" borderId="15" xfId="0" applyFont="1" applyBorder="1" applyAlignment="1">
      <alignment horizontal="center" vertical="center" wrapText="1" readingOrder="2"/>
    </xf>
    <xf numFmtId="0" fontId="2" fillId="0" borderId="0" xfId="0" applyFont="1" applyFill="1" applyBorder="1" applyAlignment="1">
      <alignment horizontal="right" vertical="top" readingOrder="2"/>
    </xf>
    <xf numFmtId="0" fontId="85" fillId="0" borderId="0" xfId="0" applyFont="1" applyFill="1" applyBorder="1" applyAlignment="1">
      <alignment horizontal="right" wrapText="1" readingOrder="2"/>
    </xf>
    <xf numFmtId="0" fontId="85" fillId="0" borderId="0" xfId="0" applyFont="1" applyFill="1" applyBorder="1" applyAlignment="1">
      <alignment horizontal="right" wrapText="1"/>
    </xf>
    <xf numFmtId="0" fontId="2" fillId="0" borderId="0" xfId="0" applyFont="1" applyFill="1" applyAlignment="1">
      <alignment horizontal="right" wrapText="1" readingOrder="2"/>
    </xf>
    <xf numFmtId="0" fontId="5" fillId="0" borderId="127" xfId="0" applyFont="1" applyFill="1" applyBorder="1" applyAlignment="1">
      <alignment horizontal="center"/>
    </xf>
    <xf numFmtId="0" fontId="5" fillId="0" borderId="128" xfId="0" applyFont="1" applyFill="1" applyBorder="1" applyAlignment="1">
      <alignment horizontal="center"/>
    </xf>
    <xf numFmtId="0" fontId="5" fillId="0" borderId="129" xfId="0" applyFont="1" applyFill="1" applyBorder="1" applyAlignment="1">
      <alignment horizontal="center"/>
    </xf>
    <xf numFmtId="14" fontId="81" fillId="0" borderId="0" xfId="0" applyNumberFormat="1" applyFont="1" applyFill="1" applyAlignment="1">
      <alignment horizontal="center"/>
    </xf>
    <xf numFmtId="0" fontId="46" fillId="0" borderId="0" xfId="0" applyFont="1" applyFill="1" applyBorder="1" applyAlignment="1">
      <alignment horizontal="center" vertical="top" readingOrder="2"/>
    </xf>
    <xf numFmtId="0" fontId="51" fillId="0" borderId="0" xfId="0" applyFont="1" applyFill="1" applyAlignment="1">
      <alignment horizontal="center"/>
    </xf>
    <xf numFmtId="0" fontId="2" fillId="0" borderId="0" xfId="0" applyFont="1" applyFill="1" applyAlignment="1">
      <alignment horizontal="right" vertical="top" wrapText="1" readingOrder="2"/>
    </xf>
    <xf numFmtId="14" fontId="20" fillId="0" borderId="0" xfId="0" applyNumberFormat="1" applyFont="1" applyFill="1" applyAlignment="1">
      <alignment horizontal="center"/>
    </xf>
    <xf numFmtId="0" fontId="18" fillId="0" borderId="0" xfId="0" applyFont="1" applyFill="1" applyAlignment="1">
      <alignment horizontal="center"/>
    </xf>
  </cellXfs>
  <cellStyles count="15">
    <cellStyle name="Comma" xfId="1" builtinId="3"/>
    <cellStyle name="Comma 2" xfId="2" xr:uid="{00000000-0005-0000-0000-000001000000}"/>
    <cellStyle name="Comma 3" xfId="3" xr:uid="{00000000-0005-0000-0000-000002000000}"/>
    <cellStyle name="Currency" xfId="4" builtinId="4"/>
    <cellStyle name="Normal" xfId="0" builtinId="0"/>
    <cellStyle name="Normal_A" xfId="5" xr:uid="{00000000-0005-0000-0000-000005000000}"/>
    <cellStyle name="Normal_Book2_1" xfId="6" xr:uid="{00000000-0005-0000-0000-000006000000}"/>
    <cellStyle name="Normal_Book2_1 2" xfId="7" xr:uid="{00000000-0005-0000-0000-000007000000}"/>
    <cellStyle name="Normal_I" xfId="8" xr:uid="{00000000-0005-0000-0000-000008000000}"/>
    <cellStyle name="Normal_גיליון1 (2)" xfId="9" xr:uid="{00000000-0005-0000-0000-000009000000}"/>
    <cellStyle name="Normal_גיליון1 (2) 2" xfId="10" xr:uid="{00000000-0005-0000-0000-00000A000000}"/>
    <cellStyle name="Percent" xfId="11" builtinId="5"/>
    <cellStyle name="Percent 2" xfId="12" xr:uid="{00000000-0005-0000-0000-00000C000000}"/>
    <cellStyle name="Percent 3" xfId="13" xr:uid="{00000000-0005-0000-0000-00000D000000}"/>
    <cellStyle name="היפר-קישור" xfId="14"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oss/DOCUME~1/mkamish/LOCALS~1/Temp/T.Notes/2004-6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502;&#1497;&#1504;&#1492;&#1500;%20&#1492;&#1491;&#1500;&#1511;%20&#1506;&#1491;&#1497;/&#1510;&#1497;&#1508;&#1497;/&#1502;&#1489;&#1504;&#1492;%20&#1502;&#1495;&#1497;&#1512;/&#1511;&#1489;&#1510;&#1497;%20&#1502;&#1489;&#1504;&#1492;%20&#1502;&#1495;&#1497;&#1512;/&#1502;&#1489;&#1504;&#1492;%20&#1502;&#1495;&#1497;&#1512;%20&#1495;&#1491;&#1513;/&#1495;&#1497;&#1510;&#1493;&#1504;&#1497;%202012/&#1502;&#1489;&#1504;&#1492;%20&#1502;&#1495;&#1497;&#1512;%20&#1500;&#1495;&#1493;&#1491;&#1513;%20&#1497;&#1493;&#1500;&#1497;%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מקדים"/>
      <sheetName val="תוכן עניינים"/>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Module1"/>
      <sheetName val="מודול1"/>
      <sheetName val="מודול2"/>
      <sheetName val="21"/>
      <sheetName val="סולר 0.2-אולי מיותר"/>
    </sheetNames>
    <sheetDataSet>
      <sheetData sheetId="0" refreshError="1"/>
      <sheetData sheetId="1" refreshError="1"/>
      <sheetData sheetId="2" refreshError="1"/>
      <sheetData sheetId="3">
        <row r="4">
          <cell r="B4">
            <v>38200</v>
          </cell>
        </row>
        <row r="6">
          <cell r="C6">
            <v>4.5678000000000001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מקדים"/>
      <sheetName val="תוכן עניינים"/>
      <sheetName val="1"/>
      <sheetName val="2"/>
      <sheetName val="3"/>
      <sheetName val="4"/>
      <sheetName val="5"/>
      <sheetName val="6"/>
      <sheetName val="7"/>
      <sheetName val="8"/>
      <sheetName val="9"/>
      <sheetName val="10"/>
      <sheetName val="11"/>
      <sheetName val="12"/>
      <sheetName val="13"/>
      <sheetName val="14"/>
      <sheetName val="15"/>
      <sheetName val="16"/>
    </sheetNames>
    <sheetDataSet>
      <sheetData sheetId="0"/>
      <sheetData sheetId="1"/>
      <sheetData sheetId="2"/>
      <sheetData sheetId="3">
        <row r="8">
          <cell r="C8">
            <v>0.16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dimension ref="A1:G28"/>
  <sheetViews>
    <sheetView showGridLines="0" rightToLeft="1" tabSelected="1" view="pageBreakPreview" zoomScale="85" zoomScaleNormal="100" zoomScaleSheetLayoutView="85" workbookViewId="0">
      <selection sqref="A1:E1"/>
    </sheetView>
  </sheetViews>
  <sheetFormatPr defaultColWidth="9.1796875" defaultRowHeight="13"/>
  <cols>
    <col min="1" max="1" width="13.1796875" style="8" customWidth="1"/>
    <col min="2" max="2" width="14" style="8" customWidth="1"/>
    <col min="3" max="3" width="15" style="8" customWidth="1"/>
    <col min="4" max="4" width="11.81640625" style="8" customWidth="1"/>
    <col min="5" max="5" width="23.453125" style="8" customWidth="1"/>
    <col min="6" max="16384" width="9.1796875" style="8"/>
  </cols>
  <sheetData>
    <row r="1" spans="1:7">
      <c r="A1" s="694"/>
      <c r="B1" s="694"/>
      <c r="C1" s="694"/>
      <c r="D1" s="694"/>
      <c r="E1" s="694"/>
    </row>
    <row r="2" spans="1:7">
      <c r="A2" s="687"/>
      <c r="B2" s="687"/>
      <c r="C2" s="687"/>
      <c r="D2" s="687"/>
      <c r="E2" s="687"/>
    </row>
    <row r="3" spans="1:7" ht="15" customHeight="1">
      <c r="A3" s="687"/>
      <c r="B3" s="687"/>
      <c r="C3" s="687"/>
      <c r="D3" s="695" t="s">
        <v>348</v>
      </c>
      <c r="E3" s="695"/>
    </row>
    <row r="4" spans="1:7" ht="15" customHeight="1">
      <c r="A4" s="687"/>
      <c r="B4" s="687"/>
      <c r="C4" s="687"/>
      <c r="D4" s="695" t="s">
        <v>349</v>
      </c>
      <c r="E4" s="695"/>
    </row>
    <row r="5" spans="1:7">
      <c r="A5" s="687"/>
      <c r="B5" s="687"/>
      <c r="C5" s="687"/>
      <c r="D5" s="687"/>
      <c r="E5" s="687"/>
    </row>
    <row r="6" spans="1:7" ht="28">
      <c r="A6" s="688" t="s">
        <v>350</v>
      </c>
      <c r="B6" s="688"/>
      <c r="C6" s="688"/>
      <c r="D6" s="688"/>
      <c r="E6" s="688"/>
    </row>
    <row r="7" spans="1:7">
      <c r="A7" s="687"/>
      <c r="B7" s="687"/>
      <c r="C7" s="687"/>
      <c r="D7" s="687"/>
      <c r="E7" s="687"/>
    </row>
    <row r="8" spans="1:7" ht="18.75" customHeight="1">
      <c r="A8" s="691" t="s">
        <v>154</v>
      </c>
      <c r="B8" s="691"/>
      <c r="C8" s="691"/>
      <c r="D8" s="691"/>
      <c r="E8" s="691"/>
    </row>
    <row r="9" spans="1:7">
      <c r="A9" s="692"/>
      <c r="B9" s="692"/>
      <c r="C9" s="692"/>
      <c r="D9" s="692"/>
      <c r="E9" s="692"/>
    </row>
    <row r="10" spans="1:7" ht="15.75" customHeight="1">
      <c r="A10" s="693" t="s">
        <v>351</v>
      </c>
      <c r="B10" s="693"/>
      <c r="C10" s="693"/>
      <c r="D10" s="693"/>
      <c r="E10" s="693"/>
      <c r="G10" s="252"/>
    </row>
    <row r="11" spans="1:7" ht="33.75" customHeight="1">
      <c r="A11" s="696" t="s">
        <v>158</v>
      </c>
      <c r="B11" s="696"/>
      <c r="C11" s="696"/>
      <c r="D11" s="696"/>
      <c r="E11" s="696"/>
    </row>
    <row r="12" spans="1:7" ht="33.75" customHeight="1">
      <c r="A12" s="691" t="s">
        <v>269</v>
      </c>
      <c r="B12" s="691"/>
      <c r="C12" s="691"/>
      <c r="D12" s="691"/>
      <c r="E12" s="691"/>
    </row>
    <row r="13" spans="1:7" ht="15.5">
      <c r="A13" s="684" t="s">
        <v>270</v>
      </c>
      <c r="B13" s="683"/>
      <c r="C13" s="683"/>
      <c r="D13" s="683"/>
      <c r="E13" s="683"/>
    </row>
    <row r="14" spans="1:7" ht="61.5" customHeight="1">
      <c r="A14" s="698" t="s">
        <v>271</v>
      </c>
      <c r="B14" s="698"/>
      <c r="C14" s="698"/>
      <c r="D14" s="698"/>
      <c r="E14" s="698"/>
    </row>
    <row r="15" spans="1:7" ht="21.65" customHeight="1">
      <c r="A15" s="698" t="s">
        <v>352</v>
      </c>
      <c r="B15" s="698"/>
      <c r="C15" s="698"/>
      <c r="D15" s="698"/>
      <c r="E15" s="698"/>
    </row>
    <row r="16" spans="1:7" ht="21.65" customHeight="1">
      <c r="A16" s="509"/>
      <c r="B16" s="509"/>
      <c r="C16" s="509"/>
      <c r="D16" s="509"/>
      <c r="E16" s="509"/>
    </row>
    <row r="17" spans="1:5" s="9" customFormat="1" ht="18.75" customHeight="1">
      <c r="A17" s="699" t="s">
        <v>174</v>
      </c>
      <c r="B17" s="699"/>
      <c r="C17" s="699"/>
      <c r="D17" s="699"/>
      <c r="E17" s="699"/>
    </row>
    <row r="18" spans="1:5" s="9" customFormat="1" ht="14.25" customHeight="1">
      <c r="A18" s="685"/>
      <c r="B18" s="685"/>
      <c r="C18" s="685"/>
      <c r="D18" s="685"/>
      <c r="E18" s="685"/>
    </row>
    <row r="19" spans="1:5" s="9" customFormat="1" ht="51.75" customHeight="1">
      <c r="A19" s="698" t="s">
        <v>353</v>
      </c>
      <c r="B19" s="698"/>
      <c r="C19" s="698"/>
      <c r="D19" s="698"/>
      <c r="E19" s="698"/>
    </row>
    <row r="20" spans="1:5" s="9" customFormat="1" ht="93.65" customHeight="1">
      <c r="A20" s="696" t="s">
        <v>159</v>
      </c>
      <c r="B20" s="696"/>
      <c r="C20" s="696"/>
      <c r="D20" s="696"/>
      <c r="E20" s="696"/>
    </row>
    <row r="21" spans="1:5" s="9" customFormat="1" ht="102" customHeight="1"/>
    <row r="22" spans="1:5" s="9" customFormat="1" ht="4.5" customHeight="1">
      <c r="A22" s="697"/>
      <c r="B22" s="697"/>
      <c r="C22" s="697"/>
      <c r="D22" s="697"/>
      <c r="E22" s="697"/>
    </row>
    <row r="23" spans="1:5" s="9" customFormat="1" ht="54.75" customHeight="1">
      <c r="A23" s="690"/>
      <c r="B23" s="690"/>
      <c r="C23" s="690"/>
      <c r="D23" s="690"/>
      <c r="E23" s="690"/>
    </row>
    <row r="24" spans="1:5" ht="31.5" customHeight="1">
      <c r="A24" s="690"/>
      <c r="B24" s="690"/>
      <c r="C24" s="690"/>
      <c r="D24" s="690"/>
      <c r="E24" s="690"/>
    </row>
    <row r="26" spans="1:5" ht="16.5">
      <c r="D26" s="689"/>
      <c r="E26" s="689"/>
    </row>
    <row r="27" spans="1:5" ht="16.5">
      <c r="D27" s="689"/>
      <c r="E27" s="689"/>
    </row>
    <row r="28" spans="1:5" ht="16.5">
      <c r="D28" s="689"/>
      <c r="E28" s="689"/>
    </row>
  </sheetData>
  <sheetProtection formatCells="0" formatColumns="0" formatRows="0" insertColumns="0" insertRows="0" insertHyperlinks="0" deleteColumns="0" deleteRows="0" sort="0" autoFilter="0" pivotTables="0"/>
  <mergeCells count="25">
    <mergeCell ref="A19:E19"/>
    <mergeCell ref="A12:E12"/>
    <mergeCell ref="A14:E14"/>
    <mergeCell ref="A1:E1"/>
    <mergeCell ref="A2:E2"/>
    <mergeCell ref="A3:C3"/>
    <mergeCell ref="D3:E3"/>
    <mergeCell ref="A4:C4"/>
    <mergeCell ref="D4:E4"/>
    <mergeCell ref="A5:E5"/>
    <mergeCell ref="A6:E6"/>
    <mergeCell ref="D26:E26"/>
    <mergeCell ref="D27:E27"/>
    <mergeCell ref="D28:E28"/>
    <mergeCell ref="A24:E24"/>
    <mergeCell ref="A7:E7"/>
    <mergeCell ref="A8:E8"/>
    <mergeCell ref="A9:E9"/>
    <mergeCell ref="A10:E10"/>
    <mergeCell ref="A20:E20"/>
    <mergeCell ref="A22:E22"/>
    <mergeCell ref="A23:E23"/>
    <mergeCell ref="A11:E11"/>
    <mergeCell ref="A15:E15"/>
    <mergeCell ref="A17:E17"/>
  </mergeCells>
  <phoneticPr fontId="0" type="noConversion"/>
  <printOptions horizontalCentered="1"/>
  <pageMargins left="0.74803149606299213" right="0.74803149606299213" top="0.98425196850393704" bottom="0.98425196850393704" header="0.51181102362204722" footer="0.51181102362204722"/>
  <pageSetup paperSize="9" scale="88"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dimension ref="A1:F32"/>
  <sheetViews>
    <sheetView showGridLines="0" rightToLeft="1" view="pageBreakPreview" zoomScale="75" zoomScaleNormal="100" workbookViewId="0">
      <selection activeCell="B8" sqref="B8"/>
    </sheetView>
  </sheetViews>
  <sheetFormatPr defaultColWidth="9.1796875" defaultRowHeight="12.5"/>
  <cols>
    <col min="1" max="1" width="16.1796875" style="272" customWidth="1"/>
    <col min="2" max="2" width="64.81640625" style="274" customWidth="1"/>
    <col min="3" max="16384" width="9.1796875" style="272"/>
  </cols>
  <sheetData>
    <row r="1" spans="1:2" ht="15.5">
      <c r="A1" s="701" t="s">
        <v>130</v>
      </c>
      <c r="B1" s="701"/>
    </row>
    <row r="2" spans="1:2" s="273" customFormat="1" ht="15.5">
      <c r="A2" s="701" t="s">
        <v>230</v>
      </c>
      <c r="B2" s="701"/>
    </row>
    <row r="3" spans="1:2" s="273" customFormat="1" ht="15.5">
      <c r="A3" s="439"/>
      <c r="B3" s="439"/>
    </row>
    <row r="4" spans="1:2" ht="13">
      <c r="A4" s="702" t="s">
        <v>207</v>
      </c>
      <c r="B4" s="702"/>
    </row>
    <row r="6" spans="1:2" ht="15.5">
      <c r="A6" s="703" t="s">
        <v>131</v>
      </c>
      <c r="B6" s="703"/>
    </row>
    <row r="7" spans="1:2" ht="15.5">
      <c r="A7" s="275"/>
      <c r="B7" s="276"/>
    </row>
    <row r="8" spans="1:2" ht="15.5">
      <c r="A8" s="277" t="s">
        <v>132</v>
      </c>
      <c r="B8" s="278">
        <f>ValidDate</f>
        <v>46266</v>
      </c>
    </row>
    <row r="15" spans="1:2" ht="15" customHeight="1">
      <c r="A15" s="700" t="s">
        <v>31</v>
      </c>
      <c r="B15" s="700"/>
    </row>
    <row r="16" spans="1:2" ht="13" thickBot="1"/>
    <row r="17" spans="1:6" ht="13.5" thickTop="1">
      <c r="A17" s="399" t="s">
        <v>133</v>
      </c>
      <c r="B17" s="400" t="s">
        <v>126</v>
      </c>
    </row>
    <row r="18" spans="1:6" ht="13">
      <c r="A18" s="401" t="s">
        <v>134</v>
      </c>
      <c r="B18" s="279" t="s">
        <v>135</v>
      </c>
    </row>
    <row r="19" spans="1:6" ht="13">
      <c r="A19" s="401" t="s">
        <v>136</v>
      </c>
      <c r="B19" s="279" t="s">
        <v>8</v>
      </c>
    </row>
    <row r="20" spans="1:6" ht="13">
      <c r="A20" s="401" t="s">
        <v>16</v>
      </c>
      <c r="B20" s="279" t="s">
        <v>137</v>
      </c>
    </row>
    <row r="21" spans="1:6" ht="13">
      <c r="A21" s="401" t="s">
        <v>19</v>
      </c>
      <c r="B21" s="279" t="s">
        <v>172</v>
      </c>
      <c r="F21" s="453"/>
    </row>
    <row r="22" spans="1:6" ht="12.75" customHeight="1">
      <c r="A22" s="549" t="s">
        <v>20</v>
      </c>
      <c r="B22" s="550" t="s">
        <v>200</v>
      </c>
    </row>
    <row r="23" spans="1:6" ht="12.75" customHeight="1">
      <c r="A23" s="549" t="s">
        <v>32</v>
      </c>
      <c r="B23" s="550" t="s">
        <v>291</v>
      </c>
    </row>
    <row r="24" spans="1:6" ht="12.75" customHeight="1">
      <c r="A24" s="401" t="s">
        <v>138</v>
      </c>
      <c r="B24" s="279" t="s">
        <v>201</v>
      </c>
    </row>
    <row r="25" spans="1:6" ht="12.75" customHeight="1">
      <c r="A25" s="401" t="s">
        <v>139</v>
      </c>
      <c r="B25" s="279" t="s">
        <v>171</v>
      </c>
    </row>
    <row r="26" spans="1:6" ht="12.75" customHeight="1">
      <c r="A26" s="401" t="s">
        <v>33</v>
      </c>
      <c r="B26" s="279" t="s">
        <v>202</v>
      </c>
    </row>
    <row r="27" spans="1:6" ht="12.75" customHeight="1">
      <c r="A27" s="401" t="s">
        <v>39</v>
      </c>
      <c r="B27" s="279" t="s">
        <v>63</v>
      </c>
    </row>
    <row r="28" spans="1:6" ht="12.75" customHeight="1">
      <c r="A28" s="401" t="s">
        <v>47</v>
      </c>
      <c r="B28" s="279" t="s">
        <v>149</v>
      </c>
    </row>
    <row r="29" spans="1:6" ht="12.75" customHeight="1">
      <c r="A29" s="401" t="s">
        <v>48</v>
      </c>
      <c r="B29" s="279" t="s">
        <v>163</v>
      </c>
    </row>
    <row r="30" spans="1:6" ht="12.75" customHeight="1">
      <c r="A30" s="401" t="s">
        <v>52</v>
      </c>
      <c r="B30" s="279" t="s">
        <v>140</v>
      </c>
    </row>
    <row r="31" spans="1:6" ht="12.75" customHeight="1" thickBot="1">
      <c r="A31" s="402" t="s">
        <v>60</v>
      </c>
      <c r="B31" s="500" t="s">
        <v>187</v>
      </c>
    </row>
    <row r="32" spans="1:6" ht="13" thickTop="1"/>
  </sheetData>
  <mergeCells count="5">
    <mergeCell ref="A15:B15"/>
    <mergeCell ref="A1:B1"/>
    <mergeCell ref="A2:B2"/>
    <mergeCell ref="A4:B4"/>
    <mergeCell ref="A6:B6"/>
  </mergeCells>
  <phoneticPr fontId="0" type="noConversion"/>
  <hyperlinks>
    <hyperlink ref="B18" location="'2'!A1" display="נתונים בסיסיים" xr:uid="{00000000-0004-0000-0100-000000000000}"/>
    <hyperlink ref="B19" location="'3'!A1" display="בלו קצוב" xr:uid="{00000000-0004-0000-0100-000001000000}"/>
    <hyperlink ref="B20" location="'4'!A1" display="ריכוז מחירים ממוצעים ל-5 הימים הקובעים באזור הים התיכון, $ לט.מ." xr:uid="{00000000-0004-0000-0100-000002000000}"/>
    <hyperlink ref="B22" location="'6'!A1" display="חישוב CIF W MED ב - ₪" xr:uid="{00000000-0004-0000-0100-000003000000}"/>
    <hyperlink ref="B23" location="'7'!A1" display="מחיר גפ&quot;מ בשער בית זיקוק" xr:uid="{00000000-0004-0000-0100-000004000000}"/>
    <hyperlink ref="B24" location="'8'!A1" display="ריכוז השינויים במחירי שער בית זיקוק ובמחירי CIF W MED ב - $" xr:uid="{00000000-0004-0000-0100-000005000000}"/>
    <hyperlink ref="B25" location="'9'!A1" display="עלות שער בית זיקוק ותוספות עבור מזוט 4000 3.5% לסוגיו וזפת לסוגיו" xr:uid="{00000000-0004-0000-0100-000006000000}"/>
    <hyperlink ref="B26" location="'10'!A1" display="מחירי CIF W MED ותוספות עבור בנזין לסוגיו ומזוט 4000 תקני" xr:uid="{00000000-0004-0000-0100-000007000000}"/>
    <hyperlink ref="B27" location="'11'!A1" display="ריכוז עלויות והוצאות למבנה מחיר לצרכן של בנזין בפיקוח, ב - ₪" xr:uid="{00000000-0004-0000-0100-000008000000}"/>
    <hyperlink ref="B28" location="'12'!A1" display="שינויים במחירי בנזין בתחנה" xr:uid="{00000000-0004-0000-0100-000009000000}"/>
    <hyperlink ref="B29" location="'13'!A1" display="ריכוז מחירים בשער בית זיקוק (ש&quot;ח ו-$) ושינויים במחירים בש&quot;ח" xr:uid="{00000000-0004-0000-0100-00000A000000}"/>
    <hyperlink ref="B17" location="'1'!A1" display="הודעה בדבר עדכון מחירים מרביים למוצרי נפט" xr:uid="{00000000-0004-0000-0100-00000B000000}"/>
    <hyperlink ref="B30" location="'14'!A1" display="תעריפי תשתית" xr:uid="{00000000-0004-0000-0100-00000C000000}"/>
    <hyperlink ref="B21" location="'5'!A1" display="חישוב 0.1% ערך גופרית במזוט לצורך חישוב הביטומן" xr:uid="{00000000-0004-0000-0100-00000D000000}"/>
    <hyperlink ref="B31" location="'15'!A1" display="חישוב מרווח השיווק" xr:uid="{00000000-0004-0000-0100-00000E000000}"/>
  </hyperlinks>
  <printOptions horizontalCentered="1"/>
  <pageMargins left="0.74803149606299213" right="0.74803149606299213" top="0.98425196850393704" bottom="0.98425196850393704" header="0.51181102362204722" footer="0.51181102362204722"/>
  <pageSetup paperSize="9"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גיליון3"/>
  <dimension ref="A1:D46"/>
  <sheetViews>
    <sheetView showGridLines="0" rightToLeft="1" view="pageBreakPreview" zoomScale="85" zoomScaleNormal="100" zoomScaleSheetLayoutView="85" workbookViewId="0">
      <selection activeCell="A37" sqref="A37"/>
    </sheetView>
  </sheetViews>
  <sheetFormatPr defaultColWidth="9.1796875" defaultRowHeight="12.5"/>
  <cols>
    <col min="1" max="1" width="32.26953125" style="16" bestFit="1" customWidth="1"/>
    <col min="2" max="2" width="21.1796875" style="16" customWidth="1"/>
    <col min="3" max="3" width="14.81640625" style="16" customWidth="1"/>
    <col min="4" max="4" width="18.26953125" style="16" customWidth="1"/>
    <col min="5" max="16384" width="9.1796875" style="16"/>
  </cols>
  <sheetData>
    <row r="1" spans="1:4" ht="16" customHeight="1">
      <c r="A1" s="706" t="s">
        <v>126</v>
      </c>
      <c r="B1" s="706"/>
      <c r="C1" s="706"/>
      <c r="D1" s="706"/>
    </row>
    <row r="2" spans="1:4" ht="46.5" customHeight="1">
      <c r="A2" s="712" t="s">
        <v>294</v>
      </c>
      <c r="B2" s="712"/>
      <c r="C2" s="712"/>
      <c r="D2" s="712"/>
    </row>
    <row r="3" spans="1:4" ht="78" customHeight="1">
      <c r="A3" s="713" t="s">
        <v>342</v>
      </c>
      <c r="B3" s="713"/>
      <c r="C3" s="713"/>
      <c r="D3" s="713"/>
    </row>
    <row r="4" spans="1:4" ht="15" customHeight="1">
      <c r="A4" s="704" t="s">
        <v>354</v>
      </c>
      <c r="B4" s="704"/>
      <c r="C4" s="704"/>
      <c r="D4" s="704"/>
    </row>
    <row r="5" spans="1:4" ht="19" customHeight="1" thickBot="1">
      <c r="A5" s="714" t="s">
        <v>343</v>
      </c>
      <c r="B5" s="714"/>
      <c r="C5" s="714"/>
      <c r="D5" s="714"/>
    </row>
    <row r="6" spans="1:4" s="17" customFormat="1" ht="28.5" thickTop="1">
      <c r="A6" s="723" t="s">
        <v>127</v>
      </c>
      <c r="B6" s="724"/>
      <c r="C6" s="481" t="s">
        <v>142</v>
      </c>
      <c r="D6" s="482"/>
    </row>
    <row r="7" spans="1:4" ht="14">
      <c r="A7" s="729" t="s">
        <v>334</v>
      </c>
      <c r="B7" s="730"/>
      <c r="C7" s="483">
        <f>'11'!C17</f>
        <v>8.25</v>
      </c>
      <c r="D7" s="484"/>
    </row>
    <row r="8" spans="1:4" ht="14.5" thickBot="1">
      <c r="A8" s="727" t="s">
        <v>128</v>
      </c>
      <c r="B8" s="728"/>
      <c r="C8" s="485">
        <f>'11'!C42</f>
        <v>6.99</v>
      </c>
      <c r="D8" s="484"/>
    </row>
    <row r="9" spans="1:4" ht="6.75" customHeight="1" thickTop="1">
      <c r="A9" s="486"/>
      <c r="B9" s="486"/>
      <c r="C9" s="486"/>
      <c r="D9" s="486"/>
    </row>
    <row r="10" spans="1:4" ht="12" customHeight="1">
      <c r="A10" s="737" t="s">
        <v>129</v>
      </c>
      <c r="B10" s="737"/>
      <c r="C10" s="737"/>
      <c r="D10" s="737"/>
    </row>
    <row r="11" spans="1:4" ht="14">
      <c r="A11" s="487" t="s">
        <v>222</v>
      </c>
      <c r="B11" s="488">
        <f>+'11'!C18</f>
        <v>0.26</v>
      </c>
      <c r="C11" s="489" t="s">
        <v>224</v>
      </c>
      <c r="D11" s="484"/>
    </row>
    <row r="12" spans="1:4" ht="14">
      <c r="A12" s="487" t="s">
        <v>223</v>
      </c>
      <c r="B12" s="488">
        <f>+'11'!C43</f>
        <v>0.22</v>
      </c>
      <c r="C12" s="489" t="s">
        <v>224</v>
      </c>
      <c r="D12" s="484"/>
    </row>
    <row r="13" spans="1:4" ht="5.5" customHeight="1">
      <c r="A13" s="490"/>
      <c r="B13" s="490"/>
      <c r="C13" s="490"/>
      <c r="D13" s="484"/>
    </row>
    <row r="14" spans="1:4" s="19" customFormat="1" ht="20.149999999999999" customHeight="1">
      <c r="A14" s="711" t="s">
        <v>344</v>
      </c>
      <c r="B14" s="711"/>
      <c r="C14" s="711"/>
      <c r="D14" s="711"/>
    </row>
    <row r="15" spans="1:4" s="19" customFormat="1" ht="6.65" customHeight="1" thickBot="1">
      <c r="A15" s="491"/>
      <c r="B15" s="491"/>
      <c r="C15" s="491"/>
      <c r="D15" s="491"/>
    </row>
    <row r="16" spans="1:4" s="19" customFormat="1" ht="15.75" customHeight="1" thickTop="1">
      <c r="A16" s="715" t="s">
        <v>155</v>
      </c>
      <c r="B16" s="716"/>
      <c r="C16" s="717"/>
      <c r="D16" s="721" t="s">
        <v>236</v>
      </c>
    </row>
    <row r="17" spans="1:4" s="20" customFormat="1" ht="27" customHeight="1">
      <c r="A17" s="718"/>
      <c r="B17" s="719"/>
      <c r="C17" s="720"/>
      <c r="D17" s="722"/>
    </row>
    <row r="18" spans="1:4" s="21" customFormat="1" ht="15" customHeight="1">
      <c r="A18" s="709" t="s">
        <v>335</v>
      </c>
      <c r="B18" s="710"/>
      <c r="C18" s="710"/>
      <c r="D18" s="648">
        <f>+'9'!E13</f>
        <v>2167.6016319999999</v>
      </c>
    </row>
    <row r="19" spans="1:4" s="21" customFormat="1" ht="15" customHeight="1">
      <c r="A19" s="709" t="s">
        <v>337</v>
      </c>
      <c r="B19" s="710"/>
      <c r="C19" s="710"/>
      <c r="D19" s="648">
        <f>+'9'!F13</f>
        <v>2362.1807440000002</v>
      </c>
    </row>
    <row r="20" spans="1:4" s="21" customFormat="1" ht="15" customHeight="1">
      <c r="A20" s="709" t="s">
        <v>336</v>
      </c>
      <c r="B20" s="710"/>
      <c r="C20" s="710"/>
      <c r="D20" s="648">
        <f>+'9'!G13</f>
        <v>1836.7527359999999</v>
      </c>
    </row>
    <row r="21" spans="1:4" s="21" customFormat="1" ht="15" customHeight="1">
      <c r="A21" s="709" t="s">
        <v>338</v>
      </c>
      <c r="B21" s="710"/>
      <c r="C21" s="710"/>
      <c r="D21" s="648">
        <f>+'9'!H13</f>
        <v>2071.245512</v>
      </c>
    </row>
    <row r="22" spans="1:4" s="21" customFormat="1" ht="15" customHeight="1">
      <c r="A22" s="709" t="s">
        <v>168</v>
      </c>
      <c r="B22" s="710"/>
      <c r="C22" s="710"/>
      <c r="D22" s="492">
        <f>'9'!C13</f>
        <v>1794.62</v>
      </c>
    </row>
    <row r="23" spans="1:4" s="21" customFormat="1" ht="15" customHeight="1" thickBot="1">
      <c r="A23" s="744" t="s">
        <v>169</v>
      </c>
      <c r="B23" s="745"/>
      <c r="C23" s="745"/>
      <c r="D23" s="493">
        <f>'9'!D13</f>
        <v>1735.2566335999998</v>
      </c>
    </row>
    <row r="24" spans="1:4" s="21" customFormat="1" ht="5.5" customHeight="1" thickTop="1">
      <c r="A24" s="494"/>
      <c r="B24" s="494"/>
      <c r="C24" s="494"/>
      <c r="D24" s="510"/>
    </row>
    <row r="25" spans="1:4" s="21" customFormat="1" ht="19" customHeight="1">
      <c r="A25" s="711" t="s">
        <v>345</v>
      </c>
      <c r="B25" s="711"/>
      <c r="C25" s="711"/>
      <c r="D25" s="711"/>
    </row>
    <row r="26" spans="1:4" s="21" customFormat="1" ht="5.5" customHeight="1" thickBot="1">
      <c r="A26" s="494"/>
      <c r="B26" s="495"/>
      <c r="C26" s="496"/>
      <c r="D26" s="497"/>
    </row>
    <row r="27" spans="1:4" s="21" customFormat="1" ht="15" customHeight="1" thickTop="1">
      <c r="A27" s="731"/>
      <c r="B27" s="732"/>
      <c r="C27" s="733"/>
      <c r="D27" s="725" t="s">
        <v>236</v>
      </c>
    </row>
    <row r="28" spans="1:4" s="21" customFormat="1" ht="28" customHeight="1">
      <c r="A28" s="734"/>
      <c r="B28" s="735"/>
      <c r="C28" s="736"/>
      <c r="D28" s="726"/>
    </row>
    <row r="29" spans="1:4" s="21" customFormat="1" ht="15" customHeight="1">
      <c r="A29" s="738" t="s">
        <v>272</v>
      </c>
      <c r="B29" s="739"/>
      <c r="C29" s="740"/>
      <c r="D29" s="511">
        <f>'7'!C23</f>
        <v>1885.8671999999999</v>
      </c>
    </row>
    <row r="30" spans="1:4" s="21" customFormat="1" ht="15" customHeight="1" thickBot="1">
      <c r="A30" s="741" t="s">
        <v>273</v>
      </c>
      <c r="B30" s="742"/>
      <c r="C30" s="743"/>
      <c r="D30" s="512">
        <f>'7'!C26</f>
        <v>2063.9472000000001</v>
      </c>
    </row>
    <row r="31" spans="1:4" s="21" customFormat="1" ht="8.15" customHeight="1" thickTop="1">
      <c r="A31" s="494"/>
      <c r="B31" s="495"/>
      <c r="C31" s="486"/>
      <c r="D31" s="486"/>
    </row>
    <row r="32" spans="1:4" s="21" customFormat="1" ht="15" customHeight="1">
      <c r="A32" s="686" t="s">
        <v>348</v>
      </c>
      <c r="B32" s="708" t="s">
        <v>355</v>
      </c>
      <c r="C32" s="708"/>
      <c r="D32" s="486"/>
    </row>
    <row r="33" spans="1:4" s="21" customFormat="1" ht="12" customHeight="1">
      <c r="A33" s="422" t="s">
        <v>225</v>
      </c>
      <c r="B33" s="22"/>
      <c r="C33" s="23"/>
      <c r="D33" s="23"/>
    </row>
    <row r="34" spans="1:4" s="21" customFormat="1" ht="16.5" customHeight="1">
      <c r="A34" s="498" t="s">
        <v>356</v>
      </c>
      <c r="B34" s="16"/>
    </row>
    <row r="35" spans="1:4" s="21" customFormat="1" ht="16.5" customHeight="1">
      <c r="A35" s="499" t="s">
        <v>357</v>
      </c>
      <c r="B35" s="16"/>
      <c r="C35" s="707" t="s">
        <v>295</v>
      </c>
      <c r="D35" s="707"/>
    </row>
    <row r="36" spans="1:4" s="21" customFormat="1" ht="14.25" customHeight="1">
      <c r="A36" s="499" t="s">
        <v>358</v>
      </c>
      <c r="B36" s="16"/>
      <c r="C36" s="705" t="s">
        <v>296</v>
      </c>
      <c r="D36" s="705"/>
    </row>
    <row r="37" spans="1:4" s="21" customFormat="1" ht="7" customHeight="1">
      <c r="A37" s="16"/>
      <c r="B37" s="16"/>
      <c r="C37" s="16"/>
    </row>
    <row r="38" spans="1:4" s="21" customFormat="1">
      <c r="A38" s="16"/>
      <c r="B38" s="16"/>
      <c r="C38" s="16"/>
      <c r="D38" s="46" t="s">
        <v>31</v>
      </c>
    </row>
    <row r="39" spans="1:4" s="21" customFormat="1" ht="18.75" customHeight="1">
      <c r="A39" s="16"/>
      <c r="B39" s="16"/>
      <c r="C39" s="16"/>
      <c r="D39" s="16"/>
    </row>
    <row r="40" spans="1:4" s="21" customFormat="1" ht="15" customHeight="1">
      <c r="A40" s="16"/>
      <c r="B40" s="16"/>
      <c r="C40" s="16"/>
      <c r="D40" s="16"/>
    </row>
    <row r="41" spans="1:4" s="18" customFormat="1" ht="12" customHeight="1">
      <c r="A41" s="16"/>
      <c r="B41" s="16"/>
      <c r="C41" s="16"/>
      <c r="D41" s="16"/>
    </row>
    <row r="42" spans="1:4" s="18" customFormat="1">
      <c r="A42" s="16"/>
      <c r="B42" s="16"/>
      <c r="C42" s="16"/>
      <c r="D42" s="16"/>
    </row>
    <row r="43" spans="1:4" s="18" customFormat="1">
      <c r="A43" s="16"/>
      <c r="B43" s="16"/>
      <c r="C43" s="16"/>
      <c r="D43" s="16"/>
    </row>
    <row r="44" spans="1:4" s="18" customFormat="1" ht="9" customHeight="1">
      <c r="A44" s="16"/>
      <c r="B44" s="16"/>
      <c r="C44" s="16"/>
      <c r="D44" s="16"/>
    </row>
    <row r="45" spans="1:4" s="18" customFormat="1">
      <c r="A45" s="16"/>
      <c r="B45" s="16"/>
      <c r="C45" s="16"/>
      <c r="D45" s="16"/>
    </row>
    <row r="46" spans="1:4" ht="11.25" customHeight="1"/>
  </sheetData>
  <mergeCells count="26">
    <mergeCell ref="A7:B7"/>
    <mergeCell ref="A27:C28"/>
    <mergeCell ref="A10:D10"/>
    <mergeCell ref="A29:C29"/>
    <mergeCell ref="A30:C30"/>
    <mergeCell ref="A23:C23"/>
    <mergeCell ref="A18:C18"/>
    <mergeCell ref="A19:C19"/>
    <mergeCell ref="A20:C20"/>
    <mergeCell ref="A21:C21"/>
    <mergeCell ref="A4:D4"/>
    <mergeCell ref="C36:D36"/>
    <mergeCell ref="A1:D1"/>
    <mergeCell ref="C35:D35"/>
    <mergeCell ref="B32:C32"/>
    <mergeCell ref="A22:C22"/>
    <mergeCell ref="A25:D25"/>
    <mergeCell ref="A2:D2"/>
    <mergeCell ref="A3:D3"/>
    <mergeCell ref="A5:D5"/>
    <mergeCell ref="A16:C17"/>
    <mergeCell ref="D16:D17"/>
    <mergeCell ref="A14:D14"/>
    <mergeCell ref="A6:B6"/>
    <mergeCell ref="D27:D28"/>
    <mergeCell ref="A8:B8"/>
  </mergeCells>
  <phoneticPr fontId="0" type="noConversion"/>
  <hyperlinks>
    <hyperlink ref="D38" location="'תוכן עניינים'!A1" display="'תוכן עניינים'!A1" xr:uid="{00000000-0004-0000-0200-000000000000}"/>
  </hyperlinks>
  <pageMargins left="0.35433070866141736" right="0.35433070866141736" top="0.98425196850393704" bottom="0.98425196850393704" header="0.51181102362204722" footer="0.51181102362204722"/>
  <pageSetup paperSize="9" scale="98" orientation="portrait" r:id="rId1"/>
  <headerFooter alignWithMargins="0">
    <oddHeader>&amp;Cמשרד האנרגיה
מינהל הדלק והגז</oddHeader>
  </headerFooter>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4"/>
  <dimension ref="A2:D21"/>
  <sheetViews>
    <sheetView showGridLines="0" rightToLeft="1" view="pageBreakPreview" zoomScale="90" zoomScaleNormal="100" zoomScaleSheetLayoutView="90" workbookViewId="0">
      <selection activeCell="C15" sqref="C15:C18"/>
    </sheetView>
  </sheetViews>
  <sheetFormatPr defaultColWidth="9.1796875" defaultRowHeight="15.5"/>
  <cols>
    <col min="1" max="1" width="37.453125" style="24" customWidth="1"/>
    <col min="2" max="2" width="20" style="24" bestFit="1" customWidth="1"/>
    <col min="3" max="3" width="12.7265625" style="24" bestFit="1" customWidth="1"/>
    <col min="4" max="4" width="9.1796875" style="24"/>
    <col min="5" max="5" width="12.26953125" style="24" customWidth="1"/>
    <col min="6" max="16384" width="9.1796875" style="24"/>
  </cols>
  <sheetData>
    <row r="2" spans="1:4" ht="31.5" customHeight="1">
      <c r="A2" s="746" t="s">
        <v>0</v>
      </c>
      <c r="B2" s="746"/>
      <c r="C2" s="746"/>
    </row>
    <row r="3" spans="1:4" ht="31.5" customHeight="1" thickBot="1">
      <c r="A3" s="25"/>
      <c r="B3" s="25"/>
      <c r="C3" s="25"/>
    </row>
    <row r="4" spans="1:4" ht="16.5" thickTop="1" thickBot="1">
      <c r="A4" s="26" t="s">
        <v>1</v>
      </c>
      <c r="B4" s="314">
        <v>46266</v>
      </c>
      <c r="C4" s="344"/>
    </row>
    <row r="5" spans="1:4" ht="19.5" customHeight="1" thickTop="1">
      <c r="A5" s="27" t="s">
        <v>2</v>
      </c>
      <c r="B5" s="237"/>
      <c r="C5" s="28"/>
    </row>
    <row r="6" spans="1:4">
      <c r="A6" s="29" t="s">
        <v>3</v>
      </c>
      <c r="B6" s="311">
        <v>46262</v>
      </c>
      <c r="C6" s="316">
        <v>2.968</v>
      </c>
      <c r="D6" s="30"/>
    </row>
    <row r="7" spans="1:4" ht="16" thickBot="1">
      <c r="A7" s="31" t="s">
        <v>226</v>
      </c>
      <c r="B7" s="452"/>
      <c r="C7" s="317">
        <v>1.0089999999999999</v>
      </c>
      <c r="D7" s="30"/>
    </row>
    <row r="8" spans="1:4" ht="16.5" thickTop="1" thickBot="1">
      <c r="A8" s="31" t="s">
        <v>4</v>
      </c>
      <c r="B8" s="32"/>
      <c r="C8" s="345">
        <v>0.18</v>
      </c>
    </row>
    <row r="9" spans="1:4" ht="16.5" thickTop="1" thickBot="1">
      <c r="A9" s="31" t="s">
        <v>180</v>
      </c>
      <c r="B9" s="32"/>
      <c r="C9" s="33">
        <v>2.0300000000000002E-2</v>
      </c>
    </row>
    <row r="10" spans="1:4" ht="16" thickTop="1">
      <c r="A10" s="34" t="s">
        <v>5</v>
      </c>
      <c r="B10" s="35"/>
      <c r="C10" s="36">
        <v>0.98</v>
      </c>
    </row>
    <row r="11" spans="1:4" ht="16" thickBot="1">
      <c r="A11" s="31" t="s">
        <v>6</v>
      </c>
      <c r="B11" s="32"/>
      <c r="C11" s="337">
        <v>1.93E-4</v>
      </c>
    </row>
    <row r="12" spans="1:4" ht="16.5" thickTop="1" thickBot="1">
      <c r="A12" s="38"/>
      <c r="B12" s="39"/>
      <c r="C12" s="40"/>
    </row>
    <row r="13" spans="1:4" ht="16" thickTop="1">
      <c r="A13" s="41" t="s">
        <v>195</v>
      </c>
      <c r="B13" s="42"/>
      <c r="C13" s="263"/>
    </row>
    <row r="14" spans="1:4">
      <c r="A14" s="43"/>
      <c r="B14" s="35"/>
      <c r="C14" s="312">
        <v>46258</v>
      </c>
    </row>
    <row r="15" spans="1:4">
      <c r="A15" s="43"/>
      <c r="B15" s="35"/>
      <c r="C15" s="312">
        <v>46259</v>
      </c>
    </row>
    <row r="16" spans="1:4">
      <c r="A16" s="43"/>
      <c r="B16" s="35"/>
      <c r="C16" s="312">
        <v>46260</v>
      </c>
    </row>
    <row r="17" spans="1:4">
      <c r="A17" s="43"/>
      <c r="B17" s="35"/>
      <c r="C17" s="312">
        <v>46261</v>
      </c>
    </row>
    <row r="18" spans="1:4" ht="16" thickBot="1">
      <c r="A18" s="44"/>
      <c r="B18" s="32"/>
      <c r="C18" s="313">
        <v>46262</v>
      </c>
    </row>
    <row r="19" spans="1:4" ht="16" thickTop="1"/>
    <row r="20" spans="1:4">
      <c r="B20" s="45"/>
      <c r="C20" s="46" t="s">
        <v>31</v>
      </c>
    </row>
    <row r="21" spans="1:4">
      <c r="D21" s="45"/>
    </row>
  </sheetData>
  <mergeCells count="1">
    <mergeCell ref="A2:C2"/>
  </mergeCells>
  <phoneticPr fontId="0" type="noConversion"/>
  <hyperlinks>
    <hyperlink ref="C20" location="'תוכן עניינים'!A1" display="תוכן עניינים" xr:uid="{00000000-0004-0000-0300-000000000000}"/>
  </hyperlinks>
  <printOptions horizontalCentered="1"/>
  <pageMargins left="0.74803149606299213" right="0.74803149606299213" top="0.98425196850393704" bottom="0.98425196850393704" header="0.51181102362204722" footer="0.51181102362204722"/>
  <pageSetup paperSize="9" orientation="portrait" horizontalDpi="4294967293" r:id="rId1"/>
  <headerFooter alignWithMargins="0">
    <oddHeader>&amp;Cמשרד התשתיות הלאומיות, האנרגיה והמים
מינהל הדלק והגז</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5"/>
  <dimension ref="A5:H33"/>
  <sheetViews>
    <sheetView showGridLines="0" rightToLeft="1" view="pageBreakPreview" topLeftCell="A4" zoomScaleNormal="100" workbookViewId="0">
      <selection activeCell="E12" sqref="E12"/>
    </sheetView>
  </sheetViews>
  <sheetFormatPr defaultColWidth="9.1796875" defaultRowHeight="12.5"/>
  <cols>
    <col min="1" max="1" width="9.1796875" style="50"/>
    <col min="2" max="2" width="13.1796875" style="50" bestFit="1" customWidth="1"/>
    <col min="3" max="3" width="14.1796875" style="50" bestFit="1" customWidth="1"/>
    <col min="4" max="4" width="10.26953125" style="50" bestFit="1" customWidth="1"/>
    <col min="5" max="5" width="10.453125" style="50" customWidth="1"/>
    <col min="6" max="6" width="10.26953125" style="50" bestFit="1" customWidth="1"/>
    <col min="7" max="16384" width="9.1796875" style="50"/>
  </cols>
  <sheetData>
    <row r="5" spans="1:8" s="48" customFormat="1" ht="15.5">
      <c r="A5" s="753" t="s">
        <v>7</v>
      </c>
      <c r="B5" s="753"/>
      <c r="C5" s="753"/>
      <c r="D5" s="753"/>
      <c r="E5" s="753"/>
      <c r="F5" s="753"/>
      <c r="G5" s="753"/>
      <c r="H5" s="47"/>
    </row>
    <row r="6" spans="1:8" s="48" customFormat="1" ht="15.5">
      <c r="B6" s="49"/>
      <c r="C6" s="49"/>
      <c r="D6" s="49"/>
      <c r="E6" s="49"/>
      <c r="F6" s="49"/>
      <c r="G6" s="49"/>
    </row>
    <row r="7" spans="1:8" s="48" customFormat="1" ht="15.5">
      <c r="A7" s="753" t="s">
        <v>8</v>
      </c>
      <c r="B7" s="753"/>
      <c r="C7" s="753"/>
      <c r="D7" s="753"/>
      <c r="E7" s="753"/>
      <c r="F7" s="753"/>
      <c r="G7" s="753"/>
      <c r="H7" s="47"/>
    </row>
    <row r="9" spans="1:8" ht="13">
      <c r="B9" s="51" t="s">
        <v>1</v>
      </c>
      <c r="C9" s="52">
        <f>+ValidDate</f>
        <v>46266</v>
      </c>
    </row>
    <row r="10" spans="1:8" ht="13" thickBot="1"/>
    <row r="11" spans="1:8" ht="16" thickTop="1">
      <c r="C11" s="53" t="s">
        <v>9</v>
      </c>
      <c r="D11" s="54" t="s">
        <v>10</v>
      </c>
      <c r="E11" s="310" t="s">
        <v>11</v>
      </c>
    </row>
    <row r="12" spans="1:8" ht="14">
      <c r="C12" s="55" t="s">
        <v>12</v>
      </c>
      <c r="D12" s="309" t="s">
        <v>13</v>
      </c>
      <c r="E12" s="315">
        <v>3656.52</v>
      </c>
      <c r="F12" s="251"/>
    </row>
    <row r="13" spans="1:8" ht="14">
      <c r="C13" s="55" t="s">
        <v>18</v>
      </c>
      <c r="D13" s="309" t="s">
        <v>13</v>
      </c>
      <c r="E13" s="315">
        <v>3656.52</v>
      </c>
    </row>
    <row r="14" spans="1:8" ht="14">
      <c r="C14" s="55" t="s">
        <v>227</v>
      </c>
      <c r="D14" s="309" t="s">
        <v>13</v>
      </c>
      <c r="E14" s="315">
        <v>3503.33</v>
      </c>
    </row>
    <row r="15" spans="1:8" ht="14">
      <c r="C15" s="55" t="s">
        <v>228</v>
      </c>
      <c r="D15" s="309" t="s">
        <v>13</v>
      </c>
      <c r="E15" s="315">
        <v>3503.33</v>
      </c>
    </row>
    <row r="16" spans="1:8" ht="14">
      <c r="C16" s="55" t="s">
        <v>297</v>
      </c>
      <c r="D16" s="553" t="s">
        <v>14</v>
      </c>
      <c r="E16" s="315">
        <v>219.11</v>
      </c>
    </row>
    <row r="17" spans="2:6" ht="14">
      <c r="C17" s="551" t="s">
        <v>298</v>
      </c>
      <c r="D17" s="553" t="s">
        <v>14</v>
      </c>
      <c r="E17" s="552">
        <v>1375.81</v>
      </c>
    </row>
    <row r="18" spans="2:6" ht="14.5" thickBot="1">
      <c r="C18" s="56" t="s">
        <v>15</v>
      </c>
      <c r="D18" s="554" t="s">
        <v>14</v>
      </c>
      <c r="E18" s="403">
        <v>256.68</v>
      </c>
    </row>
    <row r="19" spans="2:6" ht="13.5" thickTop="1" thickBot="1"/>
    <row r="20" spans="2:6" ht="13">
      <c r="B20" s="747" t="s">
        <v>150</v>
      </c>
      <c r="C20" s="748"/>
      <c r="D20" s="748"/>
      <c r="E20" s="748"/>
      <c r="F20" s="749"/>
    </row>
    <row r="21" spans="2:6" ht="13.5" thickBot="1">
      <c r="B21" s="750" t="s">
        <v>151</v>
      </c>
      <c r="C21" s="751"/>
      <c r="D21" s="751"/>
      <c r="E21" s="751"/>
      <c r="F21" s="752"/>
    </row>
    <row r="22" spans="2:6" ht="13">
      <c r="B22" s="57"/>
      <c r="C22" s="57"/>
      <c r="D22" s="58"/>
      <c r="E22" s="57"/>
      <c r="F22" s="58"/>
    </row>
    <row r="23" spans="2:6" ht="13">
      <c r="B23" s="57"/>
      <c r="C23" s="57"/>
      <c r="D23" s="58"/>
      <c r="E23" s="57"/>
      <c r="F23" s="58"/>
    </row>
    <row r="24" spans="2:6" ht="13">
      <c r="B24" s="57"/>
      <c r="C24" s="57"/>
      <c r="D24" s="58"/>
      <c r="E24" s="57"/>
      <c r="F24" s="58"/>
    </row>
    <row r="25" spans="2:6" ht="13">
      <c r="B25" s="57"/>
      <c r="C25" s="57"/>
      <c r="D25" s="58"/>
      <c r="E25" s="57"/>
      <c r="F25" s="58"/>
    </row>
    <row r="26" spans="2:6" ht="13">
      <c r="B26" s="57"/>
      <c r="C26" s="57"/>
      <c r="D26" s="58"/>
      <c r="E26" s="57"/>
      <c r="F26" s="58"/>
    </row>
    <row r="27" spans="2:6" ht="13">
      <c r="B27" s="57"/>
      <c r="C27" s="57"/>
      <c r="D27" s="58"/>
      <c r="E27" s="57"/>
      <c r="F27" s="58"/>
    </row>
    <row r="28" spans="2:6" ht="13">
      <c r="B28" s="57"/>
      <c r="C28" s="57"/>
      <c r="D28" s="58"/>
      <c r="E28" s="57"/>
      <c r="F28" s="58"/>
    </row>
    <row r="29" spans="2:6" ht="13">
      <c r="B29" s="57"/>
      <c r="C29" s="57"/>
      <c r="D29" s="58"/>
      <c r="E29" s="57"/>
      <c r="F29" s="58"/>
    </row>
    <row r="30" spans="2:6" ht="13">
      <c r="B30" s="57"/>
      <c r="C30" s="57"/>
      <c r="D30" s="58"/>
      <c r="E30" s="57"/>
      <c r="F30" s="58"/>
    </row>
    <row r="31" spans="2:6" ht="13">
      <c r="B31" s="57"/>
      <c r="C31" s="57"/>
      <c r="D31" s="58"/>
      <c r="E31" s="57"/>
      <c r="F31" s="58"/>
    </row>
    <row r="32" spans="2:6" ht="13">
      <c r="B32" s="57"/>
      <c r="C32" s="57"/>
      <c r="D32" s="58"/>
      <c r="E32" s="57"/>
      <c r="F32" s="58"/>
    </row>
    <row r="33" spans="7:7">
      <c r="G33" s="46" t="s">
        <v>31</v>
      </c>
    </row>
  </sheetData>
  <mergeCells count="4">
    <mergeCell ref="B20:F20"/>
    <mergeCell ref="B21:F21"/>
    <mergeCell ref="A5:G5"/>
    <mergeCell ref="A7:G7"/>
  </mergeCells>
  <phoneticPr fontId="0" type="noConversion"/>
  <hyperlinks>
    <hyperlink ref="G33" location="'תוכן עניינים'!A1" display="תוכן עניינים" xr:uid="{00000000-0004-0000-0400-000000000000}"/>
  </hyperlinks>
  <printOptions horizontalCentered="1"/>
  <pageMargins left="0.74803149606299213" right="0.74803149606299213" top="0.98425196850393704" bottom="0.98425196850393704" header="0.51181102362204722" footer="0.51181102362204722"/>
  <pageSetup paperSize="9" orientation="portrait" horizontalDpi="4294967293" r:id="rId1"/>
  <headerFooter alignWithMargins="0">
    <oddHeader>&amp;Cמשרד התשתיות הלאומיות, האנרגיה והמים
מינהל הדלק והגז</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8"/>
  <dimension ref="A2:G24"/>
  <sheetViews>
    <sheetView showGridLines="0" rightToLeft="1" view="pageBreakPreview" topLeftCell="A5" zoomScaleNormal="100" workbookViewId="0">
      <selection activeCell="G21" sqref="G21"/>
    </sheetView>
  </sheetViews>
  <sheetFormatPr defaultColWidth="9.1796875" defaultRowHeight="12.5"/>
  <cols>
    <col min="1" max="1" width="15" style="78" customWidth="1"/>
    <col min="2" max="2" width="11.81640625" style="79" customWidth="1"/>
    <col min="3" max="4" width="9.26953125" style="11" bestFit="1" customWidth="1"/>
    <col min="5" max="5" width="9.26953125" style="11" customWidth="1"/>
    <col min="6" max="6" width="9.26953125" style="11" bestFit="1" customWidth="1"/>
    <col min="7" max="16384" width="9.1796875" style="11"/>
  </cols>
  <sheetData>
    <row r="2" spans="1:7" s="59" customFormat="1" ht="13"/>
    <row r="3" spans="1:7" s="59" customFormat="1" ht="13">
      <c r="A3" s="754" t="s">
        <v>16</v>
      </c>
      <c r="B3" s="754"/>
      <c r="C3" s="754"/>
      <c r="D3" s="754"/>
      <c r="E3" s="754"/>
      <c r="F3" s="754"/>
      <c r="G3" s="15"/>
    </row>
    <row r="4" spans="1:7" s="59" customFormat="1" ht="13">
      <c r="A4" s="754" t="s">
        <v>21</v>
      </c>
      <c r="B4" s="754"/>
      <c r="C4" s="754"/>
      <c r="D4" s="754"/>
      <c r="E4" s="754"/>
      <c r="F4" s="754"/>
      <c r="G4" s="15"/>
    </row>
    <row r="5" spans="1:7" s="59" customFormat="1" ht="13">
      <c r="A5" s="15"/>
      <c r="B5" s="15"/>
      <c r="C5" s="15"/>
      <c r="D5" s="15"/>
      <c r="E5" s="15"/>
      <c r="F5" s="15"/>
      <c r="G5" s="15"/>
    </row>
    <row r="6" spans="1:7" ht="13.5" thickBot="1">
      <c r="A6" s="51" t="s">
        <v>1</v>
      </c>
      <c r="B6" s="60">
        <f>+ValidDate</f>
        <v>46266</v>
      </c>
    </row>
    <row r="7" spans="1:7" s="64" customFormat="1" ht="54" customHeight="1" thickTop="1">
      <c r="A7" s="61"/>
      <c r="B7" s="62" t="s">
        <v>22</v>
      </c>
      <c r="C7" s="63" t="s">
        <v>173</v>
      </c>
      <c r="D7" s="63" t="s">
        <v>175</v>
      </c>
      <c r="E7" s="63" t="s">
        <v>339</v>
      </c>
      <c r="F7" s="63" t="s">
        <v>23</v>
      </c>
      <c r="G7" s="655" t="s">
        <v>24</v>
      </c>
    </row>
    <row r="8" spans="1:7" ht="13">
      <c r="A8" s="65"/>
      <c r="B8" s="66">
        <f>'2'!C14</f>
        <v>46258</v>
      </c>
      <c r="C8" s="346">
        <v>1157.25</v>
      </c>
      <c r="D8" s="629">
        <v>1246</v>
      </c>
      <c r="E8" s="346">
        <v>624.75</v>
      </c>
      <c r="F8" s="346">
        <v>535</v>
      </c>
      <c r="G8" s="649">
        <v>505.25</v>
      </c>
    </row>
    <row r="9" spans="1:7" ht="13">
      <c r="A9" s="65"/>
      <c r="B9" s="66">
        <f>'2'!C15</f>
        <v>46259</v>
      </c>
      <c r="C9" s="346">
        <v>1157.25</v>
      </c>
      <c r="D9" s="629">
        <v>1233</v>
      </c>
      <c r="E9" s="346">
        <v>611</v>
      </c>
      <c r="F9" s="346">
        <v>521.5</v>
      </c>
      <c r="G9" s="649">
        <v>489.5</v>
      </c>
    </row>
    <row r="10" spans="1:7" ht="13">
      <c r="A10" s="65" t="s">
        <v>25</v>
      </c>
      <c r="B10" s="66">
        <f>'2'!C16</f>
        <v>46260</v>
      </c>
      <c r="C10" s="346">
        <v>1166</v>
      </c>
      <c r="D10" s="629">
        <v>1228</v>
      </c>
      <c r="E10" s="346">
        <v>611.25</v>
      </c>
      <c r="F10" s="346">
        <v>530.5</v>
      </c>
      <c r="G10" s="649">
        <v>491.25</v>
      </c>
    </row>
    <row r="11" spans="1:7" ht="13">
      <c r="A11" s="65"/>
      <c r="B11" s="66">
        <f>'2'!C17</f>
        <v>46261</v>
      </c>
      <c r="C11" s="346">
        <v>1181</v>
      </c>
      <c r="D11" s="629">
        <v>1215</v>
      </c>
      <c r="E11" s="346">
        <v>610.75</v>
      </c>
      <c r="F11" s="346">
        <v>523</v>
      </c>
      <c r="G11" s="649">
        <v>481.25</v>
      </c>
    </row>
    <row r="12" spans="1:7" ht="13">
      <c r="A12" s="65"/>
      <c r="B12" s="66">
        <f>'2'!C18</f>
        <v>46262</v>
      </c>
      <c r="C12" s="346">
        <v>1230.25</v>
      </c>
      <c r="D12" s="629">
        <v>1280.5</v>
      </c>
      <c r="E12" s="346">
        <v>618.5</v>
      </c>
      <c r="F12" s="346">
        <v>526.5</v>
      </c>
      <c r="G12" s="649">
        <v>490.5</v>
      </c>
    </row>
    <row r="13" spans="1:7" ht="13.5" thickBot="1">
      <c r="A13" s="65"/>
      <c r="B13" s="67" t="s">
        <v>26</v>
      </c>
      <c r="C13" s="443">
        <f>AVERAGE(C8:C12)</f>
        <v>1178.3499999999999</v>
      </c>
      <c r="D13" s="443">
        <f>ROUND(AVERAGE(D8:D12),2)</f>
        <v>1240.5</v>
      </c>
      <c r="E13" s="347">
        <f>ROUND(AVERAGE(E8:E12),2)</f>
        <v>615.25</v>
      </c>
      <c r="F13" s="347">
        <f>ROUND(AVERAGE(F8:F12),2)</f>
        <v>527.29999999999995</v>
      </c>
      <c r="G13" s="650">
        <f>ROUND(AVERAGE(G8:G12),2)</f>
        <v>491.55</v>
      </c>
    </row>
    <row r="14" spans="1:7" ht="14" thickTop="1" thickBot="1">
      <c r="A14" s="68"/>
      <c r="B14" s="69"/>
      <c r="C14" s="348"/>
      <c r="D14" s="630"/>
      <c r="E14" s="348"/>
      <c r="F14" s="348"/>
      <c r="G14" s="651"/>
    </row>
    <row r="15" spans="1:7" ht="13.5" thickTop="1">
      <c r="A15" s="65"/>
      <c r="B15" s="70">
        <f>'2'!C14</f>
        <v>46258</v>
      </c>
      <c r="C15" s="346">
        <v>1171</v>
      </c>
      <c r="D15" s="631">
        <v>1259.25</v>
      </c>
      <c r="E15" s="349">
        <v>651.5</v>
      </c>
      <c r="F15" s="349">
        <v>565.75</v>
      </c>
      <c r="G15" s="652">
        <v>535.25</v>
      </c>
    </row>
    <row r="16" spans="1:7" ht="13">
      <c r="A16" s="65"/>
      <c r="B16" s="66">
        <f>'2'!C15</f>
        <v>46259</v>
      </c>
      <c r="C16" s="346">
        <v>1171</v>
      </c>
      <c r="D16" s="631">
        <v>1246.25</v>
      </c>
      <c r="E16" s="349">
        <v>637.5</v>
      </c>
      <c r="F16" s="349">
        <v>552</v>
      </c>
      <c r="G16" s="652">
        <v>519.25</v>
      </c>
    </row>
    <row r="17" spans="1:7" ht="13">
      <c r="A17" s="65" t="s">
        <v>27</v>
      </c>
      <c r="B17" s="66">
        <f>'2'!C16</f>
        <v>46260</v>
      </c>
      <c r="C17" s="346">
        <v>1179.75</v>
      </c>
      <c r="D17" s="631">
        <v>1241.25</v>
      </c>
      <c r="E17" s="349">
        <v>637</v>
      </c>
      <c r="F17" s="349">
        <v>560.25</v>
      </c>
      <c r="G17" s="652">
        <v>520.25</v>
      </c>
    </row>
    <row r="18" spans="1:7" ht="13">
      <c r="A18" s="65"/>
      <c r="B18" s="66">
        <f>'2'!C17</f>
        <v>46261</v>
      </c>
      <c r="C18" s="346">
        <v>1194.75</v>
      </c>
      <c r="D18" s="631">
        <v>1228.25</v>
      </c>
      <c r="E18" s="349">
        <v>636.25</v>
      </c>
      <c r="F18" s="349">
        <v>552.25</v>
      </c>
      <c r="G18" s="652">
        <v>509.75</v>
      </c>
    </row>
    <row r="19" spans="1:7" ht="13">
      <c r="A19" s="65"/>
      <c r="B19" s="66">
        <f>'2'!C18</f>
        <v>46262</v>
      </c>
      <c r="C19" s="346">
        <v>1244</v>
      </c>
      <c r="D19" s="631">
        <v>1293.75</v>
      </c>
      <c r="E19" s="349">
        <v>643.25</v>
      </c>
      <c r="F19" s="349">
        <v>555</v>
      </c>
      <c r="G19" s="652">
        <v>518.25</v>
      </c>
    </row>
    <row r="20" spans="1:7" s="12" customFormat="1" ht="13">
      <c r="A20" s="65"/>
      <c r="B20" s="71" t="s">
        <v>26</v>
      </c>
      <c r="C20" s="443">
        <f>AVERAGE(C15:C19)</f>
        <v>1192.0999999999999</v>
      </c>
      <c r="D20" s="632">
        <f>ROUND(AVERAGE(D15:D19),2)</f>
        <v>1253.75</v>
      </c>
      <c r="E20" s="350">
        <f>ROUND(AVERAGE(E15:E19),2)</f>
        <v>641.1</v>
      </c>
      <c r="F20" s="350">
        <f>ROUND(AVERAGE(F15:F19),2)</f>
        <v>557.04999999999995</v>
      </c>
      <c r="G20" s="653">
        <f>ROUND(AVERAGE(G15:G19),2)</f>
        <v>520.54999999999995</v>
      </c>
    </row>
    <row r="21" spans="1:7" s="72" customFormat="1" ht="13">
      <c r="A21" s="238" t="s">
        <v>28</v>
      </c>
      <c r="B21" s="239"/>
      <c r="C21" s="351">
        <v>1120.3499999999999</v>
      </c>
      <c r="D21" s="351">
        <v>1250.8</v>
      </c>
      <c r="E21" s="351">
        <v>521.70000000000005</v>
      </c>
      <c r="F21" s="351">
        <v>589.4</v>
      </c>
      <c r="G21" s="654">
        <v>521.70000000000005</v>
      </c>
    </row>
    <row r="22" spans="1:7" ht="13">
      <c r="A22" s="73" t="s">
        <v>29</v>
      </c>
      <c r="B22" s="66"/>
      <c r="C22" s="352">
        <f>C20/C21-1</f>
        <v>6.4042486722899028E-2</v>
      </c>
      <c r="D22" s="352">
        <f>D20/D21-1</f>
        <v>2.3584905660378741E-3</v>
      </c>
      <c r="E22" s="352">
        <f>E20/E21-1</f>
        <v>0.2288671650373777</v>
      </c>
      <c r="F22" s="352">
        <f>F20/F21-1</f>
        <v>-5.488632507634883E-2</v>
      </c>
      <c r="G22" s="353">
        <f>G20/G21-1</f>
        <v>-2.2043319915662218E-3</v>
      </c>
    </row>
    <row r="23" spans="1:7" ht="27" customHeight="1" thickBot="1">
      <c r="A23" s="74" t="s">
        <v>30</v>
      </c>
      <c r="B23" s="75"/>
      <c r="C23" s="76">
        <f>(C20-C13)</f>
        <v>13.75</v>
      </c>
      <c r="D23" s="76">
        <f>(D20-D13)</f>
        <v>13.25</v>
      </c>
      <c r="E23" s="76">
        <f>(E20-E13)</f>
        <v>25.850000000000023</v>
      </c>
      <c r="F23" s="76">
        <f>(F20-F13)</f>
        <v>29.75</v>
      </c>
      <c r="G23" s="77">
        <f>(G20-G13)</f>
        <v>28.999999999999943</v>
      </c>
    </row>
    <row r="24" spans="1:7" ht="13" thickTop="1"/>
  </sheetData>
  <mergeCells count="2">
    <mergeCell ref="A4:F4"/>
    <mergeCell ref="A3:F3"/>
  </mergeCells>
  <phoneticPr fontId="0" type="noConversion"/>
  <printOptions horizontalCentered="1"/>
  <pageMargins left="0.74803149606299213" right="0.74803149606299213" top="0.98425196850393704" bottom="0.98425196850393704" header="0.51181102362204722" footer="0.51181102362204722"/>
  <pageSetup paperSize="9" orientation="landscape" horizontalDpi="4294967293" r:id="rId1"/>
  <headerFooter alignWithMargins="0">
    <oddHeader>&amp;Cמשרד התשתיות הלאומיות, האנרגיה והמים
מינהל הדלק והגז</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11"/>
  <dimension ref="A1:F28"/>
  <sheetViews>
    <sheetView showGridLines="0" rightToLeft="1" view="pageBreakPreview" zoomScaleNormal="100" workbookViewId="0">
      <selection activeCell="B26" sqref="B26"/>
    </sheetView>
  </sheetViews>
  <sheetFormatPr defaultColWidth="9.1796875" defaultRowHeight="12.5"/>
  <cols>
    <col min="1" max="1" width="28.7265625" style="13" customWidth="1"/>
    <col min="2" max="2" width="12.54296875" style="13" customWidth="1"/>
    <col min="3" max="3" width="13.453125" style="13" customWidth="1"/>
    <col min="4" max="4" width="11" style="13" customWidth="1"/>
    <col min="5" max="5" width="11.54296875" style="13" customWidth="1"/>
    <col min="6" max="6" width="5.54296875" style="13" customWidth="1"/>
    <col min="7" max="16384" width="9.1796875" style="13"/>
  </cols>
  <sheetData>
    <row r="1" spans="1:6" ht="15.5">
      <c r="A1" s="1"/>
      <c r="B1" s="1"/>
      <c r="C1" s="1"/>
      <c r="D1" s="1"/>
      <c r="E1" s="1"/>
      <c r="F1" s="1"/>
    </row>
    <row r="2" spans="1:6" ht="15.5">
      <c r="A2" s="1"/>
      <c r="B2" s="1"/>
      <c r="C2" s="1"/>
      <c r="D2" s="1"/>
      <c r="E2" s="1"/>
      <c r="F2" s="1"/>
    </row>
    <row r="3" spans="1:6" ht="15.5">
      <c r="A3" s="1"/>
      <c r="B3" s="1"/>
      <c r="C3" s="1"/>
      <c r="D3" s="1"/>
      <c r="E3" s="1"/>
      <c r="F3" s="1"/>
    </row>
    <row r="4" spans="1:6" ht="15.5">
      <c r="A4" s="1"/>
      <c r="B4" s="1"/>
      <c r="C4" s="1"/>
      <c r="D4" s="1"/>
      <c r="E4" s="1"/>
      <c r="F4" s="1"/>
    </row>
    <row r="5" spans="1:6" ht="15.5">
      <c r="A5" s="755" t="s">
        <v>19</v>
      </c>
      <c r="B5" s="755"/>
      <c r="C5" s="755"/>
      <c r="D5" s="755"/>
      <c r="E5" s="755"/>
      <c r="F5" s="1"/>
    </row>
    <row r="6" spans="1:6" ht="15.5">
      <c r="A6" s="10"/>
      <c r="B6" s="10"/>
      <c r="C6" s="10"/>
      <c r="D6" s="10"/>
      <c r="E6" s="10"/>
      <c r="F6" s="1"/>
    </row>
    <row r="7" spans="1:6" ht="15.5">
      <c r="A7" s="755" t="s">
        <v>172</v>
      </c>
      <c r="B7" s="755"/>
      <c r="C7" s="755"/>
      <c r="D7" s="755"/>
      <c r="E7" s="755"/>
      <c r="F7" s="80"/>
    </row>
    <row r="8" spans="1:6" ht="15.5">
      <c r="A8" s="10"/>
      <c r="B8" s="10"/>
      <c r="C8" s="10"/>
      <c r="D8" s="10"/>
      <c r="E8" s="10"/>
      <c r="F8" s="80"/>
    </row>
    <row r="9" spans="1:6" ht="15.5">
      <c r="A9" s="10"/>
      <c r="D9" s="10"/>
      <c r="E9" s="10"/>
      <c r="F9" s="80"/>
    </row>
    <row r="10" spans="1:6" ht="16" thickBot="1">
      <c r="A10" s="81" t="s">
        <v>1</v>
      </c>
      <c r="B10" s="82">
        <f>ValidDate</f>
        <v>46266</v>
      </c>
      <c r="C10" s="2"/>
      <c r="D10" s="2"/>
      <c r="E10" s="2"/>
      <c r="F10" s="1"/>
    </row>
    <row r="11" spans="1:6" ht="16" thickTop="1">
      <c r="A11" s="83"/>
      <c r="B11" s="84"/>
      <c r="C11" s="84"/>
      <c r="D11" s="84"/>
      <c r="E11" s="85"/>
      <c r="F11" s="1"/>
    </row>
    <row r="12" spans="1:6" ht="15.5">
      <c r="A12" s="83"/>
      <c r="B12" s="86" t="s">
        <v>34</v>
      </c>
      <c r="C12" s="84"/>
      <c r="D12" s="87">
        <f>ROUND('4'!F20,2)</f>
        <v>557.04999999999995</v>
      </c>
      <c r="E12" s="88"/>
      <c r="F12" s="1"/>
    </row>
    <row r="13" spans="1:6" ht="16" thickBot="1">
      <c r="A13" s="83"/>
      <c r="B13" s="86" t="s">
        <v>35</v>
      </c>
      <c r="C13" s="84"/>
      <c r="D13" s="89">
        <f>ROUND('4'!G20,2)</f>
        <v>520.54999999999995</v>
      </c>
      <c r="E13" s="88"/>
      <c r="F13" s="1"/>
    </row>
    <row r="14" spans="1:6" ht="15.5">
      <c r="A14" s="83"/>
      <c r="B14" s="90" t="s">
        <v>36</v>
      </c>
      <c r="C14" s="1"/>
      <c r="D14" s="87">
        <f>(D12-D13)</f>
        <v>36.5</v>
      </c>
      <c r="E14" s="88"/>
      <c r="F14" s="1"/>
    </row>
    <row r="15" spans="1:6" ht="15.5">
      <c r="A15" s="83"/>
      <c r="B15" s="84"/>
      <c r="C15" s="84"/>
      <c r="D15" s="84"/>
      <c r="E15" s="85"/>
      <c r="F15" s="1"/>
    </row>
    <row r="16" spans="1:6" ht="15.5">
      <c r="A16" s="91" t="s">
        <v>37</v>
      </c>
      <c r="B16" s="92">
        <f>(D16/2.5)</f>
        <v>14.6</v>
      </c>
      <c r="C16" s="93" t="s">
        <v>38</v>
      </c>
      <c r="D16" s="245">
        <f>D14</f>
        <v>36.5</v>
      </c>
      <c r="E16" s="85"/>
      <c r="F16" s="1"/>
    </row>
    <row r="17" spans="1:6" ht="15.5">
      <c r="A17" s="96"/>
      <c r="B17" s="4"/>
      <c r="C17" s="4"/>
      <c r="D17" s="4"/>
      <c r="E17" s="37"/>
      <c r="F17" s="1"/>
    </row>
    <row r="18" spans="1:6" ht="15.5">
      <c r="A18" s="96"/>
      <c r="B18" s="4"/>
      <c r="C18" s="4"/>
      <c r="D18" s="4"/>
      <c r="E18" s="37"/>
      <c r="F18" s="1"/>
    </row>
    <row r="19" spans="1:6" ht="16" thickBot="1">
      <c r="A19" s="757" t="s">
        <v>152</v>
      </c>
      <c r="B19" s="758"/>
      <c r="C19" s="758"/>
      <c r="E19" s="97">
        <f>(D14/25)</f>
        <v>1.46</v>
      </c>
      <c r="F19" s="1"/>
    </row>
    <row r="20" spans="1:6" ht="16" thickBot="1">
      <c r="A20" s="94" t="s">
        <v>153</v>
      </c>
      <c r="B20" s="95"/>
      <c r="C20" s="240"/>
      <c r="D20" s="240"/>
      <c r="E20" s="241">
        <f>ROUND(E19*Yazig,2)</f>
        <v>4.33</v>
      </c>
      <c r="F20" s="1"/>
    </row>
    <row r="21" spans="1:6" ht="15" customHeight="1">
      <c r="A21" s="242"/>
      <c r="B21" s="243"/>
      <c r="C21" s="243"/>
      <c r="D21" s="243"/>
      <c r="E21" s="244"/>
      <c r="F21" s="1"/>
    </row>
    <row r="22" spans="1:6" ht="13" thickBot="1">
      <c r="A22" s="5"/>
      <c r="B22" s="6"/>
      <c r="C22" s="6"/>
      <c r="D22" s="6"/>
      <c r="E22" s="7"/>
    </row>
    <row r="23" spans="1:6" ht="13" thickTop="1"/>
    <row r="24" spans="1:6" ht="41.25" customHeight="1">
      <c r="A24" s="756" t="s">
        <v>341</v>
      </c>
      <c r="B24" s="756"/>
      <c r="C24" s="756"/>
      <c r="D24" s="756"/>
      <c r="E24" s="756"/>
    </row>
    <row r="28" spans="1:6">
      <c r="E28" s="46" t="s">
        <v>31</v>
      </c>
    </row>
  </sheetData>
  <mergeCells count="4">
    <mergeCell ref="A7:E7"/>
    <mergeCell ref="A5:E5"/>
    <mergeCell ref="A24:E24"/>
    <mergeCell ref="A19:C19"/>
  </mergeCells>
  <phoneticPr fontId="0" type="noConversion"/>
  <hyperlinks>
    <hyperlink ref="E28" location="'תוכן עניינים'!A1" display="תוכן עניינים" xr:uid="{00000000-0004-0000-0600-000000000000}"/>
  </hyperlinks>
  <printOptions horizontalCentered="1"/>
  <pageMargins left="0.74803149606299213" right="0.74803149606299213" top="0.98425196850393704" bottom="0.98425196850393704" header="0.51181102362204722" footer="0.51181102362204722"/>
  <pageSetup paperSize="9" orientation="portrait" horizontalDpi="4294967293" r:id="rId1"/>
  <headerFooter alignWithMargins="0">
    <oddHeader>&amp;Cמשרד התשתיות הלאומיות, האנרגיה והמים
מינהל הדלק והגז</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12"/>
  <dimension ref="A1:K27"/>
  <sheetViews>
    <sheetView showGridLines="0" rightToLeft="1" view="pageBreakPreview" zoomScaleNormal="100" zoomScaleSheetLayoutView="100" workbookViewId="0">
      <selection activeCell="I7" sqref="I7"/>
    </sheetView>
  </sheetViews>
  <sheetFormatPr defaultColWidth="9.1796875" defaultRowHeight="15.5"/>
  <cols>
    <col min="1" max="1" width="35.453125" style="123" bestFit="1" customWidth="1"/>
    <col min="2" max="2" width="10.26953125" style="1" customWidth="1"/>
    <col min="3" max="3" width="7.54296875" style="14" customWidth="1"/>
    <col min="4" max="4" width="11.7265625" style="1" customWidth="1"/>
    <col min="5" max="5" width="10.81640625" style="1" customWidth="1"/>
    <col min="6" max="6" width="10.54296875" style="1" customWidth="1"/>
    <col min="7" max="8" width="12.7265625" style="1" customWidth="1"/>
    <col min="9" max="9" width="14.453125" style="1" customWidth="1"/>
    <col min="10" max="10" width="9.54296875" style="1" customWidth="1"/>
    <col min="11" max="11" width="13.453125" style="1" customWidth="1"/>
    <col min="12" max="12" width="14.1796875" style="1" customWidth="1"/>
    <col min="13" max="16384" width="9.1796875" style="1"/>
  </cols>
  <sheetData>
    <row r="1" spans="1:11">
      <c r="A1" s="98"/>
      <c r="B1" s="80"/>
      <c r="C1" s="99"/>
      <c r="D1" s="80"/>
      <c r="E1" s="80"/>
      <c r="F1" s="80"/>
      <c r="G1" s="80"/>
      <c r="H1" s="80"/>
      <c r="I1" s="80"/>
    </row>
    <row r="2" spans="1:11" s="101" customFormat="1">
      <c r="A2" s="759" t="s">
        <v>20</v>
      </c>
      <c r="B2" s="759"/>
      <c r="C2" s="759"/>
      <c r="D2" s="759"/>
      <c r="E2" s="759"/>
      <c r="F2" s="759"/>
      <c r="G2" s="759"/>
      <c r="H2" s="759"/>
      <c r="I2" s="759"/>
    </row>
    <row r="3" spans="1:11" s="101" customFormat="1">
      <c r="A3" s="100"/>
      <c r="B3" s="100"/>
      <c r="C3" s="100"/>
      <c r="D3" s="100"/>
      <c r="E3" s="100"/>
      <c r="F3" s="100"/>
      <c r="G3" s="100"/>
      <c r="H3" s="100"/>
      <c r="I3" s="100"/>
    </row>
    <row r="4" spans="1:11" s="101" customFormat="1">
      <c r="A4" s="760" t="s">
        <v>200</v>
      </c>
      <c r="B4" s="760"/>
      <c r="C4" s="760"/>
      <c r="D4" s="760"/>
      <c r="E4" s="760"/>
      <c r="F4" s="760"/>
      <c r="G4" s="760"/>
      <c r="H4" s="760"/>
      <c r="I4" s="760"/>
    </row>
    <row r="5" spans="1:11" ht="16" thickBot="1">
      <c r="A5" s="102" t="s">
        <v>1</v>
      </c>
      <c r="B5" s="103">
        <f>+ValidDate</f>
        <v>46266</v>
      </c>
      <c r="C5" s="104"/>
      <c r="D5" s="104"/>
      <c r="E5" s="105"/>
      <c r="F5" s="80"/>
      <c r="G5" s="80"/>
      <c r="H5" s="106"/>
      <c r="I5" s="236"/>
      <c r="J5" s="107"/>
      <c r="K5" s="108"/>
    </row>
    <row r="6" spans="1:11" ht="43.5" thickTop="1" thickBot="1">
      <c r="A6" s="109" t="s">
        <v>17</v>
      </c>
      <c r="B6" s="110" t="s">
        <v>40</v>
      </c>
      <c r="C6" s="111" t="s">
        <v>41</v>
      </c>
      <c r="D6" s="111" t="s">
        <v>42</v>
      </c>
      <c r="E6" s="112" t="s">
        <v>141</v>
      </c>
      <c r="F6" s="113" t="s">
        <v>43</v>
      </c>
      <c r="G6" s="113" t="s">
        <v>44</v>
      </c>
      <c r="H6" s="114" t="s">
        <v>45</v>
      </c>
      <c r="I6" s="115" t="s">
        <v>46</v>
      </c>
    </row>
    <row r="7" spans="1:11" s="80" customFormat="1" ht="14">
      <c r="A7" s="116" t="s">
        <v>143</v>
      </c>
      <c r="B7" s="117">
        <f>'4'!C20</f>
        <v>1192.0999999999999</v>
      </c>
      <c r="C7" s="118">
        <v>0</v>
      </c>
      <c r="D7" s="119">
        <f t="shared" ref="D7:D13" si="0">B7+C7</f>
        <v>1192.0999999999999</v>
      </c>
      <c r="E7" s="119">
        <f t="shared" ref="E7:E13" si="1">D7*Yazig</f>
        <v>3538.1527999999998</v>
      </c>
      <c r="F7" s="444">
        <v>0.755</v>
      </c>
      <c r="G7" s="120">
        <f>E7*F7</f>
        <v>2671.3053639999998</v>
      </c>
      <c r="H7" s="121">
        <v>0.99199999999999999</v>
      </c>
      <c r="I7" s="122">
        <f>H7*G7</f>
        <v>2649.934921088</v>
      </c>
    </row>
    <row r="8" spans="1:11" s="80" customFormat="1" ht="14.25" customHeight="1">
      <c r="A8" s="672" t="s">
        <v>335</v>
      </c>
      <c r="B8" s="117">
        <f>'4'!F20*0.78+'4'!D20*0.22</f>
        <v>710.32399999999996</v>
      </c>
      <c r="C8" s="118">
        <v>20</v>
      </c>
      <c r="D8" s="119">
        <f t="shared" si="0"/>
        <v>730.32399999999996</v>
      </c>
      <c r="E8" s="119">
        <f t="shared" si="1"/>
        <v>2167.6016319999999</v>
      </c>
      <c r="F8" s="444"/>
      <c r="G8" s="120"/>
      <c r="H8" s="121"/>
      <c r="I8" s="122"/>
    </row>
    <row r="9" spans="1:11" s="80" customFormat="1" ht="14.25" customHeight="1">
      <c r="A9" s="672" t="s">
        <v>337</v>
      </c>
      <c r="B9" s="117">
        <f>'4'!E20*0.78+'4'!D20*0.22</f>
        <v>775.88300000000004</v>
      </c>
      <c r="C9" s="118">
        <v>20</v>
      </c>
      <c r="D9" s="119">
        <f t="shared" si="0"/>
        <v>795.88300000000004</v>
      </c>
      <c r="E9" s="119">
        <f t="shared" si="1"/>
        <v>2362.1807440000002</v>
      </c>
      <c r="F9" s="444"/>
      <c r="G9" s="120"/>
      <c r="H9" s="121"/>
      <c r="I9" s="122"/>
    </row>
    <row r="10" spans="1:11" s="80" customFormat="1" ht="14.25" customHeight="1">
      <c r="A10" s="672" t="s">
        <v>336</v>
      </c>
      <c r="B10" s="117">
        <f>'4'!F20*0.94+'4'!D20*0.06</f>
        <v>598.85199999999998</v>
      </c>
      <c r="C10" s="118">
        <v>20</v>
      </c>
      <c r="D10" s="119">
        <f t="shared" si="0"/>
        <v>618.85199999999998</v>
      </c>
      <c r="E10" s="119">
        <f t="shared" si="1"/>
        <v>1836.7527359999999</v>
      </c>
      <c r="F10" s="444"/>
      <c r="G10" s="120"/>
      <c r="H10" s="121"/>
      <c r="I10" s="122"/>
    </row>
    <row r="11" spans="1:11" s="80" customFormat="1" ht="14.25" customHeight="1">
      <c r="A11" s="672" t="s">
        <v>338</v>
      </c>
      <c r="B11" s="117">
        <f>'4'!E20*0.94+'4'!D20*0.06</f>
        <v>677.85900000000004</v>
      </c>
      <c r="C11" s="118">
        <v>20</v>
      </c>
      <c r="D11" s="119">
        <f t="shared" si="0"/>
        <v>697.85900000000004</v>
      </c>
      <c r="E11" s="119">
        <f t="shared" si="1"/>
        <v>2071.245512</v>
      </c>
      <c r="F11" s="444"/>
      <c r="G11" s="120"/>
      <c r="H11" s="121"/>
      <c r="I11" s="122"/>
    </row>
    <row r="12" spans="1:11" s="80" customFormat="1" ht="16.5" customHeight="1">
      <c r="A12" s="673" t="s">
        <v>176</v>
      </c>
      <c r="B12" s="117">
        <f>'4'!D20</f>
        <v>1253.75</v>
      </c>
      <c r="C12" s="118">
        <v>0</v>
      </c>
      <c r="D12" s="119">
        <f t="shared" si="0"/>
        <v>1253.75</v>
      </c>
      <c r="E12" s="119">
        <f t="shared" si="1"/>
        <v>3721.13</v>
      </c>
      <c r="F12" s="646"/>
      <c r="G12" s="120"/>
      <c r="H12" s="121"/>
      <c r="I12" s="122"/>
    </row>
    <row r="13" spans="1:11" s="80" customFormat="1" ht="14.5" thickBot="1">
      <c r="A13" s="638" t="s">
        <v>160</v>
      </c>
      <c r="B13" s="639">
        <f>'5'!D13</f>
        <v>520.54999999999995</v>
      </c>
      <c r="C13" s="640">
        <v>0</v>
      </c>
      <c r="D13" s="641">
        <f t="shared" si="0"/>
        <v>520.54999999999995</v>
      </c>
      <c r="E13" s="641">
        <f t="shared" si="1"/>
        <v>1544.9923999999999</v>
      </c>
      <c r="F13" s="642"/>
      <c r="G13" s="643"/>
      <c r="H13" s="644"/>
      <c r="I13" s="645"/>
    </row>
    <row r="14" spans="1:11" ht="16" thickTop="1"/>
    <row r="15" spans="1:11">
      <c r="I15" s="46" t="s">
        <v>31</v>
      </c>
    </row>
    <row r="17" spans="6:6">
      <c r="F17" s="266"/>
    </row>
    <row r="18" spans="6:6">
      <c r="F18" s="266"/>
    </row>
    <row r="19" spans="6:6">
      <c r="F19" s="266"/>
    </row>
    <row r="20" spans="6:6">
      <c r="F20" s="266"/>
    </row>
    <row r="21" spans="6:6">
      <c r="F21" s="267"/>
    </row>
    <row r="22" spans="6:6">
      <c r="F22" s="267"/>
    </row>
    <row r="23" spans="6:6">
      <c r="F23" s="267"/>
    </row>
    <row r="24" spans="6:6">
      <c r="F24" s="266"/>
    </row>
    <row r="25" spans="6:6">
      <c r="F25" s="266"/>
    </row>
    <row r="26" spans="6:6">
      <c r="F26" s="266"/>
    </row>
    <row r="27" spans="6:6">
      <c r="F27" s="266"/>
    </row>
  </sheetData>
  <mergeCells count="2">
    <mergeCell ref="A2:I2"/>
    <mergeCell ref="A4:I4"/>
  </mergeCells>
  <phoneticPr fontId="0" type="noConversion"/>
  <hyperlinks>
    <hyperlink ref="I15" location="'תוכן עניינים'!A1" display="תוכן עניינים" xr:uid="{00000000-0004-0000-0700-000000000000}"/>
  </hyperlinks>
  <printOptions horizontalCentered="1"/>
  <pageMargins left="0.74803149606299213" right="0.74803149606299213" top="0.98425196850393704" bottom="0.98425196850393704" header="0.51181102362204722" footer="0.51181102362204722"/>
  <pageSetup paperSize="9" orientation="landscape" horizontalDpi="4294967293" r:id="rId1"/>
  <headerFooter alignWithMargins="0">
    <oddHeader>&amp;Cמשרד התשתיות הלאומיות, האנרגיה והמים
מינהל הדלק והגז</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גיליון13"/>
  <dimension ref="A3:K164"/>
  <sheetViews>
    <sheetView showGridLines="0" rightToLeft="1" view="pageBreakPreview" zoomScaleNormal="100" zoomScaleSheetLayoutView="100" workbookViewId="0">
      <selection activeCell="E22" sqref="E22"/>
    </sheetView>
  </sheetViews>
  <sheetFormatPr defaultColWidth="9.1796875" defaultRowHeight="12.5"/>
  <cols>
    <col min="1" max="1" width="15.1796875" style="126" customWidth="1"/>
    <col min="2" max="6" width="12.81640625" style="126" customWidth="1"/>
    <col min="7" max="7" width="4.54296875" style="126" hidden="1" customWidth="1"/>
    <col min="8" max="8" width="0" style="126" hidden="1" customWidth="1"/>
    <col min="9" max="9" width="11" style="126" bestFit="1" customWidth="1"/>
    <col min="10" max="10" width="9.1796875" style="126"/>
    <col min="11" max="11" width="10.453125" style="126" bestFit="1" customWidth="1"/>
    <col min="12" max="16384" width="9.1796875" style="126"/>
  </cols>
  <sheetData>
    <row r="3" spans="1:6" s="125" customFormat="1" ht="15" customHeight="1">
      <c r="A3" s="762" t="s">
        <v>32</v>
      </c>
      <c r="B3" s="762"/>
      <c r="C3" s="762"/>
      <c r="D3" s="762"/>
      <c r="E3" s="762"/>
      <c r="F3" s="514"/>
    </row>
    <row r="4" spans="1:6" s="125" customFormat="1" ht="15" customHeight="1">
      <c r="A4" s="124"/>
      <c r="B4" s="124"/>
      <c r="C4" s="124"/>
      <c r="D4" s="124"/>
      <c r="E4" s="124"/>
      <c r="F4" s="124"/>
    </row>
    <row r="5" spans="1:6" s="125" customFormat="1" ht="31.5" customHeight="1">
      <c r="A5" s="759" t="s">
        <v>274</v>
      </c>
      <c r="B5" s="759"/>
      <c r="C5" s="759"/>
      <c r="D5" s="759"/>
      <c r="E5" s="759"/>
      <c r="F5" s="515"/>
    </row>
    <row r="6" spans="1:6" ht="15" customHeight="1">
      <c r="A6" s="303"/>
      <c r="B6" s="303"/>
      <c r="C6" s="303"/>
      <c r="D6" s="303"/>
      <c r="E6" s="303"/>
      <c r="F6" s="303"/>
    </row>
    <row r="7" spans="1:6" ht="15" customHeight="1">
      <c r="A7" s="516" t="s">
        <v>132</v>
      </c>
      <c r="B7" s="545">
        <f>ValidDate</f>
        <v>46266</v>
      </c>
      <c r="C7" s="303"/>
      <c r="D7" s="303"/>
      <c r="E7" s="303"/>
      <c r="F7" s="303"/>
    </row>
    <row r="8" spans="1:6" ht="15" customHeight="1">
      <c r="A8" s="543"/>
      <c r="B8" s="543"/>
      <c r="C8" s="543"/>
      <c r="D8" s="543"/>
      <c r="E8" s="543"/>
      <c r="F8" s="543"/>
    </row>
    <row r="9" spans="1:6" ht="15.75" customHeight="1">
      <c r="A9" s="517" t="s">
        <v>22</v>
      </c>
      <c r="B9" s="763" t="s">
        <v>275</v>
      </c>
      <c r="C9" s="763"/>
      <c r="D9" s="543"/>
      <c r="E9" s="543"/>
      <c r="F9" s="543"/>
    </row>
    <row r="10" spans="1:6" ht="12.65" customHeight="1">
      <c r="A10" s="517"/>
      <c r="B10" s="518" t="s">
        <v>276</v>
      </c>
      <c r="C10" s="519" t="s">
        <v>277</v>
      </c>
      <c r="D10" s="543"/>
      <c r="E10" s="543"/>
      <c r="F10" s="543"/>
    </row>
    <row r="11" spans="1:6" ht="12.65" customHeight="1">
      <c r="A11" s="520">
        <f>'2'!C14</f>
        <v>46258</v>
      </c>
      <c r="B11" s="521">
        <v>649</v>
      </c>
      <c r="C11" s="521">
        <v>623</v>
      </c>
      <c r="D11" s="543"/>
      <c r="E11" s="543"/>
      <c r="F11" s="543"/>
    </row>
    <row r="12" spans="1:6" ht="12.75" customHeight="1">
      <c r="A12" s="520">
        <f>'2'!C15</f>
        <v>46259</v>
      </c>
      <c r="B12" s="521">
        <v>637</v>
      </c>
      <c r="C12" s="521">
        <v>610.5</v>
      </c>
    </row>
    <row r="13" spans="1:6" ht="13">
      <c r="A13" s="520">
        <f>'2'!C16</f>
        <v>46260</v>
      </c>
      <c r="B13" s="521">
        <v>631</v>
      </c>
      <c r="C13" s="521">
        <v>624</v>
      </c>
      <c r="D13" s="544"/>
      <c r="E13" s="544"/>
      <c r="F13" s="544"/>
    </row>
    <row r="14" spans="1:6" ht="13">
      <c r="A14" s="520">
        <f>'2'!C17</f>
        <v>46261</v>
      </c>
      <c r="B14" s="521">
        <v>632</v>
      </c>
      <c r="C14" s="521">
        <v>631</v>
      </c>
      <c r="D14" s="304"/>
      <c r="E14" s="304"/>
      <c r="F14" s="304"/>
    </row>
    <row r="15" spans="1:6" ht="12.75" customHeight="1">
      <c r="A15" s="520">
        <f>'2'!C18</f>
        <v>46262</v>
      </c>
      <c r="B15" s="521">
        <v>646</v>
      </c>
      <c r="C15" s="521">
        <v>646.5</v>
      </c>
      <c r="D15" s="543"/>
      <c r="E15" s="543"/>
      <c r="F15" s="543"/>
    </row>
    <row r="16" spans="1:6" ht="12.75" customHeight="1">
      <c r="A16" s="522" t="s">
        <v>278</v>
      </c>
      <c r="B16" s="523">
        <f>AVERAGE(B11:B15)</f>
        <v>639</v>
      </c>
      <c r="C16" s="523">
        <f>AVERAGE(C11:C15)</f>
        <v>627</v>
      </c>
      <c r="D16" s="543"/>
      <c r="E16" s="543"/>
      <c r="F16" s="543"/>
    </row>
    <row r="17" spans="1:8" ht="12.75" customHeight="1">
      <c r="A17" s="524" t="s">
        <v>279</v>
      </c>
      <c r="B17" s="525">
        <v>677</v>
      </c>
      <c r="C17" s="525">
        <v>631.1</v>
      </c>
      <c r="D17" s="543"/>
      <c r="E17" s="543"/>
      <c r="F17" s="543"/>
    </row>
    <row r="18" spans="1:8" ht="13">
      <c r="A18" s="303"/>
      <c r="B18" s="543"/>
      <c r="C18" s="543"/>
      <c r="D18" s="543"/>
      <c r="E18" s="543"/>
      <c r="F18" s="543"/>
    </row>
    <row r="19" spans="1:8" ht="13">
      <c r="A19" s="303"/>
      <c r="B19" s="543"/>
      <c r="C19" s="543"/>
      <c r="D19" s="543"/>
      <c r="E19" s="543"/>
      <c r="F19" s="543"/>
    </row>
    <row r="20" spans="1:8" ht="26">
      <c r="A20" s="526"/>
      <c r="B20" s="526"/>
      <c r="C20" s="527" t="s">
        <v>280</v>
      </c>
      <c r="D20" s="528" t="s">
        <v>290</v>
      </c>
      <c r="E20" s="529" t="s">
        <v>50</v>
      </c>
      <c r="F20" s="303"/>
    </row>
    <row r="21" spans="1:8" ht="13">
      <c r="A21" s="530"/>
      <c r="B21" s="531"/>
      <c r="C21" s="532" t="s">
        <v>283</v>
      </c>
      <c r="D21" s="533"/>
      <c r="E21" s="538"/>
      <c r="F21" s="303"/>
    </row>
    <row r="22" spans="1:8" ht="13">
      <c r="A22" s="767" t="s">
        <v>282</v>
      </c>
      <c r="B22" s="768"/>
      <c r="C22" s="534">
        <f>IF(VLOOKUP(C21,G22:H23,2,FALSE)=1,(C32*B16+D32*C16),(C33*B16+D33*C16))</f>
        <v>635.4</v>
      </c>
      <c r="D22" s="546">
        <v>663.23</v>
      </c>
      <c r="E22" s="674">
        <f>+C22/D22-1</f>
        <v>-4.1961310555915787E-2</v>
      </c>
      <c r="F22" s="303"/>
      <c r="G22" s="513" t="s">
        <v>283</v>
      </c>
      <c r="H22" s="513">
        <v>1</v>
      </c>
    </row>
    <row r="23" spans="1:8" ht="13">
      <c r="A23" s="767" t="s">
        <v>284</v>
      </c>
      <c r="B23" s="768"/>
      <c r="C23" s="535">
        <f>C22*Yazig</f>
        <v>1885.8671999999999</v>
      </c>
      <c r="D23" s="547">
        <v>2028.15734</v>
      </c>
      <c r="E23" s="538">
        <f>+C23/D23-1</f>
        <v>-7.0157347851523277E-2</v>
      </c>
      <c r="F23" s="303"/>
      <c r="G23" s="513" t="s">
        <v>281</v>
      </c>
      <c r="H23" s="513">
        <v>2</v>
      </c>
    </row>
    <row r="24" spans="1:8" ht="13">
      <c r="A24" s="767"/>
      <c r="B24" s="768"/>
      <c r="C24" s="535"/>
      <c r="D24" s="547"/>
      <c r="E24" s="538"/>
      <c r="F24" s="303"/>
    </row>
    <row r="25" spans="1:8" ht="13">
      <c r="A25" s="767" t="s">
        <v>285</v>
      </c>
      <c r="B25" s="768"/>
      <c r="C25" s="536">
        <f>+C22+60</f>
        <v>695.4</v>
      </c>
      <c r="D25" s="548">
        <v>723.23</v>
      </c>
      <c r="E25" s="538">
        <f>+C25/D25-1</f>
        <v>-3.8480151542386265E-2</v>
      </c>
      <c r="F25" s="303"/>
    </row>
    <row r="26" spans="1:8" ht="13">
      <c r="A26" s="767" t="s">
        <v>286</v>
      </c>
      <c r="B26" s="768"/>
      <c r="C26" s="533">
        <f>C25*Yazig</f>
        <v>2063.9472000000001</v>
      </c>
      <c r="D26" s="537">
        <v>2211.6373399999998</v>
      </c>
      <c r="E26" s="538">
        <f>+C26/D26-1</f>
        <v>-6.6778642831197499E-2</v>
      </c>
      <c r="F26" s="303"/>
    </row>
    <row r="27" spans="1:8" ht="13">
      <c r="A27" s="303"/>
      <c r="B27" s="303"/>
      <c r="C27" s="303"/>
      <c r="D27" s="303"/>
      <c r="E27" s="303"/>
      <c r="F27" s="303"/>
    </row>
    <row r="28" spans="1:8" ht="13">
      <c r="A28" s="303"/>
      <c r="B28" s="303"/>
      <c r="C28" s="303"/>
      <c r="D28" s="303"/>
      <c r="E28" s="303"/>
      <c r="F28" s="303"/>
    </row>
    <row r="29" spans="1:8" ht="13">
      <c r="A29" s="303"/>
      <c r="B29" s="303"/>
      <c r="C29" s="303"/>
      <c r="D29" s="303"/>
      <c r="E29" s="303"/>
      <c r="F29" s="303"/>
    </row>
    <row r="30" spans="1:8" ht="13">
      <c r="A30" s="761" t="s">
        <v>287</v>
      </c>
      <c r="B30" s="761"/>
      <c r="C30" s="761"/>
      <c r="D30" s="513"/>
      <c r="E30" s="303"/>
      <c r="F30" s="303"/>
    </row>
    <row r="31" spans="1:8" ht="13">
      <c r="A31" s="764"/>
      <c r="B31" s="765"/>
      <c r="C31" s="527" t="s">
        <v>276</v>
      </c>
      <c r="D31" s="539" t="s">
        <v>277</v>
      </c>
      <c r="E31" s="303"/>
      <c r="F31" s="303"/>
    </row>
    <row r="32" spans="1:8" ht="13">
      <c r="A32" s="540" t="s">
        <v>288</v>
      </c>
      <c r="B32" s="541"/>
      <c r="C32" s="542">
        <v>0.7</v>
      </c>
      <c r="D32" s="542">
        <v>0.3</v>
      </c>
      <c r="E32" s="303"/>
      <c r="F32" s="303"/>
    </row>
    <row r="33" spans="1:11" ht="13">
      <c r="A33" s="540" t="s">
        <v>289</v>
      </c>
      <c r="B33" s="541"/>
      <c r="C33" s="542">
        <v>0.6</v>
      </c>
      <c r="D33" s="542">
        <v>0.4</v>
      </c>
      <c r="E33" s="303"/>
      <c r="F33" s="303"/>
    </row>
    <row r="34" spans="1:11" ht="13">
      <c r="A34" s="303"/>
      <c r="B34" s="303"/>
      <c r="C34" s="303"/>
      <c r="D34" s="303"/>
      <c r="E34" s="303"/>
      <c r="F34" s="303"/>
      <c r="J34" s="128"/>
    </row>
    <row r="35" spans="1:11" ht="13">
      <c r="A35" s="303"/>
      <c r="B35" s="303"/>
      <c r="C35" s="303"/>
      <c r="D35" s="303"/>
      <c r="E35" s="766" t="s">
        <v>31</v>
      </c>
      <c r="F35" s="766"/>
      <c r="J35" s="128"/>
    </row>
    <row r="36" spans="1:11" ht="13">
      <c r="A36" s="303"/>
      <c r="B36" s="303"/>
      <c r="C36" s="303"/>
      <c r="D36" s="303"/>
      <c r="E36" s="303"/>
      <c r="F36" s="303"/>
      <c r="K36" s="129"/>
    </row>
    <row r="37" spans="1:11" ht="15" customHeight="1">
      <c r="A37" s="303"/>
      <c r="B37" s="303"/>
      <c r="C37" s="303"/>
      <c r="D37" s="303"/>
      <c r="E37" s="303"/>
      <c r="F37" s="303"/>
      <c r="I37" s="129"/>
    </row>
    <row r="38" spans="1:11" ht="15" customHeight="1">
      <c r="A38" s="303"/>
      <c r="B38" s="303"/>
      <c r="C38" s="303"/>
      <c r="D38" s="303"/>
      <c r="E38" s="303"/>
      <c r="F38" s="303"/>
    </row>
    <row r="39" spans="1:11" ht="15" customHeight="1">
      <c r="A39" s="303"/>
      <c r="B39" s="303"/>
      <c r="C39" s="303"/>
      <c r="D39" s="303"/>
      <c r="E39" s="303"/>
      <c r="F39" s="303"/>
    </row>
    <row r="40" spans="1:11" s="13" customFormat="1" ht="13">
      <c r="A40" s="303"/>
      <c r="B40" s="303"/>
      <c r="C40" s="303"/>
      <c r="D40" s="303"/>
      <c r="E40" s="303"/>
      <c r="F40" s="303"/>
    </row>
    <row r="41" spans="1:11" s="13" customFormat="1"/>
    <row r="42" spans="1:11" s="13" customFormat="1">
      <c r="B42" s="130"/>
      <c r="C42" s="130"/>
      <c r="D42" s="130"/>
      <c r="E42" s="130"/>
      <c r="F42" s="130"/>
    </row>
    <row r="43" spans="1:11" s="13" customFormat="1"/>
    <row r="44" spans="1:11" s="13" customFormat="1"/>
    <row r="45" spans="1:11" s="13" customFormat="1"/>
    <row r="46" spans="1:11" s="13" customFormat="1"/>
    <row r="47" spans="1:11" s="13" customFormat="1"/>
    <row r="48" spans="1:11" s="13" customFormat="1"/>
    <row r="49" s="13" customFormat="1"/>
    <row r="50" s="13" customFormat="1"/>
    <row r="51" s="13" customFormat="1"/>
    <row r="52" s="13" customFormat="1"/>
    <row r="53" s="13" customFormat="1"/>
    <row r="54" s="13" customFormat="1"/>
    <row r="55" s="13" customFormat="1"/>
    <row r="56" s="13" customFormat="1"/>
    <row r="57" s="13" customFormat="1"/>
    <row r="58" s="13" customFormat="1"/>
    <row r="59" s="13" customFormat="1"/>
    <row r="60" s="13" customFormat="1"/>
    <row r="61" s="13" customFormat="1"/>
    <row r="62" s="13" customFormat="1"/>
    <row r="63" s="13" customFormat="1"/>
    <row r="64" s="13" customFormat="1"/>
    <row r="65" s="13" customFormat="1"/>
    <row r="66" s="13" customFormat="1"/>
    <row r="67" s="13" customFormat="1"/>
    <row r="68" s="13" customFormat="1"/>
    <row r="69" s="13" customFormat="1"/>
    <row r="70" s="13" customFormat="1"/>
    <row r="71" s="13" customFormat="1"/>
    <row r="72" s="13" customFormat="1"/>
    <row r="73" s="13" customFormat="1"/>
    <row r="74" s="13" customFormat="1"/>
    <row r="75" s="13" customFormat="1"/>
    <row r="76" s="13" customFormat="1"/>
    <row r="77" s="13" customFormat="1"/>
    <row r="78" s="13" customFormat="1"/>
    <row r="79" s="13" customFormat="1"/>
    <row r="80" s="13" customFormat="1"/>
    <row r="81" s="13" customFormat="1"/>
    <row r="82" s="13" customFormat="1"/>
    <row r="83" s="13" customFormat="1"/>
    <row r="84" s="13" customFormat="1"/>
    <row r="85" s="13" customFormat="1"/>
    <row r="86" s="13" customFormat="1"/>
    <row r="87" s="13" customFormat="1"/>
    <row r="88" s="13" customFormat="1"/>
    <row r="89" s="13" customFormat="1"/>
    <row r="90" s="13" customFormat="1"/>
    <row r="91" s="13" customFormat="1"/>
    <row r="92" s="13" customFormat="1"/>
    <row r="93" s="13" customFormat="1"/>
    <row r="94" s="13" customFormat="1"/>
    <row r="95" s="13" customFormat="1"/>
    <row r="96" s="13" customFormat="1"/>
    <row r="97" s="13" customFormat="1"/>
    <row r="98" s="13" customFormat="1"/>
    <row r="99" s="13" customFormat="1"/>
    <row r="100" s="13" customFormat="1"/>
    <row r="101" s="13" customFormat="1"/>
    <row r="102" s="13" customFormat="1"/>
    <row r="103" s="13" customFormat="1"/>
    <row r="104" s="13" customFormat="1"/>
    <row r="105" s="13" customFormat="1"/>
    <row r="106" s="13" customFormat="1"/>
    <row r="107" s="13" customFormat="1"/>
    <row r="108" s="13" customFormat="1"/>
    <row r="109" s="13" customFormat="1"/>
    <row r="110" s="13" customFormat="1"/>
    <row r="111" s="13" customFormat="1"/>
    <row r="112" s="13" customFormat="1"/>
    <row r="113" s="13" customFormat="1"/>
    <row r="114" s="13" customFormat="1"/>
    <row r="115" s="13" customFormat="1"/>
    <row r="116" s="13" customFormat="1"/>
    <row r="117" s="13" customFormat="1"/>
    <row r="118" s="13" customFormat="1"/>
    <row r="119" s="13" customFormat="1"/>
    <row r="120" s="13" customFormat="1"/>
    <row r="121" s="13" customFormat="1"/>
    <row r="122" s="13" customFormat="1"/>
    <row r="123" s="13" customFormat="1"/>
    <row r="124" s="13" customFormat="1"/>
    <row r="125" s="13" customFormat="1"/>
    <row r="126" s="13" customFormat="1"/>
    <row r="127" s="13" customFormat="1"/>
    <row r="128" s="13" customFormat="1"/>
    <row r="129" s="13" customFormat="1"/>
    <row r="130" s="13" customFormat="1"/>
    <row r="131" s="13" customFormat="1"/>
    <row r="132" s="13" customFormat="1"/>
    <row r="133" s="13" customFormat="1"/>
    <row r="134" s="13" customFormat="1"/>
    <row r="135" s="13" customFormat="1"/>
    <row r="136" s="13" customFormat="1"/>
    <row r="137" s="13" customFormat="1"/>
    <row r="138" s="13" customFormat="1"/>
    <row r="139" s="13" customFormat="1"/>
    <row r="140" s="13" customFormat="1"/>
    <row r="141" s="13" customFormat="1"/>
    <row r="142" s="13" customFormat="1"/>
    <row r="143" s="13" customFormat="1"/>
    <row r="144" s="13" customFormat="1"/>
    <row r="145" s="13" customFormat="1"/>
    <row r="146" s="13" customFormat="1"/>
    <row r="147" s="13" customFormat="1"/>
    <row r="148" s="13" customFormat="1"/>
    <row r="149" s="13" customFormat="1"/>
    <row r="150" s="13" customFormat="1"/>
    <row r="151" s="13" customFormat="1"/>
    <row r="152" s="13" customFormat="1"/>
    <row r="153" s="13" customFormat="1"/>
    <row r="154" s="13" customFormat="1"/>
    <row r="155" s="13" customFormat="1"/>
    <row r="156" s="13" customFormat="1"/>
    <row r="157" s="13" customFormat="1"/>
    <row r="158" s="13" customFormat="1"/>
    <row r="159" s="13" customFormat="1"/>
    <row r="160" s="13" customFormat="1"/>
    <row r="161" s="13" customFormat="1"/>
    <row r="162" s="13" customFormat="1"/>
    <row r="163" s="13" customFormat="1"/>
    <row r="164" s="13" customFormat="1"/>
  </sheetData>
  <mergeCells count="11">
    <mergeCell ref="E35:F35"/>
    <mergeCell ref="A22:B22"/>
    <mergeCell ref="A23:B23"/>
    <mergeCell ref="A24:B24"/>
    <mergeCell ref="A25:B25"/>
    <mergeCell ref="A26:B26"/>
    <mergeCell ref="A30:C30"/>
    <mergeCell ref="A5:E5"/>
    <mergeCell ref="A3:E3"/>
    <mergeCell ref="B9:C9"/>
    <mergeCell ref="A31:B31"/>
  </mergeCells>
  <phoneticPr fontId="0" type="noConversion"/>
  <hyperlinks>
    <hyperlink ref="E35:F35" location="'תוכן עניינים'!A1" display="תוכן עניינים" xr:uid="{00000000-0004-0000-0800-000000000000}"/>
  </hyperlinks>
  <printOptions horizontalCentered="1"/>
  <pageMargins left="0.74803149606299213" right="0.74803149606299213" top="0.98425196850393704" bottom="0.98425196850393704" header="0.51181102362204722" footer="0.51181102362204722"/>
  <pageSetup paperSize="9" orientation="portrait" horizontalDpi="4294967293" r:id="rId1"/>
  <headerFooter alignWithMargins="0">
    <oddHeader>&amp;Cמשרד התשתיות הלאומיות, האנרגיה והמים
מינהל הדלק והגז</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14"/>
  <dimension ref="A2:D28"/>
  <sheetViews>
    <sheetView showGridLines="0" rightToLeft="1" view="pageBreakPreview" zoomScaleNormal="100" workbookViewId="0">
      <selection activeCell="B9" sqref="B9"/>
    </sheetView>
  </sheetViews>
  <sheetFormatPr defaultColWidth="9.1796875" defaultRowHeight="12.5"/>
  <cols>
    <col min="1" max="1" width="28.7265625" style="13" customWidth="1"/>
    <col min="2" max="3" width="12.81640625" style="13" customWidth="1"/>
    <col min="4" max="4" width="12.453125" style="13" customWidth="1"/>
    <col min="5" max="16384" width="9.1796875" style="13"/>
  </cols>
  <sheetData>
    <row r="2" spans="1:4" s="131" customFormat="1" ht="14">
      <c r="A2" s="772" t="s">
        <v>138</v>
      </c>
      <c r="B2" s="773"/>
      <c r="C2" s="773"/>
      <c r="D2" s="773"/>
    </row>
    <row r="3" spans="1:4" s="131" customFormat="1"/>
    <row r="4" spans="1:4" s="131" customFormat="1" ht="14">
      <c r="A4" s="773" t="s">
        <v>156</v>
      </c>
      <c r="B4" s="773"/>
      <c r="C4" s="773"/>
      <c r="D4" s="773"/>
    </row>
    <row r="5" spans="1:4" ht="13" thickBot="1"/>
    <row r="6" spans="1:4" ht="15" thickTop="1" thickBot="1">
      <c r="A6" s="769" t="s">
        <v>161</v>
      </c>
      <c r="B6" s="770"/>
      <c r="C6" s="770"/>
      <c r="D6" s="771"/>
    </row>
    <row r="7" spans="1:4" ht="14.5" thickTop="1">
      <c r="A7" s="318" t="s">
        <v>9</v>
      </c>
      <c r="B7" s="319" t="s">
        <v>49</v>
      </c>
      <c r="C7" s="320" t="s">
        <v>49</v>
      </c>
      <c r="D7" s="321"/>
    </row>
    <row r="8" spans="1:4" ht="14">
      <c r="A8" s="633"/>
      <c r="B8" s="323">
        <f>ValidDate</f>
        <v>46266</v>
      </c>
      <c r="C8" s="324">
        <v>46236</v>
      </c>
      <c r="D8" s="325" t="s">
        <v>50</v>
      </c>
    </row>
    <row r="9" spans="1:4" ht="14">
      <c r="A9" s="647" t="s">
        <v>335</v>
      </c>
      <c r="B9" s="677">
        <f>+'6'!D8</f>
        <v>730.32399999999996</v>
      </c>
      <c r="C9" s="678">
        <v>754.9079999999999</v>
      </c>
      <c r="D9" s="679">
        <f>(((B9/C9)-1)*100)</f>
        <v>-3.2565557657356803</v>
      </c>
    </row>
    <row r="10" spans="1:4" ht="26">
      <c r="A10" s="647" t="s">
        <v>337</v>
      </c>
      <c r="B10" s="677">
        <f>+'6'!D9</f>
        <v>795.88300000000004</v>
      </c>
      <c r="C10" s="678">
        <v>806.154</v>
      </c>
      <c r="D10" s="679">
        <f>(((B10/C10)-1)*100)</f>
        <v>-1.2740741843369818</v>
      </c>
    </row>
    <row r="11" spans="1:4" ht="14">
      <c r="A11" s="647" t="s">
        <v>336</v>
      </c>
      <c r="B11" s="677">
        <f>+'6'!D10</f>
        <v>618.85199999999998</v>
      </c>
      <c r="C11" s="678">
        <v>649.08399999999995</v>
      </c>
      <c r="D11" s="679">
        <f>(((B11/C11)-1)*100)</f>
        <v>-4.6576406135415365</v>
      </c>
    </row>
    <row r="12" spans="1:4" ht="26">
      <c r="A12" s="647" t="s">
        <v>338</v>
      </c>
      <c r="B12" s="677">
        <f>+'6'!D11</f>
        <v>697.85900000000004</v>
      </c>
      <c r="C12" s="678">
        <v>710.84199999999998</v>
      </c>
      <c r="D12" s="679">
        <f>(((B12/C12)-1)*100)</f>
        <v>-1.8264255629239612</v>
      </c>
    </row>
    <row r="13" spans="1:4" ht="14.5" thickBot="1">
      <c r="A13" s="329" t="s">
        <v>51</v>
      </c>
      <c r="B13" s="680">
        <f>Yazig</f>
        <v>2.968</v>
      </c>
      <c r="C13" s="681">
        <v>3.0579999999999998</v>
      </c>
      <c r="D13" s="682">
        <f>(((B13/C13)-1)*100)</f>
        <v>-2.9431000654022155</v>
      </c>
    </row>
    <row r="14" spans="1:4" ht="13" thickTop="1"/>
    <row r="15" spans="1:4" ht="14">
      <c r="A15" s="773" t="s">
        <v>203</v>
      </c>
      <c r="B15" s="773"/>
      <c r="C15" s="773"/>
      <c r="D15" s="773"/>
    </row>
    <row r="16" spans="1:4" ht="13" thickBot="1"/>
    <row r="17" spans="1:4" ht="15" thickTop="1" thickBot="1">
      <c r="A17" s="769" t="s">
        <v>204</v>
      </c>
      <c r="B17" s="770"/>
      <c r="C17" s="770"/>
      <c r="D17" s="771"/>
    </row>
    <row r="18" spans="1:4" ht="14.5" thickTop="1">
      <c r="A18" s="318" t="s">
        <v>9</v>
      </c>
      <c r="B18" s="319" t="s">
        <v>49</v>
      </c>
      <c r="C18" s="320" t="s">
        <v>49</v>
      </c>
      <c r="D18" s="321"/>
    </row>
    <row r="19" spans="1:4" ht="14">
      <c r="A19" s="322"/>
      <c r="B19" s="323">
        <f>ValidDate</f>
        <v>46266</v>
      </c>
      <c r="C19" s="324">
        <v>46236</v>
      </c>
      <c r="D19" s="325" t="s">
        <v>50</v>
      </c>
    </row>
    <row r="20" spans="1:4" ht="14">
      <c r="A20" s="330" t="s">
        <v>143</v>
      </c>
      <c r="B20" s="326">
        <f>'6'!D7</f>
        <v>1192.0999999999999</v>
      </c>
      <c r="C20" s="327">
        <v>1120.3499999999999</v>
      </c>
      <c r="D20" s="328">
        <f>(((B20/C20)-1)*100)</f>
        <v>6.4042486722899028</v>
      </c>
    </row>
    <row r="21" spans="1:4" ht="14">
      <c r="A21" s="330" t="s">
        <v>176</v>
      </c>
      <c r="B21" s="326">
        <f>'6'!D12</f>
        <v>1253.75</v>
      </c>
      <c r="C21" s="327">
        <v>1250.8</v>
      </c>
      <c r="D21" s="328">
        <f>(((B21/C21)-1)*100)</f>
        <v>0.23584905660378741</v>
      </c>
    </row>
    <row r="22" spans="1:4" ht="14">
      <c r="A22" s="330" t="s">
        <v>340</v>
      </c>
      <c r="B22" s="326">
        <f>+'6'!D13</f>
        <v>520.54999999999995</v>
      </c>
      <c r="C22" s="327">
        <v>521.70000000000005</v>
      </c>
      <c r="D22" s="328">
        <f>(((B22/C22)-1)*100)</f>
        <v>-0.22043319915662218</v>
      </c>
    </row>
    <row r="28" spans="1:4">
      <c r="D28" s="46" t="s">
        <v>31</v>
      </c>
    </row>
  </sheetData>
  <mergeCells count="5">
    <mergeCell ref="A17:D17"/>
    <mergeCell ref="A6:D6"/>
    <mergeCell ref="A2:D2"/>
    <mergeCell ref="A4:D4"/>
    <mergeCell ref="A15:D15"/>
  </mergeCells>
  <phoneticPr fontId="0" type="noConversion"/>
  <hyperlinks>
    <hyperlink ref="D28" location="'תוכן עניינים'!A1" display="תוכן עניינים" xr:uid="{00000000-0004-0000-0900-000000000000}"/>
  </hyperlinks>
  <printOptions horizontalCentered="1"/>
  <pageMargins left="0.74803149606299213" right="0.74803149606299213" top="0.98425196850393704" bottom="0.98425196850393704" header="0.51181102362204722" footer="0.51181102362204722"/>
  <pageSetup paperSize="9" orientation="portrait" horizontalDpi="4294967293" r:id="rId1"/>
  <headerFooter alignWithMargins="0">
    <oddHeader>&amp;Cמשרד התשתיות הלאומיות, האנרגיה והמים
מינהל הדלק והגז</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15"/>
  <dimension ref="A1:W26"/>
  <sheetViews>
    <sheetView showGridLines="0" rightToLeft="1" view="pageBreakPreview" zoomScale="85" zoomScaleNormal="75" zoomScaleSheetLayoutView="85" workbookViewId="0">
      <selection activeCell="G32" sqref="G32"/>
    </sheetView>
  </sheetViews>
  <sheetFormatPr defaultColWidth="9.1796875" defaultRowHeight="15.5"/>
  <cols>
    <col min="1" max="1" width="3.81640625" style="1" customWidth="1"/>
    <col min="2" max="2" width="23.1796875" style="134" customWidth="1"/>
    <col min="3" max="3" width="16.7265625" style="1" customWidth="1"/>
    <col min="4" max="4" width="14" style="1" customWidth="1"/>
    <col min="5" max="8" width="9" style="1" customWidth="1"/>
    <col min="9" max="23" width="9.1796875" style="133"/>
    <col min="24" max="16384" width="9.1796875" style="1"/>
  </cols>
  <sheetData>
    <row r="1" spans="1:8">
      <c r="F1" s="268"/>
      <c r="G1" s="268"/>
      <c r="H1" s="268"/>
    </row>
    <row r="2" spans="1:8" s="101" customFormat="1" ht="27" customHeight="1">
      <c r="A2" s="775" t="s">
        <v>139</v>
      </c>
      <c r="B2" s="775"/>
      <c r="C2" s="775"/>
      <c r="D2" s="775"/>
      <c r="E2" s="775"/>
      <c r="F2" s="775"/>
      <c r="G2" s="775"/>
    </row>
    <row r="3" spans="1:8" s="101" customFormat="1" ht="36" customHeight="1">
      <c r="A3" s="776" t="s">
        <v>170</v>
      </c>
      <c r="B3" s="776"/>
      <c r="C3" s="776"/>
      <c r="D3" s="776"/>
      <c r="E3" s="776"/>
      <c r="F3" s="776"/>
      <c r="G3" s="776"/>
      <c r="H3" s="268"/>
    </row>
    <row r="4" spans="1:8" ht="11.25" customHeight="1">
      <c r="A4" s="776"/>
      <c r="B4" s="776"/>
      <c r="C4" s="776"/>
      <c r="D4" s="776"/>
      <c r="E4" s="776"/>
      <c r="F4" s="776"/>
      <c r="G4" s="776"/>
      <c r="H4" s="132"/>
    </row>
    <row r="5" spans="1:8">
      <c r="A5" s="13"/>
      <c r="D5" s="135"/>
      <c r="G5" s="135"/>
      <c r="H5" s="136"/>
    </row>
    <row r="6" spans="1:8">
      <c r="A6" s="782" t="s">
        <v>1</v>
      </c>
      <c r="B6" s="782"/>
      <c r="C6" s="781">
        <f>ValidDate</f>
        <v>46266</v>
      </c>
      <c r="D6" s="781"/>
      <c r="E6" s="137"/>
      <c r="F6" s="137"/>
      <c r="G6" s="138"/>
      <c r="H6" s="139"/>
    </row>
    <row r="7" spans="1:8">
      <c r="A7" s="13"/>
      <c r="B7" s="155"/>
      <c r="C7" s="127"/>
      <c r="D7" s="127"/>
      <c r="E7" s="127"/>
      <c r="F7" s="127"/>
      <c r="G7" s="156"/>
      <c r="H7" s="156"/>
    </row>
    <row r="8" spans="1:8" ht="20.25" customHeight="1" thickBot="1">
      <c r="A8" s="780"/>
      <c r="B8" s="780"/>
      <c r="C8" s="779"/>
      <c r="D8" s="779"/>
      <c r="E8" s="157"/>
      <c r="F8" s="157"/>
      <c r="G8" s="157"/>
      <c r="H8" s="157"/>
    </row>
    <row r="9" spans="1:8" ht="66.5" thickTop="1" thickBot="1">
      <c r="A9" s="246"/>
      <c r="B9" s="282" t="s">
        <v>53</v>
      </c>
      <c r="C9" s="777" t="s">
        <v>178</v>
      </c>
      <c r="D9" s="778"/>
      <c r="E9" s="656" t="s">
        <v>335</v>
      </c>
      <c r="F9" s="656" t="s">
        <v>337</v>
      </c>
      <c r="G9" s="656" t="s">
        <v>336</v>
      </c>
      <c r="H9" s="656" t="s">
        <v>338</v>
      </c>
    </row>
    <row r="10" spans="1:8" ht="19.5" customHeight="1" thickBot="1">
      <c r="A10" s="249"/>
      <c r="B10" s="283"/>
      <c r="C10" s="280" t="s">
        <v>165</v>
      </c>
      <c r="D10" s="248" t="s">
        <v>166</v>
      </c>
      <c r="E10" s="657" t="s">
        <v>14</v>
      </c>
      <c r="F10" s="657" t="s">
        <v>14</v>
      </c>
      <c r="G10" s="657" t="s">
        <v>14</v>
      </c>
      <c r="H10" s="658" t="s">
        <v>14</v>
      </c>
    </row>
    <row r="11" spans="1:8">
      <c r="A11" s="164">
        <v>1</v>
      </c>
      <c r="B11" s="293" t="s">
        <v>61</v>
      </c>
      <c r="C11" s="281">
        <f>ROUND(('5'!D13+15*'5'!E19)*0.94*Yazig+0.06*('6'!E12-7.88*Yazig),2)</f>
        <v>1735.26</v>
      </c>
      <c r="D11" s="281">
        <f>('5'!D13+15*'5'!E19)*0.94*Yazig+0.06*('6'!E12-7.88*Yazig)</f>
        <v>1735.2566335999998</v>
      </c>
      <c r="E11" s="659">
        <f>+'6'!E8</f>
        <v>2167.6016319999999</v>
      </c>
      <c r="F11" s="659">
        <f>+'6'!E9</f>
        <v>2362.1807440000002</v>
      </c>
      <c r="G11" s="659">
        <f>+'6'!E10</f>
        <v>1836.7527359999999</v>
      </c>
      <c r="H11" s="660">
        <f>+'6'!E11</f>
        <v>2071.245512</v>
      </c>
    </row>
    <row r="12" spans="1:8" ht="16" thickBot="1">
      <c r="A12" s="146">
        <v>2</v>
      </c>
      <c r="B12" s="165" t="s">
        <v>62</v>
      </c>
      <c r="C12" s="166">
        <f>(20*Yazig)</f>
        <v>59.36</v>
      </c>
      <c r="D12" s="166">
        <v>0</v>
      </c>
      <c r="E12" s="661"/>
      <c r="F12" s="661"/>
      <c r="G12" s="661"/>
      <c r="H12" s="662"/>
    </row>
    <row r="13" spans="1:8" ht="16.5" thickTop="1" thickBot="1">
      <c r="A13" s="288">
        <v>3</v>
      </c>
      <c r="B13" s="289" t="s">
        <v>157</v>
      </c>
      <c r="C13" s="290">
        <f t="shared" ref="C13:H13" si="0">SUM(C11:C12)</f>
        <v>1794.62</v>
      </c>
      <c r="D13" s="290">
        <f t="shared" si="0"/>
        <v>1735.2566335999998</v>
      </c>
      <c r="E13" s="663">
        <f t="shared" si="0"/>
        <v>2167.6016319999999</v>
      </c>
      <c r="F13" s="663">
        <f t="shared" si="0"/>
        <v>2362.1807440000002</v>
      </c>
      <c r="G13" s="663">
        <f t="shared" si="0"/>
        <v>1836.7527359999999</v>
      </c>
      <c r="H13" s="664">
        <f t="shared" si="0"/>
        <v>2071.245512</v>
      </c>
    </row>
    <row r="14" spans="1:8" ht="16" thickTop="1">
      <c r="A14" s="146">
        <v>4</v>
      </c>
      <c r="B14" s="165" t="s">
        <v>57</v>
      </c>
      <c r="C14" s="286">
        <f>ROUND(Bituach/100*C13,2)</f>
        <v>0.36</v>
      </c>
      <c r="D14" s="287">
        <f>ROUND(Bituach/100*D13,2)</f>
        <v>0.35</v>
      </c>
      <c r="E14" s="665">
        <f>ROUND(Bituach/100*E11,2)</f>
        <v>0.44</v>
      </c>
      <c r="F14" s="665">
        <f>ROUND(Bituach/100*F11,2)</f>
        <v>0.48</v>
      </c>
      <c r="G14" s="665">
        <f>ROUND(Bituach/100*G11,2)</f>
        <v>0.37</v>
      </c>
      <c r="H14" s="666">
        <f>ROUND(Bituach/100*H11,2)</f>
        <v>0.42</v>
      </c>
    </row>
    <row r="15" spans="1:8" ht="16" thickBot="1">
      <c r="A15" s="285">
        <v>5</v>
      </c>
      <c r="B15" s="291" t="s">
        <v>58</v>
      </c>
      <c r="C15" s="292"/>
      <c r="D15" s="292"/>
      <c r="E15" s="667"/>
      <c r="F15" s="667"/>
      <c r="G15" s="667"/>
      <c r="H15" s="668"/>
    </row>
    <row r="16" spans="1:8" ht="16" thickBot="1">
      <c r="A16" s="262">
        <v>6</v>
      </c>
      <c r="B16" s="261" t="s">
        <v>59</v>
      </c>
      <c r="C16" s="284">
        <f t="shared" ref="C16:H16" si="1">ROUND(SUM(C13:C15),2)</f>
        <v>1794.98</v>
      </c>
      <c r="D16" s="284">
        <f t="shared" si="1"/>
        <v>1735.61</v>
      </c>
      <c r="E16" s="669">
        <f t="shared" si="1"/>
        <v>2168.04</v>
      </c>
      <c r="F16" s="669">
        <f t="shared" si="1"/>
        <v>2362.66</v>
      </c>
      <c r="G16" s="669">
        <f t="shared" si="1"/>
        <v>1837.12</v>
      </c>
      <c r="H16" s="670">
        <f t="shared" si="1"/>
        <v>2071.67</v>
      </c>
    </row>
    <row r="17" spans="1:7" ht="16" thickTop="1">
      <c r="A17" s="13"/>
      <c r="B17" s="158"/>
      <c r="C17" s="159"/>
      <c r="D17" s="159"/>
    </row>
    <row r="20" spans="1:7">
      <c r="B20" s="774" t="s">
        <v>177</v>
      </c>
      <c r="C20" s="774"/>
      <c r="D20" s="774"/>
      <c r="E20" s="774"/>
      <c r="F20" s="774"/>
      <c r="G20" s="774"/>
    </row>
    <row r="21" spans="1:7">
      <c r="B21" s="774"/>
      <c r="C21" s="774"/>
      <c r="D21" s="774"/>
      <c r="E21" s="774"/>
      <c r="F21" s="774"/>
      <c r="G21" s="774"/>
    </row>
    <row r="22" spans="1:7">
      <c r="B22" s="774"/>
      <c r="C22" s="774"/>
      <c r="D22" s="774"/>
      <c r="E22" s="774"/>
      <c r="F22" s="774"/>
      <c r="G22" s="774"/>
    </row>
    <row r="23" spans="1:7">
      <c r="B23" s="774"/>
      <c r="C23" s="774"/>
      <c r="D23" s="774"/>
      <c r="E23" s="774"/>
      <c r="F23" s="774"/>
      <c r="G23" s="774"/>
    </row>
    <row r="24" spans="1:7">
      <c r="B24" s="774"/>
      <c r="C24" s="774"/>
      <c r="D24" s="774"/>
      <c r="E24" s="774"/>
      <c r="F24" s="774"/>
      <c r="G24" s="774"/>
    </row>
    <row r="26" spans="1:7">
      <c r="G26" s="46" t="s">
        <v>31</v>
      </c>
    </row>
  </sheetData>
  <mergeCells count="8">
    <mergeCell ref="B20:G24"/>
    <mergeCell ref="A2:G2"/>
    <mergeCell ref="A3:G4"/>
    <mergeCell ref="C9:D9"/>
    <mergeCell ref="C8:D8"/>
    <mergeCell ref="A8:B8"/>
    <mergeCell ref="C6:D6"/>
    <mergeCell ref="A6:B6"/>
  </mergeCells>
  <phoneticPr fontId="0" type="noConversion"/>
  <hyperlinks>
    <hyperlink ref="G26" location="'תוכן עניינים'!A1" display="תוכן עניינים" xr:uid="{00000000-0004-0000-0A00-000000000000}"/>
  </hyperlinks>
  <printOptions horizontalCentered="1"/>
  <pageMargins left="0.74803149606299213" right="0.74803149606299213" top="0.98425196850393704" bottom="0.39370078740157483" header="0.51181102362204722" footer="0.31496062992125984"/>
  <pageSetup paperSize="9" scale="105" orientation="landscape" horizontalDpi="4294967293" r:id="rId1"/>
  <headerFooter alignWithMargins="0">
    <oddHeader>&amp;Cמשרד התשתיות הלאומיות, האנרגיה והמים
מינהל הדלק והגז</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גיליון17"/>
  <dimension ref="A1:M30"/>
  <sheetViews>
    <sheetView showGridLines="0" rightToLeft="1" view="pageBreakPreview" zoomScaleNormal="100" zoomScaleSheetLayoutView="100" workbookViewId="0">
      <selection activeCell="B9" sqref="B9"/>
    </sheetView>
  </sheetViews>
  <sheetFormatPr defaultColWidth="9.1796875" defaultRowHeight="12.5"/>
  <cols>
    <col min="1" max="1" width="4.7265625" style="13" customWidth="1"/>
    <col min="2" max="2" width="21.81640625" style="13" customWidth="1"/>
    <col min="3" max="9" width="11.7265625" style="13" customWidth="1"/>
    <col min="10" max="10" width="10.26953125" style="13" customWidth="1"/>
    <col min="11" max="11" width="11.7265625" style="13" customWidth="1"/>
    <col min="12" max="16384" width="9.1796875" style="13"/>
  </cols>
  <sheetData>
    <row r="1" spans="1:9" ht="13">
      <c r="A1" s="162"/>
    </row>
    <row r="2" spans="1:9" s="131" customFormat="1" ht="13">
      <c r="A2" s="786" t="s">
        <v>33</v>
      </c>
      <c r="B2" s="786"/>
      <c r="C2" s="786"/>
      <c r="D2" s="786"/>
      <c r="E2" s="305"/>
      <c r="F2" s="305"/>
      <c r="G2" s="305"/>
    </row>
    <row r="3" spans="1:9" s="131" customFormat="1" ht="13">
      <c r="A3" s="265"/>
      <c r="B3" s="265"/>
      <c r="C3" s="265"/>
      <c r="D3" s="265"/>
      <c r="E3" s="265"/>
      <c r="F3" s="265"/>
      <c r="G3" s="265"/>
    </row>
    <row r="4" spans="1:9" s="131" customFormat="1" ht="13">
      <c r="A4" s="762" t="s">
        <v>346</v>
      </c>
      <c r="B4" s="762"/>
      <c r="C4" s="762"/>
      <c r="D4" s="762"/>
      <c r="E4" s="265"/>
      <c r="F4" s="265"/>
      <c r="G4" s="265"/>
    </row>
    <row r="5" spans="1:9" s="163" customFormat="1" ht="13">
      <c r="A5" s="762"/>
      <c r="B5" s="762"/>
      <c r="C5" s="762"/>
      <c r="D5" s="762"/>
      <c r="E5" s="269"/>
      <c r="F5" s="269"/>
      <c r="G5" s="269"/>
      <c r="H5" s="269"/>
      <c r="I5" s="269"/>
    </row>
    <row r="6" spans="1:9" ht="13.5" thickBot="1">
      <c r="A6" s="783"/>
      <c r="B6" s="783"/>
      <c r="C6" s="783"/>
      <c r="D6" s="783"/>
      <c r="E6" s="783"/>
      <c r="F6" s="783"/>
      <c r="G6" s="783"/>
      <c r="H6" s="783"/>
      <c r="I6" s="783"/>
    </row>
    <row r="7" spans="1:9" ht="16.5" customHeight="1" thickTop="1" thickBot="1">
      <c r="A7" s="140"/>
      <c r="B7" s="141" t="s">
        <v>53</v>
      </c>
      <c r="C7" s="784" t="s">
        <v>144</v>
      </c>
      <c r="D7" s="785"/>
    </row>
    <row r="8" spans="1:9" ht="13.5" thickBot="1">
      <c r="A8" s="142"/>
      <c r="B8" s="143"/>
      <c r="C8" s="144" t="s">
        <v>54</v>
      </c>
      <c r="D8" s="145" t="s">
        <v>55</v>
      </c>
    </row>
    <row r="9" spans="1:9" s="247" customFormat="1" ht="31.5" customHeight="1" thickBot="1">
      <c r="A9" s="258">
        <v>1</v>
      </c>
      <c r="B9" s="675" t="s">
        <v>347</v>
      </c>
      <c r="C9" s="259">
        <f>'6'!I7*mekadem</f>
        <v>2673.7843353777916</v>
      </c>
      <c r="D9" s="260">
        <f>C9</f>
        <v>2673.7843353777916</v>
      </c>
    </row>
    <row r="10" spans="1:9" s="250" customFormat="1" ht="27.75" customHeight="1" thickTop="1">
      <c r="A10" s="146">
        <v>2</v>
      </c>
      <c r="B10" s="147" t="s">
        <v>56</v>
      </c>
      <c r="C10" s="148">
        <f>Tosaf*Yazig</f>
        <v>2.9086400000000001</v>
      </c>
      <c r="D10" s="149">
        <f>Tosaf*Yazig</f>
        <v>2.9086400000000001</v>
      </c>
      <c r="G10" s="447"/>
    </row>
    <row r="11" spans="1:9">
      <c r="A11" s="146">
        <v>3</v>
      </c>
      <c r="B11" s="150" t="s">
        <v>229</v>
      </c>
      <c r="C11" s="148">
        <f>(C9+C14+C15)*-'2'!C11</f>
        <v>-0.51681443729300569</v>
      </c>
      <c r="D11" s="149">
        <f>(D9+D14+D15)*-'2'!C11</f>
        <v>-0.51681443729300569</v>
      </c>
    </row>
    <row r="12" spans="1:9">
      <c r="A12" s="146">
        <v>4</v>
      </c>
      <c r="B12" s="150"/>
      <c r="C12" s="151"/>
      <c r="D12" s="152"/>
    </row>
    <row r="13" spans="1:9">
      <c r="A13" s="146">
        <v>5</v>
      </c>
      <c r="B13" s="147"/>
      <c r="C13" s="151"/>
      <c r="D13" s="152"/>
    </row>
    <row r="14" spans="1:9">
      <c r="A14" s="146">
        <v>6</v>
      </c>
      <c r="B14" s="150"/>
      <c r="C14" s="148"/>
      <c r="D14" s="149"/>
    </row>
    <row r="15" spans="1:9">
      <c r="A15" s="146">
        <v>7</v>
      </c>
      <c r="B15" s="150" t="s">
        <v>182</v>
      </c>
      <c r="C15" s="148">
        <f>C9*1.5/1000</f>
        <v>4.0106765030666871</v>
      </c>
      <c r="D15" s="149">
        <f>D9*1.5/1000</f>
        <v>4.0106765030666871</v>
      </c>
    </row>
    <row r="16" spans="1:9">
      <c r="A16" s="146">
        <v>8</v>
      </c>
      <c r="B16" s="150"/>
      <c r="C16" s="148"/>
      <c r="D16" s="149"/>
    </row>
    <row r="17" spans="1:13">
      <c r="A17" s="146">
        <v>9</v>
      </c>
      <c r="B17" s="150"/>
      <c r="C17" s="148"/>
      <c r="D17" s="149"/>
    </row>
    <row r="18" spans="1:13">
      <c r="A18" s="146">
        <v>10</v>
      </c>
      <c r="B18" s="150" t="s">
        <v>179</v>
      </c>
      <c r="C18" s="148">
        <f>'3'!E12*0.0015</f>
        <v>5.4847799999999998</v>
      </c>
      <c r="D18" s="149">
        <f>'3'!E12*0.0015</f>
        <v>5.4847799999999998</v>
      </c>
    </row>
    <row r="19" spans="1:13" s="257" customFormat="1" ht="13.5" thickBot="1">
      <c r="A19" s="146">
        <v>11</v>
      </c>
      <c r="B19" s="150"/>
      <c r="C19" s="148"/>
      <c r="D19" s="149"/>
    </row>
    <row r="20" spans="1:13" ht="14" thickTop="1" thickBot="1">
      <c r="A20" s="253">
        <v>12</v>
      </c>
      <c r="B20" s="254" t="s">
        <v>59</v>
      </c>
      <c r="C20" s="255">
        <f>SUM(C9:C19)</f>
        <v>2685.6716174435655</v>
      </c>
      <c r="D20" s="256">
        <f>SUM(D9:D19)</f>
        <v>2685.6716174435655</v>
      </c>
    </row>
    <row r="21" spans="1:13" ht="13" thickTop="1">
      <c r="A21" s="3"/>
      <c r="B21" s="153"/>
      <c r="C21" s="154"/>
      <c r="D21" s="154"/>
    </row>
    <row r="22" spans="1:13" ht="7.5" customHeight="1">
      <c r="H22" s="130"/>
      <c r="J22" s="160"/>
      <c r="K22" s="160"/>
      <c r="L22" s="160"/>
      <c r="M22" s="160"/>
    </row>
    <row r="23" spans="1:13" ht="9" customHeight="1">
      <c r="G23" s="160"/>
      <c r="H23" s="160"/>
      <c r="I23" s="160"/>
      <c r="J23" s="160"/>
      <c r="K23" s="160"/>
    </row>
    <row r="25" spans="1:13" ht="12.75" customHeight="1">
      <c r="A25" s="787" t="s">
        <v>205</v>
      </c>
      <c r="B25" s="787"/>
      <c r="C25" s="787"/>
      <c r="D25" s="787"/>
      <c r="E25" s="306"/>
      <c r="F25" s="306"/>
    </row>
    <row r="26" spans="1:13" ht="13.5" customHeight="1">
      <c r="A26" s="787"/>
      <c r="B26" s="787"/>
      <c r="C26" s="787"/>
      <c r="D26" s="787"/>
      <c r="E26" s="306"/>
      <c r="F26" s="306"/>
    </row>
    <row r="27" spans="1:13" ht="15.75" customHeight="1">
      <c r="A27" s="787"/>
      <c r="B27" s="787"/>
      <c r="C27" s="787"/>
      <c r="D27" s="787"/>
      <c r="F27" s="306"/>
    </row>
    <row r="28" spans="1:13">
      <c r="E28" s="167" t="s">
        <v>31</v>
      </c>
    </row>
    <row r="29" spans="1:13">
      <c r="B29" s="130"/>
      <c r="C29" s="130"/>
      <c r="D29" s="130"/>
      <c r="E29" s="130"/>
      <c r="F29" s="130"/>
    </row>
    <row r="30" spans="1:13">
      <c r="D30" s="161"/>
      <c r="E30" s="161"/>
      <c r="F30" s="160"/>
    </row>
  </sheetData>
  <mergeCells count="5">
    <mergeCell ref="A6:I6"/>
    <mergeCell ref="C7:D7"/>
    <mergeCell ref="A4:D5"/>
    <mergeCell ref="A2:D2"/>
    <mergeCell ref="A25:D27"/>
  </mergeCells>
  <phoneticPr fontId="0" type="noConversion"/>
  <hyperlinks>
    <hyperlink ref="E28" location="'תוכן עניינים'!A1" display="תוכן עניינים" xr:uid="{00000000-0004-0000-0B00-000000000000}"/>
  </hyperlinks>
  <printOptions horizontalCentered="1"/>
  <pageMargins left="0.74803149606299213" right="0.74803149606299213" top="0.98425196850393704" bottom="0.39370078740157483" header="0.51181102362204722" footer="0.31496062992125984"/>
  <pageSetup paperSize="9" scale="98" orientation="landscape" horizontalDpi="4294967293" r:id="rId1"/>
  <headerFooter alignWithMargins="0">
    <oddHeader>&amp;Cמשרד התשתיות הלאומיות, האנרגיה והמים
מינהל הדלק והגז</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גיליון18"/>
  <dimension ref="A1:H51"/>
  <sheetViews>
    <sheetView showGridLines="0" rightToLeft="1" view="pageBreakPreview" zoomScale="85" zoomScaleNormal="80" zoomScaleSheetLayoutView="85" workbookViewId="0">
      <selection activeCell="C35" sqref="C35"/>
    </sheetView>
  </sheetViews>
  <sheetFormatPr defaultColWidth="9.1796875" defaultRowHeight="13"/>
  <cols>
    <col min="1" max="1" width="2.7265625" style="186" bestFit="1" customWidth="1"/>
    <col min="2" max="2" width="39.54296875" style="13" customWidth="1"/>
    <col min="3" max="6" width="16.1796875" style="13" customWidth="1"/>
    <col min="7" max="7" width="14.54296875" style="13" customWidth="1"/>
    <col min="8" max="8" width="12.81640625" style="13" customWidth="1"/>
    <col min="9" max="9" width="16.7265625" style="13" customWidth="1"/>
    <col min="10" max="10" width="18.54296875" style="13" customWidth="1"/>
    <col min="11" max="11" width="13.453125" style="13" bestFit="1" customWidth="1"/>
    <col min="12" max="12" width="23.1796875" style="13" customWidth="1"/>
    <col min="13" max="13" width="11.7265625" style="13" bestFit="1" customWidth="1"/>
    <col min="14" max="16384" width="9.1796875" style="13"/>
  </cols>
  <sheetData>
    <row r="1" spans="1:8" s="72" customFormat="1">
      <c r="A1" s="168"/>
      <c r="G1" s="13"/>
      <c r="H1" s="13"/>
    </row>
    <row r="2" spans="1:8" s="131" customFormat="1" ht="12.5"/>
    <row r="3" spans="1:8" s="131" customFormat="1">
      <c r="A3" s="788" t="s">
        <v>196</v>
      </c>
      <c r="B3" s="788"/>
      <c r="C3" s="788"/>
      <c r="D3" s="788"/>
      <c r="E3" s="788"/>
      <c r="F3" s="788"/>
      <c r="G3" s="788"/>
      <c r="H3" s="788"/>
    </row>
    <row r="4" spans="1:8" s="131" customFormat="1">
      <c r="A4" s="789" t="s">
        <v>63</v>
      </c>
      <c r="B4" s="789"/>
      <c r="C4" s="789"/>
      <c r="D4" s="789"/>
      <c r="E4" s="789"/>
      <c r="F4" s="789"/>
      <c r="G4" s="789"/>
      <c r="H4" s="789"/>
    </row>
    <row r="5" spans="1:8" s="131" customFormat="1">
      <c r="A5" s="171"/>
      <c r="B5" s="171"/>
      <c r="C5" s="171"/>
      <c r="D5" s="171"/>
      <c r="E5" s="171"/>
      <c r="F5" s="171"/>
    </row>
    <row r="6" spans="1:8" s="131" customFormat="1" ht="13.5" thickBot="1">
      <c r="A6" s="172" t="s">
        <v>1</v>
      </c>
      <c r="C6" s="343">
        <f>'2'!B4</f>
        <v>46266</v>
      </c>
      <c r="D6" s="343"/>
      <c r="G6" s="173"/>
      <c r="H6" s="173"/>
    </row>
    <row r="7" spans="1:8" s="177" customFormat="1" ht="39.5" thickTop="1">
      <c r="A7" s="174"/>
      <c r="B7" s="175" t="s">
        <v>64</v>
      </c>
      <c r="C7" s="175" t="s">
        <v>145</v>
      </c>
      <c r="D7" s="176" t="s">
        <v>65</v>
      </c>
      <c r="E7" s="354" t="s">
        <v>183</v>
      </c>
      <c r="F7" s="355" t="s">
        <v>184</v>
      </c>
    </row>
    <row r="8" spans="1:8">
      <c r="A8" s="178">
        <v>1</v>
      </c>
      <c r="B8" s="181" t="s">
        <v>347</v>
      </c>
      <c r="C8" s="360">
        <f>+'6'!I7*mekadem</f>
        <v>2673.7843353777916</v>
      </c>
      <c r="D8" s="361">
        <f t="shared" ref="D8:D16" si="0">((C8/(C$17*1000))*100)</f>
        <v>32.409507095488379</v>
      </c>
      <c r="E8" s="362">
        <v>2589.0532903693916</v>
      </c>
      <c r="F8" s="363">
        <v>32.003130906914606</v>
      </c>
    </row>
    <row r="9" spans="1:8">
      <c r="A9" s="179">
        <v>2</v>
      </c>
      <c r="B9" s="180" t="s">
        <v>181</v>
      </c>
      <c r="C9" s="364">
        <f>SUM('10'!C10:C18)</f>
        <v>11.887282065773682</v>
      </c>
      <c r="D9" s="365">
        <f t="shared" si="0"/>
        <v>0.14408826746392345</v>
      </c>
      <c r="E9" s="366">
        <v>11.802138119585234</v>
      </c>
      <c r="F9" s="367">
        <v>0.14588551445717221</v>
      </c>
    </row>
    <row r="10" spans="1:8" s="186" customFormat="1">
      <c r="A10" s="178">
        <v>3</v>
      </c>
      <c r="B10" s="184" t="s">
        <v>206</v>
      </c>
      <c r="C10" s="368">
        <f>(C8+C9)</f>
        <v>2685.6716174435655</v>
      </c>
      <c r="D10" s="369">
        <f t="shared" si="0"/>
        <v>32.553595362952308</v>
      </c>
      <c r="E10" s="370">
        <v>2600.8554284889769</v>
      </c>
      <c r="F10" s="371">
        <v>32.149016421371776</v>
      </c>
      <c r="G10" s="451"/>
    </row>
    <row r="11" spans="1:8" s="186" customFormat="1">
      <c r="A11" s="183">
        <v>4</v>
      </c>
      <c r="B11" s="446" t="s">
        <v>67</v>
      </c>
      <c r="C11" s="368">
        <f>+'15'!D42</f>
        <v>649.82420689236108</v>
      </c>
      <c r="D11" s="369">
        <f t="shared" si="0"/>
        <v>7.8766570532407405</v>
      </c>
      <c r="E11" s="370">
        <v>636.82173946852595</v>
      </c>
      <c r="F11" s="371">
        <v>7.8717149501671937</v>
      </c>
      <c r="H11" s="451"/>
    </row>
    <row r="12" spans="1:8">
      <c r="A12" s="179"/>
      <c r="B12" s="180" t="s">
        <v>68</v>
      </c>
      <c r="C12" s="372">
        <f>(C10+C11)</f>
        <v>3335.4958243359265</v>
      </c>
      <c r="D12" s="365">
        <f t="shared" si="0"/>
        <v>40.430252416193049</v>
      </c>
      <c r="E12" s="366">
        <v>3237.6771679575031</v>
      </c>
      <c r="F12" s="367">
        <v>40.020731371538979</v>
      </c>
    </row>
    <row r="13" spans="1:8">
      <c r="A13" s="179"/>
      <c r="B13" s="180" t="s">
        <v>232</v>
      </c>
      <c r="C13" s="372">
        <f>+C16-C10-C11-C14</f>
        <v>-0.49040060711331535</v>
      </c>
      <c r="D13" s="365"/>
      <c r="E13" s="448">
        <v>3.4850354323275496</v>
      </c>
      <c r="F13" s="367">
        <v>0</v>
      </c>
    </row>
    <row r="14" spans="1:8">
      <c r="A14" s="179">
        <v>5</v>
      </c>
      <c r="B14" s="180" t="s">
        <v>69</v>
      </c>
      <c r="C14" s="364">
        <f>+'3'!E12</f>
        <v>3656.52</v>
      </c>
      <c r="D14" s="365">
        <f t="shared" si="0"/>
        <v>44.32145454545455</v>
      </c>
      <c r="E14" s="366">
        <v>3614.77</v>
      </c>
      <c r="F14" s="367">
        <v>44.681953028430158</v>
      </c>
    </row>
    <row r="15" spans="1:8">
      <c r="A15" s="179"/>
      <c r="B15" s="180" t="s">
        <v>70</v>
      </c>
      <c r="C15" s="364">
        <f>ROUND((1+Maam)*SUM(C10:C11,C14)/1000,2)*1000</f>
        <v>8250</v>
      </c>
      <c r="D15" s="365">
        <f t="shared" si="0"/>
        <v>100</v>
      </c>
      <c r="E15" s="366">
        <v>8090</v>
      </c>
      <c r="F15" s="367">
        <v>100</v>
      </c>
      <c r="G15" s="450"/>
      <c r="H15" s="450"/>
    </row>
    <row r="16" spans="1:8" ht="13.5" thickBot="1">
      <c r="A16" s="179"/>
      <c r="B16" s="180" t="s">
        <v>71</v>
      </c>
      <c r="C16" s="364">
        <f>(C15/(1+Maam))</f>
        <v>6991.5254237288136</v>
      </c>
      <c r="D16" s="373">
        <f t="shared" si="0"/>
        <v>84.745762711864401</v>
      </c>
      <c r="E16" s="366">
        <v>6855.9322033898306</v>
      </c>
      <c r="F16" s="374">
        <v>84.745762711864401</v>
      </c>
      <c r="H16" s="450"/>
    </row>
    <row r="17" spans="1:8" s="186" customFormat="1" ht="14" thickTop="1" thickBot="1">
      <c r="A17" s="187"/>
      <c r="B17" s="188" t="s">
        <v>72</v>
      </c>
      <c r="C17" s="189">
        <f>(C15/1000)</f>
        <v>8.25</v>
      </c>
      <c r="D17" s="190"/>
      <c r="E17" s="356">
        <v>8.09</v>
      </c>
      <c r="F17" s="357"/>
    </row>
    <row r="18" spans="1:8" s="186" customFormat="1" ht="14" thickTop="1" thickBot="1">
      <c r="A18" s="191">
        <v>6</v>
      </c>
      <c r="B18" s="188" t="s">
        <v>73</v>
      </c>
      <c r="C18" s="338">
        <f>+'15'!D44</f>
        <v>0.26</v>
      </c>
      <c r="D18" s="192"/>
      <c r="E18" s="358">
        <v>0.25</v>
      </c>
      <c r="F18" s="359"/>
    </row>
    <row r="19" spans="1:8" ht="14.25" customHeight="1" thickTop="1" thickBot="1">
      <c r="A19" s="792" t="s">
        <v>74</v>
      </c>
      <c r="B19" s="793"/>
      <c r="C19" s="793"/>
      <c r="D19" s="793"/>
      <c r="E19" s="793"/>
      <c r="F19" s="794"/>
    </row>
    <row r="20" spans="1:8" ht="14" thickTop="1" thickBot="1">
      <c r="A20" s="191"/>
      <c r="B20" s="193" t="s">
        <v>75</v>
      </c>
      <c r="C20" s="375">
        <f>+C17+C18</f>
        <v>8.51</v>
      </c>
      <c r="D20" s="192"/>
      <c r="E20" s="376">
        <v>8.34</v>
      </c>
      <c r="F20" s="192"/>
    </row>
    <row r="21" spans="1:8" ht="14" thickTop="1" thickBot="1">
      <c r="A21" s="194"/>
      <c r="B21" s="193" t="s">
        <v>76</v>
      </c>
      <c r="C21" s="375">
        <f>+C14+C15-C16</f>
        <v>4914.9945762711868</v>
      </c>
      <c r="D21" s="192"/>
      <c r="E21" s="376">
        <v>4848.8377966101698</v>
      </c>
      <c r="F21" s="192"/>
    </row>
    <row r="22" spans="1:8" ht="14" thickTop="1" thickBot="1">
      <c r="A22" s="191"/>
      <c r="B22" s="193" t="s">
        <v>77</v>
      </c>
      <c r="C22" s="377"/>
      <c r="D22" s="432">
        <f>+C21/C15</f>
        <v>0.59575691833590139</v>
      </c>
      <c r="E22" s="378"/>
      <c r="F22" s="431">
        <v>0.59936190316565763</v>
      </c>
    </row>
    <row r="23" spans="1:8" ht="13.5" customHeight="1" thickTop="1">
      <c r="A23" s="195"/>
      <c r="B23" s="790" t="s">
        <v>205</v>
      </c>
      <c r="C23" s="790"/>
      <c r="D23" s="790"/>
      <c r="E23" s="307"/>
      <c r="F23" s="307"/>
      <c r="G23" s="196"/>
      <c r="H23" s="196"/>
    </row>
    <row r="24" spans="1:8" ht="13.5" customHeight="1">
      <c r="A24" s="195"/>
      <c r="B24" s="790"/>
      <c r="C24" s="790"/>
      <c r="D24" s="790"/>
      <c r="E24" s="308"/>
      <c r="F24" s="308"/>
      <c r="G24" s="196"/>
    </row>
    <row r="25" spans="1:8">
      <c r="A25" s="195"/>
      <c r="B25" s="790"/>
      <c r="C25" s="790"/>
      <c r="D25" s="790"/>
      <c r="E25" s="308"/>
      <c r="F25" s="308"/>
      <c r="G25" s="196"/>
      <c r="H25" s="196"/>
    </row>
    <row r="26" spans="1:8">
      <c r="A26" s="195"/>
      <c r="B26" s="299"/>
      <c r="C26" s="299"/>
      <c r="D26" s="299"/>
      <c r="E26" s="299"/>
      <c r="F26" s="299"/>
      <c r="G26" s="196"/>
      <c r="H26" s="196"/>
    </row>
    <row r="27" spans="1:8">
      <c r="A27" s="195"/>
      <c r="B27" s="299"/>
      <c r="C27" s="299"/>
      <c r="D27" s="299"/>
      <c r="E27" s="340"/>
      <c r="F27" s="299"/>
      <c r="G27" s="196"/>
      <c r="H27" s="196"/>
    </row>
    <row r="28" spans="1:8" s="197" customFormat="1" ht="12.5">
      <c r="E28" s="341"/>
    </row>
    <row r="29" spans="1:8" s="197" customFormat="1">
      <c r="A29" s="788" t="s">
        <v>197</v>
      </c>
      <c r="B29" s="788"/>
      <c r="C29" s="788"/>
      <c r="D29" s="788"/>
      <c r="E29" s="788"/>
      <c r="F29" s="788"/>
      <c r="G29" s="169"/>
      <c r="H29" s="169"/>
    </row>
    <row r="30" spans="1:8" s="197" customFormat="1">
      <c r="A30" s="789" t="s">
        <v>78</v>
      </c>
      <c r="B30" s="789"/>
      <c r="C30" s="789"/>
      <c r="D30" s="789"/>
      <c r="E30" s="789"/>
      <c r="F30" s="789"/>
      <c r="G30" s="170"/>
      <c r="H30" s="170"/>
    </row>
    <row r="31" spans="1:8" s="197" customFormat="1">
      <c r="A31" s="170"/>
      <c r="B31" s="170"/>
      <c r="C31" s="170"/>
      <c r="D31" s="170"/>
      <c r="E31" s="342"/>
      <c r="F31" s="170"/>
      <c r="G31" s="170"/>
      <c r="H31" s="170"/>
    </row>
    <row r="32" spans="1:8" ht="13.5" thickBot="1">
      <c r="A32" s="162"/>
      <c r="B32" s="198" t="s">
        <v>1</v>
      </c>
      <c r="C32" s="779">
        <f>'2'!B4</f>
        <v>46266</v>
      </c>
      <c r="D32" s="779"/>
      <c r="H32" s="199"/>
    </row>
    <row r="33" spans="1:7" s="177" customFormat="1" ht="39.5" thickTop="1">
      <c r="A33" s="174"/>
      <c r="B33" s="175" t="s">
        <v>64</v>
      </c>
      <c r="C33" s="175" t="s">
        <v>146</v>
      </c>
      <c r="D33" s="176" t="s">
        <v>65</v>
      </c>
      <c r="E33" s="354" t="s">
        <v>185</v>
      </c>
      <c r="F33" s="355" t="s">
        <v>186</v>
      </c>
    </row>
    <row r="34" spans="1:7">
      <c r="A34" s="178">
        <v>1</v>
      </c>
      <c r="B34" s="181" t="s">
        <v>347</v>
      </c>
      <c r="C34" s="200">
        <f>+'6'!I7*mekadem</f>
        <v>2673.7843353777916</v>
      </c>
      <c r="D34" s="425">
        <f t="shared" ref="D34:D41" si="1">((C34/C$41)*100)</f>
        <v>38.251564168494873</v>
      </c>
      <c r="E34" s="379">
        <v>2589.0532903693916</v>
      </c>
      <c r="F34" s="380">
        <v>37.796398399553162</v>
      </c>
    </row>
    <row r="35" spans="1:7">
      <c r="A35" s="179">
        <v>2</v>
      </c>
      <c r="B35" s="201" t="s">
        <v>66</v>
      </c>
      <c r="C35" s="200">
        <f>SUM('10'!D10:D18)</f>
        <v>11.887282065773682</v>
      </c>
      <c r="D35" s="426">
        <f t="shared" si="1"/>
        <v>0.17006125988231308</v>
      </c>
      <c r="E35" s="379">
        <v>11.802138119585234</v>
      </c>
      <c r="F35" s="381">
        <v>0.17229398714722968</v>
      </c>
    </row>
    <row r="36" spans="1:7">
      <c r="A36" s="183">
        <v>3</v>
      </c>
      <c r="B36" s="302" t="s">
        <v>206</v>
      </c>
      <c r="C36" s="202">
        <f>+C34+C35</f>
        <v>2685.6716174435655</v>
      </c>
      <c r="D36" s="427">
        <f t="shared" si="1"/>
        <v>38.42162542837719</v>
      </c>
      <c r="E36" s="382">
        <v>2600.8554284889769</v>
      </c>
      <c r="F36" s="383">
        <v>37.96869238670039</v>
      </c>
    </row>
    <row r="37" spans="1:7" s="186" customFormat="1">
      <c r="A37" s="183">
        <v>4</v>
      </c>
      <c r="B37" s="184" t="s">
        <v>67</v>
      </c>
      <c r="C37" s="185">
        <f>+'15'!F42</f>
        <v>649.82420689236108</v>
      </c>
      <c r="D37" s="369">
        <f t="shared" si="1"/>
        <v>9.2964836465287704</v>
      </c>
      <c r="E37" s="370">
        <v>636.82173946852595</v>
      </c>
      <c r="F37" s="371">
        <v>9.2966677294675328</v>
      </c>
    </row>
    <row r="38" spans="1:7">
      <c r="A38" s="179"/>
      <c r="B38" s="201" t="s">
        <v>68</v>
      </c>
      <c r="C38" s="200">
        <f>+C37+C36</f>
        <v>3335.4958243359265</v>
      </c>
      <c r="D38" s="426">
        <f t="shared" si="1"/>
        <v>47.718109074905954</v>
      </c>
      <c r="E38" s="379">
        <v>3237.6771679575031</v>
      </c>
      <c r="F38" s="381">
        <v>47.265360116167926</v>
      </c>
    </row>
    <row r="39" spans="1:7">
      <c r="A39" s="179"/>
      <c r="B39" s="201" t="s">
        <v>232</v>
      </c>
      <c r="C39" s="200">
        <f>+C41-C36-C37-C40</f>
        <v>-2.0158243359269363</v>
      </c>
      <c r="D39" s="426"/>
      <c r="E39" s="449">
        <v>-2.4471679575030976</v>
      </c>
      <c r="F39" s="381"/>
    </row>
    <row r="40" spans="1:7">
      <c r="A40" s="179">
        <v>5</v>
      </c>
      <c r="B40" s="201" t="s">
        <v>69</v>
      </c>
      <c r="C40" s="200">
        <f>+'3'!E12</f>
        <v>3656.52</v>
      </c>
      <c r="D40" s="426">
        <f t="shared" si="1"/>
        <v>52.310729613733912</v>
      </c>
      <c r="E40" s="379">
        <v>3614.77</v>
      </c>
      <c r="F40" s="381">
        <v>52.770364963503646</v>
      </c>
    </row>
    <row r="41" spans="1:7" ht="13.5" thickBot="1">
      <c r="A41" s="179"/>
      <c r="B41" s="201" t="s">
        <v>79</v>
      </c>
      <c r="C41" s="424">
        <f>ROUND(SUM(C36:C37,C40)/1000,2)*1000</f>
        <v>6990</v>
      </c>
      <c r="D41" s="428">
        <f t="shared" si="1"/>
        <v>100</v>
      </c>
      <c r="E41" s="384">
        <v>6850</v>
      </c>
      <c r="F41" s="385">
        <v>100</v>
      </c>
    </row>
    <row r="42" spans="1:7" s="186" customFormat="1" ht="14" thickTop="1" thickBot="1">
      <c r="A42" s="203"/>
      <c r="B42" s="204" t="s">
        <v>72</v>
      </c>
      <c r="C42" s="205">
        <f>(C41/1000)</f>
        <v>6.99</v>
      </c>
      <c r="D42" s="206"/>
      <c r="E42" s="386">
        <v>6.85</v>
      </c>
      <c r="F42" s="387"/>
    </row>
    <row r="43" spans="1:7" s="186" customFormat="1" ht="14" thickTop="1" thickBot="1">
      <c r="A43" s="191">
        <v>6</v>
      </c>
      <c r="B43" s="204" t="s">
        <v>80</v>
      </c>
      <c r="C43" s="339">
        <f>+'15'!F44</f>
        <v>0.22</v>
      </c>
      <c r="D43" s="207"/>
      <c r="E43" s="386">
        <v>0.21</v>
      </c>
      <c r="F43" s="388"/>
    </row>
    <row r="44" spans="1:7" ht="14.25" customHeight="1" thickTop="1" thickBot="1">
      <c r="A44" s="792" t="s">
        <v>74</v>
      </c>
      <c r="B44" s="793"/>
      <c r="C44" s="793"/>
      <c r="D44" s="793"/>
      <c r="E44" s="793"/>
      <c r="F44" s="794"/>
    </row>
    <row r="45" spans="1:7" ht="14" thickTop="1" thickBot="1">
      <c r="A45" s="191"/>
      <c r="B45" s="193" t="s">
        <v>75</v>
      </c>
      <c r="C45" s="375">
        <f>+C42+C43</f>
        <v>7.21</v>
      </c>
      <c r="D45" s="192"/>
      <c r="E45" s="376">
        <v>7.06</v>
      </c>
      <c r="F45" s="192"/>
    </row>
    <row r="46" spans="1:7" ht="14" thickTop="1" thickBot="1">
      <c r="A46" s="194"/>
      <c r="B46" s="193" t="s">
        <v>76</v>
      </c>
      <c r="C46" s="375">
        <f>+C40</f>
        <v>3656.52</v>
      </c>
      <c r="D46" s="192"/>
      <c r="E46" s="376">
        <v>3614.77</v>
      </c>
      <c r="F46" s="192"/>
    </row>
    <row r="47" spans="1:7" ht="14" thickTop="1" thickBot="1">
      <c r="A47" s="191"/>
      <c r="B47" s="193" t="s">
        <v>77</v>
      </c>
      <c r="C47" s="377"/>
      <c r="D47" s="432">
        <f>+C46/C41</f>
        <v>0.52310729613733908</v>
      </c>
      <c r="E47" s="378"/>
      <c r="F47" s="431">
        <v>0.52770364963503646</v>
      </c>
    </row>
    <row r="48" spans="1:7" ht="12.75" customHeight="1" thickTop="1">
      <c r="B48" s="791" t="s">
        <v>205</v>
      </c>
      <c r="C48" s="791"/>
      <c r="D48" s="791"/>
      <c r="E48" s="307"/>
      <c r="F48" s="307"/>
      <c r="G48" s="299"/>
    </row>
    <row r="49" spans="2:8">
      <c r="B49" s="790"/>
      <c r="C49" s="790"/>
      <c r="D49" s="790"/>
      <c r="E49" s="308"/>
      <c r="F49" s="308"/>
      <c r="G49" s="299"/>
    </row>
    <row r="50" spans="2:8">
      <c r="B50" s="790"/>
      <c r="C50" s="790"/>
      <c r="D50" s="790"/>
      <c r="E50" s="308"/>
      <c r="F50" s="308"/>
      <c r="G50" s="299"/>
      <c r="H50" s="182"/>
    </row>
    <row r="51" spans="2:8">
      <c r="F51" s="167" t="s">
        <v>31</v>
      </c>
    </row>
  </sheetData>
  <mergeCells count="11">
    <mergeCell ref="G3:H3"/>
    <mergeCell ref="G4:H4"/>
    <mergeCell ref="C32:D32"/>
    <mergeCell ref="B23:D25"/>
    <mergeCell ref="B48:D50"/>
    <mergeCell ref="A19:F19"/>
    <mergeCell ref="A3:F3"/>
    <mergeCell ref="A4:F4"/>
    <mergeCell ref="A29:F29"/>
    <mergeCell ref="A30:F30"/>
    <mergeCell ref="A44:F44"/>
  </mergeCells>
  <phoneticPr fontId="0" type="noConversion"/>
  <hyperlinks>
    <hyperlink ref="F51" location="'תוכן עניינים'!A1" display="תוכן עניינים" xr:uid="{00000000-0004-0000-0C00-000000000000}"/>
  </hyperlinks>
  <printOptions horizontalCentered="1"/>
  <pageMargins left="0.74803149606299213" right="0.74803149606299213" top="0.98425196850393704" bottom="0.98425196850393704" header="0.51181102362204722" footer="0.51181102362204722"/>
  <pageSetup orientation="landscape" r:id="rId1"/>
  <headerFooter alignWithMargins="0">
    <oddHeader>&amp;Cמשרד התשתיות הלאומיות, האנרגיה והמים
מינהל הדלק והגז</oddHeader>
  </headerFooter>
  <rowBreaks count="1" manualBreakCount="1">
    <brk id="27"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19"/>
  <dimension ref="A1:G22"/>
  <sheetViews>
    <sheetView showGridLines="0" rightToLeft="1" view="pageBreakPreview" zoomScaleNormal="100" workbookViewId="0">
      <selection activeCell="B30" sqref="B30"/>
    </sheetView>
  </sheetViews>
  <sheetFormatPr defaultColWidth="9.1796875" defaultRowHeight="15.5"/>
  <cols>
    <col min="1" max="1" width="49.1796875" style="1" customWidth="1"/>
    <col min="2" max="2" width="15.81640625" style="1" customWidth="1"/>
    <col min="3" max="3" width="13.7265625" style="1" customWidth="1"/>
    <col min="4" max="4" width="11" style="1" customWidth="1"/>
    <col min="5" max="5" width="12" style="1" bestFit="1" customWidth="1"/>
    <col min="6" max="6" width="9.1796875" style="1"/>
    <col min="7" max="7" width="13.1796875" style="1" customWidth="1"/>
    <col min="8" max="8" width="13.453125" style="1" bestFit="1" customWidth="1"/>
    <col min="9" max="9" width="12" style="1" bestFit="1" customWidth="1"/>
    <col min="10" max="10" width="13.1796875" style="1" customWidth="1"/>
    <col min="11" max="11" width="9.1796875" style="1"/>
    <col min="12" max="12" width="25.7265625" style="1" bestFit="1" customWidth="1"/>
    <col min="13" max="16384" width="9.1796875" style="1"/>
  </cols>
  <sheetData>
    <row r="1" spans="1:7" s="101" customFormat="1">
      <c r="A1" s="795" t="s">
        <v>47</v>
      </c>
      <c r="B1" s="795"/>
      <c r="C1" s="795"/>
      <c r="D1" s="795"/>
    </row>
    <row r="2" spans="1:7" s="101" customFormat="1">
      <c r="A2" s="208"/>
      <c r="B2" s="208"/>
      <c r="C2" s="208"/>
      <c r="D2" s="208"/>
    </row>
    <row r="3" spans="1:7" s="101" customFormat="1" ht="15" customHeight="1">
      <c r="A3" s="795" t="s">
        <v>81</v>
      </c>
      <c r="B3" s="795"/>
      <c r="C3" s="795"/>
      <c r="D3" s="795"/>
    </row>
    <row r="4" spans="1:7">
      <c r="A4" s="209"/>
      <c r="B4" s="208"/>
      <c r="C4" s="14"/>
      <c r="D4" s="209"/>
    </row>
    <row r="5" spans="1:7">
      <c r="D5" s="80"/>
    </row>
    <row r="6" spans="1:7" ht="16" thickBot="1">
      <c r="C6" s="210" t="s">
        <v>1</v>
      </c>
      <c r="D6" s="173">
        <f>ValidDate</f>
        <v>46266</v>
      </c>
    </row>
    <row r="7" spans="1:7" ht="16.5" thickTop="1" thickBot="1">
      <c r="A7" s="796" t="s">
        <v>82</v>
      </c>
      <c r="B7" s="797"/>
      <c r="C7" s="797"/>
      <c r="D7" s="798"/>
    </row>
    <row r="8" spans="1:7" ht="30" customHeight="1">
      <c r="A8" s="211" t="s">
        <v>83</v>
      </c>
      <c r="B8" s="212" t="s">
        <v>84</v>
      </c>
      <c r="C8" s="213" t="s">
        <v>85</v>
      </c>
      <c r="D8" s="214"/>
    </row>
    <row r="9" spans="1:7" ht="16" thickBot="1">
      <c r="A9" s="215"/>
      <c r="B9" s="216" t="s">
        <v>86</v>
      </c>
      <c r="C9" s="216" t="s">
        <v>87</v>
      </c>
      <c r="D9" s="217" t="s">
        <v>88</v>
      </c>
      <c r="E9" s="4"/>
      <c r="F9" s="4"/>
      <c r="G9" s="4"/>
    </row>
    <row r="10" spans="1:7" ht="16" thickBot="1">
      <c r="A10" s="331" t="s">
        <v>147</v>
      </c>
      <c r="B10" s="332">
        <v>8.09</v>
      </c>
      <c r="C10" s="333">
        <f>+'11'!C17</f>
        <v>8.25</v>
      </c>
      <c r="D10" s="334">
        <f>((C10/B10)-1)</f>
        <v>1.977750309023496E-2</v>
      </c>
      <c r="E10" s="437"/>
    </row>
    <row r="11" spans="1:7" ht="21" customHeight="1" thickTop="1" thickBot="1">
      <c r="A11" s="796" t="s">
        <v>89</v>
      </c>
      <c r="B11" s="797"/>
      <c r="C11" s="797"/>
      <c r="D11" s="798"/>
      <c r="E11" s="4"/>
      <c r="F11" s="4"/>
      <c r="G11" s="4"/>
    </row>
    <row r="12" spans="1:7" ht="16" thickBot="1">
      <c r="A12" s="331" t="s">
        <v>148</v>
      </c>
      <c r="B12" s="332">
        <v>8.34</v>
      </c>
      <c r="C12" s="333">
        <f>+'11'!C20</f>
        <v>8.51</v>
      </c>
      <c r="D12" s="334">
        <f>((C12/B12)-1)</f>
        <v>2.0383693045563644E-2</v>
      </c>
      <c r="E12" s="437"/>
    </row>
    <row r="13" spans="1:7" ht="16.5" thickTop="1" thickBot="1">
      <c r="A13" s="501"/>
      <c r="B13" s="502"/>
      <c r="C13" s="502"/>
      <c r="D13" s="503"/>
    </row>
    <row r="14" spans="1:7" ht="24" customHeight="1" thickTop="1" thickBot="1">
      <c r="A14" s="799" t="s">
        <v>55</v>
      </c>
      <c r="B14" s="800"/>
      <c r="C14" s="800"/>
      <c r="D14" s="801"/>
    </row>
    <row r="15" spans="1:7" ht="16" thickTop="1">
      <c r="A15" s="504" t="s">
        <v>83</v>
      </c>
      <c r="B15" s="505" t="s">
        <v>84</v>
      </c>
      <c r="C15" s="506" t="s">
        <v>85</v>
      </c>
      <c r="D15" s="507"/>
    </row>
    <row r="16" spans="1:7" s="133" customFormat="1" ht="16" thickBot="1">
      <c r="A16" s="215"/>
      <c r="B16" s="216" t="s">
        <v>86</v>
      </c>
      <c r="C16" s="216" t="s">
        <v>87</v>
      </c>
      <c r="D16" s="217" t="s">
        <v>88</v>
      </c>
    </row>
    <row r="17" spans="1:5" ht="16" thickBot="1">
      <c r="A17" s="433" t="s">
        <v>147</v>
      </c>
      <c r="B17" s="434">
        <v>6.85</v>
      </c>
      <c r="C17" s="435">
        <f>+'11'!C42</f>
        <v>6.99</v>
      </c>
      <c r="D17" s="436">
        <f>((C17/B17)-1)</f>
        <v>2.0437956204379715E-2</v>
      </c>
      <c r="E17" s="437"/>
    </row>
    <row r="18" spans="1:5" ht="16.5" thickTop="1" thickBot="1">
      <c r="A18" s="802" t="s">
        <v>199</v>
      </c>
      <c r="B18" s="803"/>
      <c r="C18" s="803"/>
      <c r="D18" s="804"/>
    </row>
    <row r="19" spans="1:5" ht="16" thickBot="1">
      <c r="A19" s="331" t="s">
        <v>198</v>
      </c>
      <c r="B19" s="332">
        <v>7.06</v>
      </c>
      <c r="C19" s="333">
        <f>+'11'!C45</f>
        <v>7.21</v>
      </c>
      <c r="D19" s="438">
        <f>((C19/B19)-1)</f>
        <v>2.1246458923512845E-2</v>
      </c>
      <c r="E19" s="437"/>
    </row>
    <row r="20" spans="1:5" ht="16" thickTop="1">
      <c r="E20" s="437"/>
    </row>
    <row r="21" spans="1:5">
      <c r="A21" s="218"/>
      <c r="B21" s="219"/>
      <c r="C21" s="219"/>
      <c r="D21" s="46" t="s">
        <v>31</v>
      </c>
    </row>
    <row r="22" spans="1:5" s="133" customFormat="1">
      <c r="A22" s="11"/>
      <c r="B22" s="13"/>
      <c r="C22" s="13"/>
      <c r="D22" s="11"/>
    </row>
  </sheetData>
  <mergeCells count="6">
    <mergeCell ref="A18:D18"/>
    <mergeCell ref="A1:D1"/>
    <mergeCell ref="A3:D3"/>
    <mergeCell ref="A7:D7"/>
    <mergeCell ref="A11:D11"/>
    <mergeCell ref="A14:D14"/>
  </mergeCells>
  <phoneticPr fontId="0" type="noConversion"/>
  <hyperlinks>
    <hyperlink ref="D21" location="'תוכן עניינים'!A1" display="תוכן עניינים" xr:uid="{00000000-0004-0000-0D00-000000000000}"/>
  </hyperlinks>
  <printOptions horizontalCentered="1" verticalCentered="1"/>
  <pageMargins left="0.74803149606299213" right="0.74803149606299213" top="0.98425196850393704" bottom="0.98425196850393704" header="0.51181102362204722" footer="0.51181102362204722"/>
  <pageSetup paperSize="9" orientation="landscape" horizontalDpi="4294967293" r:id="rId1"/>
  <headerFooter alignWithMargins="0">
    <oddHeader>&amp;Cמשרד התשתיות הלאומיות, האנרגיה והמים
מינהל הדלק והגז</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20"/>
  <dimension ref="A2:N34"/>
  <sheetViews>
    <sheetView showGridLines="0" rightToLeft="1" view="pageBreakPreview" zoomScaleNormal="100" workbookViewId="0">
      <selection activeCell="F15" sqref="F15"/>
    </sheetView>
  </sheetViews>
  <sheetFormatPr defaultColWidth="9.1796875" defaultRowHeight="12.5"/>
  <cols>
    <col min="1" max="1" width="29.1796875" style="13" customWidth="1"/>
    <col min="2" max="2" width="5.7265625" style="13" bestFit="1" customWidth="1"/>
    <col min="3" max="3" width="13.453125" style="13" customWidth="1"/>
    <col min="4" max="4" width="12.453125" style="13" customWidth="1"/>
    <col min="5" max="5" width="15.1796875" style="13" customWidth="1"/>
    <col min="6" max="6" width="13" style="13" customWidth="1"/>
    <col min="7" max="7" width="12" style="13" bestFit="1" customWidth="1"/>
    <col min="8" max="8" width="9.1796875" style="13"/>
    <col min="9" max="9" width="13.1796875" style="13" customWidth="1"/>
    <col min="10" max="10" width="13.453125" style="13" bestFit="1" customWidth="1"/>
    <col min="11" max="11" width="12" style="13" bestFit="1" customWidth="1"/>
    <col min="12" max="12" width="13.1796875" style="13" customWidth="1"/>
    <col min="13" max="13" width="9.1796875" style="13"/>
    <col min="14" max="14" width="25.7265625" style="13" bestFit="1" customWidth="1"/>
    <col min="15" max="16384" width="9.1796875" style="13"/>
  </cols>
  <sheetData>
    <row r="2" spans="1:13" s="131" customFormat="1" ht="13">
      <c r="A2" s="805" t="s">
        <v>48</v>
      </c>
      <c r="B2" s="805"/>
      <c r="C2" s="805"/>
      <c r="D2" s="805"/>
      <c r="E2" s="805"/>
      <c r="F2" s="805"/>
    </row>
    <row r="3" spans="1:13" s="131" customFormat="1" ht="13">
      <c r="D3" s="220"/>
      <c r="E3" s="220"/>
      <c r="F3" s="220"/>
    </row>
    <row r="4" spans="1:13" s="131" customFormat="1" ht="13">
      <c r="A4" s="222" t="s">
        <v>1</v>
      </c>
      <c r="B4" s="809">
        <f>'2'!B4</f>
        <v>46266</v>
      </c>
      <c r="C4" s="809"/>
      <c r="G4" s="221"/>
      <c r="H4" s="221"/>
      <c r="I4" s="221"/>
    </row>
    <row r="5" spans="1:13" s="131" customFormat="1" ht="14.25" customHeight="1" thickBot="1">
      <c r="G5" s="221"/>
      <c r="H5" s="221"/>
      <c r="I5" s="221"/>
    </row>
    <row r="6" spans="1:13" s="163" customFormat="1" ht="31.5" customHeight="1" thickTop="1" thickBot="1">
      <c r="A6" s="806" t="s">
        <v>162</v>
      </c>
      <c r="B6" s="807"/>
      <c r="C6" s="807"/>
      <c r="D6" s="807"/>
      <c r="E6" s="807"/>
      <c r="F6" s="808"/>
      <c r="G6" s="223"/>
      <c r="H6" s="223"/>
    </row>
    <row r="7" spans="1:13" ht="26">
      <c r="A7" s="294"/>
      <c r="B7" s="224" t="s">
        <v>90</v>
      </c>
      <c r="C7" s="225" t="s">
        <v>91</v>
      </c>
      <c r="D7" s="226" t="s">
        <v>92</v>
      </c>
      <c r="E7" s="226"/>
      <c r="F7" s="810" t="s">
        <v>88</v>
      </c>
    </row>
    <row r="8" spans="1:13" ht="13">
      <c r="A8" s="295" t="s">
        <v>9</v>
      </c>
      <c r="B8" s="270" t="s">
        <v>93</v>
      </c>
      <c r="C8" s="271" t="s">
        <v>94</v>
      </c>
      <c r="D8" s="271" t="s">
        <v>94</v>
      </c>
      <c r="E8" s="271" t="s">
        <v>95</v>
      </c>
      <c r="F8" s="811"/>
      <c r="I8" s="227"/>
      <c r="J8" s="72"/>
      <c r="L8" s="72"/>
    </row>
    <row r="9" spans="1:13" ht="22" customHeight="1">
      <c r="A9" s="634" t="s">
        <v>335</v>
      </c>
      <c r="B9" s="635" t="s">
        <v>14</v>
      </c>
      <c r="C9" s="636">
        <v>2308.5100000000002</v>
      </c>
      <c r="D9" s="637">
        <f>+'6'!E8</f>
        <v>2167.6016319999999</v>
      </c>
      <c r="E9" s="671">
        <f t="shared" ref="E9:E14" si="0">(D9/Yazig)</f>
        <v>730.32399999999996</v>
      </c>
      <c r="F9" s="629">
        <f t="shared" ref="F9:F14" si="1">(((D9/C9)-1)*100)</f>
        <v>-6.1038664766451252</v>
      </c>
      <c r="I9" s="227"/>
      <c r="J9" s="72"/>
      <c r="L9" s="72"/>
    </row>
    <row r="10" spans="1:13" ht="27" customHeight="1">
      <c r="A10" s="634" t="s">
        <v>337</v>
      </c>
      <c r="B10" s="635" t="s">
        <v>14</v>
      </c>
      <c r="C10" s="636">
        <v>2465.2199999999998</v>
      </c>
      <c r="D10" s="637">
        <f>+'6'!E9</f>
        <v>2362.1807440000002</v>
      </c>
      <c r="E10" s="671">
        <f t="shared" si="0"/>
        <v>795.88300000000004</v>
      </c>
      <c r="F10" s="629">
        <f t="shared" si="1"/>
        <v>-4.1797184835430379</v>
      </c>
      <c r="I10" s="227"/>
      <c r="J10" s="72"/>
      <c r="L10" s="72"/>
    </row>
    <row r="11" spans="1:13" ht="29.15" customHeight="1">
      <c r="A11" s="634" t="s">
        <v>336</v>
      </c>
      <c r="B11" s="635" t="s">
        <v>14</v>
      </c>
      <c r="C11" s="636">
        <v>1984.9</v>
      </c>
      <c r="D11" s="637">
        <f>+'6'!E10</f>
        <v>1836.7527359999999</v>
      </c>
      <c r="E11" s="671">
        <f t="shared" si="0"/>
        <v>618.85199999999998</v>
      </c>
      <c r="F11" s="629">
        <f t="shared" si="1"/>
        <v>-7.4637142425311165</v>
      </c>
      <c r="I11" s="227"/>
      <c r="J11" s="72"/>
      <c r="L11" s="72"/>
    </row>
    <row r="12" spans="1:13" ht="24.65" customHeight="1" thickBot="1">
      <c r="A12" s="634" t="s">
        <v>338</v>
      </c>
      <c r="B12" s="635" t="s">
        <v>14</v>
      </c>
      <c r="C12" s="636">
        <v>2173.75</v>
      </c>
      <c r="D12" s="637">
        <f>+'6'!E11</f>
        <v>2071.245512</v>
      </c>
      <c r="E12" s="671">
        <f t="shared" si="0"/>
        <v>697.85900000000004</v>
      </c>
      <c r="F12" s="676">
        <f t="shared" si="1"/>
        <v>-4.7155601150086319</v>
      </c>
      <c r="I12" s="227"/>
      <c r="J12" s="72"/>
      <c r="L12" s="72"/>
    </row>
    <row r="13" spans="1:13" ht="25" customHeight="1">
      <c r="A13" s="300" t="s">
        <v>167</v>
      </c>
      <c r="B13" s="229" t="s">
        <v>14</v>
      </c>
      <c r="C13" s="335">
        <v>1905.61</v>
      </c>
      <c r="D13" s="230">
        <f>+'9'!C13</f>
        <v>1794.62</v>
      </c>
      <c r="E13" s="429">
        <f t="shared" si="0"/>
        <v>604.65633423180589</v>
      </c>
      <c r="F13" s="652">
        <f t="shared" si="1"/>
        <v>-5.8243816940507287</v>
      </c>
      <c r="I13" s="228"/>
      <c r="J13" s="228"/>
      <c r="K13" s="228"/>
      <c r="L13" s="228"/>
      <c r="M13" s="228"/>
    </row>
    <row r="14" spans="1:13" ht="25" customHeight="1" thickBot="1">
      <c r="A14" s="301" t="s">
        <v>164</v>
      </c>
      <c r="B14" s="296" t="s">
        <v>14</v>
      </c>
      <c r="C14" s="336">
        <v>1844.45</v>
      </c>
      <c r="D14" s="297">
        <f>+'9'!D13</f>
        <v>1735.2566335999998</v>
      </c>
      <c r="E14" s="430">
        <f t="shared" si="0"/>
        <v>584.65519999999992</v>
      </c>
      <c r="F14" s="298">
        <f t="shared" si="1"/>
        <v>-5.9201044430589267</v>
      </c>
      <c r="I14" s="228"/>
      <c r="J14" s="228"/>
      <c r="K14" s="228"/>
      <c r="L14" s="228"/>
      <c r="M14" s="228"/>
    </row>
    <row r="15" spans="1:13" ht="28.5" customHeight="1" thickTop="1">
      <c r="F15" s="46" t="s">
        <v>31</v>
      </c>
      <c r="I15" s="228"/>
      <c r="J15" s="228"/>
      <c r="K15" s="228"/>
      <c r="L15" s="228"/>
      <c r="M15" s="228"/>
    </row>
    <row r="16" spans="1:13" ht="25" customHeight="1">
      <c r="F16" s="264"/>
      <c r="I16" s="228"/>
      <c r="J16" s="228"/>
      <c r="K16" s="228"/>
      <c r="L16" s="228"/>
      <c r="M16" s="228"/>
    </row>
    <row r="17" spans="7:14" ht="25" customHeight="1">
      <c r="I17" s="228"/>
      <c r="J17" s="228"/>
      <c r="K17" s="228"/>
      <c r="L17" s="228"/>
      <c r="M17" s="228"/>
    </row>
    <row r="18" spans="7:14" ht="25" customHeight="1">
      <c r="I18" s="228"/>
      <c r="J18" s="228"/>
      <c r="K18" s="228"/>
      <c r="L18" s="228"/>
      <c r="M18" s="228"/>
    </row>
    <row r="19" spans="7:14" ht="25" customHeight="1">
      <c r="I19" s="228"/>
      <c r="J19" s="228"/>
      <c r="K19" s="228"/>
      <c r="L19" s="228"/>
      <c r="M19" s="228"/>
    </row>
    <row r="20" spans="7:14" ht="25" customHeight="1">
      <c r="G20" s="228"/>
      <c r="I20" s="228"/>
      <c r="J20" s="228"/>
      <c r="K20" s="228"/>
      <c r="L20" s="228"/>
      <c r="M20" s="228"/>
      <c r="N20" s="231"/>
    </row>
    <row r="21" spans="7:14" ht="25" customHeight="1">
      <c r="I21" s="228"/>
      <c r="J21" s="228"/>
      <c r="K21" s="228"/>
      <c r="L21" s="228"/>
      <c r="M21" s="228"/>
    </row>
    <row r="22" spans="7:14" ht="22.5" customHeight="1">
      <c r="I22" s="228"/>
      <c r="J22" s="228"/>
      <c r="K22" s="228"/>
      <c r="L22" s="228"/>
      <c r="M22" s="228"/>
    </row>
    <row r="23" spans="7:14" ht="24" customHeight="1">
      <c r="I23" s="228"/>
      <c r="J23" s="228"/>
      <c r="K23" s="228"/>
      <c r="L23" s="228"/>
      <c r="M23" s="228"/>
    </row>
    <row r="24" spans="7:14" ht="25.5" customHeight="1"/>
    <row r="25" spans="7:14" ht="24" customHeight="1"/>
    <row r="26" spans="7:14" ht="25.5" customHeight="1"/>
    <row r="33" spans="1:6">
      <c r="A33" s="153"/>
      <c r="B33" s="232"/>
      <c r="C33" s="233"/>
      <c r="D33" s="233"/>
      <c r="E33" s="233"/>
      <c r="F33" s="234"/>
    </row>
    <row r="34" spans="1:6">
      <c r="A34" s="153"/>
      <c r="B34" s="232"/>
      <c r="C34" s="235"/>
      <c r="D34" s="235"/>
    </row>
  </sheetData>
  <mergeCells count="4">
    <mergeCell ref="A2:F2"/>
    <mergeCell ref="A6:F6"/>
    <mergeCell ref="B4:C4"/>
    <mergeCell ref="F7:F8"/>
  </mergeCells>
  <phoneticPr fontId="0" type="noConversion"/>
  <hyperlinks>
    <hyperlink ref="E20:F20" location="'תוכן עניינים'!A1" display="תוכן עניינים" xr:uid="{00000000-0004-0000-0E00-000000000000}"/>
    <hyperlink ref="F15" location="'תוכן עניינים'!A1" display="תוכן עניינים" xr:uid="{00000000-0004-0000-0E00-000001000000}"/>
  </hyperlinks>
  <printOptions horizontalCentered="1"/>
  <pageMargins left="0.74803149606299213" right="0.74803149606299213" top="0.98425196850393704" bottom="0.98425196850393704" header="0.51181102362204722" footer="0.51181102362204722"/>
  <pageSetup paperSize="9" scale="97" orientation="portrait" horizontalDpi="4294967293" r:id="rId1"/>
  <headerFooter alignWithMargins="0">
    <oddHeader>&amp;Cמשרד התשתיות הלאומיות, האנרגיה והמים
מינהל הדלק והגז</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21"/>
  <dimension ref="A1:F71"/>
  <sheetViews>
    <sheetView showGridLines="0" rightToLeft="1" view="pageBreakPreview" zoomScaleNormal="100" workbookViewId="0">
      <selection activeCell="E39" sqref="E39"/>
    </sheetView>
  </sheetViews>
  <sheetFormatPr defaultColWidth="9.1796875" defaultRowHeight="12.5"/>
  <cols>
    <col min="1" max="1" width="3.54296875" style="624" customWidth="1"/>
    <col min="2" max="2" width="25.7265625" style="625" customWidth="1"/>
    <col min="3" max="3" width="36.453125" style="628" customWidth="1"/>
    <col min="4" max="4" width="14.453125" style="565" customWidth="1"/>
    <col min="5" max="5" width="22.81640625" style="627" customWidth="1"/>
    <col min="6" max="16384" width="9.1796875" style="565"/>
  </cols>
  <sheetData>
    <row r="1" spans="1:6" s="556" customFormat="1" ht="15.5">
      <c r="A1" s="827" t="s">
        <v>52</v>
      </c>
      <c r="B1" s="827"/>
      <c r="C1" s="827"/>
      <c r="D1" s="827"/>
      <c r="E1" s="827"/>
      <c r="F1" s="555"/>
    </row>
    <row r="2" spans="1:6" s="558" customFormat="1" ht="15.5">
      <c r="A2" s="828" t="s">
        <v>96</v>
      </c>
      <c r="B2" s="828"/>
      <c r="C2" s="781">
        <v>46266</v>
      </c>
      <c r="D2" s="781"/>
      <c r="E2" s="559"/>
    </row>
    <row r="3" spans="1:6" s="558" customFormat="1" ht="16.5" customHeight="1">
      <c r="A3" s="560"/>
      <c r="B3" s="561"/>
      <c r="C3" s="557"/>
      <c r="E3" s="559"/>
    </row>
    <row r="4" spans="1:6" s="558" customFormat="1" ht="53.15" customHeight="1">
      <c r="A4" s="816" t="s">
        <v>315</v>
      </c>
      <c r="B4" s="816"/>
      <c r="C4" s="816"/>
      <c r="D4" s="816"/>
      <c r="E4" s="816"/>
    </row>
    <row r="5" spans="1:6" s="558" customFormat="1" ht="13.5" customHeight="1">
      <c r="A5" s="562"/>
      <c r="B5" s="562"/>
      <c r="C5" s="562"/>
      <c r="D5" s="562"/>
      <c r="E5" s="562"/>
    </row>
    <row r="6" spans="1:6" ht="13">
      <c r="A6" s="563"/>
      <c r="B6" s="563" t="s">
        <v>116</v>
      </c>
      <c r="C6" s="563" t="s">
        <v>97</v>
      </c>
      <c r="D6" s="563" t="s">
        <v>208</v>
      </c>
      <c r="E6" s="564" t="s">
        <v>117</v>
      </c>
    </row>
    <row r="7" spans="1:6">
      <c r="A7" s="566">
        <v>1</v>
      </c>
      <c r="B7" s="567" t="s">
        <v>209</v>
      </c>
      <c r="C7" s="568"/>
      <c r="D7" s="568" t="s">
        <v>99</v>
      </c>
      <c r="E7" s="569">
        <v>9.9600000000000009</v>
      </c>
    </row>
    <row r="8" spans="1:6">
      <c r="A8" s="566">
        <v>2</v>
      </c>
      <c r="B8" s="567" t="s">
        <v>210</v>
      </c>
      <c r="C8" s="567"/>
      <c r="D8" s="567" t="s">
        <v>211</v>
      </c>
      <c r="E8" s="569">
        <v>5.84</v>
      </c>
    </row>
    <row r="9" spans="1:6">
      <c r="A9" s="566">
        <v>3</v>
      </c>
      <c r="B9" s="567" t="s">
        <v>212</v>
      </c>
      <c r="C9" s="567"/>
      <c r="D9" s="567" t="s">
        <v>13</v>
      </c>
      <c r="E9" s="569">
        <v>5.13</v>
      </c>
    </row>
    <row r="10" spans="1:6">
      <c r="A10" s="566">
        <v>4</v>
      </c>
      <c r="B10" s="567" t="s">
        <v>100</v>
      </c>
      <c r="C10" s="567"/>
      <c r="D10" s="567" t="s">
        <v>101</v>
      </c>
      <c r="E10" s="569">
        <v>21.25</v>
      </c>
    </row>
    <row r="11" spans="1:6" ht="37.5">
      <c r="A11" s="566">
        <v>5</v>
      </c>
      <c r="B11" s="567" t="s">
        <v>263</v>
      </c>
      <c r="C11" s="567"/>
      <c r="D11" s="567" t="s">
        <v>101</v>
      </c>
      <c r="E11" s="569">
        <v>10.56</v>
      </c>
    </row>
    <row r="12" spans="1:6" ht="37.5">
      <c r="A12" s="566">
        <v>6</v>
      </c>
      <c r="B12" s="567" t="s">
        <v>213</v>
      </c>
      <c r="C12" s="567" t="s">
        <v>214</v>
      </c>
      <c r="D12" s="567" t="s">
        <v>13</v>
      </c>
      <c r="E12" s="569">
        <v>5.7</v>
      </c>
    </row>
    <row r="13" spans="1:6" ht="50">
      <c r="A13" s="566">
        <v>7</v>
      </c>
      <c r="B13" s="567" t="s">
        <v>299</v>
      </c>
      <c r="C13" s="567" t="s">
        <v>103</v>
      </c>
      <c r="D13" s="567" t="s">
        <v>104</v>
      </c>
      <c r="E13" s="569">
        <v>56325.32</v>
      </c>
    </row>
    <row r="14" spans="1:6" ht="25">
      <c r="A14" s="566" t="s">
        <v>300</v>
      </c>
      <c r="B14" s="567" t="s">
        <v>301</v>
      </c>
      <c r="C14" s="567" t="s">
        <v>215</v>
      </c>
      <c r="D14" s="567" t="s">
        <v>104</v>
      </c>
      <c r="E14" s="569">
        <v>7599.19</v>
      </c>
    </row>
    <row r="15" spans="1:6" ht="37.5">
      <c r="A15" s="566" t="s">
        <v>302</v>
      </c>
      <c r="B15" s="567" t="s">
        <v>303</v>
      </c>
      <c r="C15" s="567" t="s">
        <v>304</v>
      </c>
      <c r="D15" s="567" t="s">
        <v>104</v>
      </c>
      <c r="E15" s="569">
        <v>3004.99</v>
      </c>
    </row>
    <row r="16" spans="1:6" ht="26.25" customHeight="1">
      <c r="A16" s="566" t="s">
        <v>266</v>
      </c>
      <c r="B16" s="567" t="s">
        <v>267</v>
      </c>
      <c r="C16" s="567" t="s">
        <v>305</v>
      </c>
      <c r="D16" s="570" t="s">
        <v>268</v>
      </c>
      <c r="E16" s="569">
        <v>44874151.899999999</v>
      </c>
    </row>
    <row r="17" spans="1:5" ht="37.5">
      <c r="A17" s="566" t="s">
        <v>292</v>
      </c>
      <c r="B17" s="567" t="s">
        <v>316</v>
      </c>
      <c r="C17" s="567" t="s">
        <v>293</v>
      </c>
      <c r="D17" s="570" t="s">
        <v>268</v>
      </c>
      <c r="E17" s="571" t="s">
        <v>359</v>
      </c>
    </row>
    <row r="18" spans="1:5" ht="71.5" customHeight="1">
      <c r="A18" s="566">
        <v>9</v>
      </c>
      <c r="B18" s="567" t="s">
        <v>105</v>
      </c>
      <c r="C18" s="567" t="s">
        <v>306</v>
      </c>
      <c r="D18" s="567"/>
      <c r="E18" s="569"/>
    </row>
    <row r="19" spans="1:5" ht="12.75" customHeight="1">
      <c r="A19" s="566" t="s">
        <v>307</v>
      </c>
      <c r="B19" s="821" t="s">
        <v>317</v>
      </c>
      <c r="C19" s="567" t="s">
        <v>318</v>
      </c>
      <c r="D19" s="567" t="s">
        <v>13</v>
      </c>
      <c r="E19" s="569">
        <v>3.43</v>
      </c>
    </row>
    <row r="20" spans="1:5" ht="14.5">
      <c r="A20" s="566"/>
      <c r="B20" s="821"/>
      <c r="C20" s="567" t="s">
        <v>319</v>
      </c>
      <c r="D20" s="567" t="s">
        <v>108</v>
      </c>
      <c r="E20" s="572">
        <v>8.1000000000000003E-2</v>
      </c>
    </row>
    <row r="21" spans="1:5" ht="14.5">
      <c r="A21" s="566" t="s">
        <v>308</v>
      </c>
      <c r="B21" s="567" t="s">
        <v>320</v>
      </c>
      <c r="C21" s="567" t="s">
        <v>318</v>
      </c>
      <c r="D21" s="567" t="s">
        <v>13</v>
      </c>
      <c r="E21" s="569">
        <v>3.43</v>
      </c>
    </row>
    <row r="22" spans="1:5" ht="14.5">
      <c r="A22" s="566"/>
      <c r="B22" s="567"/>
      <c r="C22" s="567" t="s">
        <v>319</v>
      </c>
      <c r="D22" s="567" t="s">
        <v>108</v>
      </c>
      <c r="E22" s="572">
        <v>0.112</v>
      </c>
    </row>
    <row r="23" spans="1:5" ht="52.5" customHeight="1">
      <c r="A23" s="829" t="s">
        <v>309</v>
      </c>
      <c r="B23" s="830" t="s">
        <v>310</v>
      </c>
      <c r="C23" s="567" t="s">
        <v>311</v>
      </c>
      <c r="D23" s="567"/>
      <c r="E23" s="573"/>
    </row>
    <row r="24" spans="1:5" ht="14.5">
      <c r="A24" s="829"/>
      <c r="B24" s="830"/>
      <c r="C24" s="567" t="s">
        <v>318</v>
      </c>
      <c r="D24" s="567" t="s">
        <v>13</v>
      </c>
      <c r="E24" s="569">
        <v>2.74</v>
      </c>
    </row>
    <row r="25" spans="1:5" ht="14.5">
      <c r="A25" s="829"/>
      <c r="B25" s="830"/>
      <c r="C25" s="567" t="s">
        <v>319</v>
      </c>
      <c r="D25" s="567" t="s">
        <v>108</v>
      </c>
      <c r="E25" s="572">
        <v>6.4000000000000001E-2</v>
      </c>
    </row>
    <row r="26" spans="1:5" ht="75">
      <c r="A26" s="566">
        <v>10</v>
      </c>
      <c r="B26" s="567" t="s">
        <v>109</v>
      </c>
      <c r="C26" s="567" t="s">
        <v>233</v>
      </c>
      <c r="D26" s="567" t="s">
        <v>102</v>
      </c>
      <c r="E26" s="574" t="s">
        <v>360</v>
      </c>
    </row>
    <row r="27" spans="1:5" ht="55.5" customHeight="1">
      <c r="A27" s="566">
        <v>11</v>
      </c>
      <c r="B27" s="567" t="s">
        <v>312</v>
      </c>
      <c r="C27" s="567" t="s">
        <v>110</v>
      </c>
      <c r="D27" s="567" t="s">
        <v>13</v>
      </c>
      <c r="E27" s="569">
        <v>4.3499999999999996</v>
      </c>
    </row>
    <row r="28" spans="1:5">
      <c r="A28" s="566">
        <v>12</v>
      </c>
      <c r="B28" s="567" t="s">
        <v>111</v>
      </c>
      <c r="C28" s="567" t="s">
        <v>112</v>
      </c>
      <c r="D28" s="567" t="s">
        <v>102</v>
      </c>
      <c r="E28" s="569">
        <v>6.06</v>
      </c>
    </row>
    <row r="29" spans="1:5">
      <c r="A29" s="566">
        <v>13</v>
      </c>
      <c r="B29" s="567" t="s">
        <v>313</v>
      </c>
      <c r="C29" s="567"/>
      <c r="D29" s="567"/>
      <c r="E29" s="569"/>
    </row>
    <row r="30" spans="1:5" ht="50">
      <c r="A30" s="566">
        <v>14</v>
      </c>
      <c r="B30" s="567" t="s">
        <v>234</v>
      </c>
      <c r="C30" s="567"/>
      <c r="D30" s="567" t="s">
        <v>102</v>
      </c>
      <c r="E30" s="569">
        <v>3.68</v>
      </c>
    </row>
    <row r="31" spans="1:5" ht="25">
      <c r="A31" s="566">
        <v>15</v>
      </c>
      <c r="B31" s="570" t="s">
        <v>314</v>
      </c>
      <c r="C31" s="570"/>
      <c r="D31" s="575" t="s">
        <v>102</v>
      </c>
      <c r="E31" s="569">
        <v>12.29</v>
      </c>
    </row>
    <row r="32" spans="1:5">
      <c r="A32" s="566">
        <v>16</v>
      </c>
      <c r="B32" s="570" t="s">
        <v>114</v>
      </c>
      <c r="C32" s="570" t="s">
        <v>113</v>
      </c>
      <c r="D32" s="575" t="s">
        <v>102</v>
      </c>
      <c r="E32" s="569">
        <v>11.04</v>
      </c>
    </row>
    <row r="33" spans="1:5" ht="37.5">
      <c r="A33" s="566">
        <v>17</v>
      </c>
      <c r="B33" s="570" t="s">
        <v>235</v>
      </c>
      <c r="C33" s="570" t="s">
        <v>113</v>
      </c>
      <c r="D33" s="575" t="s">
        <v>102</v>
      </c>
      <c r="E33" s="569">
        <v>7.96</v>
      </c>
    </row>
    <row r="34" spans="1:5" ht="25">
      <c r="A34" s="566">
        <v>18</v>
      </c>
      <c r="B34" s="570" t="s">
        <v>216</v>
      </c>
      <c r="C34" s="570" t="s">
        <v>115</v>
      </c>
      <c r="D34" s="575" t="s">
        <v>102</v>
      </c>
      <c r="E34" s="569">
        <v>5.73</v>
      </c>
    </row>
    <row r="35" spans="1:5" ht="37.5">
      <c r="A35" s="819">
        <v>19</v>
      </c>
      <c r="B35" s="820" t="s">
        <v>217</v>
      </c>
      <c r="C35" s="568" t="s">
        <v>218</v>
      </c>
      <c r="D35" s="821" t="s">
        <v>219</v>
      </c>
      <c r="E35" s="569"/>
    </row>
    <row r="36" spans="1:5">
      <c r="A36" s="819"/>
      <c r="B36" s="820"/>
      <c r="C36" s="576" t="s">
        <v>321</v>
      </c>
      <c r="D36" s="821"/>
      <c r="E36" s="577">
        <v>1.6999999999999999E-3</v>
      </c>
    </row>
    <row r="37" spans="1:5">
      <c r="A37" s="819"/>
      <c r="B37" s="820"/>
      <c r="C37" s="576" t="s">
        <v>322</v>
      </c>
      <c r="D37" s="821"/>
      <c r="E37" s="577">
        <v>1E-3</v>
      </c>
    </row>
    <row r="38" spans="1:5">
      <c r="A38" s="819"/>
      <c r="B38" s="820"/>
      <c r="C38" s="576" t="s">
        <v>323</v>
      </c>
      <c r="D38" s="821"/>
      <c r="E38" s="577">
        <v>1E-3</v>
      </c>
    </row>
    <row r="39" spans="1:5">
      <c r="A39" s="578"/>
      <c r="B39" s="579"/>
      <c r="C39" s="580"/>
      <c r="D39" s="581"/>
      <c r="E39" s="582"/>
    </row>
    <row r="40" spans="1:5" s="583" customFormat="1" ht="36" customHeight="1">
      <c r="A40" s="822" t="s">
        <v>324</v>
      </c>
      <c r="B40" s="822"/>
      <c r="C40" s="822"/>
      <c r="D40" s="822"/>
      <c r="E40" s="822"/>
    </row>
    <row r="41" spans="1:5" s="583" customFormat="1" ht="30.75" customHeight="1">
      <c r="A41" s="815" t="s">
        <v>325</v>
      </c>
      <c r="B41" s="815"/>
      <c r="C41" s="815"/>
      <c r="D41" s="815"/>
      <c r="E41" s="815"/>
    </row>
    <row r="42" spans="1:5" s="583" customFormat="1" ht="29.25" customHeight="1">
      <c r="A42" s="815" t="s">
        <v>326</v>
      </c>
      <c r="B42" s="815"/>
      <c r="C42" s="815"/>
      <c r="D42" s="815"/>
      <c r="E42" s="815"/>
    </row>
    <row r="43" spans="1:5" s="583" customFormat="1" ht="12" customHeight="1">
      <c r="A43" s="815" t="s">
        <v>327</v>
      </c>
      <c r="B43" s="815"/>
      <c r="C43" s="815"/>
      <c r="D43" s="815"/>
      <c r="E43" s="815"/>
    </row>
    <row r="44" spans="1:5">
      <c r="A44" s="584"/>
      <c r="B44" s="585"/>
      <c r="C44" s="586"/>
      <c r="D44" s="587"/>
      <c r="E44" s="588"/>
    </row>
    <row r="45" spans="1:5" ht="28.5" customHeight="1">
      <c r="A45" s="816" t="s">
        <v>328</v>
      </c>
      <c r="B45" s="816"/>
      <c r="C45" s="816"/>
      <c r="D45" s="816"/>
      <c r="E45" s="816"/>
    </row>
    <row r="46" spans="1:5" ht="14.5" customHeight="1">
      <c r="A46" s="589"/>
      <c r="B46" s="589"/>
      <c r="C46" s="589"/>
      <c r="D46" s="589"/>
      <c r="E46" s="589"/>
    </row>
    <row r="47" spans="1:5" ht="13">
      <c r="A47" s="590"/>
      <c r="B47" s="563" t="s">
        <v>116</v>
      </c>
      <c r="C47" s="563" t="s">
        <v>97</v>
      </c>
      <c r="D47" s="563" t="s">
        <v>208</v>
      </c>
      <c r="E47" s="564" t="s">
        <v>117</v>
      </c>
    </row>
    <row r="48" spans="1:5" s="583" customFormat="1" ht="36" customHeight="1">
      <c r="A48" s="817"/>
      <c r="B48" s="818" t="s">
        <v>329</v>
      </c>
      <c r="C48" s="593" t="s">
        <v>220</v>
      </c>
      <c r="D48" s="594" t="s">
        <v>13</v>
      </c>
      <c r="E48" s="569">
        <v>15.7</v>
      </c>
    </row>
    <row r="49" spans="1:6" s="583" customFormat="1" ht="37.5">
      <c r="A49" s="817"/>
      <c r="B49" s="818"/>
      <c r="C49" s="593" t="s">
        <v>221</v>
      </c>
      <c r="D49" s="594" t="s">
        <v>13</v>
      </c>
      <c r="E49" s="569">
        <v>18.34</v>
      </c>
    </row>
    <row r="50" spans="1:6" s="583" customFormat="1" ht="36" customHeight="1">
      <c r="A50" s="817"/>
      <c r="B50" s="818" t="s">
        <v>330</v>
      </c>
      <c r="C50" s="593" t="s">
        <v>106</v>
      </c>
      <c r="D50" s="594" t="s">
        <v>13</v>
      </c>
      <c r="E50" s="569">
        <v>1.21</v>
      </c>
    </row>
    <row r="51" spans="1:6" s="583" customFormat="1" ht="22.5" customHeight="1">
      <c r="A51" s="817"/>
      <c r="B51" s="818"/>
      <c r="C51" s="593" t="s">
        <v>107</v>
      </c>
      <c r="D51" s="594" t="s">
        <v>108</v>
      </c>
      <c r="E51" s="572">
        <v>7.9000000000000001E-2</v>
      </c>
    </row>
    <row r="52" spans="1:6" s="583" customFormat="1" ht="53.25" customHeight="1">
      <c r="A52" s="595"/>
      <c r="B52" s="592" t="s">
        <v>331</v>
      </c>
      <c r="C52" s="593"/>
      <c r="D52" s="596" t="s">
        <v>102</v>
      </c>
      <c r="E52" s="569">
        <v>8.39</v>
      </c>
    </row>
    <row r="53" spans="1:6" s="583" customFormat="1" ht="20.5" customHeight="1">
      <c r="A53" s="595"/>
      <c r="B53" s="597"/>
      <c r="C53" s="595"/>
      <c r="D53" s="598"/>
      <c r="E53" s="599"/>
    </row>
    <row r="54" spans="1:6">
      <c r="A54" s="591"/>
      <c r="B54" s="600"/>
      <c r="C54" s="601"/>
      <c r="D54" s="602"/>
      <c r="E54" s="603"/>
    </row>
    <row r="55" spans="1:6" ht="15.65" customHeight="1">
      <c r="A55" s="816" t="s">
        <v>332</v>
      </c>
      <c r="B55" s="816"/>
      <c r="C55" s="816"/>
      <c r="D55" s="816"/>
      <c r="E55" s="816"/>
    </row>
    <row r="56" spans="1:6" ht="15.5">
      <c r="A56" s="604"/>
      <c r="B56" s="589"/>
      <c r="C56" s="589"/>
      <c r="D56" s="589"/>
      <c r="E56" s="589"/>
    </row>
    <row r="57" spans="1:6" ht="13">
      <c r="A57" s="604"/>
      <c r="B57" s="563" t="s">
        <v>116</v>
      </c>
      <c r="C57" s="563" t="s">
        <v>97</v>
      </c>
      <c r="D57" s="605" t="s">
        <v>98</v>
      </c>
      <c r="E57" s="606" t="s">
        <v>117</v>
      </c>
    </row>
    <row r="58" spans="1:6">
      <c r="A58" s="604"/>
      <c r="B58" s="607" t="s">
        <v>124</v>
      </c>
      <c r="C58" s="823" t="s">
        <v>123</v>
      </c>
      <c r="D58" s="608" t="s">
        <v>14</v>
      </c>
      <c r="E58" s="609">
        <v>9.77</v>
      </c>
    </row>
    <row r="59" spans="1:6">
      <c r="A59" s="604"/>
      <c r="B59" s="607" t="s">
        <v>125</v>
      </c>
      <c r="C59" s="824"/>
      <c r="D59" s="608" t="s">
        <v>14</v>
      </c>
      <c r="E59" s="609">
        <v>5.71</v>
      </c>
    </row>
    <row r="60" spans="1:6" ht="15.5">
      <c r="A60" s="604"/>
      <c r="B60" s="610"/>
      <c r="C60" s="611"/>
      <c r="D60" s="612"/>
      <c r="E60" s="613"/>
    </row>
    <row r="61" spans="1:6" ht="14">
      <c r="A61" s="565"/>
      <c r="B61" s="614" t="s">
        <v>333</v>
      </c>
      <c r="C61" s="615"/>
      <c r="D61" s="615"/>
      <c r="E61" s="613"/>
    </row>
    <row r="62" spans="1:6" ht="14">
      <c r="A62" s="565"/>
      <c r="B62" s="615"/>
      <c r="C62" s="615"/>
      <c r="D62" s="615"/>
      <c r="E62" s="613"/>
    </row>
    <row r="63" spans="1:6" ht="15.65" customHeight="1">
      <c r="A63" s="816" t="s">
        <v>118</v>
      </c>
      <c r="B63" s="816"/>
      <c r="C63" s="816"/>
      <c r="D63" s="816"/>
      <c r="E63" s="816"/>
      <c r="F63" s="616"/>
    </row>
    <row r="64" spans="1:6" ht="15.65" customHeight="1">
      <c r="A64" s="589"/>
      <c r="B64" s="589"/>
      <c r="C64" s="589"/>
      <c r="D64" s="589"/>
      <c r="E64" s="589"/>
      <c r="F64" s="616"/>
    </row>
    <row r="65" spans="1:5" ht="23.25" customHeight="1">
      <c r="A65" s="591"/>
      <c r="B65" s="825" t="s">
        <v>116</v>
      </c>
      <c r="C65" s="826"/>
      <c r="D65" s="617" t="s">
        <v>98</v>
      </c>
      <c r="E65" s="618" t="s">
        <v>117</v>
      </c>
    </row>
    <row r="66" spans="1:5">
      <c r="A66" s="604"/>
      <c r="B66" s="812" t="s">
        <v>119</v>
      </c>
      <c r="C66" s="813"/>
      <c r="D66" s="619" t="s">
        <v>120</v>
      </c>
      <c r="E66" s="609">
        <v>10.57</v>
      </c>
    </row>
    <row r="67" spans="1:5">
      <c r="A67" s="604"/>
      <c r="B67" s="812" t="s">
        <v>121</v>
      </c>
      <c r="C67" s="813"/>
      <c r="D67" s="619" t="s">
        <v>120</v>
      </c>
      <c r="E67" s="609">
        <v>11.9</v>
      </c>
    </row>
    <row r="68" spans="1:5">
      <c r="A68" s="604"/>
      <c r="B68" s="812" t="s">
        <v>122</v>
      </c>
      <c r="C68" s="813"/>
      <c r="D68" s="619" t="s">
        <v>14</v>
      </c>
      <c r="E68" s="609">
        <v>6.73</v>
      </c>
    </row>
    <row r="69" spans="1:5" ht="14">
      <c r="A69" s="604"/>
      <c r="B69" s="620"/>
      <c r="C69" s="621"/>
      <c r="D69" s="612"/>
      <c r="E69" s="613"/>
    </row>
    <row r="70" spans="1:5">
      <c r="A70" s="604"/>
      <c r="B70" s="622"/>
      <c r="C70" s="623"/>
      <c r="D70" s="814" t="s">
        <v>31</v>
      </c>
      <c r="E70" s="814"/>
    </row>
    <row r="71" spans="1:5">
      <c r="C71" s="626"/>
    </row>
  </sheetData>
  <mergeCells count="27">
    <mergeCell ref="A1:E1"/>
    <mergeCell ref="A2:B2"/>
    <mergeCell ref="A4:E4"/>
    <mergeCell ref="B19:B20"/>
    <mergeCell ref="A23:A25"/>
    <mergeCell ref="B23:B25"/>
    <mergeCell ref="A42:E42"/>
    <mergeCell ref="A55:E55"/>
    <mergeCell ref="C58:C59"/>
    <mergeCell ref="A63:E63"/>
    <mergeCell ref="B65:C65"/>
    <mergeCell ref="C2:D2"/>
    <mergeCell ref="B66:C66"/>
    <mergeCell ref="B67:C67"/>
    <mergeCell ref="B68:C68"/>
    <mergeCell ref="D70:E70"/>
    <mergeCell ref="A43:E43"/>
    <mergeCell ref="A45:E45"/>
    <mergeCell ref="A48:A49"/>
    <mergeCell ref="B48:B49"/>
    <mergeCell ref="A50:A51"/>
    <mergeCell ref="B50:B51"/>
    <mergeCell ref="A35:A38"/>
    <mergeCell ref="B35:B38"/>
    <mergeCell ref="D35:D38"/>
    <mergeCell ref="A40:E40"/>
    <mergeCell ref="A41:E41"/>
  </mergeCells>
  <phoneticPr fontId="0" type="noConversion"/>
  <hyperlinks>
    <hyperlink ref="D70:E70" location="'תוכן עניינים'!A1" display="תוכן עניינים" xr:uid="{00000000-0004-0000-0F00-000000000000}"/>
    <hyperlink ref="E70" location="'תוכן עניינים'!A1" display="תוכן עניינים" xr:uid="{00000000-0004-0000-0F00-000001000000}"/>
  </hyperlinks>
  <printOptions horizontalCentered="1"/>
  <pageMargins left="0.74803149606299213" right="0.74803149606299213" top="0.98425196850393704" bottom="0.98425196850393704" header="0.51181102362204722" footer="0.51181102362204722"/>
  <pageSetup paperSize="9" scale="74" orientation="portrait" horizontalDpi="4294967293" r:id="rId1"/>
  <headerFooter alignWithMargins="0">
    <oddHeader>&amp;Cמשרד התשתיות הלאומיות, האנרגיה והמים
מינהל הדלק והגז</oddHeader>
  </headerFooter>
  <rowBreaks count="1" manualBreakCount="1">
    <brk id="2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6"/>
  <dimension ref="A2:K48"/>
  <sheetViews>
    <sheetView rightToLeft="1" view="pageBreakPreview" zoomScale="70" zoomScaleNormal="100" zoomScaleSheetLayoutView="70" workbookViewId="0">
      <selection activeCell="B61" sqref="B61"/>
    </sheetView>
  </sheetViews>
  <sheetFormatPr defaultColWidth="9.1796875" defaultRowHeight="12.5"/>
  <cols>
    <col min="1" max="1" width="11.26953125" style="13" customWidth="1"/>
    <col min="2" max="2" width="24.1796875" style="13" customWidth="1"/>
    <col min="3" max="3" width="13.1796875" style="13" customWidth="1"/>
    <col min="4" max="6" width="10.7265625" style="13" customWidth="1"/>
    <col min="7" max="7" width="40.26953125" style="13" customWidth="1"/>
    <col min="8" max="8" width="14.453125" style="13" customWidth="1"/>
    <col min="9" max="9" width="9.7265625" style="13" bestFit="1" customWidth="1"/>
    <col min="10" max="10" width="21" style="13" customWidth="1"/>
    <col min="11" max="16384" width="9.1796875" style="13"/>
  </cols>
  <sheetData>
    <row r="2" spans="1:11" ht="13">
      <c r="A2" s="786" t="s">
        <v>60</v>
      </c>
      <c r="B2" s="786"/>
      <c r="C2" s="786"/>
      <c r="D2" s="786"/>
      <c r="E2" s="786"/>
      <c r="F2" s="786"/>
      <c r="G2" s="786"/>
      <c r="H2" s="305"/>
      <c r="I2" s="404"/>
    </row>
    <row r="3" spans="1:11" ht="13">
      <c r="A3" s="840" t="s">
        <v>187</v>
      </c>
      <c r="B3" s="840"/>
      <c r="C3" s="840"/>
      <c r="D3" s="840"/>
      <c r="E3" s="840"/>
      <c r="F3" s="840"/>
      <c r="G3" s="840"/>
      <c r="H3" s="423"/>
      <c r="I3" s="404"/>
    </row>
    <row r="4" spans="1:11" ht="13">
      <c r="A4" s="405"/>
      <c r="B4" s="405"/>
      <c r="C4" s="405"/>
      <c r="D4" s="405"/>
      <c r="E4" s="405"/>
      <c r="F4" s="405"/>
      <c r="G4" s="405"/>
      <c r="H4" s="405"/>
    </row>
    <row r="5" spans="1:11" ht="13">
      <c r="A5" s="186"/>
      <c r="B5" s="186"/>
      <c r="C5" s="786" t="s">
        <v>264</v>
      </c>
      <c r="D5" s="786"/>
      <c r="E5" s="842">
        <v>46266</v>
      </c>
      <c r="F5" s="842"/>
      <c r="G5" s="186"/>
      <c r="H5" s="186"/>
    </row>
    <row r="6" spans="1:11" ht="13">
      <c r="C6" s="843" t="s">
        <v>265</v>
      </c>
      <c r="D6" s="843"/>
      <c r="E6" s="838">
        <v>46082</v>
      </c>
      <c r="F6" s="838"/>
    </row>
    <row r="7" spans="1:11">
      <c r="C7" s="406"/>
      <c r="D7" s="406"/>
      <c r="E7" s="407"/>
      <c r="F7" s="407"/>
    </row>
    <row r="8" spans="1:11" ht="13">
      <c r="A8" s="389" t="s">
        <v>188</v>
      </c>
      <c r="B8" s="841"/>
      <c r="C8" s="841"/>
      <c r="D8" s="841"/>
      <c r="E8" s="841"/>
      <c r="F8" s="841"/>
      <c r="G8" s="841"/>
      <c r="H8" s="409"/>
      <c r="K8" s="3"/>
    </row>
    <row r="9" spans="1:11" ht="15" customHeight="1">
      <c r="A9" s="458" t="s">
        <v>237</v>
      </c>
      <c r="B9" s="459"/>
      <c r="C9" s="459"/>
      <c r="D9" s="459"/>
      <c r="E9" s="459"/>
      <c r="F9" s="459"/>
      <c r="H9" s="408"/>
      <c r="K9" s="3"/>
    </row>
    <row r="10" spans="1:11" ht="14.25" customHeight="1">
      <c r="A10" s="839" t="s">
        <v>238</v>
      </c>
      <c r="B10" s="839"/>
      <c r="C10" s="839"/>
      <c r="D10" s="839"/>
      <c r="E10" s="839"/>
      <c r="F10" s="839"/>
      <c r="G10" s="839"/>
      <c r="H10" s="409"/>
      <c r="K10" s="3"/>
    </row>
    <row r="11" spans="1:11">
      <c r="A11" s="831" t="s">
        <v>239</v>
      </c>
      <c r="B11" s="831"/>
      <c r="C11" s="460"/>
      <c r="D11" s="460"/>
      <c r="E11" s="460"/>
      <c r="F11" s="460"/>
      <c r="G11" s="461"/>
      <c r="H11" s="409"/>
      <c r="K11" s="3"/>
    </row>
    <row r="12" spans="1:11" ht="15.5">
      <c r="B12" s="462" t="s">
        <v>240</v>
      </c>
      <c r="E12" s="462" t="s">
        <v>241</v>
      </c>
      <c r="F12" s="462" t="s">
        <v>242</v>
      </c>
      <c r="G12" s="463" t="s">
        <v>243</v>
      </c>
      <c r="H12" s="409"/>
      <c r="K12" s="3"/>
    </row>
    <row r="13" spans="1:11" ht="15.5">
      <c r="B13" s="455"/>
      <c r="D13" s="455"/>
      <c r="E13" s="455"/>
      <c r="G13" s="462" t="s">
        <v>244</v>
      </c>
      <c r="H13" s="409"/>
      <c r="K13" s="3"/>
    </row>
    <row r="14" spans="1:11">
      <c r="A14" s="454" t="s">
        <v>245</v>
      </c>
      <c r="B14" s="454"/>
      <c r="C14" s="454"/>
      <c r="D14" s="454"/>
      <c r="E14" s="454"/>
      <c r="F14" s="454"/>
      <c r="G14" s="461"/>
      <c r="H14" s="409"/>
      <c r="K14" s="3"/>
    </row>
    <row r="15" spans="1:11">
      <c r="A15" s="454" t="s">
        <v>246</v>
      </c>
      <c r="B15" s="455"/>
      <c r="C15" s="455"/>
      <c r="D15" s="455"/>
      <c r="E15" s="455"/>
      <c r="F15" s="455"/>
      <c r="G15" s="461"/>
      <c r="H15" s="409"/>
      <c r="K15" s="3"/>
    </row>
    <row r="16" spans="1:11">
      <c r="A16" s="454" t="s">
        <v>247</v>
      </c>
      <c r="B16" s="455"/>
      <c r="C16" s="455"/>
      <c r="D16" s="455"/>
      <c r="E16" s="455"/>
      <c r="F16" s="455"/>
      <c r="G16" s="461"/>
      <c r="H16" s="409"/>
      <c r="K16" s="3"/>
    </row>
    <row r="17" spans="1:11">
      <c r="A17" s="454" t="s">
        <v>248</v>
      </c>
      <c r="B17" s="455"/>
      <c r="C17" s="455"/>
      <c r="D17" s="455"/>
      <c r="E17" s="455"/>
      <c r="F17" s="455"/>
      <c r="G17" s="461"/>
      <c r="H17" s="409"/>
      <c r="K17" s="3"/>
    </row>
    <row r="18" spans="1:11" ht="53.25" customHeight="1">
      <c r="A18" s="832" t="s">
        <v>249</v>
      </c>
      <c r="B18" s="832"/>
      <c r="C18" s="832"/>
      <c r="D18" s="832"/>
      <c r="E18" s="832"/>
      <c r="F18" s="832"/>
      <c r="G18" s="832"/>
      <c r="H18" s="409"/>
      <c r="K18" s="3"/>
    </row>
    <row r="19" spans="1:11" ht="28.5" customHeight="1">
      <c r="A19" s="833" t="s">
        <v>250</v>
      </c>
      <c r="B19" s="833"/>
      <c r="C19" s="833"/>
      <c r="D19" s="833"/>
      <c r="E19" s="833"/>
      <c r="F19" s="833"/>
      <c r="G19" s="833"/>
      <c r="H19" s="409"/>
      <c r="K19" s="3"/>
    </row>
    <row r="20" spans="1:11" ht="13">
      <c r="A20" s="389"/>
      <c r="B20" s="456"/>
      <c r="C20" s="456"/>
      <c r="D20" s="456"/>
      <c r="E20" s="456"/>
      <c r="F20" s="456"/>
      <c r="G20" s="456"/>
      <c r="H20" s="409"/>
      <c r="K20" s="3"/>
    </row>
    <row r="21" spans="1:11" ht="13">
      <c r="A21" s="389" t="s">
        <v>189</v>
      </c>
      <c r="B21" s="456"/>
      <c r="C21" s="456"/>
      <c r="D21" s="456"/>
      <c r="E21" s="456"/>
      <c r="F21" s="456"/>
      <c r="G21" s="456"/>
      <c r="H21" s="409"/>
      <c r="K21" s="3"/>
    </row>
    <row r="22" spans="1:11" ht="53.25" customHeight="1">
      <c r="A22" s="834" t="s">
        <v>231</v>
      </c>
      <c r="B22" s="834"/>
      <c r="C22" s="834"/>
      <c r="D22" s="834"/>
      <c r="E22" s="834"/>
      <c r="F22" s="834"/>
      <c r="G22" s="834"/>
      <c r="H22" s="409"/>
      <c r="K22" s="3"/>
    </row>
    <row r="23" spans="1:11" ht="13">
      <c r="A23" s="389"/>
      <c r="B23" s="457"/>
      <c r="C23" s="457"/>
      <c r="D23" s="457"/>
      <c r="E23" s="457"/>
      <c r="F23" s="457"/>
      <c r="G23" s="457"/>
      <c r="H23" s="409"/>
      <c r="K23" s="3"/>
    </row>
    <row r="24" spans="1:11" ht="13">
      <c r="A24" s="442" t="s">
        <v>251</v>
      </c>
      <c r="B24" s="440"/>
      <c r="C24" s="441"/>
      <c r="H24" s="409"/>
      <c r="K24" s="3"/>
    </row>
    <row r="25" spans="1:11" ht="13">
      <c r="A25" s="464"/>
      <c r="B25" s="465">
        <f>E5</f>
        <v>46266</v>
      </c>
      <c r="C25" s="508">
        <v>46082</v>
      </c>
      <c r="H25" s="409"/>
      <c r="K25" s="3"/>
    </row>
    <row r="26" spans="1:11" ht="13">
      <c r="A26" s="464" t="s">
        <v>252</v>
      </c>
      <c r="B26" s="466">
        <f>+C26*B33/C33*B37</f>
        <v>55.779221115507006</v>
      </c>
      <c r="C26" s="467">
        <v>54.292790695637478</v>
      </c>
      <c r="H26" s="409"/>
      <c r="K26" s="3"/>
    </row>
    <row r="27" spans="1:11" ht="13">
      <c r="A27" s="464" t="s">
        <v>253</v>
      </c>
      <c r="B27" s="466">
        <f>+C27*B35/C35*B37</f>
        <v>54.03163168600706</v>
      </c>
      <c r="C27" s="467">
        <v>51.79420501287175</v>
      </c>
      <c r="H27" s="409"/>
      <c r="K27" s="3"/>
    </row>
    <row r="28" spans="1:11" ht="13">
      <c r="A28" s="464" t="s">
        <v>254</v>
      </c>
      <c r="B28" s="466">
        <f>+C28*0.89*B32/C32*B36/C36*B37+C28*0.11*B32/C32*B37</f>
        <v>29.563164935065405</v>
      </c>
      <c r="C28" s="467">
        <v>26.992431885196527</v>
      </c>
      <c r="H28" s="409"/>
      <c r="K28" s="3"/>
    </row>
    <row r="29" spans="1:11" ht="13">
      <c r="A29" s="464" t="s">
        <v>255</v>
      </c>
      <c r="B29" s="466">
        <f>+C29*B34/C34*B37</f>
        <v>506.37602135744885</v>
      </c>
      <c r="C29" s="467">
        <v>499.65219261136002</v>
      </c>
      <c r="H29" s="409"/>
      <c r="K29" s="3"/>
    </row>
    <row r="30" spans="1:11" ht="13">
      <c r="A30" s="464" t="s">
        <v>256</v>
      </c>
      <c r="B30" s="466">
        <f>+C30*B37</f>
        <v>4.0741677983326694</v>
      </c>
      <c r="C30" s="467">
        <v>4.0901192634601644</v>
      </c>
      <c r="H30" s="409"/>
      <c r="K30" s="3"/>
    </row>
    <row r="31" spans="1:11">
      <c r="A31" s="410"/>
      <c r="B31" s="466"/>
      <c r="C31" s="468"/>
      <c r="H31" s="409"/>
      <c r="K31" s="3"/>
    </row>
    <row r="32" spans="1:11" ht="13">
      <c r="A32" s="464" t="s">
        <v>257</v>
      </c>
      <c r="B32" s="469">
        <v>7.7516666666666678</v>
      </c>
      <c r="C32" s="470">
        <v>7.0500000000000007</v>
      </c>
      <c r="H32" s="409"/>
      <c r="K32" s="3"/>
    </row>
    <row r="33" spans="1:11" ht="13">
      <c r="A33" s="464" t="s">
        <v>258</v>
      </c>
      <c r="B33" s="466">
        <v>6443.85</v>
      </c>
      <c r="C33" s="471">
        <v>6247.67</v>
      </c>
      <c r="H33" s="409"/>
      <c r="K33" s="3"/>
    </row>
    <row r="34" spans="1:11" ht="13">
      <c r="A34" s="464" t="s">
        <v>259</v>
      </c>
      <c r="B34" s="466">
        <v>121.09473588079798</v>
      </c>
      <c r="C34" s="467">
        <v>119.02080129863398</v>
      </c>
      <c r="H34" s="409"/>
      <c r="K34" s="3"/>
    </row>
    <row r="35" spans="1:11" ht="13">
      <c r="A35" s="464" t="s">
        <v>260</v>
      </c>
      <c r="B35" s="472">
        <v>165.965</v>
      </c>
      <c r="C35" s="470">
        <v>158.47200000000001</v>
      </c>
      <c r="H35" s="409"/>
      <c r="K35" s="3"/>
    </row>
    <row r="36" spans="1:11" ht="13">
      <c r="A36" s="464" t="s">
        <v>261</v>
      </c>
      <c r="B36" s="473">
        <v>5.0000000000000001E-3</v>
      </c>
      <c r="C36" s="474">
        <v>5.0000000000000001E-3</v>
      </c>
      <c r="H36" s="409"/>
      <c r="K36" s="3"/>
    </row>
    <row r="37" spans="1:11" ht="13">
      <c r="A37" s="464" t="s">
        <v>262</v>
      </c>
      <c r="B37" s="475">
        <v>0.99609999999999999</v>
      </c>
      <c r="C37" s="476"/>
      <c r="D37" s="411"/>
      <c r="E37" s="412"/>
      <c r="F37" s="390"/>
      <c r="G37" s="390"/>
      <c r="H37" s="390"/>
    </row>
    <row r="38" spans="1:11" ht="13">
      <c r="A38" s="442"/>
      <c r="B38" s="440"/>
      <c r="C38" s="441"/>
      <c r="D38" s="411"/>
      <c r="E38" s="412"/>
      <c r="F38" s="390"/>
      <c r="G38" s="390"/>
      <c r="H38" s="390"/>
    </row>
    <row r="39" spans="1:11" ht="13.5" thickBot="1">
      <c r="A39" s="391" t="s">
        <v>190</v>
      </c>
      <c r="B39" s="392"/>
      <c r="C39" s="392"/>
      <c r="D39" s="392"/>
      <c r="E39" s="392"/>
      <c r="F39" s="392"/>
      <c r="G39" s="392"/>
      <c r="H39" s="392"/>
    </row>
    <row r="40" spans="1:11" ht="13.5" thickTop="1">
      <c r="A40" s="413"/>
      <c r="B40" s="393"/>
      <c r="C40" s="393"/>
      <c r="D40" s="835" t="s">
        <v>191</v>
      </c>
      <c r="E40" s="836"/>
      <c r="F40" s="835" t="s">
        <v>55</v>
      </c>
      <c r="G40" s="837"/>
    </row>
    <row r="41" spans="1:11" ht="13">
      <c r="A41" s="183"/>
      <c r="B41" s="394"/>
      <c r="C41" s="394"/>
      <c r="D41" s="414">
        <f>+E5</f>
        <v>46266</v>
      </c>
      <c r="E41" s="415">
        <v>46082</v>
      </c>
      <c r="F41" s="414">
        <f>+E5</f>
        <v>46266</v>
      </c>
      <c r="G41" s="416">
        <v>46082</v>
      </c>
    </row>
    <row r="42" spans="1:11" ht="13">
      <c r="A42" s="395" t="s">
        <v>192</v>
      </c>
      <c r="B42" s="394"/>
      <c r="C42" s="394"/>
      <c r="D42" s="445">
        <f>SUM(B26:B30)</f>
        <v>649.82420689236108</v>
      </c>
      <c r="E42" s="477">
        <v>636.82173946852595</v>
      </c>
      <c r="F42" s="445">
        <f>+D42</f>
        <v>649.82420689236108</v>
      </c>
      <c r="G42" s="479">
        <v>636.82173946852595</v>
      </c>
    </row>
    <row r="43" spans="1:11" ht="13">
      <c r="A43" s="395" t="s">
        <v>193</v>
      </c>
      <c r="B43" s="410"/>
      <c r="C43" s="410"/>
      <c r="D43" s="445">
        <f>+E43*B33/C33</f>
        <v>221.43743405660379</v>
      </c>
      <c r="E43" s="477">
        <v>214.69587492452831</v>
      </c>
      <c r="F43" s="445">
        <f>+D43</f>
        <v>221.43743405660379</v>
      </c>
      <c r="G43" s="479">
        <v>214.69587492452831</v>
      </c>
    </row>
    <row r="44" spans="1:11" ht="13.5" thickBot="1">
      <c r="A44" s="396" t="s">
        <v>194</v>
      </c>
      <c r="B44" s="417"/>
      <c r="C44" s="417"/>
      <c r="D44" s="418">
        <f>ROUND(D43*(1+Maam)/1000,2)</f>
        <v>0.26</v>
      </c>
      <c r="E44" s="478">
        <v>0.25</v>
      </c>
      <c r="F44" s="418">
        <f>ROUND(F43/1000,2)</f>
        <v>0.22</v>
      </c>
      <c r="G44" s="480">
        <v>0.21</v>
      </c>
    </row>
    <row r="45" spans="1:11" ht="13.5" thickTop="1">
      <c r="A45" s="397"/>
      <c r="B45" s="3"/>
      <c r="C45" s="3"/>
      <c r="D45" s="196"/>
      <c r="E45" s="419"/>
      <c r="F45" s="196"/>
      <c r="G45" s="419"/>
    </row>
    <row r="46" spans="1:11" ht="13">
      <c r="G46" s="398" t="s">
        <v>31</v>
      </c>
      <c r="H46" s="398"/>
      <c r="J46" s="420"/>
    </row>
    <row r="47" spans="1:11" ht="13">
      <c r="J47" s="421"/>
    </row>
    <row r="48" spans="1:11" ht="13">
      <c r="J48" s="420"/>
    </row>
  </sheetData>
  <mergeCells count="14">
    <mergeCell ref="E6:F6"/>
    <mergeCell ref="A10:G10"/>
    <mergeCell ref="A2:G2"/>
    <mergeCell ref="A3:G3"/>
    <mergeCell ref="B8:G8"/>
    <mergeCell ref="C5:D5"/>
    <mergeCell ref="E5:F5"/>
    <mergeCell ref="C6:D6"/>
    <mergeCell ref="A11:B11"/>
    <mergeCell ref="A18:G18"/>
    <mergeCell ref="A19:G19"/>
    <mergeCell ref="A22:G22"/>
    <mergeCell ref="D40:E40"/>
    <mergeCell ref="F40:G40"/>
  </mergeCells>
  <hyperlinks>
    <hyperlink ref="G46:H46" location="'תוכן עניינים'!A1" display="תוכן עניינים" xr:uid="{00000000-0004-0000-1000-000000000000}"/>
  </hyperlinks>
  <pageMargins left="0.70866141732283472" right="0.70866141732283472" top="0.74803149606299213" bottom="0.74803149606299213" header="0.31496062992125984" footer="0.31496062992125984"/>
  <pageSetup paperSize="9" scale="70" orientation="portrait" verticalDpi="4" r:id="rId1"/>
  <headerFooter>
    <oddHeader>&amp;Cמשרד התשתיות הלאומיות, האנרגיה והמים
מינהל הדלק והגז</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תבנית קובץ חיצוני" ma:contentTypeID="0x0101003CBAFB7F4A7FF54FB9D64543F2EA55D24300B8FC243D24AB0443936668C618D65B8F" ma:contentTypeVersion="128" ma:contentTypeDescription="" ma:contentTypeScope="" ma:versionID="670da7a5faa65e3f633fc41bfe869865">
  <xsd:schema xmlns:xsd="http://www.w3.org/2001/XMLSchema" xmlns:xs="http://www.w3.org/2001/XMLSchema" xmlns:p="http://schemas.microsoft.com/office/2006/metadata/properties" xmlns:ns2="8f5b83e0-a1d3-486c-bd07-833a425c74af" xmlns:ns3="87b98568-e8c7-4058-bf31-e11803adaf85" targetNamespace="http://schemas.microsoft.com/office/2006/metadata/properties" ma:root="true" ma:fieldsID="c72a3978360bd341644b3b7bfd9f80c3" ns2:_="" ns3:_="">
    <xsd:import namespace="8f5b83e0-a1d3-486c-bd07-833a425c74af"/>
    <xsd:import namespace="87b98568-e8c7-4058-bf31-e11803adaf85"/>
    <xsd:element name="properties">
      <xsd:complexType>
        <xsd:sequence>
          <xsd:element name="documentManagement">
            <xsd:complexType>
              <xsd:all>
                <xsd:element ref="ns2:DocumentWorkInstrument" minOccurs="0"/>
                <xsd:element ref="ns2:DocumentWordTemplate" minOccurs="0"/>
                <xsd:element ref="ns2:WriterName" minOccurs="0"/>
                <xsd:element ref="ns2:DepartmentPermissionWasSet" minOccurs="0"/>
                <xsd:element ref="ns2:CurrentDocumentStatus" minOccurs="0"/>
                <xsd:element ref="ns2:LastCheckOutDate" minOccurs="0"/>
                <xsd:element ref="ns2:LastCheckOutUser" minOccurs="0"/>
                <xsd:element ref="ns2:LastCheckInDate" minOccurs="0"/>
                <xsd:element ref="ns2:LastCheckInUser" minOccurs="0"/>
                <xsd:element ref="ns2:LastPublishDate" minOccurs="0"/>
                <xsd:element ref="ns2:LastPublishUser" minOccurs="0"/>
                <xsd:element ref="ns2:LastLockDate" minOccurs="0"/>
                <xsd:element ref="ns2:LastLockUser" minOccurs="0"/>
                <xsd:element ref="ns2:PreviousPublishingStatus" minOccurs="0"/>
                <xsd:element ref="ns2:SubjectDocument" minOccurs="0"/>
                <xsd:element ref="ns2:DocumentCreateDateEnglish" minOccurs="0"/>
                <xsd:element ref="ns2:DocumentCreateDateHebrew" minOccurs="0"/>
                <xsd:element ref="ns2:SignerName" minOccurs="0"/>
                <xsd:element ref="ns2:SignerItemID" minOccurs="0"/>
                <xsd:element ref="ns2:SignerEmail" minOccurs="0"/>
                <xsd:element ref="ns2:SignerJobTitle" minOccurs="0"/>
                <xsd:element ref="ns2:SignerDepartment" minOccurs="0"/>
                <xsd:element ref="ns2:SignerWorkPhone" minOccurs="0"/>
                <xsd:element ref="ns2:SignerWorkFax" minOccurs="0"/>
                <xsd:element ref="ns2:RecipientsNameTO" minOccurs="0"/>
                <xsd:element ref="ns2:RecipientsMailTO" minOccurs="0"/>
                <xsd:element ref="ns2:RecipientsNameCC" minOccurs="0"/>
                <xsd:element ref="ns2:RecipientsMailCC" minOccurs="0"/>
                <xsd:element ref="ns2:RecipientsNameBCC" minOccurs="0"/>
                <xsd:element ref="ns2:RecipientsMailBCC" minOccurs="0"/>
                <xsd:element ref="ns2:RecipientsMailSent" minOccurs="0"/>
                <xsd:element ref="ns2:CounterString" minOccurs="0"/>
                <xsd:element ref="ns2:DocumentCounter" minOccurs="0"/>
                <xsd:element ref="ns2:FullNameTO" minOccurs="0"/>
                <xsd:element ref="ns2:FullNameCC" minOccurs="0"/>
                <xsd:element ref="ns2:FullNameBCC" minOccurs="0"/>
                <xsd:element ref="ns2:AdditionalReaders" minOccurs="0"/>
                <xsd:element ref="ns2:PreviousAdditionalReaders" minOccurs="0"/>
                <xsd:element ref="ns2:AdditionalEditors" minOccurs="0"/>
                <xsd:element ref="ns2:PreviousAdditionalEditors" minOccurs="0"/>
                <xsd:element ref="ns2:SetDepartmentPermission" minOccurs="0"/>
                <xsd:element ref="ns2:DocumentLibraryName" minOccurs="0"/>
                <xsd:element ref="ns2:FullNameAll" minOccurs="0"/>
                <xsd:element ref="ns2:PermissionForUserGroup" minOccurs="0"/>
                <xsd:element ref="ns3:DocumentLinkHidden" minOccurs="0"/>
                <xsd:element ref="ns3:DocumentLinkHiddenPrevious" minOccurs="0"/>
                <xsd:element ref="ns2:AdditionalReaderUsers" minOccurs="0"/>
                <xsd:element ref="ns2:AdditionalSigners" minOccurs="0"/>
                <xsd:element ref="ns2:AdditionalWriters" minOccurs="0"/>
                <xsd:element ref="ns2:DocumentCatalog" minOccurs="0"/>
                <xsd:element ref="ns2:DocumentCreat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5b83e0-a1d3-486c-bd07-833a425c74af" elementFormDefault="qualified">
    <xsd:import namespace="http://schemas.microsoft.com/office/2006/documentManagement/types"/>
    <xsd:import namespace="http://schemas.microsoft.com/office/infopath/2007/PartnerControls"/>
    <xsd:element name="DocumentWorkInstrument" ma:index="2" nillable="true" ma:displayName="כלי עבודה" ma:hidden="true" ma:internalName="DocumentWorkInstrument" ma:readOnly="false">
      <xsd:simpleType>
        <xsd:restriction base="dms:Text">
          <xsd:maxLength value="255"/>
        </xsd:restriction>
      </xsd:simpleType>
    </xsd:element>
    <xsd:element name="DocumentWordTemplate" ma:index="3" nillable="true" ma:displayName="תבנית וורד" ma:hidden="true" ma:internalName="DocumentWordTemplate" ma:readOnly="false">
      <xsd:simpleType>
        <xsd:restriction base="dms:Text">
          <xsd:maxLength value="255"/>
        </xsd:restriction>
      </xsd:simpleType>
    </xsd:element>
    <xsd:element name="WriterName" ma:index="4" nillable="true" ma:displayName="שם מחבר מסמך" ma:hidden="true" ma:internalName="WriterName" ma:readOnly="false">
      <xsd:simpleType>
        <xsd:restriction base="dms:Text">
          <xsd:maxLength value="255"/>
        </xsd:restriction>
      </xsd:simpleType>
    </xsd:element>
    <xsd:element name="DepartmentPermissionWasSet" ma:index="5" nillable="true" ma:displayName="בוצע הענקת הרשאות ליחידה" ma:hidden="true" ma:internalName="DepartmentPermissionWasSet" ma:readOnly="false">
      <xsd:simpleType>
        <xsd:restriction base="dms:Text">
          <xsd:maxLength value="255"/>
        </xsd:restriction>
      </xsd:simpleType>
    </xsd:element>
    <xsd:element name="CurrentDocumentStatus" ma:index="6" nillable="true" ma:displayName="סטאטוס" ma:hidden="true" ma:internalName="CurrentDocumentStatus" ma:readOnly="false">
      <xsd:simpleType>
        <xsd:restriction base="dms:Text">
          <xsd:maxLength value="255"/>
        </xsd:restriction>
      </xsd:simpleType>
    </xsd:element>
    <xsd:element name="LastCheckOutDate" ma:index="7" nillable="true" ma:displayName="תאריך הוצא אחרון" ma:hidden="true" ma:internalName="LastCheckOutDate" ma:readOnly="false">
      <xsd:simpleType>
        <xsd:restriction base="dms:Text">
          <xsd:maxLength value="255"/>
        </xsd:restriction>
      </xsd:simpleType>
    </xsd:element>
    <xsd:element name="LastCheckOutUser" ma:index="8" nillable="true" ma:displayName="משתמש הוצא אחרון" ma:hidden="true" ma:internalName="LastCheckOutUser" ma:readOnly="false">
      <xsd:simpleType>
        <xsd:restriction base="dms:Text">
          <xsd:maxLength value="255"/>
        </xsd:restriction>
      </xsd:simpleType>
    </xsd:element>
    <xsd:element name="LastCheckInDate" ma:index="9" nillable="true" ma:displayName="תאריך הכנסה אחרון" ma:hidden="true" ma:internalName="LastCheckInDate" ma:readOnly="false">
      <xsd:simpleType>
        <xsd:restriction base="dms:Text">
          <xsd:maxLength value="255"/>
        </xsd:restriction>
      </xsd:simpleType>
    </xsd:element>
    <xsd:element name="LastCheckInUser" ma:index="10" nillable="true" ma:displayName="משתמש הכנסה אחרון" ma:hidden="true" ma:internalName="LastCheckInUser" ma:readOnly="false">
      <xsd:simpleType>
        <xsd:restriction base="dms:Text">
          <xsd:maxLength value="255"/>
        </xsd:restriction>
      </xsd:simpleType>
    </xsd:element>
    <xsd:element name="LastPublishDate" ma:index="11" nillable="true" ma:displayName="תאריך פרסום אחרון" ma:hidden="true" ma:internalName="LastPublishDate" ma:readOnly="false">
      <xsd:simpleType>
        <xsd:restriction base="dms:Text">
          <xsd:maxLength value="255"/>
        </xsd:restriction>
      </xsd:simpleType>
    </xsd:element>
    <xsd:element name="LastPublishUser" ma:index="12" nillable="true" ma:displayName="משתמש פרסום אחרון" ma:hidden="true" ma:internalName="LastPublishUser" ma:readOnly="false">
      <xsd:simpleType>
        <xsd:restriction base="dms:Text">
          <xsd:maxLength value="255"/>
        </xsd:restriction>
      </xsd:simpleType>
    </xsd:element>
    <xsd:element name="LastLockDate" ma:index="13" nillable="true" ma:displayName="תאריך נעילה אחרון" ma:hidden="true" ma:internalName="LastLockDate" ma:readOnly="false">
      <xsd:simpleType>
        <xsd:restriction base="dms:Text">
          <xsd:maxLength value="255"/>
        </xsd:restriction>
      </xsd:simpleType>
    </xsd:element>
    <xsd:element name="LastLockUser" ma:index="14" nillable="true" ma:displayName="משתמש נעילה אחרון" ma:hidden="true" ma:internalName="LastLockUser" ma:readOnly="false">
      <xsd:simpleType>
        <xsd:restriction base="dms:Text">
          <xsd:maxLength value="255"/>
        </xsd:restriction>
      </xsd:simpleType>
    </xsd:element>
    <xsd:element name="PreviousPublishingStatus" ma:index="15" nillable="true" ma:displayName="סטאטוס מסמך קודם" ma:hidden="true" ma:internalName="PreviousPublishingStatus" ma:readOnly="false">
      <xsd:simpleType>
        <xsd:restriction base="dms:Text">
          <xsd:maxLength value="255"/>
        </xsd:restriction>
      </xsd:simpleType>
    </xsd:element>
    <xsd:element name="SubjectDocument" ma:index="16" nillable="true" ma:displayName="הנדון מסמך" ma:internalName="SubjectDocument" ma:readOnly="false">
      <xsd:simpleType>
        <xsd:restriction base="dms:Text">
          <xsd:maxLength value="255"/>
        </xsd:restriction>
      </xsd:simpleType>
    </xsd:element>
    <xsd:element name="DocumentCreateDateEnglish" ma:index="17" nillable="true" ma:displayName="תאריך יצירה לועזי" ma:internalName="DocumentCreateDateEnglish" ma:readOnly="false">
      <xsd:simpleType>
        <xsd:restriction base="dms:Text">
          <xsd:maxLength value="255"/>
        </xsd:restriction>
      </xsd:simpleType>
    </xsd:element>
    <xsd:element name="DocumentCreateDateHebrew" ma:index="18" nillable="true" ma:displayName="תאריך יצירה עברי" ma:internalName="DocumentCreateDateHebrew" ma:readOnly="false">
      <xsd:simpleType>
        <xsd:restriction base="dms:Text">
          <xsd:maxLength value="255"/>
        </xsd:restriction>
      </xsd:simpleType>
    </xsd:element>
    <xsd:element name="SignerName" ma:index="19" nillable="true" ma:displayName="שם חותם מסמך" ma:internalName="SignerName" ma:readOnly="false">
      <xsd:simpleType>
        <xsd:restriction base="dms:Text">
          <xsd:maxLength value="255"/>
        </xsd:restriction>
      </xsd:simpleType>
    </xsd:element>
    <xsd:element name="SignerItemID" ma:index="20" nillable="true" ma:displayName="חותם מזהה רשימה" ma:hidden="true" ma:internalName="SignerItemID" ma:readOnly="false">
      <xsd:simpleType>
        <xsd:restriction base="dms:Text">
          <xsd:maxLength value="255"/>
        </xsd:restriction>
      </xsd:simpleType>
    </xsd:element>
    <xsd:element name="SignerEmail" ma:index="21" nillable="true" ma:displayName="מייל של חותם" ma:internalName="SignerEmail" ma:readOnly="false">
      <xsd:simpleType>
        <xsd:restriction base="dms:Text">
          <xsd:maxLength value="255"/>
        </xsd:restriction>
      </xsd:simpleType>
    </xsd:element>
    <xsd:element name="SignerJobTitle" ma:index="22" nillable="true" ma:displayName="תפקיד של חותם" ma:internalName="SignerJobTitle" ma:readOnly="false">
      <xsd:simpleType>
        <xsd:restriction base="dms:Text">
          <xsd:maxLength value="255"/>
        </xsd:restriction>
      </xsd:simpleType>
    </xsd:element>
    <xsd:element name="SignerDepartment" ma:index="23" nillable="true" ma:displayName="יהידה של חותם" ma:internalName="SignerDepartment" ma:readOnly="false">
      <xsd:simpleType>
        <xsd:restriction base="dms:Text">
          <xsd:maxLength value="255"/>
        </xsd:restriction>
      </xsd:simpleType>
    </xsd:element>
    <xsd:element name="SignerWorkPhone" ma:index="24" nillable="true" ma:displayName="טלפון עבודה של חותם" ma:internalName="SignerWorkPhone" ma:readOnly="false">
      <xsd:simpleType>
        <xsd:restriction base="dms:Text">
          <xsd:maxLength value="255"/>
        </xsd:restriction>
      </xsd:simpleType>
    </xsd:element>
    <xsd:element name="SignerWorkFax" ma:index="25" nillable="true" ma:displayName="פקס של חותם" ma:internalName="SignerWorkFax" ma:readOnly="false">
      <xsd:simpleType>
        <xsd:restriction base="dms:Text">
          <xsd:maxLength value="255"/>
        </xsd:restriction>
      </xsd:simpleType>
    </xsd:element>
    <xsd:element name="RecipientsNameTO" ma:index="26" nillable="true" ma:displayName="רשימת שמות נמענים יעדים" ma:hidden="true" ma:internalName="RecipientsNameTO" ma:readOnly="false">
      <xsd:simpleType>
        <xsd:restriction base="dms:Note"/>
      </xsd:simpleType>
    </xsd:element>
    <xsd:element name="RecipientsMailTO" ma:index="27" nillable="true" ma:displayName="רשימת מיילים נמענים יעדים" ma:hidden="true" ma:internalName="RecipientsMailTO" ma:readOnly="false">
      <xsd:simpleType>
        <xsd:restriction base="dms:Note"/>
      </xsd:simpleType>
    </xsd:element>
    <xsd:element name="RecipientsNameCC" ma:index="28" nillable="true" ma:displayName="רשימת שמות נמענים נוספים" ma:hidden="true" ma:internalName="RecipientsNameCC" ma:readOnly="false">
      <xsd:simpleType>
        <xsd:restriction base="dms:Note"/>
      </xsd:simpleType>
    </xsd:element>
    <xsd:element name="RecipientsMailCC" ma:index="29" nillable="true" ma:displayName="רשימת מיילים נמענים נוספים" ma:hidden="true" ma:internalName="RecipientsMailCC" ma:readOnly="false">
      <xsd:simpleType>
        <xsd:restriction base="dms:Note"/>
      </xsd:simpleType>
    </xsd:element>
    <xsd:element name="RecipientsNameBCC" ma:index="30" nillable="true" ma:displayName="רשימת שמות נמענים מוסתרים" ma:hidden="true" ma:internalName="RecipientsNameBCC" ma:readOnly="false">
      <xsd:simpleType>
        <xsd:restriction base="dms:Note"/>
      </xsd:simpleType>
    </xsd:element>
    <xsd:element name="RecipientsMailBCC" ma:index="31" nillable="true" ma:displayName="רשימת מיילים נמענים מוסתרים" ma:hidden="true" ma:internalName="RecipientsMailBCC" ma:readOnly="false">
      <xsd:simpleType>
        <xsd:restriction base="dms:Note"/>
      </xsd:simpleType>
    </xsd:element>
    <xsd:element name="RecipientsMailSent" ma:index="32" nillable="true" ma:displayName="רשימת מיילים נשלחים" ma:hidden="true" ma:internalName="RecipientsMailSent" ma:readOnly="false">
      <xsd:simpleType>
        <xsd:restriction base="dms:Note"/>
      </xsd:simpleType>
    </xsd:element>
    <xsd:element name="CounterString" ma:index="33" nillable="true" ma:displayName="מס'" ma:decimals="0" ma:internalName="CounterString" ma:readOnly="false" ma:percentage="FALSE">
      <xsd:simpleType>
        <xsd:restriction base="dms:Number"/>
      </xsd:simpleType>
    </xsd:element>
    <xsd:element name="DocumentCounter" ma:index="34" nillable="true" ma:displayName="סימוכין מסמך" ma:internalName="DocumentCounter">
      <xsd:simpleType>
        <xsd:restriction base="dms:Text">
          <xsd:maxLength value="255"/>
        </xsd:restriction>
      </xsd:simpleType>
    </xsd:element>
    <xsd:element name="FullNameTO" ma:index="35" nillable="true" ma:displayName="רשימת שמות מלאים נמענים יעדים" ma:internalName="FullNameTO">
      <xsd:simpleType>
        <xsd:restriction base="dms:Note">
          <xsd:maxLength value="255"/>
        </xsd:restriction>
      </xsd:simpleType>
    </xsd:element>
    <xsd:element name="FullNameCC" ma:index="36" nillable="true" ma:displayName="רשימת שמות מלאים נמענים נוספים" ma:internalName="FullNameCC">
      <xsd:simpleType>
        <xsd:restriction base="dms:Note">
          <xsd:maxLength value="255"/>
        </xsd:restriction>
      </xsd:simpleType>
    </xsd:element>
    <xsd:element name="FullNameBCC" ma:index="37" nillable="true" ma:displayName="רשימת שמות מלאים נמענים מוסתרים" ma:hidden="true" ma:internalName="FullNameBCC" ma:readOnly="false">
      <xsd:simpleType>
        <xsd:restriction base="dms:Note"/>
      </xsd:simpleType>
    </xsd:element>
    <xsd:element name="AdditionalReaders" ma:index="38" nillable="true" ma:displayName="משתמשים בעלי הרשאות קריאה" ma:hidden="true" ma:internalName="AdditionalReaders" ma:readOnly="false">
      <xsd:simpleType>
        <xsd:restriction base="dms:Note"/>
      </xsd:simpleType>
    </xsd:element>
    <xsd:element name="PreviousAdditionalReaders" ma:index="39" nillable="true" ma:displayName="משתמשים בעלי הרשאות קריאה קודמים" ma:hidden="true" ma:internalName="PreviousAdditionalReaders" ma:readOnly="false">
      <xsd:simpleType>
        <xsd:restriction base="dms:Note"/>
      </xsd:simpleType>
    </xsd:element>
    <xsd:element name="AdditionalEditors" ma:index="40" nillable="true" ma:displayName="משתמשים בעלי הרשאות כתיבה" ma:hidden="true" ma:internalName="AdditionalEditors" ma:readOnly="false">
      <xsd:simpleType>
        <xsd:restriction base="dms:Note"/>
      </xsd:simpleType>
    </xsd:element>
    <xsd:element name="PreviousAdditionalEditors" ma:index="41" nillable="true" ma:displayName="משתמשים בעלי הרשאות כתיבה קודמים" ma:hidden="true" ma:internalName="PreviousAdditionalEditors" ma:readOnly="false">
      <xsd:simpleType>
        <xsd:restriction base="dms:Note"/>
      </xsd:simpleType>
    </xsd:element>
    <xsd:element name="SetDepartmentPermission" ma:index="42" nillable="true" ma:displayName="הרשאות לכל יחידה" ma:hidden="true" ma:internalName="SetDepartmentPermission" ma:readOnly="false">
      <xsd:simpleType>
        <xsd:restriction base="dms:Text">
          <xsd:maxLength value="255"/>
        </xsd:restriction>
      </xsd:simpleType>
    </xsd:element>
    <xsd:element name="DocumentLibraryName" ma:index="50" nillable="true" ma:displayName="שם מאגר מסמכים" ma:internalName="DocumentLibraryName">
      <xsd:simpleType>
        <xsd:restriction base="dms:Text">
          <xsd:maxLength value="255"/>
        </xsd:restriction>
      </xsd:simpleType>
    </xsd:element>
    <xsd:element name="FullNameAll" ma:index="51" nillable="true" ma:displayName="רשימת שמות" ma:hidden="true" ma:internalName="FullNameAll" ma:readOnly="false">
      <xsd:simpleType>
        <xsd:restriction base="dms:Note"/>
      </xsd:simpleType>
    </xsd:element>
    <xsd:element name="PermissionForUserGroup" ma:index="52" nillable="true" ma:displayName="הרשאה לקבוצת משתמשים" ma:hidden="true" ma:internalName="PermissionForUserGroup" ma:readOnly="false">
      <xsd:simpleType>
        <xsd:restriction base="dms:Text">
          <xsd:maxLength value="255"/>
        </xsd:restriction>
      </xsd:simpleType>
    </xsd:element>
    <xsd:element name="AdditionalReaderUsers" ma:index="55" nillable="true" ma:displayName="משתמשים נוספים עם הרשאות קריאה" ma:internalName="AdditionalReaderUsers">
      <xsd:simpleType>
        <xsd:restriction base="dms:Note"/>
      </xsd:simpleType>
    </xsd:element>
    <xsd:element name="AdditionalSigners" ma:index="56" nillable="true" ma:displayName="חותמים נוספים" ma:internalName="AdditionalSigners" ma:readOnly="false">
      <xsd:simpleType>
        <xsd:restriction base="dms:Note"/>
      </xsd:simpleType>
    </xsd:element>
    <xsd:element name="AdditionalWriters" ma:index="57" nillable="true" ma:displayName="מחברים נוספים" ma:internalName="AdditionalWriters" ma:readOnly="false">
      <xsd:simpleType>
        <xsd:restriction base="dms:Note"/>
      </xsd:simpleType>
    </xsd:element>
    <xsd:element name="DocumentCatalog" ma:index="58" nillable="true" ma:displayName="קטלוג" ma:internalName="DocumentCatalog">
      <xsd:simpleType>
        <xsd:restriction base="dms:Text">
          <xsd:maxLength value="255"/>
        </xsd:restriction>
      </xsd:simpleType>
    </xsd:element>
    <xsd:element name="DocumentCreateDate" ma:index="59" nillable="true" ma:displayName="תאריך יצירת מסמך" ma:format="DateOnly" ma:internalName="DocumentCreate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7b98568-e8c7-4058-bf31-e11803adaf85" elementFormDefault="qualified">
    <xsd:import namespace="http://schemas.microsoft.com/office/2006/documentManagement/types"/>
    <xsd:import namespace="http://schemas.microsoft.com/office/infopath/2007/PartnerControls"/>
    <xsd:element name="DocumentLinkHidden" ma:index="53" nillable="true" ma:displayName="תוכן לינקים למסמכים מוסתר" ma:hidden="true" ma:internalName="DocumentLinkHidden" ma:readOnly="false">
      <xsd:simpleType>
        <xsd:restriction base="dms:Note"/>
      </xsd:simpleType>
    </xsd:element>
    <xsd:element name="DocumentLinkHiddenPrevious" ma:index="54" nillable="true" ma:displayName="מסמכים מקושרים קודמים" ma:hidden="true" ma:internalName="DocumentLinkHiddenPreviou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8" ma:displayName="סוג תוכן"/>
        <xsd:element ref="dc:title" minOccurs="0" maxOccurs="1"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ignerName xmlns="8f5b83e0-a1d3-486c-bd07-833a425c74af">נעמה בא-גד</SignerName>
    <RecipientsNameBCC xmlns="8f5b83e0-a1d3-486c-bd07-833a425c74af">__________</RecipientsNameBCC>
    <FullNameCC xmlns="8f5b83e0-a1d3-486c-bd07-833a425c74af">.</FullNameCC>
    <DepartmentPermissionWasSet xmlns="8f5b83e0-a1d3-486c-bd07-833a425c74af" xsi:nil="true"/>
    <PreviousPublishingStatus xmlns="8f5b83e0-a1d3-486c-bd07-833a425c74af">Pending</PreviousPublishingStatus>
    <RecipientsNameTO xmlns="8f5b83e0-a1d3-486c-bd07-833a425c74af">אבי לוי,הנהלה,חן בר-יוסף,לשכת השר,מרינה מוגרמן,נחום יהושע,פנינה בלורי,אגף פיקוח ובטיחות</RecipientsNameTO>
    <SignerItemID xmlns="8f5b83e0-a1d3-486c-bd07-833a425c74af">-1</SignerItemID>
    <RecipientsMailTO xmlns="8f5b83e0-a1d3-486c-bd07-833a425c74af">alevy@energy.gov.il;Hanhala@energy.gov.il;cbaryoseph@energy.gov.il;sargrp@energy.gov.il;mtsipris@energy.gov.il;nahumy@energy.gov.il;pbaluri@energy.gov.il;asdas@energy.gov.il</RecipientsMailTO>
    <DocumentCatalog xmlns="8f5b83e0-a1d3-486c-bd07-833a425c74af" xsi:nil="true"/>
    <LastCheckInUser xmlns="8f5b83e0-a1d3-486c-bd07-833a425c74af">חשבון מערכת</LastCheckInUser>
    <PermissionForUserGroup xmlns="8f5b83e0-a1d3-486c-bd07-833a425c74af" xsi:nil="true"/>
    <SignerWorkPhone xmlns="8f5b83e0-a1d3-486c-bd07-833a425c74af">074-7681750</SignerWorkPhone>
    <CounterString xmlns="8f5b83e0-a1d3-486c-bd07-833a425c74af">58</CounterString>
    <AdditionalReaders xmlns="8f5b83e0-a1d3-486c-bd07-833a425c74af" xsi:nil="true"/>
    <PreviousAdditionalEditors xmlns="8f5b83e0-a1d3-486c-bd07-833a425c74af">mnidom\minhal_hadelek,mnidom\miriamv</PreviousAdditionalEditors>
    <SetDepartmentPermission xmlns="8f5b83e0-a1d3-486c-bd07-833a425c74af">1</SetDepartmentPermission>
    <AdditionalReaderUsers xmlns="8f5b83e0-a1d3-486c-bd07-833a425c74af" xsi:nil="true"/>
    <AdditionalEditors xmlns="8f5b83e0-a1d3-486c-bd07-833a425c74af">mnidom\minhal_hadelek,mnidom\miriamv</AdditionalEditors>
    <SignerJobTitle xmlns="8f5b83e0-a1d3-486c-bd07-833a425c74af">מינהל הדלק והגז</SignerJobTitle>
    <SignerDepartment xmlns="8f5b83e0-a1d3-486c-bd07-833a425c74af">מינהל הדלק והגז</SignerDepartment>
    <RecipientsNameCC xmlns="8f5b83e0-a1d3-486c-bd07-833a425c74af">__________</RecipientsNameCC>
    <FullNameBCC xmlns="8f5b83e0-a1d3-486c-bd07-833a425c74af">.</FullNameBCC>
    <FullNameAll xmlns="8f5b83e0-a1d3-486c-bd07-833a425c74af">מר אבי לוי - מרכז בכיר (רשות הדלק העליונה);הנהלה;מר חן בר-יוסף - מנהל מינהל הדלק;לשכת השר;גב' מרינה מוגרמן - מרכז (מידע סטטיסטי);נחום יהושע - כלכלן ראשי;גב' פנינה בלורי - מנהל מחלקה (כספים וחשבונות);אגף פיקוח ובטיחות~~</FullNameAll>
    <DocumentLinkHidden xmlns="87b98568-e8c7-4058-bf31-e11803adaf85" xsi:nil="true"/>
    <DocumentCreateDateEnglish xmlns="8f5b83e0-a1d3-486c-bd07-833a425c74af">25 באוגוסט 2026</DocumentCreateDateEnglish>
    <DocumentCreateDateHebrew xmlns="8f5b83e0-a1d3-486c-bd07-833a425c74af">י"ב באלול התשפ"ו</DocumentCreateDateHebrew>
    <SignerEmail xmlns="8f5b83e0-a1d3-486c-bd07-833a425c74af">naamab@energy.gov.il</SignerEmail>
    <FullNameTO xmlns="8f5b83e0-a1d3-486c-bd07-833a425c74af">מר אבי לוי - מרכז בכיר (רשות הדלק העליונה) 
 הנהלה 
 מר חן בר-יוסף - מנהל מינהל הדלק 
 לשכת השר 
 גב' מרינה מוגרמן - מרכז (מידע סטטיסטי) 
 נחום יהושע - כלכלן ראשי 
 גב' פנינה בלורי - מנהל מחלקה (כספים וחשבונות) 
 אגף פיקוח ובטיחות</FullNameTO>
    <AdditionalSigners xmlns="8f5b83e0-a1d3-486c-bd07-833a425c74af" xsi:nil="true"/>
    <SignerWorkFax xmlns="8f5b83e0-a1d3-486c-bd07-833a425c74af">__________</SignerWorkFax>
    <LastCheckOutUser xmlns="8f5b83e0-a1d3-486c-bd07-833a425c74af">נעמה בא-גד</LastCheckOutUser>
    <SubjectDocument xmlns="8f5b83e0-a1d3-486c-bd07-833a425c74af">מבנה מחיר לחודש ספטמבר 2026</SubjectDocument>
    <AdditionalWriters xmlns="8f5b83e0-a1d3-486c-bd07-833a425c74af" xsi:nil="true"/>
    <WriterName xmlns="8f5b83e0-a1d3-486c-bd07-833a425c74af">נעמה בא-גד</WriterName>
    <DocumentLibraryName xmlns="8f5b83e0-a1d3-486c-bd07-833a425c74af">מבנה מחיר</DocumentLibraryName>
    <PreviousAdditionalReaders xmlns="8f5b83e0-a1d3-486c-bd07-833a425c74af" xsi:nil="true"/>
    <LastPublishDate xmlns="8f5b83e0-a1d3-486c-bd07-833a425c74af" xsi:nil="true"/>
    <LastLockDate xmlns="8f5b83e0-a1d3-486c-bd07-833a425c74af" xsi:nil="true"/>
    <LastLockUser xmlns="8f5b83e0-a1d3-486c-bd07-833a425c74af" xsi:nil="true"/>
    <RecipientsMailBCC xmlns="8f5b83e0-a1d3-486c-bd07-833a425c74af" xsi:nil="true"/>
    <RecipientsMailSent xmlns="8f5b83e0-a1d3-486c-bd07-833a425c74af" xsi:nil="true"/>
    <DocumentLinkHiddenPrevious xmlns="87b98568-e8c7-4058-bf31-e11803adaf85" xsi:nil="true"/>
    <DocumentWorkInstrument xmlns="8f5b83e0-a1d3-486c-bd07-833a425c74af" xsi:nil="true"/>
    <DocumentCreateDate xmlns="8f5b83e0-a1d3-486c-bd07-833a425c74af">2026-08-25T00:00:00+00:00</DocumentCreateDate>
    <LastCheckOutDate xmlns="8f5b83e0-a1d3-486c-bd07-833a425c74af">25/08/2026 11:52;35</LastCheckOutDate>
    <RecipientsMailCC xmlns="8f5b83e0-a1d3-486c-bd07-833a425c74af" xsi:nil="true"/>
    <DocumentWordTemplate xmlns="8f5b83e0-a1d3-486c-bd07-833a425c74af" xsi:nil="true"/>
    <CurrentDocumentStatus xmlns="8f5b83e0-a1d3-486c-bd07-833a425c74af">עבודה</CurrentDocumentStatus>
    <LastCheckInDate xmlns="8f5b83e0-a1d3-486c-bd07-833a425c74af">25/08/2026 11:52;36</LastCheckInDate>
    <DocumentCounter xmlns="8f5b83e0-a1d3-486c-bd07-833a425c74af">ממח_58_2026</DocumentCounter>
    <LastPublishUser xmlns="8f5b83e0-a1d3-486c-bd07-833a425c74af"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False</openByDefault>
  <xsnScope>http://moss/DocumentManagementSite</xsnScope>
</customXsn>
</file>

<file path=customXml/itemProps1.xml><?xml version="1.0" encoding="utf-8"?>
<ds:datastoreItem xmlns:ds="http://schemas.openxmlformats.org/officeDocument/2006/customXml" ds:itemID="{5DB7346D-BC3F-4078-8944-12C2C29C58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5b83e0-a1d3-486c-bd07-833a425c74af"/>
    <ds:schemaRef ds:uri="87b98568-e8c7-4058-bf31-e11803adaf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0FC6EA-8870-487A-8242-318E0CF780E6}">
  <ds:schemaRefs>
    <ds:schemaRef ds:uri="http://schemas.microsoft.com/office/2006/metadata/properties"/>
    <ds:schemaRef ds:uri="http://schemas.microsoft.com/office/infopath/2007/PartnerControls"/>
    <ds:schemaRef ds:uri="8f5b83e0-a1d3-486c-bd07-833a425c74af"/>
    <ds:schemaRef ds:uri="87b98568-e8c7-4058-bf31-e11803adaf85"/>
  </ds:schemaRefs>
</ds:datastoreItem>
</file>

<file path=customXml/itemProps3.xml><?xml version="1.0" encoding="utf-8"?>
<ds:datastoreItem xmlns:ds="http://schemas.openxmlformats.org/officeDocument/2006/customXml" ds:itemID="{D8EAEDBA-9D0D-4566-8C36-AD2A95A3E458}">
  <ds:schemaRefs>
    <ds:schemaRef ds:uri="http://schemas.microsoft.com/office/2006/metadata/longProperties"/>
  </ds:schemaRefs>
</ds:datastoreItem>
</file>

<file path=customXml/itemProps4.xml><?xml version="1.0" encoding="utf-8"?>
<ds:datastoreItem xmlns:ds="http://schemas.openxmlformats.org/officeDocument/2006/customXml" ds:itemID="{0E47AB82-77C3-4D5B-9576-07916BFE5550}">
  <ds:schemaRefs>
    <ds:schemaRef ds:uri="http://schemas.microsoft.com/sharepoint/v3/contenttype/forms"/>
  </ds:schemaRefs>
</ds:datastoreItem>
</file>

<file path=customXml/itemProps5.xml><?xml version="1.0" encoding="utf-8"?>
<ds:datastoreItem xmlns:ds="http://schemas.openxmlformats.org/officeDocument/2006/customXml" ds:itemID="{C3BA7E5D-8708-4C97-A07F-0AD618FA2DD2}">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17</vt:i4>
      </vt:variant>
      <vt:variant>
        <vt:lpstr>טווחים בעלי שם</vt:lpstr>
      </vt:variant>
      <vt:variant>
        <vt:i4>25</vt:i4>
      </vt:variant>
    </vt:vector>
  </HeadingPairs>
  <TitlesOfParts>
    <vt:vector size="42" baseType="lpstr">
      <vt:lpstr>דף מקדים</vt:lpstr>
      <vt:lpstr>תוכן עניינים</vt:lpstr>
      <vt:lpstr>1</vt:lpstr>
      <vt:lpstr>2</vt:lpstr>
      <vt:lpstr>3</vt:lpstr>
      <vt:lpstr>4</vt:lpstr>
      <vt:lpstr>5</vt:lpstr>
      <vt:lpstr>6</vt:lpstr>
      <vt:lpstr>7</vt:lpstr>
      <vt:lpstr>8</vt:lpstr>
      <vt:lpstr>9</vt:lpstr>
      <vt:lpstr>10</vt:lpstr>
      <vt:lpstr>11</vt:lpstr>
      <vt:lpstr>12</vt:lpstr>
      <vt:lpstr>13</vt:lpstr>
      <vt:lpstr>14</vt:lpstr>
      <vt:lpstr>15</vt:lpstr>
      <vt:lpstr>AhuzTosaf</vt:lpstr>
      <vt:lpstr>Bituach</vt:lpstr>
      <vt:lpstr>Maam</vt:lpstr>
      <vt:lpstr>mekadem</vt:lpstr>
      <vt:lpstr>MlayTifuli</vt:lpstr>
      <vt:lpstr>Tosaf</vt:lpstr>
      <vt:lpstr>Tosf</vt:lpstr>
      <vt:lpstr>ValidDate</vt:lpstr>
      <vt:lpstr>'1'!WPrint_Area_W</vt:lpstr>
      <vt:lpstr>'10'!WPrint_Area_W</vt:lpstr>
      <vt:lpstr>'11'!WPrint_Area_W</vt:lpstr>
      <vt:lpstr>'13'!WPrint_Area_W</vt:lpstr>
      <vt:lpstr>'14'!WPrint_Area_W</vt:lpstr>
      <vt:lpstr>'15'!WPrint_Area_W</vt:lpstr>
      <vt:lpstr>'2'!WPrint_Area_W</vt:lpstr>
      <vt:lpstr>'3'!WPrint_Area_W</vt:lpstr>
      <vt:lpstr>'4'!WPrint_Area_W</vt:lpstr>
      <vt:lpstr>'5'!WPrint_Area_W</vt:lpstr>
      <vt:lpstr>'6'!WPrint_Area_W</vt:lpstr>
      <vt:lpstr>'7'!WPrint_Area_W</vt:lpstr>
      <vt:lpstr>'8'!WPrint_Area_W</vt:lpstr>
      <vt:lpstr>'9'!WPrint_Area_W</vt:lpstr>
      <vt:lpstr>'דף מקדים'!WPrint_Area_W</vt:lpstr>
      <vt:lpstr>'תוכן עניינים'!WPrint_Area_W</vt:lpstr>
      <vt:lpstr>Yazig</vt:lpstr>
    </vt:vector>
  </TitlesOfParts>
  <Manager>מנהל הדלק</Manager>
  <Company>משרד התשתיות הלאומיות</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מבנה מחיר הדלק</dc:title>
  <dc:subject>מבנה מחיר הדלק</dc:subject>
  <dc:creator>נעמה בא-גד</dc:creator>
  <cp:lastModifiedBy>נעמה בא-גד</cp:lastModifiedBy>
  <cp:lastPrinted>2018-12-31T08:30:13Z</cp:lastPrinted>
  <dcterms:created xsi:type="dcterms:W3CDTF">2004-08-01T11:13:24Z</dcterms:created>
  <dcterms:modified xsi:type="dcterms:W3CDTF">2026-09-29T18:51:46Z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InternalName">
    <vt:lpwstr>MMH_58_2026</vt:lpwstr>
  </property>
  <property fmtid="{D5CDD505-2E9C-101B-9397-08002B2CF9AE}" pid="3" name="ContentTypeId">
    <vt:lpwstr>0x0101003CBAFB7F4A7FF54FB9D64543F2EA55D24300E7E6CDD623F8D74B8AB63BCBBA447C27</vt:lpwstr>
  </property>
  <property fmtid="{D5CDD505-2E9C-101B-9397-08002B2CF9AE}" pid="4" name="Order">
    <vt:lpwstr>8700.00000000000</vt:lpwstr>
  </property>
  <property fmtid="{D5CDD505-2E9C-101B-9397-08002B2CF9AE}" pid="5" name="xd_ProgID">
    <vt:lpwstr/>
  </property>
  <property fmtid="{D5CDD505-2E9C-101B-9397-08002B2CF9AE}" pid="6" name="TemplateUrl">
    <vt:lpwstr/>
  </property>
  <property fmtid="{D5CDD505-2E9C-101B-9397-08002B2CF9AE}" pid="7" name="ContentType">
    <vt:lpwstr>תבנית קובץ חיצוני</vt:lpwstr>
  </property>
  <property fmtid="{D5CDD505-2E9C-101B-9397-08002B2CF9AE}" pid="8" name="SignerID1">
    <vt:lpwstr/>
  </property>
  <property fmtid="{D5CDD505-2E9C-101B-9397-08002B2CF9AE}" pid="9" name="display_urn:schemas-microsoft-com:office:office#Editor">
    <vt:lpwstr>יוסף נתנזון</vt:lpwstr>
  </property>
  <property fmtid="{D5CDD505-2E9C-101B-9397-08002B2CF9AE}" pid="10" name="display_urn:schemas-microsoft-com:office:office#Author">
    <vt:lpwstr>יוסף נתנזון</vt:lpwstr>
  </property>
</Properties>
</file>