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פניות חופש מידע\פניות חופש מידע 2024\עדי 2024\מענים\תמיר שרעבי\"/>
    </mc:Choice>
  </mc:AlternateContent>
  <bookViews>
    <workbookView xWindow="0" yWindow="0" windowWidth="28800" windowHeight="12330" firstSheet="2" activeTab="2"/>
  </bookViews>
  <sheets>
    <sheet name="תקציב לשנת 2023" sheetId="1" r:id="rId1"/>
    <sheet name="קריטריונים ונקודות לשנת 2023 " sheetId="2" r:id="rId2"/>
    <sheet name="תקציב 2022" sheetId="4" r:id="rId3"/>
    <sheet name="קריטריונים ונקודות לשנת 2022" sheetId="3" r:id="rId4"/>
  </sheets>
  <externalReferences>
    <externalReference r:id="rId5"/>
    <externalReference r:id="rId6"/>
    <externalReference r:id="rId7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6" i="4" l="1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C48" i="4" s="1"/>
  <c r="T54" i="3"/>
  <c r="S54" i="3"/>
  <c r="AL52" i="3"/>
  <c r="AI52" i="3"/>
  <c r="AA52" i="3"/>
  <c r="Y52" i="3"/>
  <c r="O52" i="3"/>
  <c r="M52" i="3"/>
  <c r="N52" i="3" s="1"/>
  <c r="P52" i="3" s="1"/>
  <c r="K52" i="3"/>
  <c r="I52" i="3"/>
  <c r="H52" i="3"/>
  <c r="F52" i="3"/>
  <c r="AE52" i="3" s="1"/>
  <c r="AG52" i="3" s="1"/>
  <c r="D52" i="3"/>
  <c r="C52" i="3"/>
  <c r="G52" i="3" s="1"/>
  <c r="AH51" i="3"/>
  <c r="AI51" i="3" s="1"/>
  <c r="AF51" i="3"/>
  <c r="AA51" i="3"/>
  <c r="Y51" i="3"/>
  <c r="W51" i="3"/>
  <c r="T51" i="3"/>
  <c r="S51" i="3"/>
  <c r="P51" i="3"/>
  <c r="O51" i="3"/>
  <c r="N51" i="3"/>
  <c r="M51" i="3"/>
  <c r="J51" i="3"/>
  <c r="E51" i="3"/>
  <c r="I51" i="3" s="1"/>
  <c r="D51" i="3"/>
  <c r="H51" i="3" s="1"/>
  <c r="C51" i="3"/>
  <c r="G51" i="3" s="1"/>
  <c r="AI50" i="3"/>
  <c r="AH50" i="3"/>
  <c r="AF50" i="3"/>
  <c r="AA50" i="3"/>
  <c r="Y50" i="3"/>
  <c r="W50" i="3"/>
  <c r="T50" i="3"/>
  <c r="S50" i="3"/>
  <c r="R50" i="3"/>
  <c r="U50" i="3" s="1"/>
  <c r="O50" i="3"/>
  <c r="N50" i="3"/>
  <c r="M50" i="3"/>
  <c r="J50" i="3"/>
  <c r="E50" i="3"/>
  <c r="I50" i="3" s="1"/>
  <c r="D50" i="3"/>
  <c r="H50" i="3" s="1"/>
  <c r="C50" i="3"/>
  <c r="F50" i="3" s="1"/>
  <c r="AE50" i="3" s="1"/>
  <c r="AG50" i="3" s="1"/>
  <c r="AH49" i="3"/>
  <c r="AI49" i="3" s="1"/>
  <c r="AF49" i="3"/>
  <c r="AA49" i="3"/>
  <c r="Y49" i="3"/>
  <c r="W49" i="3"/>
  <c r="T49" i="3"/>
  <c r="S49" i="3"/>
  <c r="R49" i="3"/>
  <c r="U49" i="3" s="1"/>
  <c r="O49" i="3"/>
  <c r="N49" i="3"/>
  <c r="P49" i="3" s="1"/>
  <c r="M49" i="3"/>
  <c r="J49" i="3"/>
  <c r="F49" i="3"/>
  <c r="AE49" i="3" s="1"/>
  <c r="AG49" i="3" s="1"/>
  <c r="E49" i="3"/>
  <c r="I49" i="3" s="1"/>
  <c r="D49" i="3"/>
  <c r="H49" i="3" s="1"/>
  <c r="C49" i="3"/>
  <c r="G49" i="3" s="1"/>
  <c r="AH48" i="3"/>
  <c r="AI48" i="3" s="1"/>
  <c r="AF48" i="3"/>
  <c r="AA48" i="3"/>
  <c r="Y48" i="3"/>
  <c r="W48" i="3"/>
  <c r="U48" i="3"/>
  <c r="T48" i="3"/>
  <c r="S48" i="3"/>
  <c r="R48" i="3"/>
  <c r="O48" i="3"/>
  <c r="M48" i="3"/>
  <c r="N48" i="3" s="1"/>
  <c r="P48" i="3" s="1"/>
  <c r="J48" i="3"/>
  <c r="I48" i="3"/>
  <c r="E48" i="3"/>
  <c r="D48" i="3"/>
  <c r="H48" i="3" s="1"/>
  <c r="C48" i="3"/>
  <c r="G48" i="3" s="1"/>
  <c r="AK47" i="3"/>
  <c r="AK53" i="3" s="1"/>
  <c r="AH47" i="3"/>
  <c r="AI47" i="3" s="1"/>
  <c r="AF47" i="3"/>
  <c r="AA47" i="3"/>
  <c r="Y47" i="3"/>
  <c r="W47" i="3"/>
  <c r="U47" i="3"/>
  <c r="T47" i="3"/>
  <c r="S47" i="3"/>
  <c r="R47" i="3"/>
  <c r="O47" i="3"/>
  <c r="M47" i="3"/>
  <c r="N47" i="3" s="1"/>
  <c r="P47" i="3" s="1"/>
  <c r="J47" i="3"/>
  <c r="I47" i="3"/>
  <c r="E47" i="3"/>
  <c r="D47" i="3"/>
  <c r="H47" i="3" s="1"/>
  <c r="C47" i="3"/>
  <c r="G47" i="3" s="1"/>
  <c r="AH46" i="3"/>
  <c r="AI46" i="3" s="1"/>
  <c r="AF46" i="3"/>
  <c r="AA46" i="3"/>
  <c r="Y46" i="3"/>
  <c r="W46" i="3"/>
  <c r="T46" i="3"/>
  <c r="S46" i="3"/>
  <c r="R46" i="3"/>
  <c r="P46" i="3"/>
  <c r="O46" i="3"/>
  <c r="N46" i="3"/>
  <c r="M46" i="3"/>
  <c r="J46" i="3"/>
  <c r="E46" i="3"/>
  <c r="I46" i="3" s="1"/>
  <c r="D46" i="3"/>
  <c r="H46" i="3" s="1"/>
  <c r="C46" i="3"/>
  <c r="G46" i="3" s="1"/>
  <c r="AI45" i="3"/>
  <c r="AH45" i="3"/>
  <c r="AF45" i="3"/>
  <c r="AE45" i="3"/>
  <c r="AG45" i="3" s="1"/>
  <c r="AA45" i="3"/>
  <c r="Y45" i="3"/>
  <c r="W45" i="3"/>
  <c r="T45" i="3"/>
  <c r="S45" i="3"/>
  <c r="R45" i="3"/>
  <c r="U45" i="3" s="1"/>
  <c r="O45" i="3"/>
  <c r="N45" i="3"/>
  <c r="P45" i="3" s="1"/>
  <c r="M45" i="3"/>
  <c r="J45" i="3"/>
  <c r="G45" i="3"/>
  <c r="K45" i="3" s="1"/>
  <c r="E45" i="3"/>
  <c r="I45" i="3" s="1"/>
  <c r="D45" i="3"/>
  <c r="H45" i="3" s="1"/>
  <c r="C45" i="3"/>
  <c r="F45" i="3" s="1"/>
  <c r="AH44" i="3"/>
  <c r="AI44" i="3" s="1"/>
  <c r="AF44" i="3"/>
  <c r="AA44" i="3"/>
  <c r="Y44" i="3"/>
  <c r="W44" i="3"/>
  <c r="T44" i="3"/>
  <c r="S44" i="3"/>
  <c r="R44" i="3"/>
  <c r="U44" i="3" s="1"/>
  <c r="O44" i="3"/>
  <c r="N44" i="3"/>
  <c r="P44" i="3" s="1"/>
  <c r="M44" i="3"/>
  <c r="J44" i="3"/>
  <c r="F44" i="3"/>
  <c r="AE44" i="3" s="1"/>
  <c r="AG44" i="3" s="1"/>
  <c r="E44" i="3"/>
  <c r="I44" i="3" s="1"/>
  <c r="D44" i="3"/>
  <c r="H44" i="3" s="1"/>
  <c r="C44" i="3"/>
  <c r="G44" i="3" s="1"/>
  <c r="AH43" i="3"/>
  <c r="AI43" i="3" s="1"/>
  <c r="AF43" i="3"/>
  <c r="AA43" i="3"/>
  <c r="Y43" i="3"/>
  <c r="W43" i="3"/>
  <c r="U43" i="3"/>
  <c r="T43" i="3"/>
  <c r="S43" i="3"/>
  <c r="R43" i="3"/>
  <c r="O43" i="3"/>
  <c r="M43" i="3"/>
  <c r="N43" i="3" s="1"/>
  <c r="P43" i="3" s="1"/>
  <c r="J43" i="3"/>
  <c r="E43" i="3"/>
  <c r="I43" i="3" s="1"/>
  <c r="D43" i="3"/>
  <c r="H43" i="3" s="1"/>
  <c r="C43" i="3"/>
  <c r="G43" i="3" s="1"/>
  <c r="AH42" i="3"/>
  <c r="AI42" i="3" s="1"/>
  <c r="AF42" i="3"/>
  <c r="AA42" i="3"/>
  <c r="Y42" i="3"/>
  <c r="W42" i="3"/>
  <c r="T42" i="3"/>
  <c r="S42" i="3"/>
  <c r="R42" i="3"/>
  <c r="P42" i="3"/>
  <c r="O42" i="3"/>
  <c r="N42" i="3"/>
  <c r="M42" i="3"/>
  <c r="J42" i="3"/>
  <c r="H42" i="3"/>
  <c r="E42" i="3"/>
  <c r="I42" i="3" s="1"/>
  <c r="D42" i="3"/>
  <c r="C42" i="3"/>
  <c r="G42" i="3" s="1"/>
  <c r="AI41" i="3"/>
  <c r="AH41" i="3"/>
  <c r="AF41" i="3"/>
  <c r="AA41" i="3"/>
  <c r="Y41" i="3"/>
  <c r="W41" i="3"/>
  <c r="T41" i="3"/>
  <c r="S41" i="3"/>
  <c r="R41" i="3"/>
  <c r="U41" i="3" s="1"/>
  <c r="O41" i="3"/>
  <c r="N41" i="3"/>
  <c r="P41" i="3" s="1"/>
  <c r="M41" i="3"/>
  <c r="J41" i="3"/>
  <c r="F41" i="3"/>
  <c r="AE41" i="3" s="1"/>
  <c r="AG41" i="3" s="1"/>
  <c r="E41" i="3"/>
  <c r="I41" i="3" s="1"/>
  <c r="K41" i="3" s="1"/>
  <c r="D41" i="3"/>
  <c r="H41" i="3" s="1"/>
  <c r="C41" i="3"/>
  <c r="G41" i="3" s="1"/>
  <c r="AH40" i="3"/>
  <c r="AI40" i="3" s="1"/>
  <c r="AF40" i="3"/>
  <c r="AA40" i="3"/>
  <c r="Y40" i="3"/>
  <c r="W40" i="3"/>
  <c r="U40" i="3"/>
  <c r="T40" i="3"/>
  <c r="S40" i="3"/>
  <c r="R40" i="3"/>
  <c r="O40" i="3"/>
  <c r="N40" i="3"/>
  <c r="P40" i="3" s="1"/>
  <c r="M40" i="3"/>
  <c r="J40" i="3"/>
  <c r="I40" i="3"/>
  <c r="F40" i="3"/>
  <c r="AE40" i="3" s="1"/>
  <c r="AG40" i="3" s="1"/>
  <c r="E40" i="3"/>
  <c r="D40" i="3"/>
  <c r="H40" i="3" s="1"/>
  <c r="C40" i="3"/>
  <c r="G40" i="3" s="1"/>
  <c r="AH39" i="3"/>
  <c r="AI39" i="3" s="1"/>
  <c r="AF39" i="3"/>
  <c r="AG39" i="3" s="1"/>
  <c r="AA39" i="3"/>
  <c r="Y39" i="3"/>
  <c r="W39" i="3"/>
  <c r="T39" i="3"/>
  <c r="U39" i="3" s="1"/>
  <c r="S39" i="3"/>
  <c r="R39" i="3"/>
  <c r="P39" i="3"/>
  <c r="O39" i="3"/>
  <c r="M39" i="3"/>
  <c r="N39" i="3" s="1"/>
  <c r="J39" i="3"/>
  <c r="I39" i="3"/>
  <c r="H39" i="3"/>
  <c r="G39" i="3"/>
  <c r="K39" i="3" s="1"/>
  <c r="E39" i="3"/>
  <c r="D39" i="3"/>
  <c r="C39" i="3"/>
  <c r="F39" i="3" s="1"/>
  <c r="AE39" i="3" s="1"/>
  <c r="AH38" i="3"/>
  <c r="AI38" i="3" s="1"/>
  <c r="AF38" i="3"/>
  <c r="AA38" i="3"/>
  <c r="Y38" i="3"/>
  <c r="W38" i="3"/>
  <c r="T38" i="3"/>
  <c r="S38" i="3"/>
  <c r="U38" i="3" s="1"/>
  <c r="R38" i="3"/>
  <c r="O38" i="3"/>
  <c r="M38" i="3"/>
  <c r="N38" i="3" s="1"/>
  <c r="J38" i="3"/>
  <c r="G38" i="3"/>
  <c r="K38" i="3" s="1"/>
  <c r="E38" i="3"/>
  <c r="I38" i="3" s="1"/>
  <c r="D38" i="3"/>
  <c r="H38" i="3" s="1"/>
  <c r="C38" i="3"/>
  <c r="F38" i="3" s="1"/>
  <c r="AE38" i="3" s="1"/>
  <c r="AH37" i="3"/>
  <c r="AI37" i="3" s="1"/>
  <c r="AF37" i="3"/>
  <c r="AA37" i="3"/>
  <c r="Y37" i="3"/>
  <c r="W37" i="3"/>
  <c r="T37" i="3"/>
  <c r="S37" i="3"/>
  <c r="R37" i="3"/>
  <c r="U37" i="3" s="1"/>
  <c r="O37" i="3"/>
  <c r="N37" i="3"/>
  <c r="P37" i="3" s="1"/>
  <c r="M37" i="3"/>
  <c r="J37" i="3"/>
  <c r="F37" i="3"/>
  <c r="AE37" i="3" s="1"/>
  <c r="E37" i="3"/>
  <c r="I37" i="3" s="1"/>
  <c r="D37" i="3"/>
  <c r="H37" i="3" s="1"/>
  <c r="C37" i="3"/>
  <c r="G37" i="3" s="1"/>
  <c r="AH36" i="3"/>
  <c r="AI36" i="3" s="1"/>
  <c r="AF36" i="3"/>
  <c r="AA36" i="3"/>
  <c r="Y36" i="3"/>
  <c r="W36" i="3"/>
  <c r="U36" i="3"/>
  <c r="T36" i="3"/>
  <c r="S36" i="3"/>
  <c r="R36" i="3"/>
  <c r="O36" i="3"/>
  <c r="M36" i="3"/>
  <c r="N36" i="3" s="1"/>
  <c r="P36" i="3" s="1"/>
  <c r="J36" i="3"/>
  <c r="E36" i="3"/>
  <c r="F36" i="3" s="1"/>
  <c r="AE36" i="3" s="1"/>
  <c r="AG36" i="3" s="1"/>
  <c r="D36" i="3"/>
  <c r="H36" i="3" s="1"/>
  <c r="C36" i="3"/>
  <c r="G36" i="3" s="1"/>
  <c r="AH35" i="3"/>
  <c r="AI35" i="3" s="1"/>
  <c r="AF35" i="3"/>
  <c r="AA35" i="3"/>
  <c r="Y35" i="3"/>
  <c r="T35" i="3"/>
  <c r="S35" i="3"/>
  <c r="U35" i="3" s="1"/>
  <c r="R35" i="3"/>
  <c r="O35" i="3"/>
  <c r="M35" i="3"/>
  <c r="N35" i="3" s="1"/>
  <c r="P35" i="3" s="1"/>
  <c r="J35" i="3"/>
  <c r="E35" i="3"/>
  <c r="I35" i="3" s="1"/>
  <c r="D35" i="3"/>
  <c r="H35" i="3" s="1"/>
  <c r="C35" i="3"/>
  <c r="F35" i="3" s="1"/>
  <c r="AE35" i="3" s="1"/>
  <c r="AH34" i="3"/>
  <c r="AI34" i="3" s="1"/>
  <c r="AF34" i="3"/>
  <c r="AA34" i="3"/>
  <c r="Y34" i="3"/>
  <c r="W34" i="3"/>
  <c r="T34" i="3"/>
  <c r="S34" i="3"/>
  <c r="R34" i="3"/>
  <c r="U34" i="3" s="1"/>
  <c r="O34" i="3"/>
  <c r="N34" i="3"/>
  <c r="M34" i="3"/>
  <c r="J34" i="3"/>
  <c r="F34" i="3"/>
  <c r="AE34" i="3" s="1"/>
  <c r="E34" i="3"/>
  <c r="I34" i="3" s="1"/>
  <c r="D34" i="3"/>
  <c r="H34" i="3" s="1"/>
  <c r="C34" i="3"/>
  <c r="G34" i="3" s="1"/>
  <c r="AH33" i="3"/>
  <c r="AI33" i="3" s="1"/>
  <c r="AF33" i="3"/>
  <c r="AA33" i="3"/>
  <c r="Y33" i="3"/>
  <c r="W33" i="3"/>
  <c r="T33" i="3"/>
  <c r="S33" i="3"/>
  <c r="R33" i="3"/>
  <c r="U33" i="3" s="1"/>
  <c r="O33" i="3"/>
  <c r="M33" i="3"/>
  <c r="N33" i="3" s="1"/>
  <c r="P33" i="3" s="1"/>
  <c r="J33" i="3"/>
  <c r="E33" i="3"/>
  <c r="I33" i="3" s="1"/>
  <c r="D33" i="3"/>
  <c r="H33" i="3" s="1"/>
  <c r="C33" i="3"/>
  <c r="G33" i="3" s="1"/>
  <c r="AH32" i="3"/>
  <c r="AI32" i="3" s="1"/>
  <c r="AF32" i="3"/>
  <c r="AG32" i="3" s="1"/>
  <c r="AA32" i="3"/>
  <c r="Y32" i="3"/>
  <c r="W32" i="3"/>
  <c r="T32" i="3"/>
  <c r="U32" i="3" s="1"/>
  <c r="S32" i="3"/>
  <c r="R32" i="3"/>
  <c r="P32" i="3"/>
  <c r="O32" i="3"/>
  <c r="M32" i="3"/>
  <c r="N32" i="3" s="1"/>
  <c r="J32" i="3"/>
  <c r="I32" i="3"/>
  <c r="E32" i="3"/>
  <c r="D32" i="3"/>
  <c r="F32" i="3" s="1"/>
  <c r="AE32" i="3" s="1"/>
  <c r="C32" i="3"/>
  <c r="G32" i="3" s="1"/>
  <c r="AI31" i="3"/>
  <c r="AH31" i="3"/>
  <c r="AF31" i="3"/>
  <c r="AA31" i="3"/>
  <c r="Y31" i="3"/>
  <c r="W31" i="3"/>
  <c r="T31" i="3"/>
  <c r="S31" i="3"/>
  <c r="U31" i="3" s="1"/>
  <c r="R31" i="3"/>
  <c r="O31" i="3"/>
  <c r="M31" i="3"/>
  <c r="N31" i="3" s="1"/>
  <c r="P31" i="3" s="1"/>
  <c r="J31" i="3"/>
  <c r="H31" i="3"/>
  <c r="E31" i="3"/>
  <c r="I31" i="3" s="1"/>
  <c r="D31" i="3"/>
  <c r="C31" i="3"/>
  <c r="F31" i="3" s="1"/>
  <c r="AE31" i="3" s="1"/>
  <c r="AH30" i="3"/>
  <c r="AI30" i="3" s="1"/>
  <c r="AF30" i="3"/>
  <c r="AA30" i="3"/>
  <c r="Y30" i="3"/>
  <c r="W30" i="3"/>
  <c r="T30" i="3"/>
  <c r="S30" i="3"/>
  <c r="R30" i="3"/>
  <c r="O30" i="3"/>
  <c r="N30" i="3"/>
  <c r="P30" i="3" s="1"/>
  <c r="M30" i="3"/>
  <c r="J30" i="3"/>
  <c r="E30" i="3"/>
  <c r="I30" i="3" s="1"/>
  <c r="D30" i="3"/>
  <c r="H30" i="3" s="1"/>
  <c r="C30" i="3"/>
  <c r="G30" i="3" s="1"/>
  <c r="AI29" i="3"/>
  <c r="AH29" i="3"/>
  <c r="AF29" i="3"/>
  <c r="AA29" i="3"/>
  <c r="Y29" i="3"/>
  <c r="W29" i="3"/>
  <c r="T29" i="3"/>
  <c r="S29" i="3"/>
  <c r="U29" i="3" s="1"/>
  <c r="R29" i="3"/>
  <c r="O29" i="3"/>
  <c r="N29" i="3"/>
  <c r="P29" i="3" s="1"/>
  <c r="M29" i="3"/>
  <c r="J29" i="3"/>
  <c r="I29" i="3"/>
  <c r="F29" i="3"/>
  <c r="AE29" i="3" s="1"/>
  <c r="AG29" i="3" s="1"/>
  <c r="E29" i="3"/>
  <c r="D29" i="3"/>
  <c r="H29" i="3" s="1"/>
  <c r="C29" i="3"/>
  <c r="G29" i="3" s="1"/>
  <c r="K29" i="3" s="1"/>
  <c r="AH28" i="3"/>
  <c r="AI28" i="3" s="1"/>
  <c r="AF28" i="3"/>
  <c r="AA28" i="3"/>
  <c r="Y28" i="3"/>
  <c r="W28" i="3"/>
  <c r="U28" i="3"/>
  <c r="T28" i="3"/>
  <c r="S28" i="3"/>
  <c r="R28" i="3"/>
  <c r="O28" i="3"/>
  <c r="M28" i="3"/>
  <c r="N28" i="3" s="1"/>
  <c r="P28" i="3" s="1"/>
  <c r="J28" i="3"/>
  <c r="H28" i="3"/>
  <c r="E28" i="3"/>
  <c r="I28" i="3" s="1"/>
  <c r="D28" i="3"/>
  <c r="F28" i="3" s="1"/>
  <c r="AE28" i="3" s="1"/>
  <c r="C28" i="3"/>
  <c r="G28" i="3" s="1"/>
  <c r="AI27" i="3"/>
  <c r="AH27" i="3"/>
  <c r="AF27" i="3"/>
  <c r="AA27" i="3"/>
  <c r="Y27" i="3"/>
  <c r="W27" i="3"/>
  <c r="T27" i="3"/>
  <c r="S27" i="3"/>
  <c r="U27" i="3" s="1"/>
  <c r="R27" i="3"/>
  <c r="O27" i="3"/>
  <c r="M27" i="3"/>
  <c r="N27" i="3" s="1"/>
  <c r="P27" i="3" s="1"/>
  <c r="J27" i="3"/>
  <c r="E27" i="3"/>
  <c r="I27" i="3" s="1"/>
  <c r="D27" i="3"/>
  <c r="H27" i="3" s="1"/>
  <c r="C27" i="3"/>
  <c r="F27" i="3" s="1"/>
  <c r="AE27" i="3" s="1"/>
  <c r="AH26" i="3"/>
  <c r="AI26" i="3" s="1"/>
  <c r="AF26" i="3"/>
  <c r="AG26" i="3" s="1"/>
  <c r="AA26" i="3"/>
  <c r="Y26" i="3"/>
  <c r="W26" i="3"/>
  <c r="T26" i="3"/>
  <c r="S26" i="3"/>
  <c r="R26" i="3"/>
  <c r="U26" i="3" s="1"/>
  <c r="O26" i="3"/>
  <c r="N26" i="3"/>
  <c r="P26" i="3" s="1"/>
  <c r="M26" i="3"/>
  <c r="J26" i="3"/>
  <c r="F26" i="3"/>
  <c r="AE26" i="3" s="1"/>
  <c r="E26" i="3"/>
  <c r="I26" i="3" s="1"/>
  <c r="D26" i="3"/>
  <c r="H26" i="3" s="1"/>
  <c r="C26" i="3"/>
  <c r="G26" i="3" s="1"/>
  <c r="AI25" i="3"/>
  <c r="AH25" i="3"/>
  <c r="AF25" i="3"/>
  <c r="AA25" i="3"/>
  <c r="Y25" i="3"/>
  <c r="W25" i="3"/>
  <c r="T25" i="3"/>
  <c r="S25" i="3"/>
  <c r="U25" i="3" s="1"/>
  <c r="R25" i="3"/>
  <c r="O25" i="3"/>
  <c r="M25" i="3"/>
  <c r="N25" i="3" s="1"/>
  <c r="P25" i="3" s="1"/>
  <c r="J25" i="3"/>
  <c r="E25" i="3"/>
  <c r="I25" i="3" s="1"/>
  <c r="D25" i="3"/>
  <c r="H25" i="3" s="1"/>
  <c r="C25" i="3"/>
  <c r="G25" i="3" s="1"/>
  <c r="AH24" i="3"/>
  <c r="AI24" i="3" s="1"/>
  <c r="AF24" i="3"/>
  <c r="AG24" i="3" s="1"/>
  <c r="AA24" i="3"/>
  <c r="Y24" i="3"/>
  <c r="W24" i="3"/>
  <c r="T24" i="3"/>
  <c r="S24" i="3"/>
  <c r="R24" i="3"/>
  <c r="U24" i="3" s="1"/>
  <c r="O24" i="3"/>
  <c r="N24" i="3"/>
  <c r="P24" i="3" s="1"/>
  <c r="M24" i="3"/>
  <c r="J24" i="3"/>
  <c r="F24" i="3"/>
  <c r="AE24" i="3" s="1"/>
  <c r="E24" i="3"/>
  <c r="I24" i="3" s="1"/>
  <c r="D24" i="3"/>
  <c r="H24" i="3" s="1"/>
  <c r="C24" i="3"/>
  <c r="G24" i="3" s="1"/>
  <c r="AI23" i="3"/>
  <c r="AH23" i="3"/>
  <c r="AF23" i="3"/>
  <c r="AA23" i="3"/>
  <c r="Y23" i="3"/>
  <c r="W23" i="3"/>
  <c r="T23" i="3"/>
  <c r="S23" i="3"/>
  <c r="U23" i="3" s="1"/>
  <c r="R23" i="3"/>
  <c r="O23" i="3"/>
  <c r="M23" i="3"/>
  <c r="N23" i="3" s="1"/>
  <c r="P23" i="3" s="1"/>
  <c r="J23" i="3"/>
  <c r="E23" i="3"/>
  <c r="I23" i="3" s="1"/>
  <c r="D23" i="3"/>
  <c r="H23" i="3" s="1"/>
  <c r="C23" i="3"/>
  <c r="F23" i="3" s="1"/>
  <c r="AE23" i="3" s="1"/>
  <c r="AG23" i="3" s="1"/>
  <c r="AH22" i="3"/>
  <c r="AI22" i="3" s="1"/>
  <c r="AF22" i="3"/>
  <c r="AG22" i="3" s="1"/>
  <c r="AA22" i="3"/>
  <c r="Y22" i="3"/>
  <c r="W22" i="3"/>
  <c r="T22" i="3"/>
  <c r="S22" i="3"/>
  <c r="R22" i="3"/>
  <c r="U22" i="3" s="1"/>
  <c r="O22" i="3"/>
  <c r="N22" i="3"/>
  <c r="P22" i="3" s="1"/>
  <c r="M22" i="3"/>
  <c r="J22" i="3"/>
  <c r="F22" i="3"/>
  <c r="AE22" i="3" s="1"/>
  <c r="E22" i="3"/>
  <c r="I22" i="3" s="1"/>
  <c r="D22" i="3"/>
  <c r="H22" i="3" s="1"/>
  <c r="C22" i="3"/>
  <c r="G22" i="3" s="1"/>
  <c r="AI21" i="3"/>
  <c r="AH21" i="3"/>
  <c r="AF21" i="3"/>
  <c r="AA21" i="3"/>
  <c r="Y21" i="3"/>
  <c r="W21" i="3"/>
  <c r="U21" i="3"/>
  <c r="T21" i="3"/>
  <c r="S21" i="3"/>
  <c r="R21" i="3"/>
  <c r="O21" i="3"/>
  <c r="M21" i="3"/>
  <c r="N21" i="3" s="1"/>
  <c r="P21" i="3" s="1"/>
  <c r="J21" i="3"/>
  <c r="E21" i="3"/>
  <c r="I21" i="3" s="1"/>
  <c r="D21" i="3"/>
  <c r="H21" i="3" s="1"/>
  <c r="C21" i="3"/>
  <c r="G21" i="3" s="1"/>
  <c r="K21" i="3" s="1"/>
  <c r="AH20" i="3"/>
  <c r="AI20" i="3" s="1"/>
  <c r="AF20" i="3"/>
  <c r="AA20" i="3"/>
  <c r="Y20" i="3"/>
  <c r="W20" i="3"/>
  <c r="T20" i="3"/>
  <c r="S20" i="3"/>
  <c r="R20" i="3"/>
  <c r="U20" i="3" s="1"/>
  <c r="P20" i="3"/>
  <c r="O20" i="3"/>
  <c r="N20" i="3"/>
  <c r="M20" i="3"/>
  <c r="J20" i="3"/>
  <c r="F20" i="3"/>
  <c r="AE20" i="3" s="1"/>
  <c r="E20" i="3"/>
  <c r="D20" i="3"/>
  <c r="C20" i="3"/>
  <c r="G20" i="3" s="1"/>
  <c r="AI19" i="3"/>
  <c r="AH19" i="3"/>
  <c r="AF19" i="3"/>
  <c r="AA19" i="3"/>
  <c r="Y19" i="3"/>
  <c r="W19" i="3"/>
  <c r="T19" i="3"/>
  <c r="S19" i="3"/>
  <c r="U19" i="3" s="1"/>
  <c r="R19" i="3"/>
  <c r="O19" i="3"/>
  <c r="M19" i="3"/>
  <c r="N19" i="3" s="1"/>
  <c r="P19" i="3" s="1"/>
  <c r="J19" i="3"/>
  <c r="E19" i="3"/>
  <c r="I19" i="3" s="1"/>
  <c r="D19" i="3"/>
  <c r="H19" i="3" s="1"/>
  <c r="C19" i="3"/>
  <c r="G19" i="3" s="1"/>
  <c r="K19" i="3" s="1"/>
  <c r="AH18" i="3"/>
  <c r="AI18" i="3" s="1"/>
  <c r="AF18" i="3"/>
  <c r="AG18" i="3" s="1"/>
  <c r="AA18" i="3"/>
  <c r="Y18" i="3"/>
  <c r="W18" i="3"/>
  <c r="T18" i="3"/>
  <c r="S18" i="3"/>
  <c r="R18" i="3"/>
  <c r="U18" i="3" s="1"/>
  <c r="O18" i="3"/>
  <c r="N18" i="3"/>
  <c r="P18" i="3" s="1"/>
  <c r="M18" i="3"/>
  <c r="J18" i="3"/>
  <c r="F18" i="3"/>
  <c r="AE18" i="3" s="1"/>
  <c r="E18" i="3"/>
  <c r="I18" i="3" s="1"/>
  <c r="D18" i="3"/>
  <c r="H18" i="3" s="1"/>
  <c r="C18" i="3"/>
  <c r="G18" i="3" s="1"/>
  <c r="AI17" i="3"/>
  <c r="AH17" i="3"/>
  <c r="AF17" i="3"/>
  <c r="AA17" i="3"/>
  <c r="Y17" i="3"/>
  <c r="W17" i="3"/>
  <c r="U17" i="3"/>
  <c r="T17" i="3"/>
  <c r="S17" i="3"/>
  <c r="R17" i="3"/>
  <c r="O17" i="3"/>
  <c r="M17" i="3"/>
  <c r="N17" i="3" s="1"/>
  <c r="P17" i="3" s="1"/>
  <c r="J17" i="3"/>
  <c r="E17" i="3"/>
  <c r="I17" i="3" s="1"/>
  <c r="D17" i="3"/>
  <c r="H17" i="3" s="1"/>
  <c r="C17" i="3"/>
  <c r="F17" i="3" s="1"/>
  <c r="AE17" i="3" s="1"/>
  <c r="AG17" i="3" s="1"/>
  <c r="AH16" i="3"/>
  <c r="AI16" i="3" s="1"/>
  <c r="AF16" i="3"/>
  <c r="AG16" i="3" s="1"/>
  <c r="AA16" i="3"/>
  <c r="Y16" i="3"/>
  <c r="W16" i="3"/>
  <c r="T16" i="3"/>
  <c r="S16" i="3"/>
  <c r="R16" i="3"/>
  <c r="U16" i="3" s="1"/>
  <c r="P16" i="3"/>
  <c r="O16" i="3"/>
  <c r="N16" i="3"/>
  <c r="M16" i="3"/>
  <c r="J16" i="3"/>
  <c r="H16" i="3"/>
  <c r="E16" i="3"/>
  <c r="I16" i="3" s="1"/>
  <c r="D16" i="3"/>
  <c r="F16" i="3" s="1"/>
  <c r="AE16" i="3" s="1"/>
  <c r="C16" i="3"/>
  <c r="G16" i="3" s="1"/>
  <c r="AI15" i="3"/>
  <c r="AH15" i="3"/>
  <c r="AF15" i="3"/>
  <c r="AA15" i="3"/>
  <c r="Y15" i="3"/>
  <c r="W15" i="3"/>
  <c r="T15" i="3"/>
  <c r="S15" i="3"/>
  <c r="U15" i="3" s="1"/>
  <c r="R15" i="3"/>
  <c r="O15" i="3"/>
  <c r="M15" i="3"/>
  <c r="N15" i="3" s="1"/>
  <c r="P15" i="3" s="1"/>
  <c r="J15" i="3"/>
  <c r="G15" i="3"/>
  <c r="E15" i="3"/>
  <c r="I15" i="3" s="1"/>
  <c r="K15" i="3" s="1"/>
  <c r="D15" i="3"/>
  <c r="H15" i="3" s="1"/>
  <c r="C15" i="3"/>
  <c r="AH14" i="3"/>
  <c r="AI14" i="3" s="1"/>
  <c r="AF14" i="3"/>
  <c r="AA14" i="3"/>
  <c r="Y14" i="3"/>
  <c r="W14" i="3"/>
  <c r="T14" i="3"/>
  <c r="S14" i="3"/>
  <c r="R14" i="3"/>
  <c r="U14" i="3" s="1"/>
  <c r="O14" i="3"/>
  <c r="N14" i="3"/>
  <c r="P14" i="3" s="1"/>
  <c r="M14" i="3"/>
  <c r="J14" i="3"/>
  <c r="H14" i="3"/>
  <c r="F14" i="3"/>
  <c r="AE14" i="3" s="1"/>
  <c r="E14" i="3"/>
  <c r="I14" i="3" s="1"/>
  <c r="D14" i="3"/>
  <c r="C14" i="3"/>
  <c r="G14" i="3" s="1"/>
  <c r="K14" i="3" s="1"/>
  <c r="AI13" i="3"/>
  <c r="AH13" i="3"/>
  <c r="AF13" i="3"/>
  <c r="AA13" i="3"/>
  <c r="Y13" i="3"/>
  <c r="W13" i="3"/>
  <c r="T13" i="3"/>
  <c r="S13" i="3"/>
  <c r="U13" i="3" s="1"/>
  <c r="R13" i="3"/>
  <c r="O13" i="3"/>
  <c r="M13" i="3"/>
  <c r="N13" i="3" s="1"/>
  <c r="P13" i="3" s="1"/>
  <c r="J13" i="3"/>
  <c r="I13" i="3"/>
  <c r="G13" i="3"/>
  <c r="K13" i="3" s="1"/>
  <c r="E13" i="3"/>
  <c r="D13" i="3"/>
  <c r="H13" i="3" s="1"/>
  <c r="C13" i="3"/>
  <c r="F13" i="3" s="1"/>
  <c r="AE13" i="3" s="1"/>
  <c r="AG13" i="3" s="1"/>
  <c r="AH12" i="3"/>
  <c r="AI12" i="3" s="1"/>
  <c r="AF12" i="3"/>
  <c r="AA12" i="3"/>
  <c r="Y12" i="3"/>
  <c r="W12" i="3"/>
  <c r="T12" i="3"/>
  <c r="S12" i="3"/>
  <c r="R12" i="3"/>
  <c r="O12" i="3"/>
  <c r="N12" i="3"/>
  <c r="P12" i="3" s="1"/>
  <c r="M12" i="3"/>
  <c r="J12" i="3"/>
  <c r="H12" i="3"/>
  <c r="E12" i="3"/>
  <c r="I12" i="3" s="1"/>
  <c r="D12" i="3"/>
  <c r="F12" i="3" s="1"/>
  <c r="AE12" i="3" s="1"/>
  <c r="C12" i="3"/>
  <c r="G12" i="3" s="1"/>
  <c r="K12" i="3" s="1"/>
  <c r="AI11" i="3"/>
  <c r="AH11" i="3"/>
  <c r="AF11" i="3"/>
  <c r="AA11" i="3"/>
  <c r="Y11" i="3"/>
  <c r="W11" i="3"/>
  <c r="U11" i="3"/>
  <c r="T11" i="3"/>
  <c r="S11" i="3"/>
  <c r="R11" i="3"/>
  <c r="O11" i="3"/>
  <c r="M11" i="3"/>
  <c r="N11" i="3" s="1"/>
  <c r="J11" i="3"/>
  <c r="I11" i="3"/>
  <c r="E11" i="3"/>
  <c r="D11" i="3"/>
  <c r="H11" i="3" s="1"/>
  <c r="C11" i="3"/>
  <c r="F11" i="3" s="1"/>
  <c r="AE11" i="3" s="1"/>
  <c r="AG11" i="3" s="1"/>
  <c r="AH10" i="3"/>
  <c r="AI10" i="3" s="1"/>
  <c r="AF10" i="3"/>
  <c r="AA10" i="3"/>
  <c r="Y10" i="3"/>
  <c r="W10" i="3"/>
  <c r="T10" i="3"/>
  <c r="S10" i="3"/>
  <c r="R10" i="3"/>
  <c r="P10" i="3"/>
  <c r="O10" i="3"/>
  <c r="N10" i="3"/>
  <c r="M10" i="3"/>
  <c r="J10" i="3"/>
  <c r="E10" i="3"/>
  <c r="I10" i="3" s="1"/>
  <c r="D10" i="3"/>
  <c r="H10" i="3" s="1"/>
  <c r="C10" i="3"/>
  <c r="G10" i="3" s="1"/>
  <c r="AI9" i="3"/>
  <c r="AH9" i="3"/>
  <c r="AF9" i="3"/>
  <c r="AA9" i="3"/>
  <c r="Y9" i="3"/>
  <c r="W9" i="3"/>
  <c r="U9" i="3"/>
  <c r="T9" i="3"/>
  <c r="S9" i="3"/>
  <c r="R9" i="3"/>
  <c r="O9" i="3"/>
  <c r="M9" i="3"/>
  <c r="N9" i="3" s="1"/>
  <c r="P9" i="3" s="1"/>
  <c r="J9" i="3"/>
  <c r="G9" i="3"/>
  <c r="E9" i="3"/>
  <c r="I9" i="3" s="1"/>
  <c r="D9" i="3"/>
  <c r="H9" i="3" s="1"/>
  <c r="K9" i="3" s="1"/>
  <c r="C9" i="3"/>
  <c r="AH8" i="3"/>
  <c r="AI8" i="3" s="1"/>
  <c r="AF8" i="3"/>
  <c r="AG8" i="3" s="1"/>
  <c r="AA8" i="3"/>
  <c r="Y8" i="3"/>
  <c r="W8" i="3"/>
  <c r="T8" i="3"/>
  <c r="S8" i="3"/>
  <c r="R8" i="3"/>
  <c r="U8" i="3" s="1"/>
  <c r="P8" i="3"/>
  <c r="O8" i="3"/>
  <c r="N8" i="3"/>
  <c r="M8" i="3"/>
  <c r="J8" i="3"/>
  <c r="H8" i="3"/>
  <c r="F8" i="3"/>
  <c r="AE8" i="3" s="1"/>
  <c r="E8" i="3"/>
  <c r="I8" i="3" s="1"/>
  <c r="D8" i="3"/>
  <c r="C8" i="3"/>
  <c r="G8" i="3" s="1"/>
  <c r="AI7" i="3"/>
  <c r="AI53" i="3" s="1"/>
  <c r="AH7" i="3"/>
  <c r="AF7" i="3"/>
  <c r="AA7" i="3"/>
  <c r="Y7" i="3"/>
  <c r="W7" i="3"/>
  <c r="T7" i="3"/>
  <c r="S7" i="3"/>
  <c r="R7" i="3"/>
  <c r="O7" i="3"/>
  <c r="M7" i="3"/>
  <c r="J7" i="3"/>
  <c r="G7" i="3"/>
  <c r="E7" i="3"/>
  <c r="E53" i="3" s="1"/>
  <c r="D7" i="3"/>
  <c r="C7" i="3"/>
  <c r="AI55" i="2"/>
  <c r="AH55" i="2"/>
  <c r="AF55" i="2"/>
  <c r="AE55" i="2"/>
  <c r="AG55" i="2" s="1"/>
  <c r="AA55" i="2"/>
  <c r="Y55" i="2"/>
  <c r="W55" i="2"/>
  <c r="T55" i="2"/>
  <c r="S55" i="2"/>
  <c r="U55" i="2" s="1"/>
  <c r="R55" i="2"/>
  <c r="O55" i="2"/>
  <c r="M55" i="2"/>
  <c r="N55" i="2" s="1"/>
  <c r="P55" i="2" s="1"/>
  <c r="J55" i="2"/>
  <c r="G55" i="2"/>
  <c r="K55" i="2" s="1"/>
  <c r="E55" i="2"/>
  <c r="I55" i="2" s="1"/>
  <c r="D55" i="2"/>
  <c r="H55" i="2" s="1"/>
  <c r="C55" i="2"/>
  <c r="F55" i="2" s="1"/>
  <c r="AI54" i="2"/>
  <c r="AH54" i="2"/>
  <c r="AF54" i="2"/>
  <c r="AA54" i="2"/>
  <c r="Y54" i="2"/>
  <c r="W54" i="2"/>
  <c r="U54" i="2"/>
  <c r="T54" i="2"/>
  <c r="S54" i="2"/>
  <c r="R54" i="2"/>
  <c r="O54" i="2"/>
  <c r="M54" i="2"/>
  <c r="N54" i="2" s="1"/>
  <c r="P54" i="2" s="1"/>
  <c r="J54" i="2"/>
  <c r="E54" i="2"/>
  <c r="I54" i="2" s="1"/>
  <c r="D54" i="2"/>
  <c r="H54" i="2" s="1"/>
  <c r="C54" i="2"/>
  <c r="G54" i="2" s="1"/>
  <c r="AI53" i="2"/>
  <c r="AH53" i="2"/>
  <c r="AF53" i="2"/>
  <c r="AA53" i="2"/>
  <c r="Y53" i="2"/>
  <c r="W53" i="2"/>
  <c r="T53" i="2"/>
  <c r="S53" i="2"/>
  <c r="U53" i="2" s="1"/>
  <c r="R53" i="2"/>
  <c r="O53" i="2"/>
  <c r="M53" i="2"/>
  <c r="N53" i="2" s="1"/>
  <c r="J53" i="2"/>
  <c r="G53" i="2"/>
  <c r="K53" i="2" s="1"/>
  <c r="E53" i="2"/>
  <c r="I53" i="2" s="1"/>
  <c r="D53" i="2"/>
  <c r="H53" i="2" s="1"/>
  <c r="C53" i="2"/>
  <c r="F53" i="2" s="1"/>
  <c r="AE53" i="2" s="1"/>
  <c r="AG53" i="2" s="1"/>
  <c r="AI52" i="2"/>
  <c r="AH52" i="2"/>
  <c r="AF52" i="2"/>
  <c r="AA52" i="2"/>
  <c r="Y52" i="2"/>
  <c r="W52" i="2"/>
  <c r="U52" i="2"/>
  <c r="T52" i="2"/>
  <c r="S52" i="2"/>
  <c r="R52" i="2"/>
  <c r="O52" i="2"/>
  <c r="M52" i="2"/>
  <c r="N52" i="2" s="1"/>
  <c r="P52" i="2" s="1"/>
  <c r="J52" i="2"/>
  <c r="I52" i="2"/>
  <c r="E52" i="2"/>
  <c r="D52" i="2"/>
  <c r="H52" i="2" s="1"/>
  <c r="C52" i="2"/>
  <c r="G52" i="2" s="1"/>
  <c r="AI51" i="2"/>
  <c r="AH51" i="2"/>
  <c r="AF51" i="2"/>
  <c r="AE51" i="2"/>
  <c r="AG51" i="2" s="1"/>
  <c r="AA51" i="2"/>
  <c r="Y51" i="2"/>
  <c r="W51" i="2"/>
  <c r="T51" i="2"/>
  <c r="S51" i="2"/>
  <c r="U51" i="2" s="1"/>
  <c r="R51" i="2"/>
  <c r="O51" i="2"/>
  <c r="M51" i="2"/>
  <c r="N51" i="2" s="1"/>
  <c r="J51" i="2"/>
  <c r="G51" i="2"/>
  <c r="E51" i="2"/>
  <c r="I51" i="2" s="1"/>
  <c r="D51" i="2"/>
  <c r="H51" i="2" s="1"/>
  <c r="K51" i="2" s="1"/>
  <c r="C51" i="2"/>
  <c r="F51" i="2" s="1"/>
  <c r="AH50" i="2"/>
  <c r="AI50" i="2" s="1"/>
  <c r="AF50" i="2"/>
  <c r="AG50" i="2" s="1"/>
  <c r="AA50" i="2"/>
  <c r="Y50" i="2"/>
  <c r="W50" i="2"/>
  <c r="T50" i="2"/>
  <c r="S50" i="2"/>
  <c r="R50" i="2"/>
  <c r="U50" i="2" s="1"/>
  <c r="O50" i="2"/>
  <c r="N50" i="2"/>
  <c r="P50" i="2" s="1"/>
  <c r="M50" i="2"/>
  <c r="J50" i="2"/>
  <c r="F50" i="2"/>
  <c r="AE50" i="2" s="1"/>
  <c r="E50" i="2"/>
  <c r="I50" i="2" s="1"/>
  <c r="D50" i="2"/>
  <c r="H50" i="2" s="1"/>
  <c r="C50" i="2"/>
  <c r="G50" i="2" s="1"/>
  <c r="AH49" i="2"/>
  <c r="AI49" i="2" s="1"/>
  <c r="AF49" i="2"/>
  <c r="AA49" i="2"/>
  <c r="Y49" i="2"/>
  <c r="W49" i="2"/>
  <c r="T49" i="2"/>
  <c r="S49" i="2"/>
  <c r="R49" i="2"/>
  <c r="P49" i="2"/>
  <c r="O49" i="2"/>
  <c r="N49" i="2"/>
  <c r="M49" i="2"/>
  <c r="J49" i="2"/>
  <c r="K49" i="2" s="1"/>
  <c r="F49" i="2"/>
  <c r="AE49" i="2" s="1"/>
  <c r="E49" i="2"/>
  <c r="I49" i="2" s="1"/>
  <c r="D49" i="2"/>
  <c r="H49" i="2" s="1"/>
  <c r="C49" i="2"/>
  <c r="G49" i="2" s="1"/>
  <c r="AH48" i="2"/>
  <c r="AI48" i="2" s="1"/>
  <c r="AF48" i="2"/>
  <c r="AA48" i="2"/>
  <c r="Y48" i="2"/>
  <c r="W48" i="2"/>
  <c r="T48" i="2"/>
  <c r="S48" i="2"/>
  <c r="R48" i="2"/>
  <c r="U48" i="2" s="1"/>
  <c r="O48" i="2"/>
  <c r="N48" i="2"/>
  <c r="P48" i="2" s="1"/>
  <c r="M48" i="2"/>
  <c r="J48" i="2"/>
  <c r="H48" i="2"/>
  <c r="F48" i="2"/>
  <c r="AE48" i="2" s="1"/>
  <c r="E48" i="2"/>
  <c r="I48" i="2" s="1"/>
  <c r="D48" i="2"/>
  <c r="C48" i="2"/>
  <c r="G48" i="2" s="1"/>
  <c r="AH47" i="2"/>
  <c r="AI47" i="2" s="1"/>
  <c r="AF47" i="2"/>
  <c r="AA47" i="2"/>
  <c r="Y47" i="2"/>
  <c r="W47" i="2"/>
  <c r="T47" i="2"/>
  <c r="S47" i="2"/>
  <c r="R47" i="2"/>
  <c r="U47" i="2" s="1"/>
  <c r="O47" i="2"/>
  <c r="N47" i="2"/>
  <c r="P47" i="2" s="1"/>
  <c r="M47" i="2"/>
  <c r="J47" i="2"/>
  <c r="E47" i="2"/>
  <c r="I47" i="2" s="1"/>
  <c r="D47" i="2"/>
  <c r="C47" i="2"/>
  <c r="G47" i="2" s="1"/>
  <c r="AH46" i="2"/>
  <c r="AI46" i="2" s="1"/>
  <c r="AF46" i="2"/>
  <c r="AA46" i="2"/>
  <c r="Y46" i="2"/>
  <c r="W46" i="2"/>
  <c r="T46" i="2"/>
  <c r="S46" i="2"/>
  <c r="R46" i="2"/>
  <c r="P46" i="2"/>
  <c r="O46" i="2"/>
  <c r="N46" i="2"/>
  <c r="M46" i="2"/>
  <c r="J46" i="2"/>
  <c r="F46" i="2"/>
  <c r="AE46" i="2" s="1"/>
  <c r="E46" i="2"/>
  <c r="I46" i="2" s="1"/>
  <c r="D46" i="2"/>
  <c r="H46" i="2" s="1"/>
  <c r="C46" i="2"/>
  <c r="G46" i="2" s="1"/>
  <c r="AK45" i="2"/>
  <c r="AK50" i="2" s="1"/>
  <c r="AI45" i="2"/>
  <c r="AH45" i="2"/>
  <c r="AF45" i="2"/>
  <c r="AA45" i="2"/>
  <c r="Y45" i="2"/>
  <c r="W45" i="2"/>
  <c r="T45" i="2"/>
  <c r="S45" i="2"/>
  <c r="U45" i="2" s="1"/>
  <c r="R45" i="2"/>
  <c r="O45" i="2"/>
  <c r="N45" i="2"/>
  <c r="P45" i="2" s="1"/>
  <c r="M45" i="2"/>
  <c r="J45" i="2"/>
  <c r="I45" i="2"/>
  <c r="F45" i="2"/>
  <c r="AE45" i="2" s="1"/>
  <c r="AG45" i="2" s="1"/>
  <c r="E45" i="2"/>
  <c r="D45" i="2"/>
  <c r="H45" i="2" s="1"/>
  <c r="C45" i="2"/>
  <c r="G45" i="2" s="1"/>
  <c r="K45" i="2" s="1"/>
  <c r="AI44" i="2"/>
  <c r="AH44" i="2"/>
  <c r="AF44" i="2"/>
  <c r="AA44" i="2"/>
  <c r="Y44" i="2"/>
  <c r="W44" i="2"/>
  <c r="T44" i="2"/>
  <c r="S44" i="2"/>
  <c r="U44" i="2" s="1"/>
  <c r="R44" i="2"/>
  <c r="O44" i="2"/>
  <c r="M44" i="2"/>
  <c r="N44" i="2" s="1"/>
  <c r="J44" i="2"/>
  <c r="I44" i="2"/>
  <c r="H44" i="2"/>
  <c r="E44" i="2"/>
  <c r="D44" i="2"/>
  <c r="C44" i="2"/>
  <c r="AH43" i="2"/>
  <c r="AI43" i="2" s="1"/>
  <c r="AG43" i="2"/>
  <c r="AF43" i="2"/>
  <c r="AA43" i="2"/>
  <c r="Y43" i="2"/>
  <c r="W43" i="2"/>
  <c r="T43" i="2"/>
  <c r="S43" i="2"/>
  <c r="R43" i="2"/>
  <c r="U43" i="2" s="1"/>
  <c r="O43" i="2"/>
  <c r="N43" i="2"/>
  <c r="P43" i="2" s="1"/>
  <c r="M43" i="2"/>
  <c r="J43" i="2"/>
  <c r="I43" i="2"/>
  <c r="G43" i="2"/>
  <c r="E43" i="2"/>
  <c r="D43" i="2"/>
  <c r="H43" i="2" s="1"/>
  <c r="C43" i="2"/>
  <c r="F43" i="2" s="1"/>
  <c r="AE43" i="2" s="1"/>
  <c r="AI42" i="2"/>
  <c r="AH42" i="2"/>
  <c r="AF42" i="2"/>
  <c r="AA42" i="2"/>
  <c r="Y42" i="2"/>
  <c r="W42" i="2"/>
  <c r="T42" i="2"/>
  <c r="S42" i="2"/>
  <c r="U42" i="2" s="1"/>
  <c r="R42" i="2"/>
  <c r="P42" i="2"/>
  <c r="O42" i="2"/>
  <c r="M42" i="2"/>
  <c r="N42" i="2" s="1"/>
  <c r="J42" i="2"/>
  <c r="I42" i="2"/>
  <c r="G42" i="2"/>
  <c r="E42" i="2"/>
  <c r="D42" i="2"/>
  <c r="H42" i="2" s="1"/>
  <c r="C42" i="2"/>
  <c r="AI41" i="2"/>
  <c r="AH41" i="2"/>
  <c r="AF41" i="2"/>
  <c r="AA41" i="2"/>
  <c r="Y41" i="2"/>
  <c r="W41" i="2"/>
  <c r="T41" i="2"/>
  <c r="U41" i="2" s="1"/>
  <c r="S41" i="2"/>
  <c r="R41" i="2"/>
  <c r="O41" i="2"/>
  <c r="M41" i="2"/>
  <c r="N41" i="2" s="1"/>
  <c r="P41" i="2" s="1"/>
  <c r="J41" i="2"/>
  <c r="I41" i="2"/>
  <c r="G41" i="2"/>
  <c r="K41" i="2" s="1"/>
  <c r="E41" i="2"/>
  <c r="D41" i="2"/>
  <c r="H41" i="2" s="1"/>
  <c r="C41" i="2"/>
  <c r="AI40" i="2"/>
  <c r="AH40" i="2"/>
  <c r="AF40" i="2"/>
  <c r="AE40" i="2"/>
  <c r="AG40" i="2" s="1"/>
  <c r="AA40" i="2"/>
  <c r="Y40" i="2"/>
  <c r="W40" i="2"/>
  <c r="T40" i="2"/>
  <c r="S40" i="2"/>
  <c r="U40" i="2" s="1"/>
  <c r="R40" i="2"/>
  <c r="O40" i="2"/>
  <c r="N40" i="2"/>
  <c r="P40" i="2" s="1"/>
  <c r="M40" i="2"/>
  <c r="J40" i="2"/>
  <c r="I40" i="2"/>
  <c r="F40" i="2"/>
  <c r="E40" i="2"/>
  <c r="D40" i="2"/>
  <c r="H40" i="2" s="1"/>
  <c r="C40" i="2"/>
  <c r="G40" i="2" s="1"/>
  <c r="K40" i="2" s="1"/>
  <c r="AI39" i="2"/>
  <c r="AH39" i="2"/>
  <c r="AF39" i="2"/>
  <c r="AA39" i="2"/>
  <c r="Y39" i="2"/>
  <c r="W39" i="2"/>
  <c r="T39" i="2"/>
  <c r="S39" i="2"/>
  <c r="U39" i="2" s="1"/>
  <c r="R39" i="2"/>
  <c r="O39" i="2"/>
  <c r="M39" i="2"/>
  <c r="N39" i="2" s="1"/>
  <c r="P39" i="2" s="1"/>
  <c r="J39" i="2"/>
  <c r="H39" i="2"/>
  <c r="E39" i="2"/>
  <c r="I39" i="2" s="1"/>
  <c r="D39" i="2"/>
  <c r="C39" i="2"/>
  <c r="AH38" i="2"/>
  <c r="AI38" i="2" s="1"/>
  <c r="AF38" i="2"/>
  <c r="AA38" i="2"/>
  <c r="Y38" i="2"/>
  <c r="W38" i="2"/>
  <c r="T38" i="2"/>
  <c r="S38" i="2"/>
  <c r="R38" i="2"/>
  <c r="U38" i="2" s="1"/>
  <c r="O38" i="2"/>
  <c r="M38" i="2"/>
  <c r="N38" i="2" s="1"/>
  <c r="P38" i="2" s="1"/>
  <c r="J38" i="2"/>
  <c r="G38" i="2"/>
  <c r="E38" i="2"/>
  <c r="I38" i="2" s="1"/>
  <c r="D38" i="2"/>
  <c r="H38" i="2" s="1"/>
  <c r="C38" i="2"/>
  <c r="AI37" i="2"/>
  <c r="AH37" i="2"/>
  <c r="AF37" i="2"/>
  <c r="AA37" i="2"/>
  <c r="Y37" i="2"/>
  <c r="W37" i="2"/>
  <c r="T37" i="2"/>
  <c r="S37" i="2"/>
  <c r="U37" i="2" s="1"/>
  <c r="R37" i="2"/>
  <c r="P37" i="2"/>
  <c r="O37" i="2"/>
  <c r="M37" i="2"/>
  <c r="N37" i="2" s="1"/>
  <c r="J37" i="2"/>
  <c r="I37" i="2"/>
  <c r="G37" i="2"/>
  <c r="E37" i="2"/>
  <c r="D37" i="2"/>
  <c r="H37" i="2" s="1"/>
  <c r="C37" i="2"/>
  <c r="AI36" i="2"/>
  <c r="AH36" i="2"/>
  <c r="AF36" i="2"/>
  <c r="AA36" i="2"/>
  <c r="Y36" i="2"/>
  <c r="W36" i="2"/>
  <c r="U36" i="2"/>
  <c r="T36" i="2"/>
  <c r="S36" i="2"/>
  <c r="R36" i="2"/>
  <c r="O36" i="2"/>
  <c r="N36" i="2"/>
  <c r="P36" i="2" s="1"/>
  <c r="M36" i="2"/>
  <c r="K36" i="2"/>
  <c r="J36" i="2"/>
  <c r="I36" i="2"/>
  <c r="F36" i="2"/>
  <c r="AE36" i="2" s="1"/>
  <c r="AG36" i="2" s="1"/>
  <c r="E36" i="2"/>
  <c r="D36" i="2"/>
  <c r="H36" i="2" s="1"/>
  <c r="C36" i="2"/>
  <c r="G36" i="2" s="1"/>
  <c r="AI35" i="2"/>
  <c r="AH35" i="2"/>
  <c r="AF35" i="2"/>
  <c r="AA35" i="2"/>
  <c r="Y35" i="2"/>
  <c r="W35" i="2"/>
  <c r="U35" i="2"/>
  <c r="T35" i="2"/>
  <c r="S35" i="2"/>
  <c r="R35" i="2"/>
  <c r="O35" i="2"/>
  <c r="P35" i="2" s="1"/>
  <c r="M35" i="2"/>
  <c r="N35" i="2" s="1"/>
  <c r="J35" i="2"/>
  <c r="H35" i="2"/>
  <c r="G35" i="2"/>
  <c r="K35" i="2" s="1"/>
  <c r="E35" i="2"/>
  <c r="I35" i="2" s="1"/>
  <c r="D35" i="2"/>
  <c r="C35" i="2"/>
  <c r="F35" i="2" s="1"/>
  <c r="AE35" i="2" s="1"/>
  <c r="AI34" i="2"/>
  <c r="AH34" i="2"/>
  <c r="AF34" i="2"/>
  <c r="AA34" i="2"/>
  <c r="Y34" i="2"/>
  <c r="W34" i="2"/>
  <c r="U34" i="2"/>
  <c r="T34" i="2"/>
  <c r="S34" i="2"/>
  <c r="R34" i="2"/>
  <c r="O34" i="2"/>
  <c r="M34" i="2"/>
  <c r="N34" i="2" s="1"/>
  <c r="P34" i="2" s="1"/>
  <c r="J34" i="2"/>
  <c r="F34" i="2"/>
  <c r="AE34" i="2" s="1"/>
  <c r="AG34" i="2" s="1"/>
  <c r="E34" i="2"/>
  <c r="I34" i="2" s="1"/>
  <c r="D34" i="2"/>
  <c r="H34" i="2" s="1"/>
  <c r="C34" i="2"/>
  <c r="G34" i="2" s="1"/>
  <c r="AI33" i="2"/>
  <c r="AH33" i="2"/>
  <c r="AF33" i="2"/>
  <c r="AA33" i="2"/>
  <c r="Y33" i="2"/>
  <c r="W33" i="2"/>
  <c r="U33" i="2"/>
  <c r="T33" i="2"/>
  <c r="S33" i="2"/>
  <c r="R33" i="2"/>
  <c r="O33" i="2"/>
  <c r="M33" i="2"/>
  <c r="N33" i="2" s="1"/>
  <c r="P33" i="2" s="1"/>
  <c r="J33" i="2"/>
  <c r="I33" i="2"/>
  <c r="H33" i="2"/>
  <c r="E33" i="2"/>
  <c r="D33" i="2"/>
  <c r="C33" i="2"/>
  <c r="AH32" i="2"/>
  <c r="AI32" i="2" s="1"/>
  <c r="AF32" i="2"/>
  <c r="AA32" i="2"/>
  <c r="Y32" i="2"/>
  <c r="W32" i="2"/>
  <c r="T32" i="2"/>
  <c r="S32" i="2"/>
  <c r="R32" i="2"/>
  <c r="U32" i="2" s="1"/>
  <c r="O32" i="2"/>
  <c r="M32" i="2"/>
  <c r="N32" i="2" s="1"/>
  <c r="P32" i="2" s="1"/>
  <c r="J32" i="2"/>
  <c r="I32" i="2"/>
  <c r="E32" i="2"/>
  <c r="D32" i="2"/>
  <c r="H32" i="2" s="1"/>
  <c r="C32" i="2"/>
  <c r="F32" i="2" s="1"/>
  <c r="AE32" i="2" s="1"/>
  <c r="AG32" i="2" s="1"/>
  <c r="AI31" i="2"/>
  <c r="AH31" i="2"/>
  <c r="AF31" i="2"/>
  <c r="AA31" i="2"/>
  <c r="Y31" i="2"/>
  <c r="W31" i="2"/>
  <c r="T31" i="2"/>
  <c r="S31" i="2"/>
  <c r="U31" i="2" s="1"/>
  <c r="R31" i="2"/>
  <c r="O31" i="2"/>
  <c r="M31" i="2"/>
  <c r="N31" i="2" s="1"/>
  <c r="P31" i="2" s="1"/>
  <c r="J31" i="2"/>
  <c r="I31" i="2"/>
  <c r="G31" i="2"/>
  <c r="K31" i="2" s="1"/>
  <c r="E31" i="2"/>
  <c r="D31" i="2"/>
  <c r="H31" i="2" s="1"/>
  <c r="C31" i="2"/>
  <c r="AH30" i="2"/>
  <c r="AI30" i="2" s="1"/>
  <c r="AG30" i="2"/>
  <c r="AF30" i="2"/>
  <c r="AA30" i="2"/>
  <c r="Y30" i="2"/>
  <c r="W30" i="2"/>
  <c r="T30" i="2"/>
  <c r="S30" i="2"/>
  <c r="U30" i="2" s="1"/>
  <c r="R30" i="2"/>
  <c r="O30" i="2"/>
  <c r="N30" i="2"/>
  <c r="P30" i="2" s="1"/>
  <c r="M30" i="2"/>
  <c r="J30" i="2"/>
  <c r="I30" i="2"/>
  <c r="E30" i="2"/>
  <c r="F30" i="2" s="1"/>
  <c r="AE30" i="2" s="1"/>
  <c r="D30" i="2"/>
  <c r="H30" i="2" s="1"/>
  <c r="C30" i="2"/>
  <c r="G30" i="2" s="1"/>
  <c r="AI29" i="2"/>
  <c r="AH29" i="2"/>
  <c r="AF29" i="2"/>
  <c r="AA29" i="2"/>
  <c r="Y29" i="2"/>
  <c r="W29" i="2"/>
  <c r="T29" i="2"/>
  <c r="S29" i="2"/>
  <c r="U29" i="2" s="1"/>
  <c r="R29" i="2"/>
  <c r="O29" i="2"/>
  <c r="P29" i="2" s="1"/>
  <c r="M29" i="2"/>
  <c r="N29" i="2" s="1"/>
  <c r="J29" i="2"/>
  <c r="G29" i="2"/>
  <c r="K29" i="2" s="1"/>
  <c r="E29" i="2"/>
  <c r="I29" i="2" s="1"/>
  <c r="D29" i="2"/>
  <c r="H29" i="2" s="1"/>
  <c r="C29" i="2"/>
  <c r="AH28" i="2"/>
  <c r="AI28" i="2" s="1"/>
  <c r="AF28" i="2"/>
  <c r="AA28" i="2"/>
  <c r="Y28" i="2"/>
  <c r="W28" i="2"/>
  <c r="T28" i="2"/>
  <c r="S28" i="2"/>
  <c r="R28" i="2"/>
  <c r="U28" i="2" s="1"/>
  <c r="O28" i="2"/>
  <c r="N28" i="2"/>
  <c r="P28" i="2" s="1"/>
  <c r="M28" i="2"/>
  <c r="J28" i="2"/>
  <c r="F28" i="2"/>
  <c r="AE28" i="2" s="1"/>
  <c r="AG28" i="2" s="1"/>
  <c r="E28" i="2"/>
  <c r="I28" i="2" s="1"/>
  <c r="D28" i="2"/>
  <c r="H28" i="2" s="1"/>
  <c r="C28" i="2"/>
  <c r="G28" i="2" s="1"/>
  <c r="AI27" i="2"/>
  <c r="AH27" i="2"/>
  <c r="AF27" i="2"/>
  <c r="AA27" i="2"/>
  <c r="Y27" i="2"/>
  <c r="W27" i="2"/>
  <c r="T27" i="2"/>
  <c r="U27" i="2" s="1"/>
  <c r="S27" i="2"/>
  <c r="R27" i="2"/>
  <c r="O27" i="2"/>
  <c r="M27" i="2"/>
  <c r="N27" i="2" s="1"/>
  <c r="P27" i="2" s="1"/>
  <c r="J27" i="2"/>
  <c r="H27" i="2"/>
  <c r="E27" i="2"/>
  <c r="I27" i="2" s="1"/>
  <c r="D27" i="2"/>
  <c r="C27" i="2"/>
  <c r="G27" i="2" s="1"/>
  <c r="AH26" i="2"/>
  <c r="AI26" i="2" s="1"/>
  <c r="AF26" i="2"/>
  <c r="AA26" i="2"/>
  <c r="Y26" i="2"/>
  <c r="W26" i="2"/>
  <c r="T26" i="2"/>
  <c r="S26" i="2"/>
  <c r="R26" i="2"/>
  <c r="U26" i="2" s="1"/>
  <c r="O26" i="2"/>
  <c r="N26" i="2"/>
  <c r="P26" i="2" s="1"/>
  <c r="M26" i="2"/>
  <c r="J26" i="2"/>
  <c r="F26" i="2"/>
  <c r="AE26" i="2" s="1"/>
  <c r="AG26" i="2" s="1"/>
  <c r="E26" i="2"/>
  <c r="I26" i="2" s="1"/>
  <c r="D26" i="2"/>
  <c r="H26" i="2" s="1"/>
  <c r="C26" i="2"/>
  <c r="G26" i="2" s="1"/>
  <c r="AI25" i="2"/>
  <c r="AH25" i="2"/>
  <c r="AF25" i="2"/>
  <c r="AA25" i="2"/>
  <c r="Y25" i="2"/>
  <c r="W25" i="2"/>
  <c r="T25" i="2"/>
  <c r="U25" i="2" s="1"/>
  <c r="S25" i="2"/>
  <c r="R25" i="2"/>
  <c r="P25" i="2"/>
  <c r="O25" i="2"/>
  <c r="M25" i="2"/>
  <c r="N25" i="2" s="1"/>
  <c r="J25" i="2"/>
  <c r="I25" i="2"/>
  <c r="E25" i="2"/>
  <c r="D25" i="2"/>
  <c r="H25" i="2" s="1"/>
  <c r="C25" i="2"/>
  <c r="G25" i="2" s="1"/>
  <c r="AI24" i="2"/>
  <c r="AH24" i="2"/>
  <c r="AF24" i="2"/>
  <c r="AA24" i="2"/>
  <c r="Y24" i="2"/>
  <c r="W24" i="2"/>
  <c r="T24" i="2"/>
  <c r="S24" i="2"/>
  <c r="R24" i="2"/>
  <c r="U24" i="2" s="1"/>
  <c r="O24" i="2"/>
  <c r="N24" i="2"/>
  <c r="P24" i="2" s="1"/>
  <c r="M24" i="2"/>
  <c r="J24" i="2"/>
  <c r="E24" i="2"/>
  <c r="I24" i="2" s="1"/>
  <c r="D24" i="2"/>
  <c r="H24" i="2" s="1"/>
  <c r="C24" i="2"/>
  <c r="F24" i="2" s="1"/>
  <c r="AE24" i="2" s="1"/>
  <c r="AG24" i="2" s="1"/>
  <c r="AI23" i="2"/>
  <c r="AH23" i="2"/>
  <c r="AF23" i="2"/>
  <c r="AA23" i="2"/>
  <c r="Y23" i="2"/>
  <c r="W23" i="2"/>
  <c r="U23" i="2"/>
  <c r="T23" i="2"/>
  <c r="S23" i="2"/>
  <c r="R23" i="2"/>
  <c r="P23" i="2"/>
  <c r="O23" i="2"/>
  <c r="M23" i="2"/>
  <c r="N23" i="2" s="1"/>
  <c r="J23" i="2"/>
  <c r="E23" i="2"/>
  <c r="I23" i="2" s="1"/>
  <c r="D23" i="2"/>
  <c r="H23" i="2" s="1"/>
  <c r="C23" i="2"/>
  <c r="G23" i="2" s="1"/>
  <c r="AH22" i="2"/>
  <c r="AI22" i="2" s="1"/>
  <c r="AF22" i="2"/>
  <c r="AA22" i="2"/>
  <c r="Y22" i="2"/>
  <c r="W22" i="2"/>
  <c r="T22" i="2"/>
  <c r="S22" i="2"/>
  <c r="R22" i="2"/>
  <c r="O22" i="2"/>
  <c r="N22" i="2"/>
  <c r="M22" i="2"/>
  <c r="J22" i="2"/>
  <c r="F22" i="2"/>
  <c r="AE22" i="2" s="1"/>
  <c r="AG22" i="2" s="1"/>
  <c r="E22" i="2"/>
  <c r="I22" i="2" s="1"/>
  <c r="D22" i="2"/>
  <c r="H22" i="2" s="1"/>
  <c r="C22" i="2"/>
  <c r="G22" i="2" s="1"/>
  <c r="AI21" i="2"/>
  <c r="AH21" i="2"/>
  <c r="AF21" i="2"/>
  <c r="AA21" i="2"/>
  <c r="Y21" i="2"/>
  <c r="W21" i="2"/>
  <c r="T21" i="2"/>
  <c r="U21" i="2" s="1"/>
  <c r="S21" i="2"/>
  <c r="R21" i="2"/>
  <c r="O21" i="2"/>
  <c r="M21" i="2"/>
  <c r="N21" i="2" s="1"/>
  <c r="P21" i="2" s="1"/>
  <c r="J21" i="2"/>
  <c r="I21" i="2"/>
  <c r="G21" i="2"/>
  <c r="K21" i="2" s="1"/>
  <c r="E21" i="2"/>
  <c r="D21" i="2"/>
  <c r="H21" i="2" s="1"/>
  <c r="C21" i="2"/>
  <c r="AI20" i="2"/>
  <c r="AH20" i="2"/>
  <c r="AF20" i="2"/>
  <c r="AA20" i="2"/>
  <c r="Y20" i="2"/>
  <c r="W20" i="2"/>
  <c r="T20" i="2"/>
  <c r="S20" i="2"/>
  <c r="U20" i="2" s="1"/>
  <c r="R20" i="2"/>
  <c r="O20" i="2"/>
  <c r="N20" i="2"/>
  <c r="P20" i="2" s="1"/>
  <c r="M20" i="2"/>
  <c r="J20" i="2"/>
  <c r="G20" i="2"/>
  <c r="K20" i="2" s="1"/>
  <c r="E20" i="2"/>
  <c r="D20" i="2"/>
  <c r="C20" i="2"/>
  <c r="AI19" i="2"/>
  <c r="AH19" i="2"/>
  <c r="AF19" i="2"/>
  <c r="AA19" i="2"/>
  <c r="Y19" i="2"/>
  <c r="W19" i="2"/>
  <c r="T19" i="2"/>
  <c r="S19" i="2"/>
  <c r="U19" i="2" s="1"/>
  <c r="R19" i="2"/>
  <c r="O19" i="2"/>
  <c r="N19" i="2"/>
  <c r="P19" i="2" s="1"/>
  <c r="M19" i="2"/>
  <c r="J19" i="2"/>
  <c r="I19" i="2"/>
  <c r="F19" i="2"/>
  <c r="AE19" i="2" s="1"/>
  <c r="AG19" i="2" s="1"/>
  <c r="E19" i="2"/>
  <c r="D19" i="2"/>
  <c r="H19" i="2" s="1"/>
  <c r="C19" i="2"/>
  <c r="G19" i="2" s="1"/>
  <c r="K19" i="2" s="1"/>
  <c r="AI18" i="2"/>
  <c r="AH18" i="2"/>
  <c r="AF18" i="2"/>
  <c r="AA18" i="2"/>
  <c r="Y18" i="2"/>
  <c r="W18" i="2"/>
  <c r="T18" i="2"/>
  <c r="S18" i="2"/>
  <c r="U18" i="2" s="1"/>
  <c r="R18" i="2"/>
  <c r="O18" i="2"/>
  <c r="P18" i="2" s="1"/>
  <c r="M18" i="2"/>
  <c r="N18" i="2" s="1"/>
  <c r="J18" i="2"/>
  <c r="H18" i="2"/>
  <c r="E18" i="2"/>
  <c r="I18" i="2" s="1"/>
  <c r="D18" i="2"/>
  <c r="C18" i="2"/>
  <c r="AH17" i="2"/>
  <c r="AI17" i="2" s="1"/>
  <c r="AF17" i="2"/>
  <c r="AA17" i="2"/>
  <c r="Y17" i="2"/>
  <c r="W17" i="2"/>
  <c r="T17" i="2"/>
  <c r="S17" i="2"/>
  <c r="R17" i="2"/>
  <c r="U17" i="2" s="1"/>
  <c r="N17" i="2"/>
  <c r="P17" i="2" s="1"/>
  <c r="M17" i="2"/>
  <c r="J17" i="2"/>
  <c r="I17" i="2"/>
  <c r="E17" i="2"/>
  <c r="D17" i="2"/>
  <c r="H17" i="2" s="1"/>
  <c r="C17" i="2"/>
  <c r="G17" i="2" s="1"/>
  <c r="AH16" i="2"/>
  <c r="AI16" i="2" s="1"/>
  <c r="AF16" i="2"/>
  <c r="AA16" i="2"/>
  <c r="Y16" i="2"/>
  <c r="W16" i="2"/>
  <c r="T16" i="2"/>
  <c r="S16" i="2"/>
  <c r="R16" i="2"/>
  <c r="O16" i="2"/>
  <c r="N16" i="2"/>
  <c r="P16" i="2" s="1"/>
  <c r="M16" i="2"/>
  <c r="J16" i="2"/>
  <c r="E16" i="2"/>
  <c r="I16" i="2" s="1"/>
  <c r="D16" i="2"/>
  <c r="H16" i="2" s="1"/>
  <c r="C16" i="2"/>
  <c r="F16" i="2" s="1"/>
  <c r="AE16" i="2" s="1"/>
  <c r="AH15" i="2"/>
  <c r="AI15" i="2" s="1"/>
  <c r="AF15" i="2"/>
  <c r="AG15" i="2" s="1"/>
  <c r="AA15" i="2"/>
  <c r="Y15" i="2"/>
  <c r="W15" i="2"/>
  <c r="U15" i="2"/>
  <c r="T15" i="2"/>
  <c r="S15" i="2"/>
  <c r="R15" i="2"/>
  <c r="O15" i="2"/>
  <c r="M15" i="2"/>
  <c r="N15" i="2" s="1"/>
  <c r="P15" i="2" s="1"/>
  <c r="J15" i="2"/>
  <c r="H15" i="2"/>
  <c r="E15" i="2"/>
  <c r="I15" i="2" s="1"/>
  <c r="D15" i="2"/>
  <c r="F15" i="2" s="1"/>
  <c r="AE15" i="2" s="1"/>
  <c r="C15" i="2"/>
  <c r="G15" i="2" s="1"/>
  <c r="AI14" i="2"/>
  <c r="AH14" i="2"/>
  <c r="AF14" i="2"/>
  <c r="AA14" i="2"/>
  <c r="Y14" i="2"/>
  <c r="W14" i="2"/>
  <c r="T14" i="2"/>
  <c r="S14" i="2"/>
  <c r="R14" i="2"/>
  <c r="O14" i="2"/>
  <c r="N14" i="2"/>
  <c r="P14" i="2" s="1"/>
  <c r="M14" i="2"/>
  <c r="J14" i="2"/>
  <c r="F14" i="2"/>
  <c r="AE14" i="2" s="1"/>
  <c r="E14" i="2"/>
  <c r="I14" i="2" s="1"/>
  <c r="D14" i="2"/>
  <c r="H14" i="2" s="1"/>
  <c r="C14" i="2"/>
  <c r="G14" i="2" s="1"/>
  <c r="AH13" i="2"/>
  <c r="AI13" i="2" s="1"/>
  <c r="AF13" i="2"/>
  <c r="AA13" i="2"/>
  <c r="Y13" i="2"/>
  <c r="W13" i="2"/>
  <c r="T13" i="2"/>
  <c r="S13" i="2"/>
  <c r="R13" i="2"/>
  <c r="U13" i="2" s="1"/>
  <c r="O13" i="2"/>
  <c r="N13" i="2"/>
  <c r="P13" i="2" s="1"/>
  <c r="M13" i="2"/>
  <c r="J13" i="2"/>
  <c r="I13" i="2"/>
  <c r="E13" i="2"/>
  <c r="D13" i="2"/>
  <c r="H13" i="2" s="1"/>
  <c r="C13" i="2"/>
  <c r="G13" i="2" s="1"/>
  <c r="AH12" i="2"/>
  <c r="AI12" i="2" s="1"/>
  <c r="AF12" i="2"/>
  <c r="AA12" i="2"/>
  <c r="Y12" i="2"/>
  <c r="W12" i="2"/>
  <c r="T12" i="2"/>
  <c r="S12" i="2"/>
  <c r="R12" i="2"/>
  <c r="O12" i="2"/>
  <c r="N12" i="2"/>
  <c r="P12" i="2" s="1"/>
  <c r="M12" i="2"/>
  <c r="J12" i="2"/>
  <c r="E12" i="2"/>
  <c r="I12" i="2" s="1"/>
  <c r="D12" i="2"/>
  <c r="H12" i="2" s="1"/>
  <c r="C12" i="2"/>
  <c r="G12" i="2" s="1"/>
  <c r="K12" i="2" s="1"/>
  <c r="AH11" i="2"/>
  <c r="AI11" i="2" s="1"/>
  <c r="AF11" i="2"/>
  <c r="AA11" i="2"/>
  <c r="Y11" i="2"/>
  <c r="W11" i="2"/>
  <c r="U11" i="2"/>
  <c r="T11" i="2"/>
  <c r="S11" i="2"/>
  <c r="R11" i="2"/>
  <c r="O11" i="2"/>
  <c r="M11" i="2"/>
  <c r="N11" i="2" s="1"/>
  <c r="P11" i="2" s="1"/>
  <c r="J11" i="2"/>
  <c r="H11" i="2"/>
  <c r="E11" i="2"/>
  <c r="F11" i="2" s="1"/>
  <c r="AE11" i="2" s="1"/>
  <c r="D11" i="2"/>
  <c r="C11" i="2"/>
  <c r="G11" i="2" s="1"/>
  <c r="AI10" i="2"/>
  <c r="AH10" i="2"/>
  <c r="AF10" i="2"/>
  <c r="AA10" i="2"/>
  <c r="Y10" i="2"/>
  <c r="W10" i="2"/>
  <c r="T10" i="2"/>
  <c r="S10" i="2"/>
  <c r="R10" i="2"/>
  <c r="U10" i="2" s="1"/>
  <c r="O10" i="2"/>
  <c r="P10" i="2" s="1"/>
  <c r="N10" i="2"/>
  <c r="M10" i="2"/>
  <c r="J10" i="2"/>
  <c r="E10" i="2"/>
  <c r="I10" i="2" s="1"/>
  <c r="D10" i="2"/>
  <c r="F10" i="2" s="1"/>
  <c r="AE10" i="2" s="1"/>
  <c r="C10" i="2"/>
  <c r="G10" i="2" s="1"/>
  <c r="AH9" i="2"/>
  <c r="AI9" i="2" s="1"/>
  <c r="AF9" i="2"/>
  <c r="AA9" i="2"/>
  <c r="Y9" i="2"/>
  <c r="W9" i="2"/>
  <c r="T9" i="2"/>
  <c r="S9" i="2"/>
  <c r="R9" i="2"/>
  <c r="U9" i="2" s="1"/>
  <c r="P9" i="2"/>
  <c r="O9" i="2"/>
  <c r="N9" i="2"/>
  <c r="M9" i="2"/>
  <c r="J9" i="2"/>
  <c r="I9" i="2"/>
  <c r="F9" i="2"/>
  <c r="AE9" i="2" s="1"/>
  <c r="AG9" i="2" s="1"/>
  <c r="E9" i="2"/>
  <c r="D9" i="2"/>
  <c r="H9" i="2" s="1"/>
  <c r="C9" i="2"/>
  <c r="G9" i="2" s="1"/>
  <c r="AH8" i="2"/>
  <c r="AI8" i="2" s="1"/>
  <c r="AF8" i="2"/>
  <c r="AA8" i="2"/>
  <c r="Y8" i="2"/>
  <c r="W8" i="2"/>
  <c r="T8" i="2"/>
  <c r="S8" i="2"/>
  <c r="R8" i="2"/>
  <c r="P8" i="2"/>
  <c r="O8" i="2"/>
  <c r="N8" i="2"/>
  <c r="M8" i="2"/>
  <c r="J8" i="2"/>
  <c r="E8" i="2"/>
  <c r="I8" i="2" s="1"/>
  <c r="D8" i="2"/>
  <c r="H8" i="2" s="1"/>
  <c r="C8" i="2"/>
  <c r="F8" i="2" s="1"/>
  <c r="AE8" i="2" s="1"/>
  <c r="AH7" i="2"/>
  <c r="AF7" i="2"/>
  <c r="AF56" i="2" s="1"/>
  <c r="AA7" i="2"/>
  <c r="Y7" i="2"/>
  <c r="W7" i="2"/>
  <c r="U7" i="2"/>
  <c r="T7" i="2"/>
  <c r="S7" i="2"/>
  <c r="R7" i="2"/>
  <c r="O7" i="2"/>
  <c r="M7" i="2"/>
  <c r="J7" i="2"/>
  <c r="J56" i="2" s="1"/>
  <c r="H7" i="2"/>
  <c r="E7" i="2"/>
  <c r="E56" i="2" s="1"/>
  <c r="D7" i="2"/>
  <c r="F7" i="2" s="1"/>
  <c r="C7" i="2"/>
  <c r="AJ1" i="2"/>
  <c r="C55" i="1"/>
  <c r="C57" i="1" s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53" i="1" s="1"/>
  <c r="M53" i="3" l="1"/>
  <c r="N7" i="3"/>
  <c r="S53" i="3"/>
  <c r="Y53" i="3"/>
  <c r="Z28" i="3"/>
  <c r="W53" i="3"/>
  <c r="X25" i="3"/>
  <c r="C53" i="3"/>
  <c r="F7" i="3"/>
  <c r="I7" i="3"/>
  <c r="O53" i="3"/>
  <c r="AA53" i="3"/>
  <c r="K8" i="3"/>
  <c r="Z9" i="3"/>
  <c r="F10" i="3"/>
  <c r="AE10" i="3" s="1"/>
  <c r="AG10" i="3" s="1"/>
  <c r="U10" i="3"/>
  <c r="AG12" i="3"/>
  <c r="F15" i="3"/>
  <c r="AE15" i="3" s="1"/>
  <c r="AG15" i="3" s="1"/>
  <c r="K16" i="3"/>
  <c r="X17" i="3"/>
  <c r="AG20" i="3"/>
  <c r="X21" i="3"/>
  <c r="K26" i="3"/>
  <c r="AG27" i="3"/>
  <c r="K30" i="3"/>
  <c r="K18" i="3"/>
  <c r="AB21" i="3"/>
  <c r="K22" i="3"/>
  <c r="Z27" i="3"/>
  <c r="X31" i="3"/>
  <c r="Z33" i="3"/>
  <c r="K34" i="3"/>
  <c r="U7" i="3"/>
  <c r="F9" i="3"/>
  <c r="AE9" i="3" s="1"/>
  <c r="AG9" i="3" s="1"/>
  <c r="AB9" i="3"/>
  <c r="K10" i="3"/>
  <c r="G11" i="3"/>
  <c r="K11" i="3" s="1"/>
  <c r="P11" i="3"/>
  <c r="Z11" i="3"/>
  <c r="U12" i="3"/>
  <c r="X13" i="3"/>
  <c r="AG14" i="3"/>
  <c r="Z17" i="3"/>
  <c r="AB19" i="3"/>
  <c r="K20" i="3"/>
  <c r="Z21" i="3"/>
  <c r="K24" i="3"/>
  <c r="K25" i="3"/>
  <c r="X27" i="3"/>
  <c r="AG28" i="3"/>
  <c r="G17" i="3"/>
  <c r="K17" i="3" s="1"/>
  <c r="G23" i="3"/>
  <c r="K23" i="3" s="1"/>
  <c r="G27" i="3"/>
  <c r="K27" i="3" s="1"/>
  <c r="K28" i="3"/>
  <c r="Z31" i="3"/>
  <c r="AG31" i="3"/>
  <c r="AB33" i="3"/>
  <c r="AB34" i="3"/>
  <c r="Z35" i="3"/>
  <c r="AB36" i="3"/>
  <c r="X38" i="3"/>
  <c r="X40" i="3"/>
  <c r="J53" i="3"/>
  <c r="R53" i="3"/>
  <c r="AH53" i="3"/>
  <c r="R51" i="3"/>
  <c r="U51" i="3" s="1"/>
  <c r="F19" i="3"/>
  <c r="AE19" i="3" s="1"/>
  <c r="AG19" i="3" s="1"/>
  <c r="F21" i="3"/>
  <c r="AE21" i="3" s="1"/>
  <c r="AG21" i="3" s="1"/>
  <c r="F25" i="3"/>
  <c r="AE25" i="3" s="1"/>
  <c r="AG25" i="3" s="1"/>
  <c r="AB29" i="3"/>
  <c r="F30" i="3"/>
  <c r="AE30" i="3" s="1"/>
  <c r="AG30" i="3"/>
  <c r="Z32" i="3"/>
  <c r="F33" i="3"/>
  <c r="AE33" i="3" s="1"/>
  <c r="AG33" i="3" s="1"/>
  <c r="X33" i="3"/>
  <c r="X34" i="3"/>
  <c r="I36" i="3"/>
  <c r="K36" i="3" s="1"/>
  <c r="AB37" i="3"/>
  <c r="Z38" i="3"/>
  <c r="Z40" i="3"/>
  <c r="X29" i="3"/>
  <c r="AB30" i="3"/>
  <c r="AG34" i="3"/>
  <c r="X36" i="3"/>
  <c r="K37" i="3"/>
  <c r="X37" i="3"/>
  <c r="AB38" i="3"/>
  <c r="Z39" i="3"/>
  <c r="X41" i="3"/>
  <c r="D53" i="3"/>
  <c r="H7" i="3"/>
  <c r="T53" i="3"/>
  <c r="AF53" i="3"/>
  <c r="U30" i="3"/>
  <c r="X30" i="3"/>
  <c r="G31" i="3"/>
  <c r="K31" i="3" s="1"/>
  <c r="H32" i="3"/>
  <c r="K32" i="3" s="1"/>
  <c r="K33" i="3"/>
  <c r="P34" i="3"/>
  <c r="G35" i="3"/>
  <c r="K35" i="3" s="1"/>
  <c r="AG35" i="3"/>
  <c r="Z36" i="3"/>
  <c r="AG37" i="3"/>
  <c r="P38" i="3"/>
  <c r="K46" i="3"/>
  <c r="X50" i="3"/>
  <c r="Z52" i="3"/>
  <c r="AG38" i="3"/>
  <c r="K42" i="3"/>
  <c r="X45" i="3"/>
  <c r="K47" i="3"/>
  <c r="X47" i="3"/>
  <c r="K48" i="3"/>
  <c r="K49" i="3"/>
  <c r="X49" i="3"/>
  <c r="AB52" i="3"/>
  <c r="K40" i="3"/>
  <c r="K43" i="3"/>
  <c r="X43" i="3"/>
  <c r="K44" i="3"/>
  <c r="X44" i="3"/>
  <c r="U46" i="3"/>
  <c r="AG46" i="3"/>
  <c r="Z47" i="3"/>
  <c r="Z48" i="3"/>
  <c r="AB50" i="3"/>
  <c r="AB41" i="3"/>
  <c r="U42" i="3"/>
  <c r="Z43" i="3"/>
  <c r="AB45" i="3"/>
  <c r="G50" i="3"/>
  <c r="K50" i="3" s="1"/>
  <c r="P50" i="3"/>
  <c r="K51" i="3"/>
  <c r="F43" i="3"/>
  <c r="AE43" i="3" s="1"/>
  <c r="AG43" i="3" s="1"/>
  <c r="F47" i="3"/>
  <c r="AE47" i="3" s="1"/>
  <c r="AG47" i="3" s="1"/>
  <c r="F48" i="3"/>
  <c r="AE48" i="3" s="1"/>
  <c r="AG48" i="3" s="1"/>
  <c r="F42" i="3"/>
  <c r="AE42" i="3" s="1"/>
  <c r="AG42" i="3" s="1"/>
  <c r="F46" i="3"/>
  <c r="AE46" i="3" s="1"/>
  <c r="F51" i="3"/>
  <c r="AE51" i="3" s="1"/>
  <c r="AG51" i="3" s="1"/>
  <c r="K10" i="2"/>
  <c r="AG11" i="2"/>
  <c r="K22" i="2"/>
  <c r="AE7" i="2"/>
  <c r="K14" i="2"/>
  <c r="K16" i="2"/>
  <c r="G16" i="2"/>
  <c r="F17" i="2"/>
  <c r="AE17" i="2" s="1"/>
  <c r="AG17" i="2" s="1"/>
  <c r="AB17" i="2"/>
  <c r="F18" i="2"/>
  <c r="AE18" i="2" s="1"/>
  <c r="AG18" i="2" s="1"/>
  <c r="AB22" i="2"/>
  <c r="G24" i="2"/>
  <c r="K24" i="2" s="1"/>
  <c r="AG29" i="2"/>
  <c r="AB35" i="2"/>
  <c r="F44" i="2"/>
  <c r="AE44" i="2" s="1"/>
  <c r="G44" i="2"/>
  <c r="K44" i="2" s="1"/>
  <c r="H47" i="2"/>
  <c r="F47" i="2"/>
  <c r="AE47" i="2" s="1"/>
  <c r="T56" i="2"/>
  <c r="AG7" i="2"/>
  <c r="U8" i="2"/>
  <c r="U56" i="2" s="1"/>
  <c r="AG8" i="2"/>
  <c r="K9" i="2"/>
  <c r="I11" i="2"/>
  <c r="K11" i="2" s="1"/>
  <c r="F12" i="2"/>
  <c r="AE12" i="2" s="1"/>
  <c r="U16" i="2"/>
  <c r="AG16" i="2"/>
  <c r="AB19" i="2"/>
  <c r="F20" i="2"/>
  <c r="AE20" i="2" s="1"/>
  <c r="AG20" i="2" s="1"/>
  <c r="U22" i="2"/>
  <c r="AB24" i="2"/>
  <c r="K27" i="2"/>
  <c r="AB28" i="2"/>
  <c r="K32" i="2"/>
  <c r="F33" i="2"/>
  <c r="AE33" i="2" s="1"/>
  <c r="G33" i="2"/>
  <c r="K33" i="2" s="1"/>
  <c r="AB33" i="2"/>
  <c r="K37" i="2"/>
  <c r="AG14" i="2"/>
  <c r="K23" i="2"/>
  <c r="AB32" i="2"/>
  <c r="AG33" i="2"/>
  <c r="K34" i="2"/>
  <c r="AG44" i="2"/>
  <c r="G8" i="2"/>
  <c r="K8" i="2" s="1"/>
  <c r="H10" i="2"/>
  <c r="AG10" i="2"/>
  <c r="H56" i="2"/>
  <c r="M56" i="2"/>
  <c r="Y56" i="2"/>
  <c r="Z32" i="2" s="1"/>
  <c r="AH56" i="2"/>
  <c r="AI7" i="2"/>
  <c r="AI56" i="2" s="1"/>
  <c r="F13" i="2"/>
  <c r="AE13" i="2" s="1"/>
  <c r="AG13" i="2" s="1"/>
  <c r="U14" i="2"/>
  <c r="K15" i="2"/>
  <c r="K26" i="2"/>
  <c r="K28" i="2"/>
  <c r="AB29" i="2"/>
  <c r="D56" i="2"/>
  <c r="I7" i="2"/>
  <c r="I56" i="2" s="1"/>
  <c r="N7" i="2"/>
  <c r="R56" i="2"/>
  <c r="Z7" i="2"/>
  <c r="U12" i="2"/>
  <c r="AG12" i="2"/>
  <c r="K13" i="2"/>
  <c r="K17" i="2"/>
  <c r="G18" i="2"/>
  <c r="K18" i="2" s="1"/>
  <c r="Z18" i="2"/>
  <c r="AB20" i="2"/>
  <c r="F21" i="2"/>
  <c r="AE21" i="2" s="1"/>
  <c r="AG21" i="2" s="1"/>
  <c r="P22" i="2"/>
  <c r="Z23" i="2"/>
  <c r="K25" i="2"/>
  <c r="Z27" i="2"/>
  <c r="K30" i="2"/>
  <c r="Z30" i="2"/>
  <c r="G32" i="2"/>
  <c r="Z29" i="2"/>
  <c r="Z37" i="2"/>
  <c r="F38" i="2"/>
  <c r="AE38" i="2" s="1"/>
  <c r="AG38" i="2" s="1"/>
  <c r="K38" i="2"/>
  <c r="Z38" i="2"/>
  <c r="Z42" i="2"/>
  <c r="AG46" i="2"/>
  <c r="C56" i="2"/>
  <c r="G7" i="2"/>
  <c r="O56" i="2"/>
  <c r="S56" i="2"/>
  <c r="W56" i="2"/>
  <c r="X20" i="2" s="1"/>
  <c r="AA56" i="2"/>
  <c r="F23" i="2"/>
  <c r="AE23" i="2" s="1"/>
  <c r="AG23" i="2" s="1"/>
  <c r="F25" i="2"/>
  <c r="AE25" i="2" s="1"/>
  <c r="AG25" i="2" s="1"/>
  <c r="F27" i="2"/>
  <c r="AE27" i="2" s="1"/>
  <c r="AG27" i="2" s="1"/>
  <c r="F29" i="2"/>
  <c r="AE29" i="2" s="1"/>
  <c r="Z31" i="2"/>
  <c r="AG35" i="2"/>
  <c r="AB38" i="2"/>
  <c r="F39" i="2"/>
  <c r="AE39" i="2" s="1"/>
  <c r="AG39" i="2" s="1"/>
  <c r="G39" i="2"/>
  <c r="K39" i="2" s="1"/>
  <c r="AB39" i="2"/>
  <c r="K43" i="2"/>
  <c r="K47" i="2"/>
  <c r="AB30" i="2"/>
  <c r="F31" i="2"/>
  <c r="AE31" i="2" s="1"/>
  <c r="AG31" i="2" s="1"/>
  <c r="AB34" i="2"/>
  <c r="K42" i="2"/>
  <c r="AB43" i="2"/>
  <c r="K46" i="2"/>
  <c r="AB51" i="2"/>
  <c r="AB54" i="2"/>
  <c r="AB36" i="2"/>
  <c r="F37" i="2"/>
  <c r="AE37" i="2" s="1"/>
  <c r="AG37" i="2" s="1"/>
  <c r="Z43" i="2"/>
  <c r="AB45" i="2"/>
  <c r="AG48" i="2"/>
  <c r="K50" i="2"/>
  <c r="P51" i="2"/>
  <c r="K52" i="2"/>
  <c r="Z53" i="2"/>
  <c r="U49" i="2"/>
  <c r="X51" i="2"/>
  <c r="Z52" i="2"/>
  <c r="AB53" i="2"/>
  <c r="Z35" i="2"/>
  <c r="AB40" i="2"/>
  <c r="F41" i="2"/>
  <c r="AE41" i="2" s="1"/>
  <c r="AG41" i="2" s="1"/>
  <c r="P44" i="2"/>
  <c r="AG49" i="2"/>
  <c r="X55" i="2"/>
  <c r="AB41" i="2"/>
  <c r="F42" i="2"/>
  <c r="AE42" i="2" s="1"/>
  <c r="AG42" i="2" s="1"/>
  <c r="Z44" i="2"/>
  <c r="U46" i="2"/>
  <c r="AG47" i="2"/>
  <c r="K48" i="2"/>
  <c r="Z51" i="2"/>
  <c r="AB52" i="2"/>
  <c r="P53" i="2"/>
  <c r="K54" i="2"/>
  <c r="Z55" i="2"/>
  <c r="Z54" i="2"/>
  <c r="AB55" i="2"/>
  <c r="F52" i="2"/>
  <c r="AE52" i="2" s="1"/>
  <c r="AG52" i="2" s="1"/>
  <c r="F54" i="2"/>
  <c r="AE54" i="2" s="1"/>
  <c r="AG54" i="2" s="1"/>
  <c r="AB48" i="3" l="1"/>
  <c r="AB47" i="3"/>
  <c r="AB43" i="3"/>
  <c r="AB49" i="3"/>
  <c r="AB44" i="3"/>
  <c r="AB40" i="3"/>
  <c r="AB51" i="3"/>
  <c r="AB42" i="3"/>
  <c r="AB39" i="3"/>
  <c r="AB46" i="3"/>
  <c r="AB32" i="3"/>
  <c r="AB35" i="3"/>
  <c r="AB26" i="3"/>
  <c r="AB22" i="3"/>
  <c r="AB16" i="3"/>
  <c r="AB28" i="3"/>
  <c r="AB24" i="3"/>
  <c r="AB20" i="3"/>
  <c r="AB18" i="3"/>
  <c r="AB10" i="3"/>
  <c r="AB8" i="3"/>
  <c r="AB12" i="3"/>
  <c r="AB14" i="3"/>
  <c r="X48" i="3"/>
  <c r="X52" i="3"/>
  <c r="X42" i="3"/>
  <c r="X39" i="3"/>
  <c r="X46" i="3"/>
  <c r="X51" i="3"/>
  <c r="X35" i="3"/>
  <c r="X26" i="3"/>
  <c r="X22" i="3"/>
  <c r="X16" i="3"/>
  <c r="X28" i="3"/>
  <c r="X32" i="3"/>
  <c r="X24" i="3"/>
  <c r="X20" i="3"/>
  <c r="X18" i="3"/>
  <c r="X10" i="3"/>
  <c r="X8" i="3"/>
  <c r="X14" i="3"/>
  <c r="X12" i="3"/>
  <c r="Z50" i="3"/>
  <c r="Z45" i="3"/>
  <c r="Z51" i="3"/>
  <c r="Z46" i="3"/>
  <c r="Z42" i="3"/>
  <c r="Z49" i="3"/>
  <c r="Z41" i="3"/>
  <c r="Z44" i="3"/>
  <c r="Z34" i="3"/>
  <c r="Z24" i="3"/>
  <c r="Z20" i="3"/>
  <c r="Z18" i="3"/>
  <c r="Z30" i="3"/>
  <c r="Z37" i="3"/>
  <c r="Z29" i="3"/>
  <c r="Z26" i="3"/>
  <c r="Z22" i="3"/>
  <c r="Z16" i="3"/>
  <c r="Z14" i="3"/>
  <c r="Z12" i="3"/>
  <c r="Z10" i="3"/>
  <c r="Z8" i="3"/>
  <c r="G53" i="3"/>
  <c r="V46" i="3"/>
  <c r="H53" i="3"/>
  <c r="K7" i="3"/>
  <c r="AB25" i="3"/>
  <c r="AB27" i="3"/>
  <c r="X23" i="3"/>
  <c r="Z15" i="3"/>
  <c r="Z13" i="3"/>
  <c r="V30" i="3"/>
  <c r="V51" i="3"/>
  <c r="V12" i="3"/>
  <c r="U53" i="3"/>
  <c r="V7" i="3"/>
  <c r="AB17" i="3"/>
  <c r="AB31" i="3"/>
  <c r="X11" i="3"/>
  <c r="I53" i="3"/>
  <c r="AB13" i="3"/>
  <c r="X9" i="3"/>
  <c r="N53" i="3"/>
  <c r="P7" i="3"/>
  <c r="AB11" i="3"/>
  <c r="V42" i="3"/>
  <c r="AB23" i="3"/>
  <c r="R52" i="3"/>
  <c r="X15" i="3"/>
  <c r="Z23" i="3"/>
  <c r="Z19" i="3"/>
  <c r="AB15" i="3"/>
  <c r="V10" i="3"/>
  <c r="AB7" i="3"/>
  <c r="AB53" i="3" s="1"/>
  <c r="F53" i="3"/>
  <c r="AE7" i="3"/>
  <c r="X7" i="3"/>
  <c r="Z25" i="3"/>
  <c r="X19" i="3"/>
  <c r="Z7" i="3"/>
  <c r="V48" i="2"/>
  <c r="V9" i="2"/>
  <c r="V19" i="2"/>
  <c r="V20" i="2"/>
  <c r="V32" i="2"/>
  <c r="V13" i="2"/>
  <c r="V39" i="2"/>
  <c r="V31" i="2"/>
  <c r="V36" i="2"/>
  <c r="V51" i="2"/>
  <c r="V25" i="2"/>
  <c r="V18" i="2"/>
  <c r="V23" i="2"/>
  <c r="V34" i="2"/>
  <c r="V35" i="2"/>
  <c r="V7" i="2"/>
  <c r="V45" i="2"/>
  <c r="V41" i="2"/>
  <c r="V42" i="2"/>
  <c r="V50" i="2"/>
  <c r="V54" i="2"/>
  <c r="V26" i="2"/>
  <c r="V15" i="2"/>
  <c r="V24" i="2"/>
  <c r="V21" i="2"/>
  <c r="V27" i="2"/>
  <c r="V30" i="2"/>
  <c r="V29" i="2"/>
  <c r="V40" i="2"/>
  <c r="V37" i="2"/>
  <c r="V47" i="2"/>
  <c r="V28" i="2"/>
  <c r="V11" i="2"/>
  <c r="V17" i="2"/>
  <c r="V10" i="2"/>
  <c r="V38" i="2"/>
  <c r="V33" i="2"/>
  <c r="V43" i="2"/>
  <c r="V53" i="2"/>
  <c r="V55" i="2"/>
  <c r="V44" i="2"/>
  <c r="V52" i="2"/>
  <c r="X54" i="2"/>
  <c r="V49" i="2"/>
  <c r="X34" i="2"/>
  <c r="X45" i="2"/>
  <c r="X41" i="2"/>
  <c r="X44" i="2"/>
  <c r="X26" i="2"/>
  <c r="V14" i="2"/>
  <c r="X38" i="2"/>
  <c r="Z39" i="2"/>
  <c r="Z33" i="2"/>
  <c r="AB50" i="2"/>
  <c r="AB49" i="2"/>
  <c r="AB47" i="2"/>
  <c r="AB46" i="2"/>
  <c r="AB44" i="2"/>
  <c r="AB42" i="2"/>
  <c r="AB37" i="2"/>
  <c r="AB31" i="2"/>
  <c r="AB11" i="2"/>
  <c r="AB25" i="2"/>
  <c r="AB16" i="2"/>
  <c r="AB13" i="2"/>
  <c r="AB8" i="2"/>
  <c r="AB9" i="2"/>
  <c r="AB48" i="2"/>
  <c r="AB27" i="2"/>
  <c r="AB23" i="2"/>
  <c r="AB15" i="2"/>
  <c r="AB7" i="2"/>
  <c r="AB21" i="2"/>
  <c r="AB12" i="2"/>
  <c r="G56" i="2"/>
  <c r="K7" i="2"/>
  <c r="X43" i="2"/>
  <c r="X32" i="2"/>
  <c r="V12" i="2"/>
  <c r="N56" i="2"/>
  <c r="P7" i="2"/>
  <c r="X28" i="2"/>
  <c r="X30" i="2"/>
  <c r="AB26" i="2"/>
  <c r="V16" i="2"/>
  <c r="Z11" i="2"/>
  <c r="X50" i="2"/>
  <c r="X49" i="2"/>
  <c r="X46" i="2"/>
  <c r="X47" i="2"/>
  <c r="X35" i="2"/>
  <c r="X48" i="2"/>
  <c r="X39" i="2"/>
  <c r="X25" i="2"/>
  <c r="X11" i="2"/>
  <c r="X27" i="2"/>
  <c r="X18" i="2"/>
  <c r="X16" i="2"/>
  <c r="X13" i="2"/>
  <c r="X8" i="2"/>
  <c r="X9" i="2"/>
  <c r="X23" i="2"/>
  <c r="X21" i="2"/>
  <c r="X15" i="2"/>
  <c r="X7" i="2"/>
  <c r="X29" i="2"/>
  <c r="X12" i="2"/>
  <c r="X24" i="2"/>
  <c r="X42" i="2"/>
  <c r="X37" i="2"/>
  <c r="Z34" i="2"/>
  <c r="V8" i="2"/>
  <c r="AB18" i="2"/>
  <c r="X10" i="2"/>
  <c r="Z15" i="2"/>
  <c r="AB10" i="2"/>
  <c r="X40" i="2"/>
  <c r="X53" i="2"/>
  <c r="Z21" i="2"/>
  <c r="X22" i="2"/>
  <c r="X17" i="2"/>
  <c r="AG56" i="2"/>
  <c r="AE56" i="2"/>
  <c r="X14" i="2"/>
  <c r="AB14" i="2"/>
  <c r="V46" i="2"/>
  <c r="X52" i="2"/>
  <c r="X36" i="2"/>
  <c r="X33" i="2"/>
  <c r="Z47" i="2"/>
  <c r="Z50" i="2"/>
  <c r="Z48" i="2"/>
  <c r="Z46" i="2"/>
  <c r="Z36" i="2"/>
  <c r="Z49" i="2"/>
  <c r="Z45" i="2"/>
  <c r="Z40" i="2"/>
  <c r="Z22" i="2"/>
  <c r="Z10" i="2"/>
  <c r="Z12" i="2"/>
  <c r="Z9" i="2"/>
  <c r="Z56" i="2" s="1"/>
  <c r="Z8" i="2"/>
  <c r="Z20" i="2"/>
  <c r="Z41" i="2"/>
  <c r="Z14" i="2"/>
  <c r="Z28" i="2"/>
  <c r="Z26" i="2"/>
  <c r="Z24" i="2"/>
  <c r="Z19" i="2"/>
  <c r="Z16" i="2"/>
  <c r="Z13" i="2"/>
  <c r="X19" i="2"/>
  <c r="V22" i="2"/>
  <c r="X31" i="2"/>
  <c r="Z25" i="2"/>
  <c r="F56" i="2"/>
  <c r="Z17" i="2"/>
  <c r="P53" i="3" l="1"/>
  <c r="Q7" i="3"/>
  <c r="K53" i="3"/>
  <c r="L7" i="3"/>
  <c r="X53" i="3"/>
  <c r="Z53" i="3"/>
  <c r="AE53" i="3"/>
  <c r="AG7" i="3"/>
  <c r="AG53" i="3" s="1"/>
  <c r="V52" i="3"/>
  <c r="V44" i="3"/>
  <c r="V49" i="3"/>
  <c r="V34" i="3"/>
  <c r="V8" i="3"/>
  <c r="V53" i="3" s="1"/>
  <c r="V11" i="3"/>
  <c r="V18" i="3"/>
  <c r="V26" i="3"/>
  <c r="V20" i="3"/>
  <c r="V22" i="3"/>
  <c r="V29" i="3"/>
  <c r="V39" i="3"/>
  <c r="V38" i="3"/>
  <c r="V40" i="3"/>
  <c r="V21" i="3"/>
  <c r="V27" i="3"/>
  <c r="V9" i="3"/>
  <c r="V33" i="3"/>
  <c r="V25" i="3"/>
  <c r="V35" i="3"/>
  <c r="V41" i="3"/>
  <c r="V45" i="3"/>
  <c r="V13" i="3"/>
  <c r="V14" i="3"/>
  <c r="V16" i="3"/>
  <c r="V37" i="3"/>
  <c r="V32" i="3"/>
  <c r="V19" i="3"/>
  <c r="V24" i="3"/>
  <c r="V28" i="3"/>
  <c r="V47" i="3"/>
  <c r="V15" i="3"/>
  <c r="V17" i="3"/>
  <c r="V23" i="3"/>
  <c r="V31" i="3"/>
  <c r="V36" i="3"/>
  <c r="V48" i="3"/>
  <c r="V43" i="3"/>
  <c r="V50" i="3"/>
  <c r="K56" i="2"/>
  <c r="L7" i="2"/>
  <c r="X56" i="2"/>
  <c r="V56" i="2"/>
  <c r="P56" i="2"/>
  <c r="Q7" i="2"/>
  <c r="AB56" i="2"/>
  <c r="AC7" i="3" l="1"/>
  <c r="L9" i="3"/>
  <c r="L29" i="3"/>
  <c r="L13" i="3"/>
  <c r="L53" i="3" s="1"/>
  <c r="L15" i="3"/>
  <c r="L19" i="3"/>
  <c r="L21" i="3"/>
  <c r="L41" i="3"/>
  <c r="L38" i="3"/>
  <c r="L45" i="3"/>
  <c r="L12" i="3"/>
  <c r="L14" i="3"/>
  <c r="AC14" i="3" s="1"/>
  <c r="AD14" i="3" s="1"/>
  <c r="AJ14" i="3" s="1"/>
  <c r="AL14" i="3" s="1"/>
  <c r="L39" i="3"/>
  <c r="L52" i="3"/>
  <c r="L32" i="3"/>
  <c r="L25" i="3"/>
  <c r="AC25" i="3" s="1"/>
  <c r="AD25" i="3" s="1"/>
  <c r="AJ25" i="3" s="1"/>
  <c r="AL25" i="3" s="1"/>
  <c r="L42" i="3"/>
  <c r="L37" i="3"/>
  <c r="L46" i="3"/>
  <c r="L27" i="3"/>
  <c r="AC27" i="3" s="1"/>
  <c r="AD27" i="3" s="1"/>
  <c r="AJ27" i="3" s="1"/>
  <c r="AL27" i="3" s="1"/>
  <c r="L16" i="3"/>
  <c r="L34" i="3"/>
  <c r="L28" i="3"/>
  <c r="L50" i="3"/>
  <c r="AC50" i="3" s="1"/>
  <c r="AD50" i="3" s="1"/>
  <c r="AJ50" i="3" s="1"/>
  <c r="AL50" i="3" s="1"/>
  <c r="L24" i="3"/>
  <c r="L44" i="3"/>
  <c r="L23" i="3"/>
  <c r="L36" i="3"/>
  <c r="AC36" i="3" s="1"/>
  <c r="AD36" i="3" s="1"/>
  <c r="AJ36" i="3" s="1"/>
  <c r="AL36" i="3" s="1"/>
  <c r="L35" i="3"/>
  <c r="L22" i="3"/>
  <c r="L33" i="3"/>
  <c r="L20" i="3"/>
  <c r="L17" i="3"/>
  <c r="L47" i="3"/>
  <c r="L18" i="3"/>
  <c r="L49" i="3"/>
  <c r="AC49" i="3" s="1"/>
  <c r="AD49" i="3" s="1"/>
  <c r="AJ49" i="3" s="1"/>
  <c r="AL49" i="3" s="1"/>
  <c r="L11" i="3"/>
  <c r="L51" i="3"/>
  <c r="L31" i="3"/>
  <c r="L26" i="3"/>
  <c r="L40" i="3"/>
  <c r="L43" i="3"/>
  <c r="L8" i="3"/>
  <c r="L48" i="3"/>
  <c r="AC48" i="3" s="1"/>
  <c r="AD48" i="3" s="1"/>
  <c r="AJ48" i="3" s="1"/>
  <c r="AL48" i="3" s="1"/>
  <c r="L30" i="3"/>
  <c r="L10" i="3"/>
  <c r="Q43" i="3"/>
  <c r="Q48" i="3"/>
  <c r="Q47" i="3"/>
  <c r="Q36" i="3"/>
  <c r="Q9" i="3"/>
  <c r="Q14" i="3"/>
  <c r="Q12" i="3"/>
  <c r="Q8" i="3"/>
  <c r="Q53" i="3" s="1"/>
  <c r="Q26" i="3"/>
  <c r="Q30" i="3"/>
  <c r="Q16" i="3"/>
  <c r="Q25" i="3"/>
  <c r="Q45" i="3"/>
  <c r="Q52" i="3"/>
  <c r="Q42" i="3"/>
  <c r="Q49" i="3"/>
  <c r="Q13" i="3"/>
  <c r="Q32" i="3"/>
  <c r="Q27" i="3"/>
  <c r="Q23" i="3"/>
  <c r="Q20" i="3"/>
  <c r="Q31" i="3"/>
  <c r="Q51" i="3"/>
  <c r="Q46" i="3"/>
  <c r="Q15" i="3"/>
  <c r="Q10" i="3"/>
  <c r="Q21" i="3"/>
  <c r="Q33" i="3"/>
  <c r="Q37" i="3"/>
  <c r="Q39" i="3"/>
  <c r="Q24" i="3"/>
  <c r="Q17" i="3"/>
  <c r="Q18" i="3"/>
  <c r="Q22" i="3"/>
  <c r="Q28" i="3"/>
  <c r="Q19" i="3"/>
  <c r="Q29" i="3"/>
  <c r="Q35" i="3"/>
  <c r="Q40" i="3"/>
  <c r="Q44" i="3"/>
  <c r="Q41" i="3"/>
  <c r="Q38" i="3"/>
  <c r="Q50" i="3"/>
  <c r="Q34" i="3"/>
  <c r="Q11" i="3"/>
  <c r="AC7" i="2"/>
  <c r="Q54" i="2"/>
  <c r="Q52" i="2"/>
  <c r="Q36" i="2"/>
  <c r="Q23" i="2"/>
  <c r="Q11" i="2"/>
  <c r="Q15" i="2"/>
  <c r="Q20" i="2"/>
  <c r="Q33" i="2"/>
  <c r="Q48" i="2"/>
  <c r="Q12" i="2"/>
  <c r="Q16" i="2"/>
  <c r="Q10" i="2"/>
  <c r="Q21" i="2"/>
  <c r="Q35" i="2"/>
  <c r="Q26" i="2"/>
  <c r="Q40" i="2"/>
  <c r="Q45" i="2"/>
  <c r="Q32" i="2"/>
  <c r="Q37" i="2"/>
  <c r="Q42" i="2"/>
  <c r="Q34" i="2"/>
  <c r="Q55" i="2"/>
  <c r="Q13" i="2"/>
  <c r="Q17" i="2"/>
  <c r="Q9" i="2"/>
  <c r="Q43" i="2"/>
  <c r="Q46" i="2"/>
  <c r="Q8" i="2"/>
  <c r="Q56" i="2" s="1"/>
  <c r="Q31" i="2"/>
  <c r="Q18" i="2"/>
  <c r="Q14" i="2"/>
  <c r="Q19" i="2"/>
  <c r="Q27" i="2"/>
  <c r="Q25" i="2"/>
  <c r="Q24" i="2"/>
  <c r="Q28" i="2"/>
  <c r="Q30" i="2"/>
  <c r="Q39" i="2"/>
  <c r="Q29" i="2"/>
  <c r="Q38" i="2"/>
  <c r="Q49" i="2"/>
  <c r="Q47" i="2"/>
  <c r="Q41" i="2"/>
  <c r="Q50" i="2"/>
  <c r="Q51" i="2"/>
  <c r="Q22" i="2"/>
  <c r="Q44" i="2"/>
  <c r="Q53" i="2"/>
  <c r="L35" i="2"/>
  <c r="L12" i="2"/>
  <c r="AC12" i="2" s="1"/>
  <c r="AD12" i="2" s="1"/>
  <c r="AJ12" i="2" s="1"/>
  <c r="L20" i="2"/>
  <c r="AC20" i="2" s="1"/>
  <c r="AD20" i="2" s="1"/>
  <c r="AJ20" i="2" s="1"/>
  <c r="L29" i="2"/>
  <c r="AC29" i="2" s="1"/>
  <c r="AD29" i="2" s="1"/>
  <c r="AJ29" i="2" s="1"/>
  <c r="L40" i="2"/>
  <c r="L51" i="2"/>
  <c r="AC51" i="2" s="1"/>
  <c r="AD51" i="2" s="1"/>
  <c r="AJ51" i="2" s="1"/>
  <c r="L55" i="2"/>
  <c r="AC55" i="2" s="1"/>
  <c r="AD55" i="2" s="1"/>
  <c r="AJ55" i="2" s="1"/>
  <c r="L21" i="2"/>
  <c r="AC21" i="2" s="1"/>
  <c r="AD21" i="2" s="1"/>
  <c r="AJ21" i="2" s="1"/>
  <c r="L45" i="2"/>
  <c r="AC45" i="2" s="1"/>
  <c r="AD45" i="2" s="1"/>
  <c r="AJ45" i="2" s="1"/>
  <c r="L19" i="2"/>
  <c r="L31" i="2"/>
  <c r="AC31" i="2" s="1"/>
  <c r="AD31" i="2" s="1"/>
  <c r="AJ31" i="2" s="1"/>
  <c r="L36" i="2"/>
  <c r="AC36" i="2" s="1"/>
  <c r="AD36" i="2" s="1"/>
  <c r="AJ36" i="2" s="1"/>
  <c r="L41" i="2"/>
  <c r="L53" i="2"/>
  <c r="L49" i="2"/>
  <c r="AC49" i="2" s="1"/>
  <c r="AD49" i="2" s="1"/>
  <c r="AJ49" i="2" s="1"/>
  <c r="L24" i="2"/>
  <c r="AC24" i="2" s="1"/>
  <c r="AD24" i="2" s="1"/>
  <c r="AJ24" i="2" s="1"/>
  <c r="L15" i="2"/>
  <c r="L50" i="2"/>
  <c r="L54" i="2"/>
  <c r="AC54" i="2" s="1"/>
  <c r="AD54" i="2" s="1"/>
  <c r="AJ54" i="2" s="1"/>
  <c r="L23" i="2"/>
  <c r="AC23" i="2" s="1"/>
  <c r="AD23" i="2" s="1"/>
  <c r="AJ23" i="2" s="1"/>
  <c r="L44" i="2"/>
  <c r="L11" i="2"/>
  <c r="AC11" i="2" s="1"/>
  <c r="AD11" i="2" s="1"/>
  <c r="AJ11" i="2" s="1"/>
  <c r="L33" i="2"/>
  <c r="L16" i="2"/>
  <c r="AC16" i="2" s="1"/>
  <c r="AD16" i="2" s="1"/>
  <c r="AJ16" i="2" s="1"/>
  <c r="L22" i="2"/>
  <c r="L30" i="2"/>
  <c r="AC30" i="2" s="1"/>
  <c r="AD30" i="2" s="1"/>
  <c r="AJ30" i="2" s="1"/>
  <c r="L48" i="2"/>
  <c r="AC48" i="2" s="1"/>
  <c r="AD48" i="2" s="1"/>
  <c r="AJ48" i="2" s="1"/>
  <c r="L18" i="2"/>
  <c r="AC18" i="2" s="1"/>
  <c r="AD18" i="2" s="1"/>
  <c r="AJ18" i="2" s="1"/>
  <c r="L42" i="2"/>
  <c r="L17" i="2"/>
  <c r="L37" i="2"/>
  <c r="AC37" i="2" s="1"/>
  <c r="AD37" i="2" s="1"/>
  <c r="AJ37" i="2" s="1"/>
  <c r="L46" i="2"/>
  <c r="AC46" i="2" s="1"/>
  <c r="AD46" i="2" s="1"/>
  <c r="AJ46" i="2" s="1"/>
  <c r="L25" i="2"/>
  <c r="L34" i="2"/>
  <c r="AC34" i="2" s="1"/>
  <c r="AD34" i="2" s="1"/>
  <c r="AJ34" i="2" s="1"/>
  <c r="L27" i="2"/>
  <c r="AC27" i="2" s="1"/>
  <c r="AD27" i="2" s="1"/>
  <c r="AJ27" i="2" s="1"/>
  <c r="L38" i="2"/>
  <c r="AC38" i="2" s="1"/>
  <c r="AD38" i="2" s="1"/>
  <c r="AJ38" i="2" s="1"/>
  <c r="L26" i="2"/>
  <c r="L43" i="2"/>
  <c r="AC43" i="2" s="1"/>
  <c r="AD43" i="2" s="1"/>
  <c r="AJ43" i="2" s="1"/>
  <c r="L13" i="2"/>
  <c r="AC13" i="2" s="1"/>
  <c r="AD13" i="2" s="1"/>
  <c r="AJ13" i="2" s="1"/>
  <c r="L14" i="2"/>
  <c r="AC14" i="2" s="1"/>
  <c r="AD14" i="2" s="1"/>
  <c r="AJ14" i="2" s="1"/>
  <c r="L52" i="2"/>
  <c r="L39" i="2"/>
  <c r="AC39" i="2" s="1"/>
  <c r="AD39" i="2" s="1"/>
  <c r="AJ39" i="2" s="1"/>
  <c r="L28" i="2"/>
  <c r="L47" i="2"/>
  <c r="AC47" i="2" s="1"/>
  <c r="AD47" i="2" s="1"/>
  <c r="AJ47" i="2" s="1"/>
  <c r="L10" i="2"/>
  <c r="L9" i="2"/>
  <c r="AC9" i="2" s="1"/>
  <c r="AD9" i="2" s="1"/>
  <c r="AJ9" i="2" s="1"/>
  <c r="L8" i="2"/>
  <c r="AC8" i="2" s="1"/>
  <c r="AD8" i="2" s="1"/>
  <c r="AJ8" i="2" s="1"/>
  <c r="L32" i="2"/>
  <c r="AC32" i="2" s="1"/>
  <c r="AD32" i="2" s="1"/>
  <c r="AJ32" i="2" s="1"/>
  <c r="AC8" i="3" l="1"/>
  <c r="AD8" i="3" s="1"/>
  <c r="AJ8" i="3" s="1"/>
  <c r="AL8" i="3" s="1"/>
  <c r="AC31" i="3"/>
  <c r="AD31" i="3" s="1"/>
  <c r="AJ31" i="3" s="1"/>
  <c r="AL31" i="3" s="1"/>
  <c r="AC18" i="3"/>
  <c r="AD18" i="3" s="1"/>
  <c r="AJ18" i="3" s="1"/>
  <c r="AL18" i="3" s="1"/>
  <c r="AC33" i="3"/>
  <c r="AD33" i="3" s="1"/>
  <c r="AJ33" i="3" s="1"/>
  <c r="AL33" i="3" s="1"/>
  <c r="AC23" i="3"/>
  <c r="AD23" i="3" s="1"/>
  <c r="AJ23" i="3" s="1"/>
  <c r="AL23" i="3" s="1"/>
  <c r="AC28" i="3"/>
  <c r="AD28" i="3" s="1"/>
  <c r="AJ28" i="3" s="1"/>
  <c r="AL28" i="3" s="1"/>
  <c r="AC46" i="3"/>
  <c r="AD46" i="3" s="1"/>
  <c r="AJ46" i="3" s="1"/>
  <c r="AL46" i="3" s="1"/>
  <c r="AC32" i="3"/>
  <c r="AD32" i="3" s="1"/>
  <c r="AJ32" i="3" s="1"/>
  <c r="AL32" i="3" s="1"/>
  <c r="AC12" i="3"/>
  <c r="AD12" i="3" s="1"/>
  <c r="AJ12" i="3" s="1"/>
  <c r="AL12" i="3" s="1"/>
  <c r="AC21" i="3"/>
  <c r="AD21" i="3" s="1"/>
  <c r="AJ21" i="3" s="1"/>
  <c r="AL21" i="3" s="1"/>
  <c r="AC29" i="3"/>
  <c r="AD29" i="3" s="1"/>
  <c r="AJ29" i="3" s="1"/>
  <c r="AL29" i="3" s="1"/>
  <c r="AC26" i="3"/>
  <c r="AD26" i="3" s="1"/>
  <c r="AJ26" i="3" s="1"/>
  <c r="AL26" i="3" s="1"/>
  <c r="AC41" i="3"/>
  <c r="AD41" i="3" s="1"/>
  <c r="AJ41" i="3" s="1"/>
  <c r="AL41" i="3" s="1"/>
  <c r="AC10" i="3"/>
  <c r="AD10" i="3" s="1"/>
  <c r="AJ10" i="3" s="1"/>
  <c r="AL10" i="3" s="1"/>
  <c r="AC43" i="3"/>
  <c r="AD43" i="3" s="1"/>
  <c r="AJ43" i="3" s="1"/>
  <c r="AL43" i="3" s="1"/>
  <c r="AC51" i="3"/>
  <c r="AD51" i="3" s="1"/>
  <c r="AJ51" i="3" s="1"/>
  <c r="AL51" i="3" s="1"/>
  <c r="AC47" i="3"/>
  <c r="AD47" i="3" s="1"/>
  <c r="AJ47" i="3" s="1"/>
  <c r="AL47" i="3" s="1"/>
  <c r="AC22" i="3"/>
  <c r="AD22" i="3" s="1"/>
  <c r="AJ22" i="3" s="1"/>
  <c r="AL22" i="3" s="1"/>
  <c r="AC44" i="3"/>
  <c r="AD44" i="3" s="1"/>
  <c r="AJ44" i="3" s="1"/>
  <c r="AL44" i="3" s="1"/>
  <c r="AC34" i="3"/>
  <c r="AD34" i="3" s="1"/>
  <c r="AJ34" i="3" s="1"/>
  <c r="AL34" i="3" s="1"/>
  <c r="AC37" i="3"/>
  <c r="AD37" i="3" s="1"/>
  <c r="AJ37" i="3" s="1"/>
  <c r="AL37" i="3" s="1"/>
  <c r="AC52" i="3"/>
  <c r="AC45" i="3"/>
  <c r="AD45" i="3" s="1"/>
  <c r="AJ45" i="3" s="1"/>
  <c r="AL45" i="3" s="1"/>
  <c r="AC19" i="3"/>
  <c r="AD19" i="3" s="1"/>
  <c r="AJ19" i="3" s="1"/>
  <c r="AL19" i="3" s="1"/>
  <c r="AC9" i="3"/>
  <c r="AD9" i="3" s="1"/>
  <c r="AJ9" i="3" s="1"/>
  <c r="AL9" i="3" s="1"/>
  <c r="AC20" i="3"/>
  <c r="AD20" i="3" s="1"/>
  <c r="AJ20" i="3" s="1"/>
  <c r="AL20" i="3" s="1"/>
  <c r="AC13" i="3"/>
  <c r="AD13" i="3" s="1"/>
  <c r="AJ13" i="3" s="1"/>
  <c r="AL13" i="3" s="1"/>
  <c r="AC30" i="3"/>
  <c r="AD30" i="3" s="1"/>
  <c r="AJ30" i="3" s="1"/>
  <c r="AL30" i="3" s="1"/>
  <c r="AC40" i="3"/>
  <c r="AD40" i="3" s="1"/>
  <c r="AJ40" i="3" s="1"/>
  <c r="AL40" i="3" s="1"/>
  <c r="AC11" i="3"/>
  <c r="AD11" i="3" s="1"/>
  <c r="AJ11" i="3" s="1"/>
  <c r="AL11" i="3" s="1"/>
  <c r="AC17" i="3"/>
  <c r="AD17" i="3" s="1"/>
  <c r="AJ17" i="3" s="1"/>
  <c r="AL17" i="3" s="1"/>
  <c r="AC35" i="3"/>
  <c r="AD35" i="3" s="1"/>
  <c r="AJ35" i="3" s="1"/>
  <c r="AL35" i="3" s="1"/>
  <c r="AC24" i="3"/>
  <c r="AD24" i="3" s="1"/>
  <c r="AJ24" i="3" s="1"/>
  <c r="AL24" i="3" s="1"/>
  <c r="AC16" i="3"/>
  <c r="AD16" i="3" s="1"/>
  <c r="AJ16" i="3" s="1"/>
  <c r="AL16" i="3" s="1"/>
  <c r="AC42" i="3"/>
  <c r="AD42" i="3" s="1"/>
  <c r="AJ42" i="3" s="1"/>
  <c r="AL42" i="3" s="1"/>
  <c r="AC39" i="3"/>
  <c r="AD39" i="3" s="1"/>
  <c r="AJ39" i="3" s="1"/>
  <c r="AL39" i="3" s="1"/>
  <c r="AC38" i="3"/>
  <c r="AD38" i="3" s="1"/>
  <c r="AJ38" i="3" s="1"/>
  <c r="AL38" i="3" s="1"/>
  <c r="AC15" i="3"/>
  <c r="AD15" i="3" s="1"/>
  <c r="AJ15" i="3" s="1"/>
  <c r="AL15" i="3" s="1"/>
  <c r="AD7" i="3"/>
  <c r="AC33" i="2"/>
  <c r="AD33" i="2" s="1"/>
  <c r="AJ33" i="2" s="1"/>
  <c r="AC17" i="2"/>
  <c r="AD17" i="2" s="1"/>
  <c r="AJ17" i="2" s="1"/>
  <c r="AC50" i="2"/>
  <c r="AD50" i="2" s="1"/>
  <c r="AJ50" i="2" s="1"/>
  <c r="AC53" i="2"/>
  <c r="AD53" i="2" s="1"/>
  <c r="AJ53" i="2" s="1"/>
  <c r="AC10" i="2"/>
  <c r="AD10" i="2" s="1"/>
  <c r="AJ10" i="2" s="1"/>
  <c r="AC52" i="2"/>
  <c r="AD52" i="2" s="1"/>
  <c r="AJ52" i="2" s="1"/>
  <c r="AC26" i="2"/>
  <c r="AD26" i="2" s="1"/>
  <c r="AJ26" i="2" s="1"/>
  <c r="AC25" i="2"/>
  <c r="AD25" i="2" s="1"/>
  <c r="AJ25" i="2" s="1"/>
  <c r="AC42" i="2"/>
  <c r="AD42" i="2" s="1"/>
  <c r="AJ42" i="2" s="1"/>
  <c r="AC22" i="2"/>
  <c r="AD22" i="2" s="1"/>
  <c r="AJ22" i="2" s="1"/>
  <c r="AC44" i="2"/>
  <c r="AD44" i="2" s="1"/>
  <c r="AJ44" i="2" s="1"/>
  <c r="AC15" i="2"/>
  <c r="AD15" i="2" s="1"/>
  <c r="AJ15" i="2" s="1"/>
  <c r="AC41" i="2"/>
  <c r="AD41" i="2" s="1"/>
  <c r="AJ41" i="2" s="1"/>
  <c r="AC40" i="2"/>
  <c r="AD40" i="2" s="1"/>
  <c r="AJ40" i="2" s="1"/>
  <c r="AC35" i="2"/>
  <c r="AD35" i="2" s="1"/>
  <c r="AJ35" i="2" s="1"/>
  <c r="AD7" i="2"/>
  <c r="L56" i="2"/>
  <c r="AC28" i="2"/>
  <c r="AD28" i="2" s="1"/>
  <c r="AJ28" i="2" s="1"/>
  <c r="AC19" i="2"/>
  <c r="AD19" i="2" s="1"/>
  <c r="AJ19" i="2" s="1"/>
  <c r="AC53" i="3" l="1"/>
  <c r="AD53" i="3"/>
  <c r="AJ7" i="3"/>
  <c r="AC56" i="2"/>
  <c r="AD56" i="2"/>
  <c r="AJ7" i="2"/>
  <c r="AJ56" i="2" s="1"/>
  <c r="AJ53" i="3" l="1"/>
  <c r="AL7" i="3"/>
</calcChain>
</file>

<file path=xl/comments1.xml><?xml version="1.0" encoding="utf-8"?>
<comments xmlns="http://schemas.openxmlformats.org/spreadsheetml/2006/main">
  <authors>
    <author>נחום עידו</author>
  </authors>
  <commentList>
    <comment ref="T32" authorId="0" shapeId="0">
      <text>
        <r>
          <rPr>
            <b/>
            <sz val="9"/>
            <color indexed="81"/>
            <rFont val="Tahoma"/>
            <family val="2"/>
          </rPr>
          <t>נחום עידו:</t>
        </r>
        <r>
          <rPr>
            <sz val="9"/>
            <color indexed="81"/>
            <rFont val="Tahoma"/>
            <family val="2"/>
          </rPr>
          <t xml:space="preserve">
נשלחה בקשה להבהרה כל המטופלים ממסגרות שמקבלות מימון המדינה</t>
        </r>
      </text>
    </comment>
    <comment ref="T36" authorId="0" shapeId="0">
      <text>
        <r>
          <rPr>
            <b/>
            <sz val="9"/>
            <color indexed="81"/>
            <rFont val="Tahoma"/>
            <family val="2"/>
          </rPr>
          <t>נחום עידו:</t>
        </r>
        <r>
          <rPr>
            <sz val="9"/>
            <color indexed="81"/>
            <rFont val="Tahoma"/>
            <family val="2"/>
          </rPr>
          <t xml:space="preserve">
בבדיקה אם יש כפל</t>
        </r>
      </text>
    </comment>
  </commentList>
</comments>
</file>

<file path=xl/comments2.xml><?xml version="1.0" encoding="utf-8"?>
<comments xmlns="http://schemas.openxmlformats.org/spreadsheetml/2006/main">
  <authors>
    <author>נחום עידו</author>
  </authors>
  <commentList>
    <comment ref="T32" authorId="0" shapeId="0">
      <text>
        <r>
          <rPr>
            <b/>
            <sz val="9"/>
            <color indexed="81"/>
            <rFont val="Tahoma"/>
            <family val="2"/>
          </rPr>
          <t>נחום עידו:</t>
        </r>
        <r>
          <rPr>
            <sz val="9"/>
            <color indexed="81"/>
            <rFont val="Tahoma"/>
            <family val="2"/>
          </rPr>
          <t xml:space="preserve">
נשלחה בקשה להבהרה כל המטופלים ממסגרות שמקבלות מימון המדינה</t>
        </r>
      </text>
    </comment>
    <comment ref="T36" authorId="0" shapeId="0">
      <text>
        <r>
          <rPr>
            <b/>
            <sz val="9"/>
            <color indexed="81"/>
            <rFont val="Tahoma"/>
            <family val="2"/>
          </rPr>
          <t>נחום עידו:</t>
        </r>
        <r>
          <rPr>
            <sz val="9"/>
            <color indexed="81"/>
            <rFont val="Tahoma"/>
            <family val="2"/>
          </rPr>
          <t xml:space="preserve">
בבדיקה אם יש כפל</t>
        </r>
      </text>
    </comment>
    <comment ref="C45" authorId="0" shapeId="0">
      <text>
        <r>
          <rPr>
            <b/>
            <sz val="9"/>
            <color indexed="81"/>
            <rFont val="Tahoma"/>
            <family val="2"/>
          </rPr>
          <t>נחום עידו:</t>
        </r>
        <r>
          <rPr>
            <sz val="9"/>
            <color indexed="81"/>
            <rFont val="Tahoma"/>
            <family val="2"/>
          </rPr>
          <t xml:space="preserve">
נשלחה בקשה להבהרה</t>
        </r>
      </text>
    </comment>
  </commentList>
</comments>
</file>

<file path=xl/sharedStrings.xml><?xml version="1.0" encoding="utf-8"?>
<sst xmlns="http://schemas.openxmlformats.org/spreadsheetml/2006/main" count="304" uniqueCount="112">
  <si>
    <t>נספח ב' - גליון מסכם מוגבלויות 2023</t>
  </si>
  <si>
    <t>מס' בקשה</t>
  </si>
  <si>
    <t>שם עמותה</t>
  </si>
  <si>
    <t xml:space="preserve">חלוקת תקציב </t>
  </si>
  <si>
    <t>הערות</t>
  </si>
  <si>
    <t>אהבת חינ"מ לכולם (ע"ר)</t>
  </si>
  <si>
    <t>בית לחינוך (ע''ר)</t>
  </si>
  <si>
    <t>עמותת לסת - וחדק לתמיכה ושילוב אנשי</t>
  </si>
  <si>
    <t>שותף - לקידום ולשילוב ילדים עם צרכי</t>
  </si>
  <si>
    <t>חינוך ועתיד (ע"ר)</t>
  </si>
  <si>
    <t>שמחת הלב- איגוד הליצנים הרפואים - ט</t>
  </si>
  <si>
    <t>קשר-הבית של המשפחות המיוחדות ????-</t>
  </si>
  <si>
    <t>לטם - טבע נגיש לכולם (ע"ר)</t>
  </si>
  <si>
    <t>סבא ג'ק - מרכז לטיפול חוויתי משולב</t>
  </si>
  <si>
    <t>אופק לילדינו (ע"ר)</t>
  </si>
  <si>
    <t>כפר נהר הירדן (ע"ר)</t>
  </si>
  <si>
    <t>עלה - עמותה לקידום הסטודנטים העוורי</t>
  </si>
  <si>
    <t>המכון הלאומי לשיקום נוירופסיכולוגי</t>
  </si>
  <si>
    <t>מגן הלב</t>
  </si>
  <si>
    <t>העמותה לרכיבה וכלבנות טיפולית (ע"ר)</t>
  </si>
  <si>
    <t>בית איזי שפירא - עמותת אבי</t>
  </si>
  <si>
    <t>לב בנימין (ע"ר)</t>
  </si>
  <si>
    <t>עמותת על - עמותה לקידום תוכניות ייח</t>
  </si>
  <si>
    <t>האגודה הישראלית לטרשת נפוצה (ע"ר)</t>
  </si>
  <si>
    <t>צעד קדימה - עמותה לחינוך ושיקום באמ</t>
  </si>
  <si>
    <t>בית הגלגלים (ע"ר)</t>
  </si>
  <si>
    <t>מכון "מסילות" אשדוד (ע"ר)</t>
  </si>
  <si>
    <t>יעדים לצפון מיסודה של קרן רש"י (ע"ר</t>
  </si>
  <si>
    <t>לבב חברתי (ע"ר)</t>
  </si>
  <si>
    <t>אתגרים</t>
  </si>
  <si>
    <t>משעולים (ע"ר)</t>
  </si>
  <si>
    <t>"הבית של רונית" - מרכז התפתחות חברת</t>
  </si>
  <si>
    <t>אלמנארה - עמותה לקידום אנשים עם מוג</t>
  </si>
  <si>
    <t>מוסדות תורה, חינוך וסיוע בית שמש (ע</t>
  </si>
  <si>
    <t>אגודת עזרה למרפא שע"י אברכי חסידי ב</t>
  </si>
  <si>
    <t>קרן עזרה לזולת קרית גת (ע"ר)</t>
  </si>
  <si>
    <t>מסגרת שמעיה (ע"ר)</t>
  </si>
  <si>
    <t>קו לחיים - תנועה חברתית לשיפור והצל</t>
  </si>
  <si>
    <t>ס.ו.ל.ם. - סיוע ועידוד לילדים מוגבל</t>
  </si>
  <si>
    <t>שיח סוד- מרכז חינוכי שיקומי לבעלי צ</t>
  </si>
  <si>
    <t>בדרך אל- בית ספר בטב"ע (בדרך טבעית</t>
  </si>
  <si>
    <t>האגודה למען העוור ולמניעת העוורון ח</t>
  </si>
  <si>
    <t>שמע קולנו - מרכז ארצי שיקום והדרכה</t>
  </si>
  <si>
    <t>פתחיה - מוסדות לחינוך מיוחד (ע"ר)</t>
  </si>
  <si>
    <t>העמותה הישראלית לדיסאוטונומיה משפחת</t>
  </si>
  <si>
    <t>שלוה - האגודה הישראלית לטיפול באנשי</t>
  </si>
  <si>
    <t>תקוה לפרקינסון (ע''ר)</t>
  </si>
  <si>
    <t>חזון דב - העמותה לשיקום ותמיכה באנש</t>
  </si>
  <si>
    <t>שערים לחיים (ע"ר)</t>
  </si>
  <si>
    <t>מגן - מרכז גוף ונפש (ע"ר)</t>
  </si>
  <si>
    <t>עמותת סאנרייז ישראל (ע"ר)</t>
  </si>
  <si>
    <t>צהר לטהר</t>
  </si>
  <si>
    <t>שמעיה גליל עליון (ע"ר)</t>
  </si>
  <si>
    <t>1001629343</t>
  </si>
  <si>
    <t>המרכז להנצחת זכרו של אייל שמעוני ז"</t>
  </si>
  <si>
    <t>עמותת ורטיגו למחול - ירושלים (ע"ר)</t>
  </si>
  <si>
    <t>סה"כ</t>
  </si>
  <si>
    <t>נספח א' בדיקת הגופים קריטריונים וניקוד- טיפול במוגבלויות  2023</t>
  </si>
  <si>
    <t>√</t>
  </si>
  <si>
    <t>X</t>
  </si>
  <si>
    <t>קריטריון</t>
  </si>
  <si>
    <t>א(1)(א)</t>
  </si>
  <si>
    <t>סעיף 15</t>
  </si>
  <si>
    <t xml:space="preserve">2(א) 4 </t>
  </si>
  <si>
    <t>3(א)</t>
  </si>
  <si>
    <t>משקל</t>
  </si>
  <si>
    <t>בדיקת עמותה חדשה</t>
  </si>
  <si>
    <t>היקף משרה</t>
  </si>
  <si>
    <t>סך העובדים במוסד (לא כולל מנהלי)</t>
  </si>
  <si>
    <t>אחוז נכים/שיקום</t>
  </si>
  <si>
    <t>סה"כ ציון - משרות</t>
  </si>
  <si>
    <t>ניקוד יחסי משרות</t>
  </si>
  <si>
    <t>מס' מתנדבים</t>
  </si>
  <si>
    <t>ניקוד מתנדבים</t>
  </si>
  <si>
    <t>תוספת נקודה לאחוז מתנדבים מעל 50%</t>
  </si>
  <si>
    <t>סך הכל ניקוד מתנדבים</t>
  </si>
  <si>
    <t>ניקוד יחסי מתנדבים</t>
  </si>
  <si>
    <t>שרות סוציאלי פרטני</t>
  </si>
  <si>
    <t>שירות סוציאלי קבוצתי</t>
  </si>
  <si>
    <t>ניקוד עבור פנאי</t>
  </si>
  <si>
    <t>סה"כ מגוון שירותים</t>
  </si>
  <si>
    <t>ניקוד יחסי מגוון שירותים</t>
  </si>
  <si>
    <t>ייחודיות ונחיצות
(מיובא מגליון נפרד)</t>
  </si>
  <si>
    <t>ניקוד יחסי יחודיות</t>
  </si>
  <si>
    <t>ניקוד מרחב גאוגרפי</t>
  </si>
  <si>
    <t>ניקוד יחסי מרחב גאוגרפי</t>
  </si>
  <si>
    <t>העסקת מוגבלות</t>
  </si>
  <si>
    <t>סה"כ ניקוד יחסי לארגון</t>
  </si>
  <si>
    <t>חלוקת תקציב ראשוני</t>
  </si>
  <si>
    <t>מגבלת סיוע לפי מס' עובדים</t>
  </si>
  <si>
    <t>סכום הבקשה</t>
  </si>
  <si>
    <t>מגבלה לפי סכום הבקשה</t>
  </si>
  <si>
    <t>סכום הפרוייקט</t>
  </si>
  <si>
    <t>מגבלה לפי 85% מעלות הפרויקט</t>
  </si>
  <si>
    <t xml:space="preserve">חלק יחסי בתקציב </t>
  </si>
  <si>
    <t>בקשה עבור</t>
  </si>
  <si>
    <t>עו"ס</t>
  </si>
  <si>
    <t>טיפולית</t>
  </si>
  <si>
    <t>מדריכים</t>
  </si>
  <si>
    <t>ציון עו"ס</t>
  </si>
  <si>
    <t>ציון מ.טיפולית</t>
  </si>
  <si>
    <t>ציון מדריכים</t>
  </si>
  <si>
    <t>קשר-הבית של המשפחות המיוחדות</t>
  </si>
  <si>
    <t>נספח א' בדיקת הגופים קריטריונים וניקוד- טיפול במוגבלויות 2022</t>
  </si>
  <si>
    <t>חלוקת התקציב סופי</t>
  </si>
  <si>
    <t>חיים וחסד ריסורסז (ע"ר)</t>
  </si>
  <si>
    <t>קרן מלכי - לזכרה של מלכי רוט הי"ד</t>
  </si>
  <si>
    <t>כישורית (חל"צ)</t>
  </si>
  <si>
    <t>תרבות מאן דהוא (ע"ר)</t>
  </si>
  <si>
    <t>אלין- בית נועם (ע"ר)</t>
  </si>
  <si>
    <t>1001573017</t>
  </si>
  <si>
    <t>עמותת ורטיגו למחול - כוח האיזון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</si>
</sst>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5" formatCode="&quot;₪&quot;\ #,##0;&quot;₪&quot;\ \-#,##0"/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  <numFmt numFmtId="165" formatCode="_ &quot;₪&quot;\ * #,##0_ ;_ &quot;₪&quot;\ * \-#,##0_ ;_ &quot;₪&quot;\ * &quot;-&quot;??_ ;_ @_ "/>
    <numFmt numFmtId="166" formatCode="[$-F400]h:mm:ss\ AM/PM"/>
    <numFmt numFmtId="167" formatCode="0.0"/>
    <numFmt numFmtId="168" formatCode="0.0%"/>
    <numFmt numFmtId="169" formatCode="0.000"/>
    <numFmt numFmtId="170" formatCode="_ * #,##0.0_ ;_ * \-#,##0.0_ ;_ * &quot;-&quot;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4"/>
      <name val="Arial"/>
      <family val="2"/>
    </font>
    <font>
      <sz val="10"/>
      <name val="Arial"/>
      <charset val="177"/>
    </font>
    <font>
      <b/>
      <u/>
      <sz val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  <scheme val="minor"/>
    </font>
    <font>
      <sz val="11"/>
      <name val="Arial"/>
      <family val="2"/>
      <scheme val="minor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  <scheme val="minor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" fontId="13" fillId="5" borderId="10" applyNumberFormat="0" applyProtection="0">
      <alignment horizontal="right" vertical="center"/>
    </xf>
    <xf numFmtId="0" fontId="1" fillId="2" borderId="1" applyNumberFormat="0" applyFont="0" applyAlignment="0" applyProtection="0"/>
    <xf numFmtId="0" fontId="5" fillId="0" borderId="0"/>
  </cellStyleXfs>
  <cellXfs count="163">
    <xf numFmtId="0" fontId="0" fillId="0" borderId="0" xfId="0"/>
    <xf numFmtId="0" fontId="2" fillId="0" borderId="0" xfId="0" applyFont="1" applyFill="1" applyAlignment="1"/>
    <xf numFmtId="0" fontId="0" fillId="0" borderId="0" xfId="0" applyFill="1" applyAlignment="1">
      <alignment horizontal="center"/>
    </xf>
    <xf numFmtId="164" fontId="0" fillId="0" borderId="0" xfId="1" applyNumberFormat="1" applyFont="1" applyFill="1"/>
    <xf numFmtId="164" fontId="0" fillId="0" borderId="0" xfId="1" applyNumberFormat="1" applyFont="1" applyFill="1" applyAlignment="1">
      <alignment horizontal="center"/>
    </xf>
    <xf numFmtId="164" fontId="4" fillId="0" borderId="2" xfId="1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0" fillId="0" borderId="0" xfId="0" applyNumberFormat="1" applyAlignment="1">
      <alignment vertical="top"/>
    </xf>
    <xf numFmtId="0" fontId="0" fillId="0" borderId="0" xfId="0" applyAlignment="1">
      <alignment vertical="top"/>
    </xf>
    <xf numFmtId="5" fontId="6" fillId="0" borderId="2" xfId="2" applyNumberFormat="1" applyFont="1" applyFill="1" applyBorder="1" applyAlignment="1">
      <alignment horizontal="center"/>
    </xf>
    <xf numFmtId="0" fontId="6" fillId="0" borderId="0" xfId="0" applyFont="1" applyFill="1"/>
    <xf numFmtId="0" fontId="6" fillId="3" borderId="0" xfId="0" applyFont="1" applyFill="1"/>
    <xf numFmtId="0" fontId="0" fillId="0" borderId="0" xfId="0" applyAlignment="1">
      <alignment horizontal="right" vertical="top"/>
    </xf>
    <xf numFmtId="0" fontId="6" fillId="4" borderId="0" xfId="0" applyFont="1" applyFill="1"/>
    <xf numFmtId="165" fontId="7" fillId="0" borderId="3" xfId="2" applyNumberFormat="1" applyFont="1" applyFill="1" applyBorder="1" applyAlignment="1">
      <alignment horizontal="center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5" fontId="6" fillId="0" borderId="0" xfId="2" applyNumberFormat="1" applyFont="1" applyFill="1" applyBorder="1" applyAlignment="1">
      <alignment horizontal="center"/>
    </xf>
    <xf numFmtId="5" fontId="0" fillId="0" borderId="0" xfId="0" applyNumberForma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9" fontId="10" fillId="0" borderId="0" xfId="3" applyFont="1" applyFill="1" applyAlignment="1"/>
    <xf numFmtId="0" fontId="5" fillId="0" borderId="2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9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9" fontId="4" fillId="0" borderId="0" xfId="0" applyNumberFormat="1" applyFont="1" applyFill="1" applyAlignment="1">
      <alignment horizontal="center" readingOrder="2"/>
    </xf>
    <xf numFmtId="164" fontId="5" fillId="0" borderId="0" xfId="1" applyNumberFormat="1" applyFont="1" applyFill="1" applyAlignment="1"/>
    <xf numFmtId="164" fontId="5" fillId="0" borderId="0" xfId="1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right" wrapText="1" readingOrder="2"/>
    </xf>
    <xf numFmtId="3" fontId="5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9" fontId="10" fillId="0" borderId="0" xfId="3" applyFont="1" applyFill="1" applyAlignment="1">
      <alignment horizontal="center"/>
    </xf>
    <xf numFmtId="164" fontId="5" fillId="0" borderId="0" xfId="4" applyNumberFormat="1" applyFont="1" applyFill="1" applyAlignment="1">
      <alignment horizontal="center"/>
    </xf>
    <xf numFmtId="164" fontId="5" fillId="0" borderId="0" xfId="1" applyNumberFormat="1" applyFont="1" applyFill="1" applyAlignment="1">
      <alignment horizontal="center"/>
    </xf>
    <xf numFmtId="3" fontId="5" fillId="0" borderId="0" xfId="1" applyNumberFormat="1" applyFont="1" applyFill="1" applyAlignment="1">
      <alignment horizontal="center"/>
    </xf>
    <xf numFmtId="164" fontId="5" fillId="0" borderId="0" xfId="1" applyNumberFormat="1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vertical="center"/>
    </xf>
    <xf numFmtId="9" fontId="11" fillId="0" borderId="2" xfId="3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readingOrder="2"/>
    </xf>
    <xf numFmtId="0" fontId="7" fillId="0" borderId="3" xfId="0" applyFont="1" applyFill="1" applyBorder="1" applyAlignment="1">
      <alignment horizontal="center"/>
    </xf>
    <xf numFmtId="9" fontId="7" fillId="0" borderId="2" xfId="3" applyFont="1" applyFill="1" applyBorder="1" applyAlignment="1">
      <alignment horizontal="center"/>
    </xf>
    <xf numFmtId="3" fontId="7" fillId="0" borderId="2" xfId="3" applyNumberFormat="1" applyFont="1" applyFill="1" applyBorder="1" applyAlignment="1">
      <alignment horizontal="center"/>
    </xf>
    <xf numFmtId="164" fontId="7" fillId="0" borderId="2" xfId="1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9" fontId="7" fillId="0" borderId="4" xfId="3" applyFont="1" applyFill="1" applyBorder="1" applyAlignment="1">
      <alignment horizontal="center" vertical="center"/>
    </xf>
    <xf numFmtId="9" fontId="7" fillId="0" borderId="5" xfId="3" applyFont="1" applyFill="1" applyBorder="1" applyAlignment="1">
      <alignment horizontal="center" vertical="center"/>
    </xf>
    <xf numFmtId="9" fontId="7" fillId="0" borderId="3" xfId="3" applyFont="1" applyFill="1" applyBorder="1" applyAlignment="1">
      <alignment horizontal="center" vertical="center"/>
    </xf>
    <xf numFmtId="9" fontId="7" fillId="0" borderId="4" xfId="3" applyFont="1" applyFill="1" applyBorder="1" applyAlignment="1">
      <alignment horizontal="center"/>
    </xf>
    <xf numFmtId="9" fontId="7" fillId="0" borderId="5" xfId="3" applyFont="1" applyFill="1" applyBorder="1" applyAlignment="1">
      <alignment horizontal="center"/>
    </xf>
    <xf numFmtId="9" fontId="7" fillId="0" borderId="3" xfId="3" applyFont="1" applyFill="1" applyBorder="1" applyAlignment="1">
      <alignment horizontal="center"/>
    </xf>
    <xf numFmtId="3" fontId="7" fillId="0" borderId="0" xfId="0" applyNumberFormat="1" applyFont="1" applyFill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textRotation="180"/>
    </xf>
    <xf numFmtId="0" fontId="5" fillId="0" borderId="2" xfId="0" applyFont="1" applyFill="1" applyBorder="1" applyAlignment="1">
      <alignment horizontal="center" vertical="center"/>
    </xf>
    <xf numFmtId="9" fontId="12" fillId="0" borderId="2" xfId="3" applyFont="1" applyFill="1" applyBorder="1" applyAlignment="1">
      <alignment horizontal="center" vertical="center" textRotation="180"/>
    </xf>
    <xf numFmtId="0" fontId="12" fillId="0" borderId="2" xfId="0" applyFont="1" applyFill="1" applyBorder="1" applyAlignment="1">
      <alignment horizontal="center" vertical="center" textRotation="180"/>
    </xf>
    <xf numFmtId="0" fontId="5" fillId="0" borderId="2" xfId="0" applyFont="1" applyFill="1" applyBorder="1" applyAlignment="1">
      <alignment horizontal="center" textRotation="180"/>
    </xf>
    <xf numFmtId="0" fontId="5" fillId="0" borderId="2" xfId="0" applyFont="1" applyFill="1" applyBorder="1" applyAlignment="1">
      <alignment horizontal="center" vertical="center" textRotation="180" wrapText="1"/>
    </xf>
    <xf numFmtId="0" fontId="5" fillId="0" borderId="4" xfId="0" applyFont="1" applyFill="1" applyBorder="1" applyAlignment="1">
      <alignment horizontal="center" vertical="center" textRotation="180"/>
    </xf>
    <xf numFmtId="0" fontId="5" fillId="0" borderId="3" xfId="0" applyFont="1" applyFill="1" applyBorder="1" applyAlignment="1">
      <alignment horizontal="center" vertical="center" textRotation="180"/>
    </xf>
    <xf numFmtId="3" fontId="5" fillId="0" borderId="2" xfId="0" applyNumberFormat="1" applyFont="1" applyFill="1" applyBorder="1" applyAlignment="1">
      <alignment horizontal="center" vertical="center" textRotation="180"/>
    </xf>
    <xf numFmtId="0" fontId="12" fillId="0" borderId="4" xfId="0" applyFont="1" applyFill="1" applyBorder="1" applyAlignment="1">
      <alignment horizontal="center" vertical="center" textRotation="180"/>
    </xf>
    <xf numFmtId="164" fontId="5" fillId="0" borderId="6" xfId="1" applyNumberFormat="1" applyFont="1" applyFill="1" applyBorder="1" applyAlignment="1">
      <alignment horizontal="center" vertical="center" textRotation="180" wrapText="1"/>
    </xf>
    <xf numFmtId="3" fontId="7" fillId="0" borderId="6" xfId="0" applyNumberFormat="1" applyFont="1" applyFill="1" applyBorder="1" applyAlignment="1">
      <alignment horizontal="center" vertical="center" textRotation="180" wrapText="1"/>
    </xf>
    <xf numFmtId="0" fontId="5" fillId="0" borderId="0" xfId="0" applyFont="1" applyFill="1" applyAlignment="1">
      <alignment vertical="center"/>
    </xf>
    <xf numFmtId="166" fontId="5" fillId="0" borderId="2" xfId="0" applyNumberFormat="1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5" fillId="0" borderId="7" xfId="0" applyNumberFormat="1" applyFont="1" applyFill="1" applyBorder="1" applyAlignment="1">
      <alignment horizontal="center" vertical="center" wrapText="1"/>
    </xf>
    <xf numFmtId="166" fontId="5" fillId="0" borderId="7" xfId="0" applyNumberFormat="1" applyFont="1" applyFill="1" applyBorder="1" applyAlignment="1">
      <alignment horizontal="right" vertical="center" wrapText="1"/>
    </xf>
    <xf numFmtId="9" fontId="12" fillId="0" borderId="2" xfId="3" applyFont="1" applyFill="1" applyBorder="1" applyAlignment="1">
      <alignment horizontal="center" vertical="center" wrapText="1"/>
    </xf>
    <xf numFmtId="166" fontId="5" fillId="0" borderId="2" xfId="3" applyNumberFormat="1" applyFont="1" applyFill="1" applyBorder="1" applyAlignment="1">
      <alignment vertical="center" wrapText="1"/>
    </xf>
    <xf numFmtId="166" fontId="5" fillId="0" borderId="2" xfId="3" applyNumberFormat="1" applyFont="1" applyFill="1" applyBorder="1" applyAlignment="1">
      <alignment horizontal="center" wrapText="1"/>
    </xf>
    <xf numFmtId="166" fontId="5" fillId="0" borderId="2" xfId="3" applyNumberFormat="1" applyFont="1" applyFill="1" applyBorder="1" applyAlignment="1">
      <alignment horizontal="center" vertical="center" wrapText="1"/>
    </xf>
    <xf numFmtId="166" fontId="5" fillId="0" borderId="4" xfId="0" applyNumberFormat="1" applyFont="1" applyFill="1" applyBorder="1" applyAlignment="1">
      <alignment horizontal="center" vertical="center" wrapText="1"/>
    </xf>
    <xf numFmtId="166" fontId="5" fillId="0" borderId="3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166" fontId="5" fillId="0" borderId="2" xfId="1" applyNumberFormat="1" applyFont="1" applyFill="1" applyBorder="1" applyAlignment="1">
      <alignment horizontal="center" vertical="center" wrapText="1"/>
    </xf>
    <xf numFmtId="166" fontId="5" fillId="0" borderId="4" xfId="1" applyNumberFormat="1" applyFont="1" applyFill="1" applyBorder="1" applyAlignment="1">
      <alignment horizontal="center" vertical="center" wrapText="1"/>
    </xf>
    <xf numFmtId="164" fontId="5" fillId="0" borderId="8" xfId="1" applyNumberFormat="1" applyFont="1" applyFill="1" applyBorder="1" applyAlignment="1">
      <alignment horizontal="center" vertical="center" wrapText="1"/>
    </xf>
    <xf numFmtId="166" fontId="5" fillId="0" borderId="3" xfId="0" applyNumberFormat="1" applyFont="1" applyFill="1" applyBorder="1" applyAlignment="1">
      <alignment horizontal="center" vertical="center" wrapText="1" readingOrder="2"/>
    </xf>
    <xf numFmtId="3" fontId="7" fillId="0" borderId="9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167" fontId="5" fillId="0" borderId="2" xfId="0" applyNumberFormat="1" applyFont="1" applyFill="1" applyBorder="1" applyAlignment="1">
      <alignment horizontal="center" vertical="center" wrapText="1"/>
    </xf>
    <xf numFmtId="167" fontId="5" fillId="0" borderId="0" xfId="0" applyNumberFormat="1" applyFont="1" applyFill="1"/>
    <xf numFmtId="164" fontId="5" fillId="0" borderId="2" xfId="0" applyNumberFormat="1" applyFont="1" applyFill="1" applyBorder="1" applyAlignment="1">
      <alignment vertical="center" wrapText="1"/>
    </xf>
    <xf numFmtId="164" fontId="5" fillId="0" borderId="2" xfId="1" applyNumberFormat="1" applyFont="1" applyFill="1" applyBorder="1" applyAlignment="1">
      <alignment vertical="center" wrapText="1"/>
    </xf>
    <xf numFmtId="168" fontId="5" fillId="0" borderId="2" xfId="3" applyNumberFormat="1" applyFont="1" applyFill="1" applyBorder="1" applyAlignment="1">
      <alignment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8" fontId="5" fillId="0" borderId="2" xfId="3" applyNumberFormat="1" applyFont="1" applyFill="1" applyBorder="1" applyAlignment="1">
      <alignment horizontal="center" vertical="center" wrapText="1"/>
    </xf>
    <xf numFmtId="169" fontId="5" fillId="0" borderId="4" xfId="0" applyNumberFormat="1" applyFont="1" applyFill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4" fontId="5" fillId="0" borderId="4" xfId="1" applyNumberFormat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readingOrder="2"/>
    </xf>
    <xf numFmtId="3" fontId="7" fillId="0" borderId="9" xfId="0" applyNumberFormat="1" applyFont="1" applyFill="1" applyBorder="1" applyAlignment="1">
      <alignment horizontal="center"/>
    </xf>
    <xf numFmtId="1" fontId="5" fillId="4" borderId="2" xfId="0" applyNumberFormat="1" applyFont="1" applyFill="1" applyBorder="1" applyAlignment="1">
      <alignment horizontal="center" vertical="center" wrapText="1"/>
    </xf>
    <xf numFmtId="0" fontId="13" fillId="0" borderId="10" xfId="5" applyNumberFormat="1" applyFill="1">
      <alignment horizontal="right" vertical="center"/>
    </xf>
    <xf numFmtId="3" fontId="14" fillId="0" borderId="9" xfId="0" applyNumberFormat="1" applyFont="1" applyFill="1" applyBorder="1" applyAlignment="1">
      <alignment horizontal="center"/>
    </xf>
    <xf numFmtId="164" fontId="5" fillId="0" borderId="3" xfId="1" applyNumberFormat="1" applyFont="1" applyFill="1" applyBorder="1" applyAlignment="1"/>
    <xf numFmtId="164" fontId="15" fillId="0" borderId="2" xfId="1" applyNumberFormat="1" applyFont="1" applyBorder="1" applyAlignment="1">
      <alignment horizontal="center" vertical="center" wrapText="1"/>
    </xf>
    <xf numFmtId="0" fontId="5" fillId="0" borderId="1" xfId="6" applyFont="1" applyFill="1" applyAlignment="1">
      <alignment horizontal="center" vertical="center" wrapText="1" readingOrder="2"/>
    </xf>
    <xf numFmtId="0" fontId="5" fillId="0" borderId="1" xfId="6" applyFont="1" applyFill="1"/>
    <xf numFmtId="3" fontId="5" fillId="0" borderId="0" xfId="0" applyNumberFormat="1" applyFont="1" applyFill="1"/>
    <xf numFmtId="3" fontId="7" fillId="0" borderId="8" xfId="0" applyNumberFormat="1" applyFont="1" applyFill="1" applyBorder="1" applyAlignment="1">
      <alignment horizontal="center"/>
    </xf>
    <xf numFmtId="1" fontId="5" fillId="0" borderId="11" xfId="0" applyNumberFormat="1" applyFont="1" applyFill="1" applyBorder="1" applyAlignment="1">
      <alignment horizontal="center" vertical="center" wrapText="1"/>
    </xf>
    <xf numFmtId="169" fontId="5" fillId="0" borderId="12" xfId="0" applyNumberFormat="1" applyFont="1" applyFill="1" applyBorder="1" applyAlignment="1">
      <alignment horizontal="center" vertical="center" wrapText="1"/>
    </xf>
    <xf numFmtId="164" fontId="5" fillId="0" borderId="13" xfId="1" applyNumberFormat="1" applyFont="1" applyFill="1" applyBorder="1" applyAlignment="1">
      <alignment horizontal="center" vertical="center" wrapText="1"/>
    </xf>
    <xf numFmtId="164" fontId="5" fillId="0" borderId="11" xfId="1" applyNumberFormat="1" applyFont="1" applyFill="1" applyBorder="1" applyAlignment="1">
      <alignment horizontal="center" vertical="center" wrapText="1"/>
    </xf>
    <xf numFmtId="164" fontId="5" fillId="0" borderId="12" xfId="1" applyNumberFormat="1" applyFont="1" applyFill="1" applyBorder="1" applyAlignment="1">
      <alignment horizontal="center" vertical="center" wrapText="1"/>
    </xf>
    <xf numFmtId="164" fontId="7" fillId="0" borderId="14" xfId="1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right" wrapText="1" readingOrder="2"/>
    </xf>
    <xf numFmtId="3" fontId="16" fillId="0" borderId="0" xfId="0" applyNumberFormat="1" applyFont="1" applyFill="1" applyAlignment="1">
      <alignment horizontal="center"/>
    </xf>
    <xf numFmtId="0" fontId="16" fillId="0" borderId="0" xfId="0" applyFont="1" applyFill="1"/>
    <xf numFmtId="0" fontId="0" fillId="3" borderId="0" xfId="0" applyNumberFormat="1" applyFill="1" applyAlignment="1">
      <alignment vertical="top"/>
    </xf>
    <xf numFmtId="0" fontId="0" fillId="3" borderId="0" xfId="0" applyFill="1" applyAlignment="1">
      <alignment vertical="top"/>
    </xf>
    <xf numFmtId="167" fontId="5" fillId="3" borderId="2" xfId="0" applyNumberFormat="1" applyFont="1" applyFill="1" applyBorder="1" applyAlignment="1">
      <alignment horizontal="center" vertical="center" wrapText="1"/>
    </xf>
    <xf numFmtId="167" fontId="5" fillId="3" borderId="0" xfId="0" applyNumberFormat="1" applyFont="1" applyFill="1"/>
    <xf numFmtId="164" fontId="5" fillId="3" borderId="2" xfId="0" applyNumberFormat="1" applyFont="1" applyFill="1" applyBorder="1" applyAlignment="1">
      <alignment vertical="center" wrapText="1"/>
    </xf>
    <xf numFmtId="164" fontId="5" fillId="3" borderId="2" xfId="1" applyNumberFormat="1" applyFont="1" applyFill="1" applyBorder="1" applyAlignment="1">
      <alignment vertical="center" wrapText="1"/>
    </xf>
    <xf numFmtId="1" fontId="5" fillId="3" borderId="11" xfId="0" applyNumberFormat="1" applyFont="1" applyFill="1" applyBorder="1" applyAlignment="1">
      <alignment horizontal="center" vertical="center" wrapText="1"/>
    </xf>
    <xf numFmtId="169" fontId="5" fillId="3" borderId="12" xfId="0" applyNumberFormat="1" applyFont="1" applyFill="1" applyBorder="1" applyAlignment="1">
      <alignment horizontal="center" vertical="center" wrapText="1"/>
    </xf>
    <xf numFmtId="164" fontId="5" fillId="3" borderId="13" xfId="1" applyNumberFormat="1" applyFont="1" applyFill="1" applyBorder="1" applyAlignment="1">
      <alignment horizontal="center" vertical="center" wrapText="1"/>
    </xf>
    <xf numFmtId="164" fontId="5" fillId="3" borderId="11" xfId="1" applyNumberFormat="1" applyFont="1" applyFill="1" applyBorder="1" applyAlignment="1">
      <alignment horizontal="center" vertical="center" wrapText="1"/>
    </xf>
    <xf numFmtId="164" fontId="5" fillId="3" borderId="12" xfId="1" applyNumberFormat="1" applyFont="1" applyFill="1" applyBorder="1" applyAlignment="1">
      <alignment horizontal="center" vertical="center" wrapText="1"/>
    </xf>
    <xf numFmtId="164" fontId="7" fillId="3" borderId="14" xfId="1" applyNumberFormat="1" applyFont="1" applyFill="1" applyBorder="1" applyAlignment="1">
      <alignment horizontal="center" vertical="center" wrapText="1"/>
    </xf>
    <xf numFmtId="3" fontId="5" fillId="3" borderId="0" xfId="0" applyNumberFormat="1" applyFont="1" applyFill="1" applyAlignment="1">
      <alignment horizontal="center"/>
    </xf>
    <xf numFmtId="0" fontId="5" fillId="3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 wrapText="1"/>
    </xf>
    <xf numFmtId="167" fontId="7" fillId="0" borderId="0" xfId="0" applyNumberFormat="1" applyFont="1" applyFill="1"/>
    <xf numFmtId="164" fontId="7" fillId="0" borderId="0" xfId="1" applyNumberFormat="1" applyFont="1" applyFill="1"/>
    <xf numFmtId="0" fontId="7" fillId="0" borderId="0" xfId="0" applyFont="1" applyFill="1" applyAlignment="1">
      <alignment horizontal="right" wrapText="1" readingOrder="2"/>
    </xf>
    <xf numFmtId="170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horizontal="center" vertical="center" textRotation="180" wrapText="1"/>
    </xf>
    <xf numFmtId="166" fontId="5" fillId="0" borderId="8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168" fontId="5" fillId="0" borderId="11" xfId="3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/>
    <xf numFmtId="0" fontId="5" fillId="0" borderId="11" xfId="0" applyFont="1" applyFill="1" applyBorder="1" applyAlignment="1">
      <alignment horizontal="center" vertical="center" wrapText="1"/>
    </xf>
    <xf numFmtId="167" fontId="5" fillId="0" borderId="11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164" fontId="7" fillId="0" borderId="2" xfId="1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/>
    <xf numFmtId="165" fontId="5" fillId="0" borderId="2" xfId="2" applyNumberFormat="1" applyFont="1" applyFill="1" applyBorder="1" applyAlignment="1">
      <alignment horizontal="right"/>
    </xf>
    <xf numFmtId="0" fontId="0" fillId="0" borderId="2" xfId="0" applyFill="1" applyBorder="1" applyAlignment="1">
      <alignment horizontal="center" vertical="center" wrapText="1"/>
    </xf>
    <xf numFmtId="165" fontId="3" fillId="0" borderId="2" xfId="2" applyNumberFormat="1" applyFont="1" applyFill="1" applyBorder="1" applyAlignment="1">
      <alignment horizontal="center"/>
    </xf>
    <xf numFmtId="5" fontId="5" fillId="0" borderId="2" xfId="7" applyNumberFormat="1" applyFill="1" applyBorder="1" applyAlignment="1">
      <alignment vertical="top" wrapText="1"/>
    </xf>
  </cellXfs>
  <cellStyles count="8">
    <cellStyle name="Comma" xfId="1" builtinId="3"/>
    <cellStyle name="Comma 3" xfId="4"/>
    <cellStyle name="Currency" xfId="2" builtinId="4"/>
    <cellStyle name="Normal" xfId="0" builtinId="0"/>
    <cellStyle name="Normal 2" xfId="7"/>
    <cellStyle name="Percent" xfId="3" builtinId="5"/>
    <cellStyle name="SAPBEXstdData" xfId="5"/>
    <cellStyle name="הערה 2" xfId="6"/>
  </cellStyles>
  <dxfs count="5">
    <dxf>
      <fill>
        <patternFill>
          <bgColor theme="3" tint="0.3999450666829432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il\AppData\Local\Microsoft\Windows\INetCache\Content.Outlook\ZWCA6SNO\&#1496;&#1489;&#1500;&#1514;%2020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il\AppData\Local\Microsoft\Windows\INetCache\Content.Outlook\ZWCA6SNO\&#1496;&#1489;&#1500;&#1514;%2020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chalbene\AppData\Local\Microsoft\Windows\INetCache\Content.Outlook\9L0ZLJ2V\&#1502;&#1512;&#1499;&#1489;&#1492;%202022%20&#1502;&#1493;&#1490;&#1489;&#1500;&#1493;&#1497;&#1493;&#151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קריטריונים וניקוד"/>
      <sheetName val="גליון מסכם"/>
      <sheetName val="מגוון שרותים"/>
      <sheetName val="ייחודיות ונחיצות"/>
      <sheetName val="נתונים מהעמותות"/>
      <sheetName val="נתונים גולמיים"/>
      <sheetName val="סכומי בקשה"/>
      <sheetName val="פרויקטים"/>
      <sheetName val="אפשרויות"/>
      <sheetName val="תקציב"/>
      <sheetName val="התקשרות"/>
    </sheetNames>
    <sheetDataSet>
      <sheetData sheetId="0">
        <row r="7">
          <cell r="A7">
            <v>1001593629</v>
          </cell>
          <cell r="B7" t="str">
            <v>אהבת חינ"מ לכולם (ע"ר)</v>
          </cell>
          <cell r="C7">
            <v>3</v>
          </cell>
          <cell r="D7">
            <v>1</v>
          </cell>
          <cell r="E7">
            <v>2</v>
          </cell>
          <cell r="F7">
            <v>6</v>
          </cell>
          <cell r="G7">
            <v>12</v>
          </cell>
          <cell r="H7">
            <v>2</v>
          </cell>
          <cell r="I7">
            <v>2</v>
          </cell>
          <cell r="J7">
            <v>0.84615384615384615</v>
          </cell>
          <cell r="K7">
            <v>16</v>
          </cell>
          <cell r="L7">
            <v>6.4304869157671175E-3</v>
          </cell>
          <cell r="M7">
            <v>6</v>
          </cell>
          <cell r="N7">
            <v>0</v>
          </cell>
          <cell r="O7">
            <v>1</v>
          </cell>
          <cell r="P7">
            <v>1</v>
          </cell>
          <cell r="Q7">
            <v>1.3698630136986301E-2</v>
          </cell>
          <cell r="R7">
            <v>16</v>
          </cell>
          <cell r="S7">
            <v>432</v>
          </cell>
          <cell r="T7">
            <v>975</v>
          </cell>
          <cell r="U7">
            <v>1423</v>
          </cell>
          <cell r="V7">
            <v>8.9800709318322378E-3</v>
          </cell>
          <cell r="W7">
            <v>1</v>
          </cell>
          <cell r="X7">
            <v>1.1904761904761904E-2</v>
          </cell>
          <cell r="Y7">
            <v>1</v>
          </cell>
          <cell r="Z7">
            <v>1.0309278350515464E-2</v>
          </cell>
          <cell r="AA7">
            <v>0</v>
          </cell>
          <cell r="AB7">
            <v>0</v>
          </cell>
          <cell r="AC7">
            <v>8.1479740225720125E-3</v>
          </cell>
          <cell r="AD7">
            <v>23572.329756828032</v>
          </cell>
          <cell r="AE7">
            <v>600000</v>
          </cell>
          <cell r="AF7">
            <v>250000</v>
          </cell>
          <cell r="AG7">
            <v>250000</v>
          </cell>
          <cell r="AH7">
            <v>300000</v>
          </cell>
          <cell r="AI7">
            <v>255000</v>
          </cell>
          <cell r="AJ7">
            <v>23572.329756828032</v>
          </cell>
        </row>
        <row r="8">
          <cell r="A8">
            <v>1001593670</v>
          </cell>
          <cell r="B8" t="str">
            <v>בית לחינוך (ע''ר)</v>
          </cell>
          <cell r="C8">
            <v>0</v>
          </cell>
          <cell r="D8">
            <v>0.4</v>
          </cell>
          <cell r="E8">
            <v>7</v>
          </cell>
          <cell r="F8">
            <v>7.4</v>
          </cell>
          <cell r="G8">
            <v>0</v>
          </cell>
          <cell r="H8">
            <v>0.8</v>
          </cell>
          <cell r="I8">
            <v>7</v>
          </cell>
          <cell r="J8">
            <v>1</v>
          </cell>
          <cell r="K8">
            <v>7.8</v>
          </cell>
          <cell r="L8">
            <v>3.1348623714364697E-3</v>
          </cell>
          <cell r="M8">
            <v>70</v>
          </cell>
          <cell r="N8">
            <v>1</v>
          </cell>
          <cell r="O8">
            <v>1</v>
          </cell>
          <cell r="P8">
            <v>2</v>
          </cell>
          <cell r="Q8">
            <v>2.7397260273972601E-2</v>
          </cell>
          <cell r="R8">
            <v>30</v>
          </cell>
          <cell r="S8">
            <v>75</v>
          </cell>
          <cell r="T8">
            <v>597</v>
          </cell>
          <cell r="U8">
            <v>702</v>
          </cell>
          <cell r="V8">
            <v>4.4300841842208226E-3</v>
          </cell>
          <cell r="W8">
            <v>1</v>
          </cell>
          <cell r="X8">
            <v>1.1904761904761904E-2</v>
          </cell>
          <cell r="Y8">
            <v>1.5</v>
          </cell>
          <cell r="Z8">
            <v>1.5463917525773196E-2</v>
          </cell>
          <cell r="AA8">
            <v>3</v>
          </cell>
          <cell r="AB8">
            <v>3.8461538461538464E-2</v>
          </cell>
          <cell r="AC8">
            <v>1.1040540116224185E-2</v>
          </cell>
          <cell r="AD8">
            <v>31940.608989690092</v>
          </cell>
          <cell r="AE8">
            <v>740000</v>
          </cell>
          <cell r="AF8">
            <v>150000</v>
          </cell>
          <cell r="AG8">
            <v>150000</v>
          </cell>
          <cell r="AH8">
            <v>600000</v>
          </cell>
          <cell r="AI8">
            <v>510000</v>
          </cell>
          <cell r="AJ8">
            <v>31940.608989690092</v>
          </cell>
        </row>
        <row r="9">
          <cell r="A9">
            <v>1001593676</v>
          </cell>
          <cell r="B9" t="str">
            <v>עמותת לסת - וחדק לתמיכה ושילוב אנשי</v>
          </cell>
          <cell r="C9">
            <v>0</v>
          </cell>
          <cell r="D9">
            <v>5.0999999999999996</v>
          </cell>
          <cell r="E9">
            <v>3.4</v>
          </cell>
          <cell r="F9">
            <v>8.5</v>
          </cell>
          <cell r="G9">
            <v>0</v>
          </cell>
          <cell r="H9">
            <v>10.199999999999999</v>
          </cell>
          <cell r="I9">
            <v>3.4</v>
          </cell>
          <cell r="J9">
            <v>1</v>
          </cell>
          <cell r="K9">
            <v>13.6</v>
          </cell>
          <cell r="L9">
            <v>5.4659138784020492E-3</v>
          </cell>
          <cell r="M9">
            <v>74</v>
          </cell>
          <cell r="N9">
            <v>1</v>
          </cell>
          <cell r="O9">
            <v>1</v>
          </cell>
          <cell r="P9">
            <v>2</v>
          </cell>
          <cell r="Q9">
            <v>2.7397260273972601E-2</v>
          </cell>
          <cell r="R9">
            <v>35</v>
          </cell>
          <cell r="S9">
            <v>21</v>
          </cell>
          <cell r="T9">
            <v>1071</v>
          </cell>
          <cell r="U9">
            <v>1127</v>
          </cell>
          <cell r="V9">
            <v>7.1121152074314345E-3</v>
          </cell>
          <cell r="W9">
            <v>1</v>
          </cell>
          <cell r="X9">
            <v>1.1904761904761904E-2</v>
          </cell>
          <cell r="Y9">
            <v>1</v>
          </cell>
          <cell r="Z9">
            <v>1.0309278350515464E-2</v>
          </cell>
          <cell r="AA9">
            <v>0</v>
          </cell>
          <cell r="AB9">
            <v>0</v>
          </cell>
          <cell r="AC9">
            <v>8.5746806215208412E-3</v>
          </cell>
          <cell r="AD9">
            <v>24806.804563936126</v>
          </cell>
          <cell r="AE9">
            <v>850000</v>
          </cell>
          <cell r="AF9">
            <v>200000</v>
          </cell>
          <cell r="AG9">
            <v>200000</v>
          </cell>
          <cell r="AH9">
            <v>300000</v>
          </cell>
          <cell r="AI9">
            <v>255000</v>
          </cell>
          <cell r="AJ9">
            <v>24806.804563936126</v>
          </cell>
        </row>
        <row r="10">
          <cell r="A10">
            <v>1001593968</v>
          </cell>
          <cell r="B10" t="str">
            <v>שותף - לקידום ולשילוב ילדים עם צרכי</v>
          </cell>
          <cell r="C10">
            <v>1</v>
          </cell>
          <cell r="D10">
            <v>1</v>
          </cell>
          <cell r="E10">
            <v>50</v>
          </cell>
          <cell r="F10">
            <v>52</v>
          </cell>
          <cell r="G10">
            <v>4</v>
          </cell>
          <cell r="H10">
            <v>2</v>
          </cell>
          <cell r="I10">
            <v>50</v>
          </cell>
          <cell r="J10">
            <v>0.8571428571428571</v>
          </cell>
          <cell r="K10">
            <v>56</v>
          </cell>
          <cell r="L10">
            <v>2.250670420518491E-2</v>
          </cell>
          <cell r="M10">
            <v>4</v>
          </cell>
          <cell r="N10">
            <v>0</v>
          </cell>
          <cell r="O10">
            <v>1</v>
          </cell>
          <cell r="P10">
            <v>1</v>
          </cell>
          <cell r="Q10">
            <v>1.3698630136986301E-2</v>
          </cell>
          <cell r="R10">
            <v>0</v>
          </cell>
          <cell r="S10">
            <v>0</v>
          </cell>
          <cell r="T10">
            <v>588</v>
          </cell>
          <cell r="U10">
            <v>588</v>
          </cell>
          <cell r="V10">
            <v>3.7106688038772702E-3</v>
          </cell>
          <cell r="W10">
            <v>3</v>
          </cell>
          <cell r="X10">
            <v>3.5714285714285712E-2</v>
          </cell>
          <cell r="Y10">
            <v>1</v>
          </cell>
          <cell r="Z10">
            <v>1.0309278350515464E-2</v>
          </cell>
          <cell r="AA10">
            <v>0</v>
          </cell>
          <cell r="AB10">
            <v>0</v>
          </cell>
          <cell r="AC10">
            <v>1.3507500845565491E-2</v>
          </cell>
          <cell r="AD10">
            <v>39077.59931981167</v>
          </cell>
          <cell r="AE10">
            <v>5200000</v>
          </cell>
          <cell r="AF10">
            <v>200000</v>
          </cell>
          <cell r="AG10">
            <v>200000</v>
          </cell>
          <cell r="AH10">
            <v>1000000</v>
          </cell>
          <cell r="AI10">
            <v>850000</v>
          </cell>
          <cell r="AJ10">
            <v>39077.59931981167</v>
          </cell>
        </row>
        <row r="11">
          <cell r="A11">
            <v>1001595221</v>
          </cell>
          <cell r="B11" t="str">
            <v>חינוך ועתיד (ע"ר)</v>
          </cell>
          <cell r="C11">
            <v>0</v>
          </cell>
          <cell r="D11">
            <v>1</v>
          </cell>
          <cell r="E11">
            <v>13</v>
          </cell>
          <cell r="F11">
            <v>14</v>
          </cell>
          <cell r="G11">
            <v>0</v>
          </cell>
          <cell r="H11">
            <v>2</v>
          </cell>
          <cell r="I11">
            <v>13</v>
          </cell>
          <cell r="J11">
            <v>1</v>
          </cell>
          <cell r="K11">
            <v>15</v>
          </cell>
          <cell r="L11">
            <v>6.0285814835316729E-3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1</v>
          </cell>
          <cell r="X11">
            <v>1.1904761904761904E-2</v>
          </cell>
          <cell r="Y11">
            <v>1.5</v>
          </cell>
          <cell r="Z11">
            <v>1.5463917525773196E-2</v>
          </cell>
          <cell r="AA11">
            <v>3</v>
          </cell>
          <cell r="AB11">
            <v>3.8461538461538464E-2</v>
          </cell>
          <cell r="AC11">
            <v>7.6184003579781983E-3</v>
          </cell>
          <cell r="AD11">
            <v>22040.257487358926</v>
          </cell>
          <cell r="AE11">
            <v>1400000</v>
          </cell>
          <cell r="AF11">
            <v>250000</v>
          </cell>
          <cell r="AG11">
            <v>250000</v>
          </cell>
          <cell r="AH11">
            <v>300000</v>
          </cell>
          <cell r="AI11">
            <v>255000</v>
          </cell>
          <cell r="AJ11">
            <v>22040.257487358926</v>
          </cell>
        </row>
        <row r="12">
          <cell r="A12">
            <v>1001595279</v>
          </cell>
          <cell r="B12" t="str">
            <v>שמחת הלב- איגוד הליצנים הרפואים - ט</v>
          </cell>
          <cell r="C12">
            <v>0</v>
          </cell>
          <cell r="D12">
            <v>15</v>
          </cell>
          <cell r="E12">
            <v>38</v>
          </cell>
          <cell r="F12">
            <v>53</v>
          </cell>
          <cell r="G12">
            <v>0</v>
          </cell>
          <cell r="H12">
            <v>30</v>
          </cell>
          <cell r="I12">
            <v>38</v>
          </cell>
          <cell r="J12">
            <v>1</v>
          </cell>
          <cell r="K12">
            <v>68</v>
          </cell>
          <cell r="L12">
            <v>2.7329569392010249E-2</v>
          </cell>
          <cell r="M12">
            <v>607</v>
          </cell>
          <cell r="N12">
            <v>3</v>
          </cell>
          <cell r="O12">
            <v>0</v>
          </cell>
          <cell r="P12">
            <v>3</v>
          </cell>
          <cell r="Q12">
            <v>4.1095890410958902E-2</v>
          </cell>
          <cell r="R12">
            <v>0</v>
          </cell>
          <cell r="S12">
            <v>0</v>
          </cell>
          <cell r="T12">
            <v>38565</v>
          </cell>
          <cell r="U12">
            <v>38565</v>
          </cell>
          <cell r="V12">
            <v>0.24337065037674649</v>
          </cell>
          <cell r="W12">
            <v>1</v>
          </cell>
          <cell r="X12">
            <v>1.1904761904761904E-2</v>
          </cell>
          <cell r="Y12">
            <v>3</v>
          </cell>
          <cell r="Z12">
            <v>3.0927835051546393E-2</v>
          </cell>
          <cell r="AA12">
            <v>3</v>
          </cell>
          <cell r="AB12">
            <v>3.8461538461538464E-2</v>
          </cell>
          <cell r="AC12">
            <v>0.10407120927976758</v>
          </cell>
          <cell r="AD12">
            <v>301081.08549911145</v>
          </cell>
          <cell r="AE12">
            <v>5300000</v>
          </cell>
          <cell r="AF12">
            <v>250000</v>
          </cell>
          <cell r="AG12">
            <v>250000</v>
          </cell>
          <cell r="AH12">
            <v>1500000</v>
          </cell>
          <cell r="AI12">
            <v>1275000</v>
          </cell>
          <cell r="AJ12">
            <v>250000</v>
          </cell>
        </row>
        <row r="13">
          <cell r="A13">
            <v>1001596057</v>
          </cell>
          <cell r="B13" t="str">
            <v>קשר-הבית של המשפחות המיוחדות</v>
          </cell>
          <cell r="C13">
            <v>1</v>
          </cell>
          <cell r="D13">
            <v>2</v>
          </cell>
          <cell r="E13">
            <v>1</v>
          </cell>
          <cell r="F13">
            <v>4</v>
          </cell>
          <cell r="G13">
            <v>4</v>
          </cell>
          <cell r="H13">
            <v>4</v>
          </cell>
          <cell r="I13">
            <v>1</v>
          </cell>
          <cell r="J13">
            <v>1</v>
          </cell>
          <cell r="K13">
            <v>9</v>
          </cell>
          <cell r="L13">
            <v>3.6171488901190034E-3</v>
          </cell>
          <cell r="M13">
            <v>135</v>
          </cell>
          <cell r="N13">
            <v>2</v>
          </cell>
          <cell r="O13">
            <v>1</v>
          </cell>
          <cell r="P13">
            <v>3</v>
          </cell>
          <cell r="Q13">
            <v>4.1095890410958902E-2</v>
          </cell>
          <cell r="R13">
            <v>110</v>
          </cell>
          <cell r="S13">
            <v>360</v>
          </cell>
          <cell r="T13">
            <v>0</v>
          </cell>
          <cell r="U13">
            <v>470</v>
          </cell>
          <cell r="V13">
            <v>2.9660107786093825E-3</v>
          </cell>
          <cell r="W13">
            <v>3</v>
          </cell>
          <cell r="X13">
            <v>3.5714285714285712E-2</v>
          </cell>
          <cell r="Y13">
            <v>2</v>
          </cell>
          <cell r="Z13">
            <v>2.0618556701030927E-2</v>
          </cell>
          <cell r="AA13">
            <v>3</v>
          </cell>
          <cell r="AB13">
            <v>3.8461538461538464E-2</v>
          </cell>
          <cell r="AC13">
            <v>1.4681347733278838E-2</v>
          </cell>
          <cell r="AD13">
            <v>42473.573072863815</v>
          </cell>
          <cell r="AE13">
            <v>400000</v>
          </cell>
          <cell r="AF13">
            <v>200000</v>
          </cell>
          <cell r="AG13">
            <v>200000</v>
          </cell>
          <cell r="AH13">
            <v>400000</v>
          </cell>
          <cell r="AI13">
            <v>340000</v>
          </cell>
          <cell r="AJ13">
            <v>42473.573072863815</v>
          </cell>
        </row>
        <row r="14">
          <cell r="A14">
            <v>1001598154</v>
          </cell>
          <cell r="B14" t="str">
            <v>לטם - טבע נגיש לכולם (ע"ר)</v>
          </cell>
          <cell r="C14">
            <v>1.5</v>
          </cell>
          <cell r="D14">
            <v>1</v>
          </cell>
          <cell r="E14">
            <v>12</v>
          </cell>
          <cell r="F14">
            <v>14.5</v>
          </cell>
          <cell r="G14">
            <v>6</v>
          </cell>
          <cell r="H14">
            <v>2</v>
          </cell>
          <cell r="I14">
            <v>12</v>
          </cell>
          <cell r="J14">
            <v>1</v>
          </cell>
          <cell r="K14">
            <v>20</v>
          </cell>
          <cell r="L14">
            <v>8.0381086447088961E-3</v>
          </cell>
          <cell r="M14">
            <v>10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39624</v>
          </cell>
          <cell r="U14">
            <v>39624</v>
          </cell>
          <cell r="V14">
            <v>0.2500536406204642</v>
          </cell>
          <cell r="W14">
            <v>2</v>
          </cell>
          <cell r="X14">
            <v>2.3809523809523808E-2</v>
          </cell>
          <cell r="Y14">
            <v>1.5</v>
          </cell>
          <cell r="Z14">
            <v>1.5463917525773196E-2</v>
          </cell>
          <cell r="AA14">
            <v>3</v>
          </cell>
          <cell r="AB14">
            <v>3.8461538461538464E-2</v>
          </cell>
          <cell r="AC14">
            <v>9.6930508913970023E-2</v>
          </cell>
          <cell r="AD14">
            <v>280422.82821319171</v>
          </cell>
          <cell r="AE14">
            <v>1450000</v>
          </cell>
          <cell r="AF14">
            <v>600000</v>
          </cell>
          <cell r="AG14">
            <v>600000</v>
          </cell>
          <cell r="AH14">
            <v>750000</v>
          </cell>
          <cell r="AI14">
            <v>637500</v>
          </cell>
          <cell r="AJ14">
            <v>280422.82821319171</v>
          </cell>
        </row>
        <row r="15">
          <cell r="A15">
            <v>1001598157</v>
          </cell>
          <cell r="B15" t="str">
            <v>סבא ג'ק - מרכז לטיפול חוויתי משולב</v>
          </cell>
          <cell r="C15">
            <v>1</v>
          </cell>
          <cell r="D15">
            <v>16</v>
          </cell>
          <cell r="E15">
            <v>16</v>
          </cell>
          <cell r="F15">
            <v>33</v>
          </cell>
          <cell r="G15">
            <v>4</v>
          </cell>
          <cell r="H15">
            <v>32</v>
          </cell>
          <cell r="I15">
            <v>16</v>
          </cell>
          <cell r="J15">
            <v>0.8571428571428571</v>
          </cell>
          <cell r="K15">
            <v>52</v>
          </cell>
          <cell r="L15">
            <v>2.0899082476243131E-2</v>
          </cell>
          <cell r="M15">
            <v>40</v>
          </cell>
          <cell r="N15">
            <v>0</v>
          </cell>
          <cell r="O15">
            <v>1</v>
          </cell>
          <cell r="P15">
            <v>1</v>
          </cell>
          <cell r="Q15">
            <v>1.3698630136986301E-2</v>
          </cell>
          <cell r="R15">
            <v>5</v>
          </cell>
          <cell r="S15">
            <v>42</v>
          </cell>
          <cell r="T15">
            <v>0</v>
          </cell>
          <cell r="U15">
            <v>47</v>
          </cell>
          <cell r="V15">
            <v>2.9660107786093825E-4</v>
          </cell>
          <cell r="W15">
            <v>2</v>
          </cell>
          <cell r="X15">
            <v>2.3809523809523808E-2</v>
          </cell>
          <cell r="Y15">
            <v>1</v>
          </cell>
          <cell r="Z15">
            <v>1.0309278350515464E-2</v>
          </cell>
          <cell r="AA15">
            <v>3</v>
          </cell>
          <cell r="AB15">
            <v>3.8461538461538464E-2</v>
          </cell>
          <cell r="AC15">
            <v>1.4485968278454898E-2</v>
          </cell>
          <cell r="AD15">
            <v>41908.334533312685</v>
          </cell>
          <cell r="AE15">
            <v>3300000</v>
          </cell>
          <cell r="AF15">
            <v>100000</v>
          </cell>
          <cell r="AG15">
            <v>100000</v>
          </cell>
          <cell r="AH15">
            <v>400000</v>
          </cell>
          <cell r="AI15">
            <v>340000</v>
          </cell>
          <cell r="AJ15">
            <v>41908.334533312685</v>
          </cell>
        </row>
        <row r="16">
          <cell r="A16">
            <v>1001618503</v>
          </cell>
          <cell r="B16" t="str">
            <v>אופק לילדינו (ע"ר)</v>
          </cell>
          <cell r="C16">
            <v>2.1</v>
          </cell>
          <cell r="D16">
            <v>1.5</v>
          </cell>
          <cell r="E16">
            <v>0</v>
          </cell>
          <cell r="F16">
            <v>3.6</v>
          </cell>
          <cell r="G16">
            <v>8.4</v>
          </cell>
          <cell r="H16">
            <v>3</v>
          </cell>
          <cell r="I16">
            <v>0</v>
          </cell>
          <cell r="J16">
            <v>1</v>
          </cell>
          <cell r="K16">
            <v>11.4</v>
          </cell>
          <cell r="L16">
            <v>4.5817219274840709E-3</v>
          </cell>
          <cell r="M16">
            <v>67</v>
          </cell>
          <cell r="N16">
            <v>1</v>
          </cell>
          <cell r="O16">
            <v>1</v>
          </cell>
          <cell r="P16">
            <v>2</v>
          </cell>
          <cell r="Q16">
            <v>2.7397260273972601E-2</v>
          </cell>
          <cell r="R16">
            <v>35</v>
          </cell>
          <cell r="S16">
            <v>120</v>
          </cell>
          <cell r="T16">
            <v>0</v>
          </cell>
          <cell r="U16">
            <v>155</v>
          </cell>
          <cell r="V16">
            <v>9.7815249081798796E-4</v>
          </cell>
          <cell r="W16">
            <v>2</v>
          </cell>
          <cell r="X16">
            <v>2.3809523809523808E-2</v>
          </cell>
          <cell r="Y16">
            <v>1</v>
          </cell>
          <cell r="Z16">
            <v>1.0309278350515464E-2</v>
          </cell>
          <cell r="AA16">
            <v>3</v>
          </cell>
          <cell r="AB16">
            <v>3.8461538461538464E-2</v>
          </cell>
          <cell r="AC16">
            <v>1.1199166122060778E-2</v>
          </cell>
          <cell r="AD16">
            <v>32399.518714638918</v>
          </cell>
          <cell r="AE16">
            <v>360000</v>
          </cell>
          <cell r="AF16">
            <v>100000</v>
          </cell>
          <cell r="AG16">
            <v>100000</v>
          </cell>
          <cell r="AH16">
            <v>150000</v>
          </cell>
          <cell r="AI16">
            <v>127500</v>
          </cell>
          <cell r="AJ16">
            <v>32399.518714638918</v>
          </cell>
        </row>
        <row r="17">
          <cell r="A17">
            <v>1001618504</v>
          </cell>
          <cell r="B17" t="str">
            <v>כפר נהר הירדן (ע"ר)</v>
          </cell>
          <cell r="C17">
            <v>1</v>
          </cell>
          <cell r="D17">
            <v>25</v>
          </cell>
          <cell r="E17">
            <v>28</v>
          </cell>
          <cell r="F17">
            <v>54</v>
          </cell>
          <cell r="G17">
            <v>4</v>
          </cell>
          <cell r="H17">
            <v>50</v>
          </cell>
          <cell r="I17">
            <v>28</v>
          </cell>
          <cell r="J17">
            <v>0.91290997906489879</v>
          </cell>
          <cell r="K17">
            <v>74.858618283321704</v>
          </cell>
          <cell r="L17">
            <v>3.0086085337706583E-2</v>
          </cell>
          <cell r="M17">
            <v>819</v>
          </cell>
          <cell r="N17">
            <v>3</v>
          </cell>
          <cell r="O17">
            <v>0</v>
          </cell>
          <cell r="P17">
            <v>3</v>
          </cell>
          <cell r="Q17">
            <v>4.1095890410958902E-2</v>
          </cell>
          <cell r="R17">
            <v>0</v>
          </cell>
          <cell r="S17">
            <v>216</v>
          </cell>
          <cell r="T17">
            <v>0</v>
          </cell>
          <cell r="U17">
            <v>216</v>
          </cell>
          <cell r="V17">
            <v>1.3631028259140992E-3</v>
          </cell>
          <cell r="W17">
            <v>3</v>
          </cell>
          <cell r="X17">
            <v>3.5714285714285712E-2</v>
          </cell>
          <cell r="Y17">
            <v>3</v>
          </cell>
          <cell r="Z17">
            <v>3.0927835051546393E-2</v>
          </cell>
          <cell r="AA17">
            <v>0</v>
          </cell>
          <cell r="AB17">
            <v>0</v>
          </cell>
          <cell r="AC17">
            <v>1.873032095548369E-2</v>
          </cell>
          <cell r="AD17">
            <v>54187.372319888331</v>
          </cell>
          <cell r="AE17">
            <v>5400000</v>
          </cell>
          <cell r="AF17">
            <v>140000</v>
          </cell>
          <cell r="AG17">
            <v>140000</v>
          </cell>
          <cell r="AH17">
            <v>176000</v>
          </cell>
          <cell r="AI17">
            <v>149600</v>
          </cell>
          <cell r="AJ17">
            <v>54187.372319888331</v>
          </cell>
        </row>
        <row r="18">
          <cell r="A18">
            <v>1001618505</v>
          </cell>
          <cell r="B18" t="str">
            <v>עלה - עמותה לקידום הסטודנטים העוורי</v>
          </cell>
          <cell r="C18">
            <v>4</v>
          </cell>
          <cell r="D18">
            <v>64</v>
          </cell>
          <cell r="E18">
            <v>92</v>
          </cell>
          <cell r="F18">
            <v>160</v>
          </cell>
          <cell r="G18">
            <v>16</v>
          </cell>
          <cell r="H18">
            <v>128</v>
          </cell>
          <cell r="I18">
            <v>92</v>
          </cell>
          <cell r="J18">
            <v>1</v>
          </cell>
          <cell r="K18">
            <v>236</v>
          </cell>
          <cell r="L18">
            <v>9.4849682007564981E-2</v>
          </cell>
          <cell r="M18">
            <v>510</v>
          </cell>
          <cell r="N18">
            <v>3</v>
          </cell>
          <cell r="O18">
            <v>1</v>
          </cell>
          <cell r="P18">
            <v>4</v>
          </cell>
          <cell r="Q18">
            <v>5.4794520547945202E-2</v>
          </cell>
          <cell r="R18">
            <v>4772</v>
          </cell>
          <cell r="S18">
            <v>90</v>
          </cell>
          <cell r="T18">
            <v>0</v>
          </cell>
          <cell r="U18">
            <v>4862</v>
          </cell>
          <cell r="V18">
            <v>3.0682434905529403E-2</v>
          </cell>
          <cell r="W18">
            <v>3</v>
          </cell>
          <cell r="X18">
            <v>3.5714285714285712E-2</v>
          </cell>
          <cell r="Y18">
            <v>3</v>
          </cell>
          <cell r="Z18">
            <v>3.0927835051546393E-2</v>
          </cell>
          <cell r="AA18">
            <v>3</v>
          </cell>
          <cell r="AB18">
            <v>3.8461538461538464E-2</v>
          </cell>
          <cell r="AC18">
            <v>5.3637183044159042E-2</v>
          </cell>
          <cell r="AD18">
            <v>155173.95642667412</v>
          </cell>
          <cell r="AE18">
            <v>16000000</v>
          </cell>
          <cell r="AF18">
            <v>240000</v>
          </cell>
          <cell r="AG18">
            <v>240000</v>
          </cell>
          <cell r="AH18">
            <v>378443</v>
          </cell>
          <cell r="AI18">
            <v>321676.55</v>
          </cell>
          <cell r="AJ18">
            <v>155173.95642667412</v>
          </cell>
        </row>
        <row r="19">
          <cell r="A19">
            <v>1001625711</v>
          </cell>
          <cell r="B19" t="str">
            <v>המכון הלאומי לשיקום נוירופסיכולוגי</v>
          </cell>
          <cell r="C19">
            <v>3.54</v>
          </cell>
          <cell r="D19">
            <v>54.5</v>
          </cell>
          <cell r="E19">
            <v>23</v>
          </cell>
          <cell r="F19">
            <v>81.039999999999992</v>
          </cell>
          <cell r="G19">
            <v>14.16</v>
          </cell>
          <cell r="H19">
            <v>109</v>
          </cell>
          <cell r="I19">
            <v>23</v>
          </cell>
          <cell r="J19">
            <v>0.875</v>
          </cell>
          <cell r="K19">
            <v>127.89</v>
          </cell>
          <cell r="L19">
            <v>5.1399685728591042E-2</v>
          </cell>
          <cell r="M19">
            <v>3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50</v>
          </cell>
          <cell r="S19">
            <v>600</v>
          </cell>
          <cell r="T19">
            <v>0</v>
          </cell>
          <cell r="U19">
            <v>650</v>
          </cell>
          <cell r="V19">
            <v>4.101929800204465E-3</v>
          </cell>
          <cell r="W19">
            <v>1</v>
          </cell>
          <cell r="X19">
            <v>1.1904761904761904E-2</v>
          </cell>
          <cell r="Y19">
            <v>3</v>
          </cell>
          <cell r="Z19">
            <v>3.0927835051546393E-2</v>
          </cell>
          <cell r="AA19">
            <v>3</v>
          </cell>
          <cell r="AB19">
            <v>3.8461538461538464E-2</v>
          </cell>
          <cell r="AC19">
            <v>2.3438602937856233E-2</v>
          </cell>
          <cell r="AD19">
            <v>67808.571303728939</v>
          </cell>
          <cell r="AE19">
            <v>8103999.9999999991</v>
          </cell>
          <cell r="AF19">
            <v>550000</v>
          </cell>
          <cell r="AG19">
            <v>550000</v>
          </cell>
          <cell r="AH19">
            <v>550000</v>
          </cell>
          <cell r="AI19">
            <v>467500</v>
          </cell>
          <cell r="AJ19">
            <v>67808.571303728939</v>
          </cell>
        </row>
        <row r="20">
          <cell r="A20">
            <v>1001625713</v>
          </cell>
          <cell r="B20" t="str">
            <v>מגן הלב</v>
          </cell>
          <cell r="C20">
            <v>4</v>
          </cell>
          <cell r="D20">
            <v>11</v>
          </cell>
          <cell r="E20">
            <v>28</v>
          </cell>
          <cell r="F20">
            <v>43</v>
          </cell>
          <cell r="G20">
            <v>16</v>
          </cell>
          <cell r="H20">
            <v>15</v>
          </cell>
          <cell r="I20">
            <v>130</v>
          </cell>
          <cell r="J20">
            <v>1</v>
          </cell>
          <cell r="K20">
            <v>161</v>
          </cell>
          <cell r="L20">
            <v>6.4706774589906618E-2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520</v>
          </cell>
          <cell r="S20">
            <v>135</v>
          </cell>
          <cell r="T20">
            <v>1269</v>
          </cell>
          <cell r="U20">
            <v>1924</v>
          </cell>
          <cell r="V20">
            <v>1.2141712208605217E-2</v>
          </cell>
          <cell r="W20">
            <v>1</v>
          </cell>
          <cell r="X20">
            <v>1.1904761904761904E-2</v>
          </cell>
          <cell r="Y20">
            <v>3</v>
          </cell>
          <cell r="Z20">
            <v>3.0927835051546393E-2</v>
          </cell>
          <cell r="AA20">
            <v>0</v>
          </cell>
          <cell r="AB20">
            <v>0</v>
          </cell>
          <cell r="AC20">
            <v>2.639849959303732E-2</v>
          </cell>
          <cell r="AD20">
            <v>76371.639841843469</v>
          </cell>
          <cell r="AE20">
            <v>4300000</v>
          </cell>
          <cell r="AF20">
            <v>170000</v>
          </cell>
          <cell r="AG20">
            <v>170000</v>
          </cell>
          <cell r="AH20">
            <v>200000</v>
          </cell>
          <cell r="AI20">
            <v>170000</v>
          </cell>
          <cell r="AJ20">
            <v>76371.639841843469</v>
          </cell>
        </row>
        <row r="21">
          <cell r="A21">
            <v>1001625894</v>
          </cell>
          <cell r="B21" t="str">
            <v>העמותה לרכיבה וכלבנות טיפולית (ע"ר)</v>
          </cell>
          <cell r="C21">
            <v>0.75</v>
          </cell>
          <cell r="D21">
            <v>0</v>
          </cell>
          <cell r="E21">
            <v>11</v>
          </cell>
          <cell r="F21">
            <v>11.75</v>
          </cell>
          <cell r="G21">
            <v>3</v>
          </cell>
          <cell r="H21">
            <v>0</v>
          </cell>
          <cell r="I21">
            <v>11</v>
          </cell>
          <cell r="J21">
            <v>0.77777777777777779</v>
          </cell>
          <cell r="K21">
            <v>10.888888888888889</v>
          </cell>
          <cell r="L21">
            <v>4.3763035954526219E-3</v>
          </cell>
          <cell r="M21">
            <v>60</v>
          </cell>
          <cell r="N21">
            <v>1</v>
          </cell>
          <cell r="O21">
            <v>1</v>
          </cell>
          <cell r="P21">
            <v>2</v>
          </cell>
          <cell r="Q21">
            <v>2.7397260273972601E-2</v>
          </cell>
          <cell r="R21">
            <v>250</v>
          </cell>
          <cell r="S21">
            <v>630</v>
          </cell>
          <cell r="T21">
            <v>0</v>
          </cell>
          <cell r="U21">
            <v>880</v>
          </cell>
          <cell r="V21">
            <v>5.5533818833537378E-3</v>
          </cell>
          <cell r="W21">
            <v>3</v>
          </cell>
          <cell r="X21">
            <v>3.5714285714285712E-2</v>
          </cell>
          <cell r="Y21">
            <v>3</v>
          </cell>
          <cell r="Z21">
            <v>3.0927835051546393E-2</v>
          </cell>
          <cell r="AA21">
            <v>0</v>
          </cell>
          <cell r="AB21">
            <v>0</v>
          </cell>
          <cell r="AC21">
            <v>1.1114121089212746E-2</v>
          </cell>
          <cell r="AD21">
            <v>32153.480920099992</v>
          </cell>
          <cell r="AE21">
            <v>1175000</v>
          </cell>
          <cell r="AF21">
            <v>300000</v>
          </cell>
          <cell r="AG21">
            <v>300000</v>
          </cell>
          <cell r="AH21">
            <v>3000000</v>
          </cell>
          <cell r="AI21">
            <v>2550000</v>
          </cell>
          <cell r="AJ21">
            <v>32153.480920099992</v>
          </cell>
        </row>
        <row r="22">
          <cell r="A22">
            <v>1001627525</v>
          </cell>
          <cell r="B22" t="str">
            <v>בית איזי שפירא - עמותת אבי</v>
          </cell>
          <cell r="C22">
            <v>8.4599999999999991</v>
          </cell>
          <cell r="D22">
            <v>11</v>
          </cell>
          <cell r="E22">
            <v>9.6</v>
          </cell>
          <cell r="F22">
            <v>29.060000000000002</v>
          </cell>
          <cell r="G22">
            <v>33.839999999999996</v>
          </cell>
          <cell r="H22">
            <v>22</v>
          </cell>
          <cell r="I22">
            <v>9.6</v>
          </cell>
          <cell r="J22">
            <v>1</v>
          </cell>
          <cell r="K22">
            <v>65.44</v>
          </cell>
          <cell r="L22">
            <v>2.6300691485487509E-2</v>
          </cell>
          <cell r="M22">
            <v>50</v>
          </cell>
          <cell r="N22">
            <v>1</v>
          </cell>
          <cell r="O22">
            <v>0</v>
          </cell>
          <cell r="P22">
            <v>1</v>
          </cell>
          <cell r="Q22">
            <v>1.3698630136986301E-2</v>
          </cell>
          <cell r="R22">
            <v>158</v>
          </cell>
          <cell r="S22">
            <v>186</v>
          </cell>
          <cell r="T22">
            <v>0</v>
          </cell>
          <cell r="U22">
            <v>344</v>
          </cell>
          <cell r="V22">
            <v>2.1708674634928248E-3</v>
          </cell>
          <cell r="W22">
            <v>3</v>
          </cell>
          <cell r="X22">
            <v>3.5714285714285712E-2</v>
          </cell>
          <cell r="Y22">
            <v>1.5</v>
          </cell>
          <cell r="Z22">
            <v>1.5463917525773196E-2</v>
          </cell>
          <cell r="AA22">
            <v>0</v>
          </cell>
          <cell r="AB22">
            <v>0</v>
          </cell>
          <cell r="AC22">
            <v>1.4364498519284601E-2</v>
          </cell>
          <cell r="AD22">
            <v>41556.918928560808</v>
          </cell>
          <cell r="AE22">
            <v>2906000</v>
          </cell>
          <cell r="AF22">
            <v>500000</v>
          </cell>
          <cell r="AG22">
            <v>500000</v>
          </cell>
          <cell r="AH22">
            <v>1250000</v>
          </cell>
          <cell r="AI22">
            <v>1062500</v>
          </cell>
          <cell r="AJ22">
            <v>41556.918928560808</v>
          </cell>
        </row>
        <row r="23">
          <cell r="A23">
            <v>1001627840</v>
          </cell>
          <cell r="B23" t="str">
            <v>לב בנימין (ע"ר)</v>
          </cell>
          <cell r="C23">
            <v>1.5</v>
          </cell>
          <cell r="D23">
            <v>1</v>
          </cell>
          <cell r="E23">
            <v>16</v>
          </cell>
          <cell r="F23">
            <v>18.5</v>
          </cell>
          <cell r="G23">
            <v>6</v>
          </cell>
          <cell r="H23">
            <v>2</v>
          </cell>
          <cell r="I23">
            <v>16</v>
          </cell>
          <cell r="J23">
            <v>1</v>
          </cell>
          <cell r="K23">
            <v>24</v>
          </cell>
          <cell r="L23">
            <v>9.6457303736506763E-3</v>
          </cell>
          <cell r="M23">
            <v>267</v>
          </cell>
          <cell r="N23">
            <v>3</v>
          </cell>
          <cell r="O23">
            <v>1</v>
          </cell>
          <cell r="P23">
            <v>4</v>
          </cell>
          <cell r="Q23">
            <v>5.4794520547945202E-2</v>
          </cell>
          <cell r="R23">
            <v>70</v>
          </cell>
          <cell r="S23">
            <v>21</v>
          </cell>
          <cell r="T23">
            <v>1413</v>
          </cell>
          <cell r="U23">
            <v>1504</v>
          </cell>
          <cell r="V23">
            <v>9.4912344915500241E-3</v>
          </cell>
          <cell r="W23">
            <v>3</v>
          </cell>
          <cell r="X23">
            <v>3.5714285714285712E-2</v>
          </cell>
          <cell r="Y23">
            <v>1.5</v>
          </cell>
          <cell r="Z23">
            <v>1.5463917525773196E-2</v>
          </cell>
          <cell r="AA23">
            <v>3</v>
          </cell>
          <cell r="AB23">
            <v>3.8461538461538464E-2</v>
          </cell>
          <cell r="AC23">
            <v>1.988588153280331E-2</v>
          </cell>
          <cell r="AD23">
            <v>57530.443236303719</v>
          </cell>
          <cell r="AE23">
            <v>1850000</v>
          </cell>
          <cell r="AF23">
            <v>300000</v>
          </cell>
          <cell r="AG23">
            <v>300000</v>
          </cell>
          <cell r="AH23">
            <v>370000</v>
          </cell>
          <cell r="AI23">
            <v>314500</v>
          </cell>
          <cell r="AJ23">
            <v>57530.443236303719</v>
          </cell>
        </row>
        <row r="24">
          <cell r="A24">
            <v>1001627886</v>
          </cell>
          <cell r="B24" t="str">
            <v>עמותת על - עמותה לקידום תוכניות ייח</v>
          </cell>
          <cell r="C24">
            <v>50</v>
          </cell>
          <cell r="D24">
            <v>4</v>
          </cell>
          <cell r="E24">
            <v>5</v>
          </cell>
          <cell r="F24">
            <v>59</v>
          </cell>
          <cell r="G24">
            <v>200</v>
          </cell>
          <cell r="H24">
            <v>8</v>
          </cell>
          <cell r="I24">
            <v>5</v>
          </cell>
          <cell r="J24">
            <v>1</v>
          </cell>
          <cell r="K24">
            <v>213</v>
          </cell>
          <cell r="L24">
            <v>8.5605857066149746E-2</v>
          </cell>
          <cell r="M24">
            <v>50</v>
          </cell>
          <cell r="N24">
            <v>1</v>
          </cell>
          <cell r="O24">
            <v>1</v>
          </cell>
          <cell r="P24">
            <v>2</v>
          </cell>
          <cell r="Q24">
            <v>2.7397260273972601E-2</v>
          </cell>
          <cell r="R24">
            <v>10</v>
          </cell>
          <cell r="S24">
            <v>6</v>
          </cell>
          <cell r="T24">
            <v>780</v>
          </cell>
          <cell r="U24">
            <v>796</v>
          </cell>
          <cell r="V24">
            <v>5.0232863399426991E-3</v>
          </cell>
          <cell r="W24">
            <v>3</v>
          </cell>
          <cell r="X24">
            <v>3.5714285714285712E-2</v>
          </cell>
          <cell r="Y24">
            <v>1.5</v>
          </cell>
          <cell r="Z24">
            <v>1.5463917525773196E-2</v>
          </cell>
          <cell r="AA24">
            <v>3</v>
          </cell>
          <cell r="AB24">
            <v>3.8461538461538464E-2</v>
          </cell>
          <cell r="AC24">
            <v>3.8370411660093202E-2</v>
          </cell>
          <cell r="AD24">
            <v>111006.73542297886</v>
          </cell>
          <cell r="AE24">
            <v>5900000</v>
          </cell>
          <cell r="AF24">
            <v>219000</v>
          </cell>
          <cell r="AG24">
            <v>219000</v>
          </cell>
          <cell r="AH24">
            <v>250000</v>
          </cell>
          <cell r="AI24">
            <v>212500</v>
          </cell>
          <cell r="AJ24">
            <v>111006.73542297886</v>
          </cell>
        </row>
        <row r="25">
          <cell r="A25">
            <v>1001627887</v>
          </cell>
          <cell r="B25" t="str">
            <v>האגודה הישראלית לטרשת נפוצה (ע"ר)</v>
          </cell>
          <cell r="C25">
            <v>7</v>
          </cell>
          <cell r="D25">
            <v>0</v>
          </cell>
          <cell r="E25">
            <v>1</v>
          </cell>
          <cell r="F25">
            <v>8</v>
          </cell>
          <cell r="G25">
            <v>28</v>
          </cell>
          <cell r="H25">
            <v>0</v>
          </cell>
          <cell r="I25">
            <v>1</v>
          </cell>
          <cell r="J25">
            <v>0.40119760479041916</v>
          </cell>
          <cell r="K25">
            <v>11.634730538922156</v>
          </cell>
          <cell r="L25">
            <v>4.6760614061884392E-3</v>
          </cell>
          <cell r="M25">
            <v>40</v>
          </cell>
          <cell r="N25">
            <v>0</v>
          </cell>
          <cell r="O25">
            <v>1</v>
          </cell>
          <cell r="P25">
            <v>1</v>
          </cell>
          <cell r="Q25">
            <v>1.3698630136986301E-2</v>
          </cell>
          <cell r="R25">
            <v>60</v>
          </cell>
          <cell r="S25">
            <v>24</v>
          </cell>
          <cell r="T25">
            <v>0</v>
          </cell>
          <cell r="U25">
            <v>84</v>
          </cell>
          <cell r="V25">
            <v>5.3009554341103856E-4</v>
          </cell>
          <cell r="W25">
            <v>1</v>
          </cell>
          <cell r="X25">
            <v>1.1904761904761904E-2</v>
          </cell>
          <cell r="Y25">
            <v>2</v>
          </cell>
          <cell r="Z25">
            <v>2.0618556701030927E-2</v>
          </cell>
          <cell r="AA25">
            <v>3</v>
          </cell>
          <cell r="AB25">
            <v>3.8461538461538464E-2</v>
          </cell>
          <cell r="AC25">
            <v>9.0257727474306083E-3</v>
          </cell>
          <cell r="AD25">
            <v>26111.827421544243</v>
          </cell>
          <cell r="AE25">
            <v>800000</v>
          </cell>
          <cell r="AF25">
            <v>91650</v>
          </cell>
          <cell r="AG25">
            <v>91650</v>
          </cell>
          <cell r="AH25">
            <v>149670</v>
          </cell>
          <cell r="AI25">
            <v>127219.5</v>
          </cell>
          <cell r="AJ25">
            <v>26111.827421544243</v>
          </cell>
        </row>
        <row r="26">
          <cell r="A26">
            <v>1001627933</v>
          </cell>
          <cell r="B26" t="str">
            <v>צעד קדימה - עמותה לחינוך ושיקום באמ</v>
          </cell>
          <cell r="C26">
            <v>0.5</v>
          </cell>
          <cell r="D26">
            <v>0.7</v>
          </cell>
          <cell r="E26">
            <v>3.1</v>
          </cell>
          <cell r="F26">
            <v>4.3</v>
          </cell>
          <cell r="G26">
            <v>2</v>
          </cell>
          <cell r="H26">
            <v>1.4</v>
          </cell>
          <cell r="I26">
            <v>3.1</v>
          </cell>
          <cell r="J26">
            <v>1</v>
          </cell>
          <cell r="K26">
            <v>6.5</v>
          </cell>
          <cell r="L26">
            <v>2.6123853095303914E-3</v>
          </cell>
          <cell r="M26">
            <v>51</v>
          </cell>
          <cell r="N26">
            <v>1</v>
          </cell>
          <cell r="O26">
            <v>1</v>
          </cell>
          <cell r="P26">
            <v>2</v>
          </cell>
          <cell r="Q26">
            <v>2.7397260273972601E-2</v>
          </cell>
          <cell r="R26">
            <v>15</v>
          </cell>
          <cell r="S26">
            <v>15</v>
          </cell>
          <cell r="T26">
            <v>255</v>
          </cell>
          <cell r="U26">
            <v>285</v>
          </cell>
          <cell r="V26">
            <v>1.798538450858881E-3</v>
          </cell>
          <cell r="W26">
            <v>2</v>
          </cell>
          <cell r="X26">
            <v>2.3809523809523808E-2</v>
          </cell>
          <cell r="Y26">
            <v>2</v>
          </cell>
          <cell r="Z26">
            <v>2.0618556701030927E-2</v>
          </cell>
          <cell r="AA26">
            <v>0</v>
          </cell>
          <cell r="AB26">
            <v>0</v>
          </cell>
          <cell r="AC26">
            <v>7.5648102940609136E-3</v>
          </cell>
          <cell r="AD26">
            <v>21885.219847959459</v>
          </cell>
          <cell r="AE26">
            <v>430000</v>
          </cell>
          <cell r="AF26">
            <v>150000</v>
          </cell>
          <cell r="AG26">
            <v>150000</v>
          </cell>
          <cell r="AH26">
            <v>350000</v>
          </cell>
          <cell r="AI26">
            <v>297500</v>
          </cell>
          <cell r="AJ26">
            <v>21885.219847959459</v>
          </cell>
        </row>
        <row r="27">
          <cell r="A27">
            <v>1001628580</v>
          </cell>
          <cell r="B27" t="str">
            <v>בית הגלגלים (ע"ר)</v>
          </cell>
          <cell r="C27">
            <v>7</v>
          </cell>
          <cell r="D27">
            <v>9</v>
          </cell>
          <cell r="E27">
            <v>13</v>
          </cell>
          <cell r="F27">
            <v>29</v>
          </cell>
          <cell r="G27">
            <v>28</v>
          </cell>
          <cell r="H27">
            <v>18</v>
          </cell>
          <cell r="I27">
            <v>13</v>
          </cell>
          <cell r="J27">
            <v>1</v>
          </cell>
          <cell r="K27">
            <v>59</v>
          </cell>
          <cell r="L27">
            <v>2.3712420501891245E-2</v>
          </cell>
          <cell r="M27">
            <v>510</v>
          </cell>
          <cell r="N27">
            <v>3</v>
          </cell>
          <cell r="O27">
            <v>1</v>
          </cell>
          <cell r="P27">
            <v>4</v>
          </cell>
          <cell r="Q27">
            <v>5.4794520547945202E-2</v>
          </cell>
          <cell r="R27">
            <v>120</v>
          </cell>
          <cell r="S27">
            <v>0</v>
          </cell>
          <cell r="T27">
            <v>0</v>
          </cell>
          <cell r="U27">
            <v>120</v>
          </cell>
          <cell r="V27">
            <v>7.5727934773005517E-4</v>
          </cell>
          <cell r="W27">
            <v>3</v>
          </cell>
          <cell r="X27">
            <v>3.5714285714285712E-2</v>
          </cell>
          <cell r="Y27">
            <v>1</v>
          </cell>
          <cell r="Z27">
            <v>1.0309278350515464E-2</v>
          </cell>
          <cell r="AA27">
            <v>0</v>
          </cell>
          <cell r="AB27">
            <v>0</v>
          </cell>
          <cell r="AC27">
            <v>1.6945118466021761E-2</v>
          </cell>
          <cell r="AD27">
            <v>49022.728735148063</v>
          </cell>
          <cell r="AE27">
            <v>2900000</v>
          </cell>
          <cell r="AF27">
            <v>450000</v>
          </cell>
          <cell r="AG27">
            <v>450000</v>
          </cell>
          <cell r="AH27">
            <v>1800000</v>
          </cell>
          <cell r="AI27">
            <v>1530000</v>
          </cell>
          <cell r="AJ27">
            <v>49022.728735148063</v>
          </cell>
        </row>
        <row r="28">
          <cell r="A28">
            <v>1001628701</v>
          </cell>
          <cell r="B28" t="str">
            <v>מכון "מסילות" אשדוד (ע"ר)</v>
          </cell>
          <cell r="C28">
            <v>7</v>
          </cell>
          <cell r="D28">
            <v>48</v>
          </cell>
          <cell r="E28">
            <v>5</v>
          </cell>
          <cell r="F28">
            <v>60</v>
          </cell>
          <cell r="G28">
            <v>28</v>
          </cell>
          <cell r="H28">
            <v>96</v>
          </cell>
          <cell r="I28">
            <v>5</v>
          </cell>
          <cell r="J28">
            <v>0.64150943396226412</v>
          </cell>
          <cell r="K28">
            <v>82.754716981132077</v>
          </cell>
          <cell r="L28">
            <v>3.3259570297823796E-2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400</v>
          </cell>
          <cell r="S28">
            <v>45</v>
          </cell>
          <cell r="T28">
            <v>267</v>
          </cell>
          <cell r="U28">
            <v>712</v>
          </cell>
          <cell r="V28">
            <v>4.4931907965316603E-3</v>
          </cell>
          <cell r="W28">
            <v>1</v>
          </cell>
          <cell r="X28">
            <v>1.1904761904761904E-2</v>
          </cell>
          <cell r="Y28">
            <v>1</v>
          </cell>
          <cell r="Z28">
            <v>1.0309278350515464E-2</v>
          </cell>
          <cell r="AA28">
            <v>0</v>
          </cell>
          <cell r="AB28">
            <v>0</v>
          </cell>
          <cell r="AC28">
            <v>1.3256427976135183E-2</v>
          </cell>
          <cell r="AD28">
            <v>38351.2380851282</v>
          </cell>
          <cell r="AE28">
            <v>6000000</v>
          </cell>
          <cell r="AF28">
            <v>150000</v>
          </cell>
          <cell r="AG28">
            <v>150000</v>
          </cell>
          <cell r="AH28">
            <v>200000</v>
          </cell>
          <cell r="AI28">
            <v>170000</v>
          </cell>
          <cell r="AJ28">
            <v>38351.2380851282</v>
          </cell>
        </row>
        <row r="29">
          <cell r="A29">
            <v>1001628706</v>
          </cell>
          <cell r="B29" t="str">
            <v>יעדים לצפון מיסודה של קרן רש"י (ע"ר</v>
          </cell>
          <cell r="C29">
            <v>5</v>
          </cell>
          <cell r="D29">
            <v>4</v>
          </cell>
          <cell r="E29">
            <v>0</v>
          </cell>
          <cell r="F29">
            <v>9</v>
          </cell>
          <cell r="G29">
            <v>20</v>
          </cell>
          <cell r="H29">
            <v>8</v>
          </cell>
          <cell r="I29">
            <v>0</v>
          </cell>
          <cell r="J29">
            <v>9.8719030451791062E-2</v>
          </cell>
          <cell r="K29">
            <v>2.7641328526501496</v>
          </cell>
          <cell r="L29">
            <v>1.1109200089005516E-3</v>
          </cell>
          <cell r="M29">
            <v>180</v>
          </cell>
          <cell r="N29">
            <v>2</v>
          </cell>
          <cell r="O29">
            <v>1</v>
          </cell>
          <cell r="P29">
            <v>3</v>
          </cell>
          <cell r="Q29">
            <v>4.1095890410958902E-2</v>
          </cell>
          <cell r="R29">
            <v>250</v>
          </cell>
          <cell r="S29">
            <v>96</v>
          </cell>
          <cell r="T29">
            <v>927</v>
          </cell>
          <cell r="U29">
            <v>1273</v>
          </cell>
          <cell r="V29">
            <v>8.0334717471696685E-3</v>
          </cell>
          <cell r="W29">
            <v>3</v>
          </cell>
          <cell r="X29">
            <v>3.5714285714285712E-2</v>
          </cell>
          <cell r="Y29">
            <v>1</v>
          </cell>
          <cell r="Z29">
            <v>1.0309278350515464E-2</v>
          </cell>
          <cell r="AA29">
            <v>3</v>
          </cell>
          <cell r="AB29">
            <v>3.8461538461538464E-2</v>
          </cell>
          <cell r="AC29">
            <v>1.518762649038363E-2</v>
          </cell>
          <cell r="AD29">
            <v>43938.252486211291</v>
          </cell>
          <cell r="AE29">
            <v>900000</v>
          </cell>
          <cell r="AF29">
            <v>120000</v>
          </cell>
          <cell r="AG29">
            <v>120000</v>
          </cell>
          <cell r="AH29">
            <v>289776</v>
          </cell>
          <cell r="AI29">
            <v>246309.6</v>
          </cell>
          <cell r="AJ29">
            <v>43938.252486211291</v>
          </cell>
        </row>
        <row r="30">
          <cell r="A30">
            <v>1001629302</v>
          </cell>
          <cell r="B30" t="str">
            <v>לבב חברתי (ע"ר)</v>
          </cell>
          <cell r="C30">
            <v>1</v>
          </cell>
          <cell r="D30">
            <v>1</v>
          </cell>
          <cell r="E30">
            <v>2</v>
          </cell>
          <cell r="F30">
            <v>4</v>
          </cell>
          <cell r="G30">
            <v>4</v>
          </cell>
          <cell r="H30">
            <v>2</v>
          </cell>
          <cell r="I30">
            <v>2</v>
          </cell>
          <cell r="J30">
            <v>1</v>
          </cell>
          <cell r="K30">
            <v>8</v>
          </cell>
          <cell r="L30">
            <v>3.2152434578835588E-3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1590</v>
          </cell>
          <cell r="U30">
            <v>1590</v>
          </cell>
          <cell r="V30">
            <v>1.0033951357423231E-2</v>
          </cell>
          <cell r="W30">
            <v>1</v>
          </cell>
          <cell r="X30">
            <v>1.1904761904761904E-2</v>
          </cell>
          <cell r="Y30">
            <v>1.5</v>
          </cell>
          <cell r="Z30">
            <v>1.5463917525773196E-2</v>
          </cell>
          <cell r="AA30">
            <v>0</v>
          </cell>
          <cell r="AB30">
            <v>0</v>
          </cell>
          <cell r="AC30">
            <v>6.4401280792280484E-3</v>
          </cell>
          <cell r="AD30">
            <v>18631.480947192646</v>
          </cell>
          <cell r="AE30">
            <v>400000</v>
          </cell>
          <cell r="AF30">
            <v>100000</v>
          </cell>
          <cell r="AG30">
            <v>100000</v>
          </cell>
          <cell r="AH30">
            <v>554000</v>
          </cell>
          <cell r="AI30">
            <v>470900</v>
          </cell>
          <cell r="AJ30">
            <v>18631.480947192646</v>
          </cell>
        </row>
        <row r="31">
          <cell r="A31">
            <v>1001629431</v>
          </cell>
          <cell r="B31" t="str">
            <v>אתגרים</v>
          </cell>
          <cell r="C31">
            <v>1</v>
          </cell>
          <cell r="D31">
            <v>3</v>
          </cell>
          <cell r="E31">
            <v>120</v>
          </cell>
          <cell r="F31">
            <v>124</v>
          </cell>
          <cell r="G31">
            <v>4</v>
          </cell>
          <cell r="H31">
            <v>6</v>
          </cell>
          <cell r="I31">
            <v>120</v>
          </cell>
          <cell r="J31">
            <v>1</v>
          </cell>
          <cell r="K31">
            <v>130</v>
          </cell>
          <cell r="L31">
            <v>5.2247706190607826E-2</v>
          </cell>
          <cell r="M31">
            <v>1583</v>
          </cell>
          <cell r="N31">
            <v>3</v>
          </cell>
          <cell r="O31">
            <v>1</v>
          </cell>
          <cell r="P31">
            <v>4</v>
          </cell>
          <cell r="Q31">
            <v>5.4794520547945202E-2</v>
          </cell>
          <cell r="R31">
            <v>0</v>
          </cell>
          <cell r="S31">
            <v>0</v>
          </cell>
          <cell r="T31">
            <v>3621</v>
          </cell>
          <cell r="U31">
            <v>3621</v>
          </cell>
          <cell r="V31">
            <v>2.2850904317754415E-2</v>
          </cell>
          <cell r="W31">
            <v>3</v>
          </cell>
          <cell r="X31">
            <v>3.5714285714285712E-2</v>
          </cell>
          <cell r="Y31">
            <v>1.5</v>
          </cell>
          <cell r="Z31">
            <v>1.5463917525773196E-2</v>
          </cell>
          <cell r="AA31">
            <v>3</v>
          </cell>
          <cell r="AB31">
            <v>3.8461538461538464E-2</v>
          </cell>
          <cell r="AC31">
            <v>3.7342358717061985E-2</v>
          </cell>
          <cell r="AD31">
            <v>108032.54786255269</v>
          </cell>
          <cell r="AE31">
            <v>12400000</v>
          </cell>
          <cell r="AF31">
            <v>814632</v>
          </cell>
          <cell r="AG31">
            <v>814632</v>
          </cell>
          <cell r="AH31">
            <v>1163760</v>
          </cell>
          <cell r="AI31">
            <v>989196</v>
          </cell>
          <cell r="AJ31">
            <v>108032.54786255269</v>
          </cell>
        </row>
        <row r="32">
          <cell r="A32">
            <v>1001629553</v>
          </cell>
          <cell r="B32" t="str">
            <v>משעולים (ע"ר)</v>
          </cell>
          <cell r="C32">
            <v>3</v>
          </cell>
          <cell r="D32">
            <v>2</v>
          </cell>
          <cell r="E32">
            <v>0</v>
          </cell>
          <cell r="F32">
            <v>5</v>
          </cell>
          <cell r="G32">
            <v>12</v>
          </cell>
          <cell r="H32">
            <v>4</v>
          </cell>
          <cell r="I32">
            <v>0</v>
          </cell>
          <cell r="J32">
            <v>0.33333333333333331</v>
          </cell>
          <cell r="K32">
            <v>5.333333333333333</v>
          </cell>
          <cell r="L32">
            <v>2.1434956385890389E-3</v>
          </cell>
          <cell r="M32">
            <v>4</v>
          </cell>
          <cell r="N32">
            <v>0</v>
          </cell>
          <cell r="O32">
            <v>1</v>
          </cell>
          <cell r="P32">
            <v>1</v>
          </cell>
          <cell r="Q32">
            <v>1.3698630136986301E-2</v>
          </cell>
          <cell r="R32">
            <v>36</v>
          </cell>
          <cell r="S32">
            <v>1134</v>
          </cell>
          <cell r="T32">
            <v>0</v>
          </cell>
          <cell r="U32">
            <v>1170</v>
          </cell>
          <cell r="V32">
            <v>7.3834736403680379E-3</v>
          </cell>
          <cell r="W32">
            <v>1</v>
          </cell>
          <cell r="X32">
            <v>1.1904761904761904E-2</v>
          </cell>
          <cell r="Y32">
            <v>2</v>
          </cell>
          <cell r="Z32">
            <v>2.0618556701030927E-2</v>
          </cell>
          <cell r="AA32">
            <v>3</v>
          </cell>
          <cell r="AB32">
            <v>3.8461538461538464E-2</v>
          </cell>
          <cell r="AC32">
            <v>1.0664685351085737E-2</v>
          </cell>
          <cell r="AD32">
            <v>30853.250041321484</v>
          </cell>
          <cell r="AE32">
            <v>500000</v>
          </cell>
          <cell r="AF32">
            <v>100000</v>
          </cell>
          <cell r="AG32">
            <v>100000</v>
          </cell>
          <cell r="AH32">
            <v>450000</v>
          </cell>
          <cell r="AI32">
            <v>382500</v>
          </cell>
          <cell r="AJ32">
            <v>30853.250041321484</v>
          </cell>
        </row>
        <row r="33">
          <cell r="A33">
            <v>1001631595</v>
          </cell>
          <cell r="B33" t="str">
            <v>"הבית של רונית" - מרכז התפתחות חברת</v>
          </cell>
          <cell r="C33">
            <v>1</v>
          </cell>
          <cell r="D33">
            <v>1.5</v>
          </cell>
          <cell r="E33">
            <v>0.5</v>
          </cell>
          <cell r="F33">
            <v>3</v>
          </cell>
          <cell r="G33">
            <v>4</v>
          </cell>
          <cell r="H33">
            <v>3</v>
          </cell>
          <cell r="I33">
            <v>0.5</v>
          </cell>
          <cell r="J33">
            <v>1</v>
          </cell>
          <cell r="K33">
            <v>7.5</v>
          </cell>
          <cell r="L33">
            <v>3.0142907417658365E-3</v>
          </cell>
          <cell r="M33">
            <v>13</v>
          </cell>
          <cell r="N33">
            <v>0</v>
          </cell>
          <cell r="O33">
            <v>1</v>
          </cell>
          <cell r="P33">
            <v>1</v>
          </cell>
          <cell r="Q33">
            <v>1.3698630136986301E-2</v>
          </cell>
          <cell r="R33">
            <v>30</v>
          </cell>
          <cell r="S33">
            <v>990</v>
          </cell>
          <cell r="T33">
            <v>729</v>
          </cell>
          <cell r="U33">
            <v>1749</v>
          </cell>
          <cell r="V33">
            <v>1.1037346493165553E-2</v>
          </cell>
          <cell r="W33">
            <v>1</v>
          </cell>
          <cell r="X33">
            <v>1.1904761904761904E-2</v>
          </cell>
          <cell r="Y33">
            <v>1</v>
          </cell>
          <cell r="Z33">
            <v>1.0309278350515464E-2</v>
          </cell>
          <cell r="AA33">
            <v>3</v>
          </cell>
          <cell r="AB33">
            <v>3.8461538461538464E-2</v>
          </cell>
          <cell r="AC33">
            <v>1.1689315462992135E-2</v>
          </cell>
          <cell r="AD33">
            <v>33817.535250101399</v>
          </cell>
          <cell r="AE33">
            <v>300000</v>
          </cell>
          <cell r="AF33">
            <v>600000</v>
          </cell>
          <cell r="AG33">
            <v>300000</v>
          </cell>
          <cell r="AH33">
            <v>710000</v>
          </cell>
          <cell r="AI33">
            <v>603500</v>
          </cell>
          <cell r="AJ33">
            <v>33817.535250101399</v>
          </cell>
        </row>
        <row r="34">
          <cell r="A34">
            <v>1001631600</v>
          </cell>
          <cell r="B34" t="str">
            <v>אלמנארה - עמותה לקידום אנשים עם מוג</v>
          </cell>
          <cell r="C34">
            <v>2</v>
          </cell>
          <cell r="D34">
            <v>2</v>
          </cell>
          <cell r="E34">
            <v>12</v>
          </cell>
          <cell r="F34">
            <v>16</v>
          </cell>
          <cell r="G34">
            <v>8</v>
          </cell>
          <cell r="H34">
            <v>4</v>
          </cell>
          <cell r="I34">
            <v>12</v>
          </cell>
          <cell r="J34">
            <v>0.625</v>
          </cell>
          <cell r="K34">
            <v>15</v>
          </cell>
          <cell r="L34">
            <v>6.0285814835316729E-3</v>
          </cell>
          <cell r="M34">
            <v>50</v>
          </cell>
          <cell r="N34">
            <v>1</v>
          </cell>
          <cell r="O34">
            <v>1</v>
          </cell>
          <cell r="P34">
            <v>2</v>
          </cell>
          <cell r="Q34">
            <v>2.7397260273972601E-2</v>
          </cell>
          <cell r="R34">
            <v>45</v>
          </cell>
          <cell r="S34">
            <v>135</v>
          </cell>
          <cell r="T34">
            <v>957</v>
          </cell>
          <cell r="U34">
            <v>1137</v>
          </cell>
          <cell r="V34">
            <v>7.1752218197422722E-3</v>
          </cell>
          <cell r="W34">
            <v>2</v>
          </cell>
          <cell r="X34">
            <v>2.3809523809523808E-2</v>
          </cell>
          <cell r="Y34">
            <v>1</v>
          </cell>
          <cell r="Z34">
            <v>1.0309278350515464E-2</v>
          </cell>
          <cell r="AA34">
            <v>0</v>
          </cell>
          <cell r="AB34">
            <v>0</v>
          </cell>
          <cell r="AC34">
            <v>9.9560444078447118E-3</v>
          </cell>
          <cell r="AD34">
            <v>28803.130840279384</v>
          </cell>
          <cell r="AE34">
            <v>1600000</v>
          </cell>
          <cell r="AF34">
            <v>150000</v>
          </cell>
          <cell r="AG34">
            <v>150000</v>
          </cell>
          <cell r="AH34">
            <v>192500</v>
          </cell>
          <cell r="AI34">
            <v>163625</v>
          </cell>
          <cell r="AJ34">
            <v>28803.130840279384</v>
          </cell>
        </row>
        <row r="35">
          <cell r="A35">
            <v>1001632006</v>
          </cell>
          <cell r="B35" t="str">
            <v>מוסדות תורה, חינוך וסיוע בית שמש (ע</v>
          </cell>
          <cell r="C35">
            <v>0</v>
          </cell>
          <cell r="D35">
            <v>8.25</v>
          </cell>
          <cell r="E35">
            <v>3.25</v>
          </cell>
          <cell r="F35">
            <v>11.5</v>
          </cell>
          <cell r="G35">
            <v>0</v>
          </cell>
          <cell r="H35">
            <v>16.5</v>
          </cell>
          <cell r="I35">
            <v>3.25</v>
          </cell>
          <cell r="J35">
            <v>0.898876404494382</v>
          </cell>
          <cell r="K35">
            <v>17.752808988764045</v>
          </cell>
          <cell r="L35">
            <v>7.1349503700225041E-3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325</v>
          </cell>
          <cell r="S35">
            <v>270</v>
          </cell>
          <cell r="T35">
            <v>360</v>
          </cell>
          <cell r="U35">
            <v>955</v>
          </cell>
          <cell r="V35">
            <v>6.0266814756850225E-3</v>
          </cell>
          <cell r="W35">
            <v>3</v>
          </cell>
          <cell r="X35">
            <v>3.5714285714285712E-2</v>
          </cell>
          <cell r="Y35">
            <v>3</v>
          </cell>
          <cell r="Z35">
            <v>3.0927835051546393E-2</v>
          </cell>
          <cell r="AA35">
            <v>0</v>
          </cell>
          <cell r="AB35">
            <v>0</v>
          </cell>
          <cell r="AC35">
            <v>9.3676439515023996E-3</v>
          </cell>
          <cell r="AD35">
            <v>27100.870922961822</v>
          </cell>
          <cell r="AE35">
            <v>1150000</v>
          </cell>
          <cell r="AF35">
            <v>400000</v>
          </cell>
          <cell r="AG35">
            <v>400000</v>
          </cell>
          <cell r="AH35">
            <v>700000</v>
          </cell>
          <cell r="AI35">
            <v>595000</v>
          </cell>
          <cell r="AJ35">
            <v>27100.870922961822</v>
          </cell>
        </row>
        <row r="36">
          <cell r="A36">
            <v>1001632013</v>
          </cell>
          <cell r="B36" t="str">
            <v>אגודת עזרה למרפא שע"י אברכי חסידי ב</v>
          </cell>
          <cell r="C36">
            <v>3</v>
          </cell>
          <cell r="D36">
            <v>19</v>
          </cell>
          <cell r="E36">
            <v>13.5</v>
          </cell>
          <cell r="F36">
            <v>35.5</v>
          </cell>
          <cell r="G36">
            <v>12</v>
          </cell>
          <cell r="H36">
            <v>38</v>
          </cell>
          <cell r="I36">
            <v>13.5</v>
          </cell>
          <cell r="J36">
            <v>1</v>
          </cell>
          <cell r="K36">
            <v>63.5</v>
          </cell>
          <cell r="L36">
            <v>2.5520994946950749E-2</v>
          </cell>
          <cell r="M36">
            <v>435</v>
          </cell>
          <cell r="N36">
            <v>3</v>
          </cell>
          <cell r="O36">
            <v>1</v>
          </cell>
          <cell r="P36">
            <v>4</v>
          </cell>
          <cell r="Q36">
            <v>5.4794520547945202E-2</v>
          </cell>
          <cell r="R36">
            <v>3224</v>
          </cell>
          <cell r="S36">
            <v>21855</v>
          </cell>
          <cell r="T36">
            <v>894</v>
          </cell>
          <cell r="U36">
            <v>25973</v>
          </cell>
          <cell r="V36">
            <v>0.16390680415493936</v>
          </cell>
          <cell r="W36">
            <v>1</v>
          </cell>
          <cell r="X36">
            <v>1.1904761904761904E-2</v>
          </cell>
          <cell r="Y36">
            <v>3</v>
          </cell>
          <cell r="Z36">
            <v>3.0927835051546393E-2</v>
          </cell>
          <cell r="AA36">
            <v>3</v>
          </cell>
          <cell r="AB36">
            <v>3.8461538461538464E-2</v>
          </cell>
          <cell r="AC36">
            <v>7.7086153782315855E-2</v>
          </cell>
          <cell r="AD36">
            <v>223012.52208321533</v>
          </cell>
          <cell r="AE36">
            <v>3550000</v>
          </cell>
          <cell r="AF36">
            <v>1800000</v>
          </cell>
          <cell r="AG36">
            <v>1800000</v>
          </cell>
          <cell r="AH36">
            <v>2500000</v>
          </cell>
          <cell r="AI36">
            <v>2125000</v>
          </cell>
          <cell r="AJ36">
            <v>223012.52208321533</v>
          </cell>
        </row>
        <row r="37">
          <cell r="A37">
            <v>1001632042</v>
          </cell>
          <cell r="B37" t="str">
            <v>קרן עזרה לזולת קרית גת (ע"ר)</v>
          </cell>
          <cell r="C37">
            <v>0.5</v>
          </cell>
          <cell r="D37">
            <v>2.75</v>
          </cell>
          <cell r="E37">
            <v>14</v>
          </cell>
          <cell r="F37">
            <v>17.25</v>
          </cell>
          <cell r="G37">
            <v>2</v>
          </cell>
          <cell r="H37">
            <v>5.5</v>
          </cell>
          <cell r="I37">
            <v>14</v>
          </cell>
          <cell r="J37">
            <v>1</v>
          </cell>
          <cell r="K37">
            <v>21.5</v>
          </cell>
          <cell r="L37">
            <v>8.6409667930620639E-3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62</v>
          </cell>
          <cell r="S37">
            <v>45</v>
          </cell>
          <cell r="T37">
            <v>858</v>
          </cell>
          <cell r="U37">
            <v>965</v>
          </cell>
          <cell r="V37">
            <v>6.0897880879958602E-3</v>
          </cell>
          <cell r="W37">
            <v>1</v>
          </cell>
          <cell r="X37">
            <v>1.1904761904761904E-2</v>
          </cell>
          <cell r="Y37">
            <v>1.5</v>
          </cell>
          <cell r="Z37">
            <v>1.5463917525773196E-2</v>
          </cell>
          <cell r="AA37">
            <v>3</v>
          </cell>
          <cell r="AB37">
            <v>3.8461538461538464E-2</v>
          </cell>
          <cell r="AC37">
            <v>1.0533541781635866E-2</v>
          </cell>
          <cell r="AD37">
            <v>30473.847817407175</v>
          </cell>
          <cell r="AE37">
            <v>1725000</v>
          </cell>
          <cell r="AF37">
            <v>80000</v>
          </cell>
          <cell r="AG37">
            <v>80000</v>
          </cell>
          <cell r="AH37">
            <v>110000</v>
          </cell>
          <cell r="AI37">
            <v>93500</v>
          </cell>
          <cell r="AJ37">
            <v>30473.847817407175</v>
          </cell>
        </row>
        <row r="38">
          <cell r="A38">
            <v>1001632055</v>
          </cell>
          <cell r="B38" t="str">
            <v>מסגרת שמעיה (ע"ר)</v>
          </cell>
          <cell r="C38">
            <v>0</v>
          </cell>
          <cell r="D38">
            <v>5.3</v>
          </cell>
          <cell r="E38">
            <v>7.1</v>
          </cell>
          <cell r="F38">
            <v>12.399999999999999</v>
          </cell>
          <cell r="G38">
            <v>0</v>
          </cell>
          <cell r="H38">
            <v>10.6</v>
          </cell>
          <cell r="I38">
            <v>7.1</v>
          </cell>
          <cell r="J38">
            <v>0.83977900552486184</v>
          </cell>
          <cell r="K38">
            <v>14.864088397790054</v>
          </cell>
          <cell r="L38">
            <v>5.973957872299672E-3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613</v>
          </cell>
          <cell r="S38">
            <v>0</v>
          </cell>
          <cell r="T38">
            <v>444</v>
          </cell>
          <cell r="U38">
            <v>1057</v>
          </cell>
          <cell r="V38">
            <v>6.6703689212555695E-3</v>
          </cell>
          <cell r="W38">
            <v>0</v>
          </cell>
          <cell r="X38">
            <v>0</v>
          </cell>
          <cell r="Y38">
            <v>2</v>
          </cell>
          <cell r="Z38">
            <v>2.0618556701030927E-2</v>
          </cell>
          <cell r="AA38">
            <v>0</v>
          </cell>
          <cell r="AB38">
            <v>0</v>
          </cell>
          <cell r="AC38">
            <v>5.1577443191808967E-3</v>
          </cell>
          <cell r="AD38">
            <v>14921.506813390684</v>
          </cell>
          <cell r="AE38">
            <v>1239999.9999999998</v>
          </cell>
          <cell r="AF38">
            <v>300000</v>
          </cell>
          <cell r="AG38">
            <v>300000</v>
          </cell>
          <cell r="AH38">
            <v>355000</v>
          </cell>
          <cell r="AI38">
            <v>301750</v>
          </cell>
          <cell r="AJ38">
            <v>14921.506813390684</v>
          </cell>
        </row>
        <row r="39">
          <cell r="A39">
            <v>1001632067</v>
          </cell>
          <cell r="B39" t="str">
            <v>קו לחיים - תנועה חברתית לשיפור והצל</v>
          </cell>
          <cell r="C39">
            <v>0</v>
          </cell>
          <cell r="D39">
            <v>66</v>
          </cell>
          <cell r="E39">
            <v>0</v>
          </cell>
          <cell r="F39">
            <v>66</v>
          </cell>
          <cell r="G39">
            <v>0</v>
          </cell>
          <cell r="H39">
            <v>132</v>
          </cell>
          <cell r="I39">
            <v>0</v>
          </cell>
          <cell r="J39">
            <v>0.86486486486486491</v>
          </cell>
          <cell r="K39">
            <v>114.16216216216216</v>
          </cell>
          <cell r="L39">
            <v>4.5882393128716732E-2</v>
          </cell>
          <cell r="M39">
            <v>500</v>
          </cell>
          <cell r="N39">
            <v>3</v>
          </cell>
          <cell r="O39">
            <v>1</v>
          </cell>
          <cell r="P39">
            <v>4</v>
          </cell>
          <cell r="Q39">
            <v>5.4794520547945202E-2</v>
          </cell>
          <cell r="R39">
            <v>0</v>
          </cell>
          <cell r="S39">
            <v>144</v>
          </cell>
          <cell r="T39">
            <v>1980</v>
          </cell>
          <cell r="U39">
            <v>2124</v>
          </cell>
          <cell r="V39">
            <v>1.3403844454821977E-2</v>
          </cell>
          <cell r="W39">
            <v>3</v>
          </cell>
          <cell r="X39">
            <v>3.5714285714285712E-2</v>
          </cell>
          <cell r="Y39">
            <v>1.5</v>
          </cell>
          <cell r="Z39">
            <v>1.5463917525773196E-2</v>
          </cell>
          <cell r="AA39">
            <v>0</v>
          </cell>
          <cell r="AB39">
            <v>0</v>
          </cell>
          <cell r="AC39">
            <v>2.8280140000314466E-2</v>
          </cell>
          <cell r="AD39">
            <v>81815.281174183896</v>
          </cell>
          <cell r="AE39">
            <v>6600000</v>
          </cell>
          <cell r="AF39">
            <v>1300000</v>
          </cell>
          <cell r="AG39">
            <v>1300000</v>
          </cell>
          <cell r="AH39">
            <v>2300000</v>
          </cell>
          <cell r="AI39">
            <v>1955000</v>
          </cell>
          <cell r="AJ39">
            <v>81815.281174183896</v>
          </cell>
        </row>
        <row r="40">
          <cell r="A40">
            <v>1001632289</v>
          </cell>
          <cell r="B40" t="str">
            <v>ס.ו.ל.ם. - סיוע ועידוד לילדים מוגבל</v>
          </cell>
          <cell r="C40">
            <v>0</v>
          </cell>
          <cell r="D40">
            <v>4.5</v>
          </cell>
          <cell r="E40">
            <v>26</v>
          </cell>
          <cell r="F40">
            <v>30.5</v>
          </cell>
          <cell r="G40">
            <v>0</v>
          </cell>
          <cell r="H40">
            <v>9</v>
          </cell>
          <cell r="I40">
            <v>26</v>
          </cell>
          <cell r="J40">
            <v>1</v>
          </cell>
          <cell r="K40">
            <v>35</v>
          </cell>
          <cell r="L40">
            <v>1.4066690128240569E-2</v>
          </cell>
          <cell r="M40">
            <v>103</v>
          </cell>
          <cell r="N40">
            <v>2</v>
          </cell>
          <cell r="O40">
            <v>1</v>
          </cell>
          <cell r="P40">
            <v>3</v>
          </cell>
          <cell r="Q40">
            <v>4.1095890410958902E-2</v>
          </cell>
          <cell r="R40">
            <v>165</v>
          </cell>
          <cell r="S40">
            <v>330</v>
          </cell>
          <cell r="T40">
            <v>42</v>
          </cell>
          <cell r="U40">
            <v>537</v>
          </cell>
          <cell r="V40">
            <v>3.3888250810919967E-3</v>
          </cell>
          <cell r="W40">
            <v>1</v>
          </cell>
          <cell r="X40">
            <v>1.1904761904761904E-2</v>
          </cell>
          <cell r="Y40">
            <v>2</v>
          </cell>
          <cell r="Z40">
            <v>2.0618556701030927E-2</v>
          </cell>
          <cell r="AA40">
            <v>0</v>
          </cell>
          <cell r="AB40">
            <v>0</v>
          </cell>
          <cell r="AC40">
            <v>1.1737088883477995E-2</v>
          </cell>
          <cell r="AD40">
            <v>33955.745168074216</v>
          </cell>
          <cell r="AE40">
            <v>3050000</v>
          </cell>
          <cell r="AF40">
            <v>850000</v>
          </cell>
          <cell r="AG40">
            <v>850000</v>
          </cell>
          <cell r="AH40">
            <v>1000000</v>
          </cell>
          <cell r="AI40">
            <v>850000</v>
          </cell>
          <cell r="AJ40">
            <v>33955.745168074216</v>
          </cell>
        </row>
        <row r="41">
          <cell r="A41">
            <v>1001653064</v>
          </cell>
          <cell r="B41" t="str">
            <v>שיח סוד- מרכז חינוכי שיקומי לבעלי צ</v>
          </cell>
          <cell r="C41">
            <v>1.6</v>
          </cell>
          <cell r="D41">
            <v>3.2</v>
          </cell>
          <cell r="E41">
            <v>2</v>
          </cell>
          <cell r="F41">
            <v>6.8000000000000007</v>
          </cell>
          <cell r="G41">
            <v>6.4</v>
          </cell>
          <cell r="H41">
            <v>6.4</v>
          </cell>
          <cell r="I41">
            <v>2</v>
          </cell>
          <cell r="J41">
            <v>1</v>
          </cell>
          <cell r="K41">
            <v>14.8</v>
          </cell>
          <cell r="L41">
            <v>5.9482003970845838E-3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340</v>
          </cell>
          <cell r="S41">
            <v>0</v>
          </cell>
          <cell r="T41">
            <v>1974</v>
          </cell>
          <cell r="U41">
            <v>2314</v>
          </cell>
          <cell r="V41">
            <v>1.4602870088727897E-2</v>
          </cell>
          <cell r="W41">
            <v>1</v>
          </cell>
          <cell r="X41">
            <v>1.1904761904761904E-2</v>
          </cell>
          <cell r="Y41">
            <v>3</v>
          </cell>
          <cell r="Z41">
            <v>3.0927835051546393E-2</v>
          </cell>
          <cell r="AA41">
            <v>3</v>
          </cell>
          <cell r="AB41">
            <v>3.8461538461538464E-2</v>
          </cell>
          <cell r="AC41">
            <v>1.3478486439387495E-2</v>
          </cell>
          <cell r="AD41">
            <v>38993.659784875548</v>
          </cell>
          <cell r="AE41">
            <v>680000.00000000012</v>
          </cell>
          <cell r="AF41">
            <v>1080000</v>
          </cell>
          <cell r="AG41">
            <v>680000.00000000012</v>
          </cell>
          <cell r="AH41">
            <v>1200000</v>
          </cell>
          <cell r="AI41">
            <v>1020000</v>
          </cell>
          <cell r="AJ41">
            <v>38993.659784875548</v>
          </cell>
        </row>
        <row r="42">
          <cell r="A42">
            <v>1001653065</v>
          </cell>
          <cell r="B42" t="str">
            <v>בדרך אל- בית ספר בטב"ע (בדרך טבעית</v>
          </cell>
          <cell r="C42">
            <v>0.5</v>
          </cell>
          <cell r="D42">
            <v>2</v>
          </cell>
          <cell r="E42">
            <v>2</v>
          </cell>
          <cell r="F42">
            <v>4.5</v>
          </cell>
          <cell r="G42">
            <v>2</v>
          </cell>
          <cell r="H42">
            <v>4</v>
          </cell>
          <cell r="I42">
            <v>2</v>
          </cell>
          <cell r="J42">
            <v>0.94339622641509435</v>
          </cell>
          <cell r="K42">
            <v>7.5471698113207548</v>
          </cell>
          <cell r="L42">
            <v>3.0332485451731684E-3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324</v>
          </cell>
          <cell r="U42">
            <v>324</v>
          </cell>
          <cell r="V42">
            <v>2.0446542388711489E-3</v>
          </cell>
          <cell r="W42">
            <v>2</v>
          </cell>
          <cell r="X42">
            <v>2.3809523809523808E-2</v>
          </cell>
          <cell r="Y42">
            <v>1.5</v>
          </cell>
          <cell r="Z42">
            <v>1.5463917525773196E-2</v>
          </cell>
          <cell r="AA42">
            <v>3</v>
          </cell>
          <cell r="AB42">
            <v>3.8461538461538464E-2</v>
          </cell>
          <cell r="AC42">
            <v>8.6259056505517406E-3</v>
          </cell>
          <cell r="AD42">
            <v>24955.000087482764</v>
          </cell>
          <cell r="AE42">
            <v>450000</v>
          </cell>
          <cell r="AF42">
            <v>50000</v>
          </cell>
          <cell r="AG42">
            <v>50000</v>
          </cell>
          <cell r="AH42">
            <v>100000</v>
          </cell>
          <cell r="AI42">
            <v>85000</v>
          </cell>
          <cell r="AJ42">
            <v>24955.000087482764</v>
          </cell>
        </row>
        <row r="43">
          <cell r="A43">
            <v>1001653069</v>
          </cell>
          <cell r="B43" t="str">
            <v>האגודה למען העוור ולמניעת העוורון ח</v>
          </cell>
          <cell r="C43">
            <v>1</v>
          </cell>
          <cell r="D43">
            <v>0</v>
          </cell>
          <cell r="E43">
            <v>0</v>
          </cell>
          <cell r="F43">
            <v>1</v>
          </cell>
          <cell r="G43">
            <v>4</v>
          </cell>
          <cell r="H43">
            <v>0</v>
          </cell>
          <cell r="I43">
            <v>0</v>
          </cell>
          <cell r="J43">
            <v>1</v>
          </cell>
          <cell r="K43">
            <v>4</v>
          </cell>
          <cell r="L43">
            <v>1.6076217289417794E-3</v>
          </cell>
          <cell r="M43">
            <v>206</v>
          </cell>
          <cell r="N43">
            <v>3</v>
          </cell>
          <cell r="O43">
            <v>1</v>
          </cell>
          <cell r="P43">
            <v>4</v>
          </cell>
          <cell r="Q43">
            <v>5.4794520547945202E-2</v>
          </cell>
          <cell r="R43">
            <v>42</v>
          </cell>
          <cell r="S43">
            <v>576</v>
          </cell>
          <cell r="T43">
            <v>63</v>
          </cell>
          <cell r="U43">
            <v>681</v>
          </cell>
          <cell r="V43">
            <v>4.2975602983680626E-3</v>
          </cell>
          <cell r="W43">
            <v>2</v>
          </cell>
          <cell r="X43">
            <v>2.3809523809523808E-2</v>
          </cell>
          <cell r="Y43">
            <v>3</v>
          </cell>
          <cell r="Z43">
            <v>3.0927835051546393E-2</v>
          </cell>
          <cell r="AA43">
            <v>3</v>
          </cell>
          <cell r="AB43">
            <v>3.8461538461538464E-2</v>
          </cell>
          <cell r="AC43">
            <v>1.5239382657589423E-2</v>
          </cell>
          <cell r="AD43">
            <v>44087.98460820195</v>
          </cell>
          <cell r="AE43">
            <v>100000</v>
          </cell>
          <cell r="AF43">
            <v>350000</v>
          </cell>
          <cell r="AG43">
            <v>100000</v>
          </cell>
          <cell r="AH43">
            <v>500000</v>
          </cell>
          <cell r="AI43">
            <v>425000</v>
          </cell>
          <cell r="AJ43">
            <v>44087.98460820195</v>
          </cell>
        </row>
        <row r="44">
          <cell r="A44">
            <v>1001653173</v>
          </cell>
          <cell r="B44" t="str">
            <v>שמע קולנו - מרכז ארצי שיקום והדרכה</v>
          </cell>
          <cell r="C44">
            <v>0.5</v>
          </cell>
          <cell r="D44">
            <v>5</v>
          </cell>
          <cell r="E44">
            <v>3</v>
          </cell>
          <cell r="F44">
            <v>8.5</v>
          </cell>
          <cell r="G44">
            <v>2</v>
          </cell>
          <cell r="H44">
            <v>10</v>
          </cell>
          <cell r="I44">
            <v>3</v>
          </cell>
          <cell r="J44">
            <v>1</v>
          </cell>
          <cell r="K44">
            <v>15</v>
          </cell>
          <cell r="L44">
            <v>6.0285814835316729E-3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5</v>
          </cell>
          <cell r="S44">
            <v>0</v>
          </cell>
          <cell r="T44">
            <v>2076</v>
          </cell>
          <cell r="U44">
            <v>2081</v>
          </cell>
          <cell r="V44">
            <v>1.3132486021885372E-2</v>
          </cell>
          <cell r="W44">
            <v>1</v>
          </cell>
          <cell r="X44">
            <v>1.1904761904761904E-2</v>
          </cell>
          <cell r="Y44">
            <v>3</v>
          </cell>
          <cell r="Z44">
            <v>3.0927835051546393E-2</v>
          </cell>
          <cell r="AA44">
            <v>3</v>
          </cell>
          <cell r="AB44">
            <v>3.8461538461538464E-2</v>
          </cell>
          <cell r="AC44">
            <v>1.2987966341926739E-2</v>
          </cell>
          <cell r="AD44">
            <v>37574.570639811427</v>
          </cell>
          <cell r="AE44">
            <v>850000</v>
          </cell>
          <cell r="AF44">
            <v>400000</v>
          </cell>
          <cell r="AG44">
            <v>400000</v>
          </cell>
          <cell r="AH44">
            <v>500000</v>
          </cell>
          <cell r="AI44">
            <v>425000</v>
          </cell>
          <cell r="AJ44">
            <v>37574.570639811427</v>
          </cell>
        </row>
        <row r="45">
          <cell r="A45">
            <v>1001653175</v>
          </cell>
          <cell r="B45" t="str">
            <v>פתחיה - מוסדות לחינוך מיוחד (ע"ר)</v>
          </cell>
          <cell r="C45">
            <v>16.2</v>
          </cell>
          <cell r="D45">
            <v>137.69999999999999</v>
          </cell>
          <cell r="E45">
            <v>2</v>
          </cell>
          <cell r="F45">
            <v>155.89999999999998</v>
          </cell>
          <cell r="G45">
            <v>64.8</v>
          </cell>
          <cell r="H45">
            <v>275.39999999999998</v>
          </cell>
          <cell r="I45">
            <v>2</v>
          </cell>
          <cell r="J45">
            <v>0.95548733691481202</v>
          </cell>
          <cell r="K45">
            <v>326.96776669224869</v>
          </cell>
          <cell r="L45">
            <v>0.1314101215995063</v>
          </cell>
          <cell r="M45">
            <v>4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399</v>
          </cell>
          <cell r="S45">
            <v>273</v>
          </cell>
          <cell r="T45">
            <v>1188</v>
          </cell>
          <cell r="U45">
            <v>1860</v>
          </cell>
          <cell r="V45">
            <v>1.1737829889815855E-2</v>
          </cell>
          <cell r="W45">
            <v>1</v>
          </cell>
          <cell r="X45">
            <v>1.1904761904761904E-2</v>
          </cell>
          <cell r="Y45">
            <v>2</v>
          </cell>
          <cell r="Z45">
            <v>2.0618556701030927E-2</v>
          </cell>
          <cell r="AA45">
            <v>3</v>
          </cell>
          <cell r="AB45">
            <v>3.8461538461538464E-2</v>
          </cell>
          <cell r="AC45">
            <v>4.9598834812969027E-2</v>
          </cell>
          <cell r="AD45">
            <v>143490.89559280252</v>
          </cell>
          <cell r="AE45">
            <v>15589999.999999998</v>
          </cell>
          <cell r="AF45">
            <v>2433562</v>
          </cell>
          <cell r="AG45">
            <v>2433562</v>
          </cell>
          <cell r="AH45">
            <v>2863014</v>
          </cell>
          <cell r="AI45">
            <v>2433561.9</v>
          </cell>
          <cell r="AJ45">
            <v>143490.89559280252</v>
          </cell>
          <cell r="AK45">
            <v>0</v>
          </cell>
        </row>
        <row r="46">
          <cell r="A46">
            <v>1001653206</v>
          </cell>
          <cell r="B46" t="str">
            <v>העמותה הישראלית לדיסאוטונומיה משפחת</v>
          </cell>
          <cell r="C46">
            <v>0.5</v>
          </cell>
          <cell r="D46">
            <v>1</v>
          </cell>
          <cell r="E46">
            <v>0.2</v>
          </cell>
          <cell r="F46">
            <v>1.7</v>
          </cell>
          <cell r="G46">
            <v>2</v>
          </cell>
          <cell r="H46">
            <v>2</v>
          </cell>
          <cell r="I46">
            <v>0.2</v>
          </cell>
          <cell r="J46">
            <v>1</v>
          </cell>
          <cell r="K46">
            <v>4.2</v>
          </cell>
          <cell r="L46">
            <v>1.6880028153888685E-3</v>
          </cell>
          <cell r="M46">
            <v>5</v>
          </cell>
          <cell r="N46">
            <v>0</v>
          </cell>
          <cell r="O46">
            <v>1</v>
          </cell>
          <cell r="P46">
            <v>1</v>
          </cell>
          <cell r="Q46">
            <v>1.3698630136986301E-2</v>
          </cell>
          <cell r="R46">
            <v>50</v>
          </cell>
          <cell r="S46">
            <v>360</v>
          </cell>
          <cell r="T46">
            <v>414</v>
          </cell>
          <cell r="U46">
            <v>824</v>
          </cell>
          <cell r="V46">
            <v>5.199984854413045E-3</v>
          </cell>
          <cell r="W46">
            <v>1</v>
          </cell>
          <cell r="X46">
            <v>1.1904761904761904E-2</v>
          </cell>
          <cell r="Y46">
            <v>2</v>
          </cell>
          <cell r="Z46">
            <v>2.0618556701030927E-2</v>
          </cell>
          <cell r="AA46">
            <v>3</v>
          </cell>
          <cell r="AB46">
            <v>3.8461538461538464E-2</v>
          </cell>
          <cell r="AC46">
            <v>9.7638164290414393E-3</v>
          </cell>
          <cell r="AD46">
            <v>28247.009614035105</v>
          </cell>
          <cell r="AE46">
            <v>170000</v>
          </cell>
          <cell r="AF46">
            <v>150000</v>
          </cell>
          <cell r="AG46">
            <v>150000</v>
          </cell>
          <cell r="AH46">
            <v>200000</v>
          </cell>
          <cell r="AI46">
            <v>170000</v>
          </cell>
          <cell r="AJ46">
            <v>28247.009614035105</v>
          </cell>
        </row>
        <row r="47">
          <cell r="A47">
            <v>1001653207</v>
          </cell>
          <cell r="B47" t="str">
            <v>שלוה - האגודה הישראלית לטיפול באנשי</v>
          </cell>
          <cell r="C47">
            <v>56</v>
          </cell>
          <cell r="D47">
            <v>6.6</v>
          </cell>
          <cell r="E47">
            <v>6</v>
          </cell>
          <cell r="F47">
            <v>68.599999999999994</v>
          </cell>
          <cell r="G47">
            <v>224</v>
          </cell>
          <cell r="H47">
            <v>13.2</v>
          </cell>
          <cell r="I47">
            <v>6</v>
          </cell>
          <cell r="J47">
            <v>1</v>
          </cell>
          <cell r="K47">
            <v>243.2</v>
          </cell>
          <cell r="L47">
            <v>9.7743401119660178E-2</v>
          </cell>
          <cell r="M47">
            <v>300</v>
          </cell>
          <cell r="N47">
            <v>3</v>
          </cell>
          <cell r="O47">
            <v>1</v>
          </cell>
          <cell r="P47">
            <v>4</v>
          </cell>
          <cell r="Q47">
            <v>5.4794520547945202E-2</v>
          </cell>
          <cell r="R47">
            <v>400</v>
          </cell>
          <cell r="S47">
            <v>450</v>
          </cell>
          <cell r="T47">
            <v>2094</v>
          </cell>
          <cell r="U47">
            <v>2944</v>
          </cell>
          <cell r="V47">
            <v>1.8578586664310687E-2</v>
          </cell>
          <cell r="W47">
            <v>2</v>
          </cell>
          <cell r="X47">
            <v>2.3809523809523808E-2</v>
          </cell>
          <cell r="Y47">
            <v>3</v>
          </cell>
          <cell r="Z47">
            <v>3.0927835051546393E-2</v>
          </cell>
          <cell r="AA47">
            <v>3</v>
          </cell>
          <cell r="AB47">
            <v>3.8461538461538464E-2</v>
          </cell>
          <cell r="AC47">
            <v>4.9078475702884858E-2</v>
          </cell>
          <cell r="AD47">
            <v>141985.48130197471</v>
          </cell>
          <cell r="AE47">
            <v>6859999.9999999991</v>
          </cell>
          <cell r="AF47">
            <v>100000</v>
          </cell>
          <cell r="AG47">
            <v>100000</v>
          </cell>
          <cell r="AH47">
            <v>1570000</v>
          </cell>
          <cell r="AI47">
            <v>1334500</v>
          </cell>
          <cell r="AJ47">
            <v>100000</v>
          </cell>
        </row>
        <row r="48">
          <cell r="A48">
            <v>1001653226</v>
          </cell>
          <cell r="B48" t="str">
            <v>תקוה לפרקינסון (ע''ר)</v>
          </cell>
          <cell r="C48">
            <v>0.2</v>
          </cell>
          <cell r="D48">
            <v>0.5</v>
          </cell>
          <cell r="E48">
            <v>0.5</v>
          </cell>
          <cell r="F48">
            <v>1.2</v>
          </cell>
          <cell r="G48">
            <v>0.8</v>
          </cell>
          <cell r="H48">
            <v>1</v>
          </cell>
          <cell r="I48">
            <v>0.5</v>
          </cell>
          <cell r="J48">
            <v>1</v>
          </cell>
          <cell r="K48">
            <v>2.2999999999999998</v>
          </cell>
          <cell r="L48">
            <v>9.2438249414152302E-4</v>
          </cell>
          <cell r="M48">
            <v>6</v>
          </cell>
          <cell r="N48">
            <v>0</v>
          </cell>
          <cell r="O48">
            <v>1</v>
          </cell>
          <cell r="P48">
            <v>1</v>
          </cell>
          <cell r="Q48">
            <v>1.3698630136986301E-2</v>
          </cell>
          <cell r="R48">
            <v>84</v>
          </cell>
          <cell r="S48">
            <v>3960</v>
          </cell>
          <cell r="T48">
            <v>810</v>
          </cell>
          <cell r="U48">
            <v>4854</v>
          </cell>
          <cell r="V48">
            <v>3.0631949615680731E-2</v>
          </cell>
          <cell r="W48">
            <v>2</v>
          </cell>
          <cell r="X48">
            <v>2.3809523809523808E-2</v>
          </cell>
          <cell r="Y48">
            <v>1</v>
          </cell>
          <cell r="Z48">
            <v>1.0309278350515464E-2</v>
          </cell>
          <cell r="AA48">
            <v>3</v>
          </cell>
          <cell r="AB48">
            <v>3.8461538461538464E-2</v>
          </cell>
          <cell r="AC48">
            <v>1.9110930272061344E-2</v>
          </cell>
          <cell r="AD48">
            <v>55288.486326147438</v>
          </cell>
          <cell r="AE48">
            <v>120000</v>
          </cell>
          <cell r="AF48">
            <v>250000</v>
          </cell>
          <cell r="AG48">
            <v>120000</v>
          </cell>
          <cell r="AH48">
            <v>400000</v>
          </cell>
          <cell r="AI48">
            <v>340000</v>
          </cell>
          <cell r="AJ48">
            <v>55288.486326147438</v>
          </cell>
        </row>
        <row r="49">
          <cell r="A49">
            <v>1001653365</v>
          </cell>
          <cell r="B49" t="str">
            <v>חזון דב - העמותה לשיקום ותמיכה באנש</v>
          </cell>
          <cell r="C49">
            <v>2</v>
          </cell>
          <cell r="D49">
            <v>2</v>
          </cell>
          <cell r="E49">
            <v>15</v>
          </cell>
          <cell r="F49">
            <v>19</v>
          </cell>
          <cell r="G49">
            <v>8</v>
          </cell>
          <cell r="H49">
            <v>4</v>
          </cell>
          <cell r="I49">
            <v>15</v>
          </cell>
          <cell r="J49">
            <v>1</v>
          </cell>
          <cell r="K49">
            <v>27</v>
          </cell>
          <cell r="L49">
            <v>1.085144667035701E-2</v>
          </cell>
          <cell r="M49">
            <v>50</v>
          </cell>
          <cell r="N49">
            <v>1</v>
          </cell>
          <cell r="O49">
            <v>1</v>
          </cell>
          <cell r="P49">
            <v>2</v>
          </cell>
          <cell r="Q49">
            <v>2.7397260273972601E-2</v>
          </cell>
          <cell r="R49">
            <v>60</v>
          </cell>
          <cell r="S49">
            <v>72</v>
          </cell>
          <cell r="T49">
            <v>633</v>
          </cell>
          <cell r="U49">
            <v>765</v>
          </cell>
          <cell r="V49">
            <v>4.8276558417791014E-3</v>
          </cell>
          <cell r="W49">
            <v>1</v>
          </cell>
          <cell r="X49">
            <v>1.1904761904761904E-2</v>
          </cell>
          <cell r="Y49">
            <v>3</v>
          </cell>
          <cell r="Z49">
            <v>3.0927835051546393E-2</v>
          </cell>
          <cell r="AA49">
            <v>0</v>
          </cell>
          <cell r="AB49">
            <v>0</v>
          </cell>
          <cell r="AC49">
            <v>1.0421707516180557E-2</v>
          </cell>
          <cell r="AD49">
            <v>30150.307980863483</v>
          </cell>
          <cell r="AE49">
            <v>1900000</v>
          </cell>
          <cell r="AF49">
            <v>360000</v>
          </cell>
          <cell r="AG49">
            <v>360000</v>
          </cell>
          <cell r="AH49">
            <v>400000</v>
          </cell>
          <cell r="AI49">
            <v>340000</v>
          </cell>
          <cell r="AJ49">
            <v>30150.307980863483</v>
          </cell>
        </row>
        <row r="50">
          <cell r="A50">
            <v>1001653366</v>
          </cell>
          <cell r="B50" t="str">
            <v>שערים לחיים (ע"ר)</v>
          </cell>
          <cell r="C50">
            <v>1</v>
          </cell>
          <cell r="D50">
            <v>1.5</v>
          </cell>
          <cell r="E50">
            <v>2.5</v>
          </cell>
          <cell r="F50">
            <v>5</v>
          </cell>
          <cell r="G50">
            <v>4</v>
          </cell>
          <cell r="H50">
            <v>3</v>
          </cell>
          <cell r="I50">
            <v>2.5</v>
          </cell>
          <cell r="J50">
            <v>1</v>
          </cell>
          <cell r="K50">
            <v>9.5</v>
          </cell>
          <cell r="L50">
            <v>3.8181016062367261E-3</v>
          </cell>
          <cell r="M50">
            <v>52</v>
          </cell>
          <cell r="N50">
            <v>1</v>
          </cell>
          <cell r="O50">
            <v>0</v>
          </cell>
          <cell r="P50">
            <v>1</v>
          </cell>
          <cell r="Q50">
            <v>1.3698630136986301E-2</v>
          </cell>
          <cell r="R50">
            <v>25</v>
          </cell>
          <cell r="S50">
            <v>150</v>
          </cell>
          <cell r="T50">
            <v>1395</v>
          </cell>
          <cell r="U50">
            <v>1570</v>
          </cell>
          <cell r="V50">
            <v>9.9077381328015555E-3</v>
          </cell>
          <cell r="W50">
            <v>1</v>
          </cell>
          <cell r="X50">
            <v>1.1904761904761904E-2</v>
          </cell>
          <cell r="Y50">
            <v>2</v>
          </cell>
          <cell r="Z50">
            <v>2.0618556701030927E-2</v>
          </cell>
          <cell r="AA50">
            <v>0</v>
          </cell>
          <cell r="AB50">
            <v>0</v>
          </cell>
          <cell r="AC50">
            <v>8.2044058675779293E-3</v>
          </cell>
          <cell r="AD50">
            <v>23735.588752939286</v>
          </cell>
          <cell r="AE50">
            <v>500000</v>
          </cell>
          <cell r="AF50">
            <v>180000</v>
          </cell>
          <cell r="AG50">
            <v>180000</v>
          </cell>
          <cell r="AH50">
            <v>200000</v>
          </cell>
          <cell r="AI50">
            <v>170000</v>
          </cell>
          <cell r="AJ50">
            <v>23735.588752939286</v>
          </cell>
          <cell r="AK50">
            <v>0</v>
          </cell>
        </row>
        <row r="51">
          <cell r="A51">
            <v>1001653626</v>
          </cell>
          <cell r="B51" t="str">
            <v>מגן - מרכז גוף ונפש (ע"ר)</v>
          </cell>
          <cell r="C51">
            <v>0.7</v>
          </cell>
          <cell r="D51">
            <v>1.25</v>
          </cell>
          <cell r="E51">
            <v>0.24</v>
          </cell>
          <cell r="F51">
            <v>2.19</v>
          </cell>
          <cell r="G51">
            <v>2.8</v>
          </cell>
          <cell r="H51">
            <v>2.5</v>
          </cell>
          <cell r="I51">
            <v>0.24</v>
          </cell>
          <cell r="J51">
            <v>1</v>
          </cell>
          <cell r="K51">
            <v>5.54</v>
          </cell>
          <cell r="L51">
            <v>2.2265560945843644E-3</v>
          </cell>
          <cell r="M51">
            <v>10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60</v>
          </cell>
          <cell r="S51">
            <v>45</v>
          </cell>
          <cell r="T51">
            <v>0</v>
          </cell>
          <cell r="U51">
            <v>105</v>
          </cell>
          <cell r="V51">
            <v>6.6261942926379826E-4</v>
          </cell>
          <cell r="W51">
            <v>1</v>
          </cell>
          <cell r="X51">
            <v>1.1904761904761904E-2</v>
          </cell>
          <cell r="Y51">
            <v>2</v>
          </cell>
          <cell r="Z51">
            <v>2.0618556701030927E-2</v>
          </cell>
          <cell r="AA51">
            <v>0</v>
          </cell>
          <cell r="AB51">
            <v>0</v>
          </cell>
          <cell r="AC51">
            <v>3.1212876541453754E-3</v>
          </cell>
          <cell r="AD51">
            <v>9029.9774699337813</v>
          </cell>
          <cell r="AE51">
            <v>219000</v>
          </cell>
          <cell r="AF51">
            <v>670000</v>
          </cell>
          <cell r="AG51">
            <v>219000</v>
          </cell>
          <cell r="AH51">
            <v>790000</v>
          </cell>
          <cell r="AI51">
            <v>671500</v>
          </cell>
          <cell r="AJ51">
            <v>9029.9774699337813</v>
          </cell>
          <cell r="AK51">
            <v>37</v>
          </cell>
        </row>
        <row r="52">
          <cell r="A52">
            <v>1001653690</v>
          </cell>
          <cell r="B52" t="str">
            <v>עמותת סאנרייז ישראל (ע"ר)</v>
          </cell>
          <cell r="C52">
            <v>0</v>
          </cell>
          <cell r="D52">
            <v>0</v>
          </cell>
          <cell r="E52">
            <v>13.9</v>
          </cell>
          <cell r="F52">
            <v>13.9</v>
          </cell>
          <cell r="G52">
            <v>0</v>
          </cell>
          <cell r="H52">
            <v>0</v>
          </cell>
          <cell r="I52">
            <v>13.9</v>
          </cell>
          <cell r="J52">
            <v>0.11059907834101383</v>
          </cell>
          <cell r="K52">
            <v>1.5373271889400923</v>
          </cell>
          <cell r="L52">
            <v>6.1786014835826916E-4</v>
          </cell>
          <cell r="M52">
            <v>8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210</v>
          </cell>
          <cell r="U52">
            <v>210</v>
          </cell>
          <cell r="V52">
            <v>1.3252388585275965E-3</v>
          </cell>
          <cell r="W52">
            <v>1</v>
          </cell>
          <cell r="X52">
            <v>1.1904761904761904E-2</v>
          </cell>
          <cell r="Y52">
            <v>3</v>
          </cell>
          <cell r="Z52">
            <v>3.0927835051546393E-2</v>
          </cell>
          <cell r="AA52">
            <v>0</v>
          </cell>
          <cell r="AB52">
            <v>0</v>
          </cell>
          <cell r="AC52">
            <v>3.3860595880456498E-3</v>
          </cell>
          <cell r="AD52">
            <v>9795.970503166378</v>
          </cell>
          <cell r="AE52">
            <v>1390000</v>
          </cell>
          <cell r="AF52">
            <v>314912</v>
          </cell>
          <cell r="AG52">
            <v>314912</v>
          </cell>
          <cell r="AH52">
            <v>4063281</v>
          </cell>
          <cell r="AI52">
            <v>3453788.85</v>
          </cell>
          <cell r="AJ52">
            <v>9795.970503166378</v>
          </cell>
        </row>
        <row r="53">
          <cell r="A53">
            <v>1001653735</v>
          </cell>
          <cell r="B53" t="str">
            <v>צהר לטהר</v>
          </cell>
          <cell r="C53">
            <v>2.25</v>
          </cell>
          <cell r="D53">
            <v>6.5</v>
          </cell>
          <cell r="E53">
            <v>26</v>
          </cell>
          <cell r="F53">
            <v>34.75</v>
          </cell>
          <cell r="G53">
            <v>9</v>
          </cell>
          <cell r="H53">
            <v>13</v>
          </cell>
          <cell r="I53">
            <v>26</v>
          </cell>
          <cell r="J53">
            <v>1</v>
          </cell>
          <cell r="K53">
            <v>48</v>
          </cell>
          <cell r="L53">
            <v>1.9291460747301353E-2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160</v>
          </cell>
          <cell r="S53">
            <v>225</v>
          </cell>
          <cell r="T53">
            <v>1842</v>
          </cell>
          <cell r="U53">
            <v>2227</v>
          </cell>
          <cell r="V53">
            <v>1.4053842561623607E-2</v>
          </cell>
          <cell r="W53">
            <v>1</v>
          </cell>
          <cell r="X53">
            <v>1.1904761904761904E-2</v>
          </cell>
          <cell r="Y53">
            <v>3</v>
          </cell>
          <cell r="Z53">
            <v>3.0927835051546393E-2</v>
          </cell>
          <cell r="AA53">
            <v>0</v>
          </cell>
          <cell r="AB53">
            <v>0</v>
          </cell>
          <cell r="AC53">
            <v>1.3443151063812176E-2</v>
          </cell>
          <cell r="AD53">
            <v>38891.433498582133</v>
          </cell>
          <cell r="AE53">
            <v>3475000</v>
          </cell>
          <cell r="AF53">
            <v>127500</v>
          </cell>
          <cell r="AG53">
            <v>127500</v>
          </cell>
          <cell r="AH53">
            <v>150000</v>
          </cell>
          <cell r="AI53">
            <v>127500</v>
          </cell>
          <cell r="AJ53">
            <v>38891.433498582133</v>
          </cell>
        </row>
        <row r="54">
          <cell r="A54">
            <v>1001653738</v>
          </cell>
          <cell r="B54" t="str">
            <v>שמעיה גליל עליון (ע"ר)</v>
          </cell>
          <cell r="C54">
            <v>0</v>
          </cell>
          <cell r="D54">
            <v>1.3</v>
          </cell>
          <cell r="E54">
            <v>0.6</v>
          </cell>
          <cell r="F54">
            <v>1.9</v>
          </cell>
          <cell r="G54">
            <v>0</v>
          </cell>
          <cell r="H54">
            <v>2.6</v>
          </cell>
          <cell r="I54">
            <v>0.6</v>
          </cell>
          <cell r="J54">
            <v>0.44117647058823528</v>
          </cell>
          <cell r="K54">
            <v>1.411764705882353</v>
          </cell>
          <cell r="L54">
            <v>5.6739590433239277E-4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160</v>
          </cell>
          <cell r="S54">
            <v>0</v>
          </cell>
          <cell r="T54">
            <v>309</v>
          </cell>
          <cell r="U54">
            <v>469</v>
          </cell>
          <cell r="V54">
            <v>2.9597001173782989E-3</v>
          </cell>
          <cell r="W54">
            <v>1</v>
          </cell>
          <cell r="X54">
            <v>1.1904761904761904E-2</v>
          </cell>
          <cell r="Y54">
            <v>1.5</v>
          </cell>
          <cell r="Z54">
            <v>1.5463917525773196E-2</v>
          </cell>
          <cell r="AA54">
            <v>0</v>
          </cell>
          <cell r="AB54">
            <v>0</v>
          </cell>
          <cell r="AC54">
            <v>3.1697858791469727E-3</v>
          </cell>
          <cell r="AD54">
            <v>9170.2842688007731</v>
          </cell>
          <cell r="AE54">
            <v>190000</v>
          </cell>
          <cell r="AF54">
            <v>50000</v>
          </cell>
          <cell r="AG54">
            <v>50000</v>
          </cell>
          <cell r="AH54">
            <v>60000</v>
          </cell>
          <cell r="AI54">
            <v>51000</v>
          </cell>
          <cell r="AJ54">
            <v>9170.2842688007731</v>
          </cell>
        </row>
        <row r="55">
          <cell r="A55" t="str">
            <v>1001629343</v>
          </cell>
          <cell r="B55" t="str">
            <v>המרכז להנצחת זכרו של אייל שמעוני ז"</v>
          </cell>
          <cell r="C55">
            <v>1</v>
          </cell>
          <cell r="D55">
            <v>25</v>
          </cell>
          <cell r="E55">
            <v>15</v>
          </cell>
          <cell r="F55">
            <v>41</v>
          </cell>
          <cell r="G55">
            <v>4</v>
          </cell>
          <cell r="H55">
            <v>50</v>
          </cell>
          <cell r="I55">
            <v>15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5</v>
          </cell>
          <cell r="S55">
            <v>0</v>
          </cell>
          <cell r="T55">
            <v>0</v>
          </cell>
          <cell r="U55">
            <v>5</v>
          </cell>
          <cell r="V55">
            <v>3.1553306155418963E-5</v>
          </cell>
          <cell r="W55">
            <v>2</v>
          </cell>
          <cell r="X55">
            <v>2.3809523809523808E-2</v>
          </cell>
          <cell r="Y55">
            <v>3</v>
          </cell>
          <cell r="Z55">
            <v>3.0927835051546393E-2</v>
          </cell>
          <cell r="AA55">
            <v>0</v>
          </cell>
          <cell r="AB55">
            <v>0</v>
          </cell>
          <cell r="AC55">
            <v>3.9383877906840978E-3</v>
          </cell>
          <cell r="AD55">
            <v>11393.872323977512</v>
          </cell>
          <cell r="AE55">
            <v>4100000</v>
          </cell>
          <cell r="AF55">
            <v>403750</v>
          </cell>
          <cell r="AG55">
            <v>403750</v>
          </cell>
          <cell r="AH55">
            <v>475000</v>
          </cell>
          <cell r="AI55">
            <v>403750</v>
          </cell>
          <cell r="AJ55">
            <v>11393.872323977512</v>
          </cell>
        </row>
        <row r="58">
          <cell r="AJ58">
            <v>200000</v>
          </cell>
        </row>
      </sheetData>
      <sheetData sheetId="1" refreshError="1"/>
      <sheetData sheetId="2" refreshError="1"/>
      <sheetData sheetId="3">
        <row r="2">
          <cell r="B2" t="str">
            <v xml:space="preserve"> נספח ד יחודיות ונחיצות מוגבלויות 2023</v>
          </cell>
        </row>
        <row r="4">
          <cell r="B4" t="str">
            <v>שם עמותה</v>
          </cell>
          <cell r="C4" t="str">
            <v>יחודיות ונחיצות</v>
          </cell>
          <cell r="D4" t="str">
            <v>הסברים</v>
          </cell>
        </row>
        <row r="5">
          <cell r="B5" t="str">
            <v>אהבת חינ"מ לכולם (ע"ר)</v>
          </cell>
          <cell r="C5">
            <v>1</v>
          </cell>
          <cell r="D5" t="str">
            <v>חדשה ואינה מוכרת לנו</v>
          </cell>
        </row>
        <row r="6">
          <cell r="B6" t="str">
            <v>בית לחינוך (ע''ר)</v>
          </cell>
          <cell r="C6">
            <v>1</v>
          </cell>
          <cell r="D6" t="str">
            <v>עמותה מקומית ללא השפעה ממשית</v>
          </cell>
        </row>
        <row r="7">
          <cell r="B7" t="str">
            <v>עמותת לסת - וחדק לתמיכה ושילוב אנשי</v>
          </cell>
          <cell r="C7">
            <v>1</v>
          </cell>
          <cell r="D7" t="str">
            <v>עמותה קטנה שאינה מוכרת וללא השפעה</v>
          </cell>
        </row>
        <row r="8">
          <cell r="B8" t="str">
            <v>שותף - לקידום ולשילוב ילדים עם צרכי</v>
          </cell>
          <cell r="C8">
            <v>3</v>
          </cell>
          <cell r="D8" t="str">
            <v>מרכז מאוד ייחודי מסוגו בארץ</v>
          </cell>
        </row>
        <row r="9">
          <cell r="B9" t="str">
            <v>חינוך ועתיד (ע"ר)</v>
          </cell>
          <cell r="C9">
            <v>1</v>
          </cell>
          <cell r="D9" t="str">
            <v>לא מוכרת ואין בה טיפולים מיוחדים</v>
          </cell>
        </row>
        <row r="10">
          <cell r="B10" t="str">
            <v>שמחת הלב- איגוד הליצנים הרפואים - ט</v>
          </cell>
          <cell r="C10">
            <v>1</v>
          </cell>
          <cell r="D10" t="str">
            <v>פעילות בבתי חולים ולאו דווקא לאוכלוסיית שיקום</v>
          </cell>
        </row>
        <row r="11">
          <cell r="B11" t="str">
            <v>קשר-הבית של המשפחות המיוחדות</v>
          </cell>
          <cell r="C11">
            <v>3</v>
          </cell>
          <cell r="D11" t="str">
            <v>עמותת סינגור משפיעה מאוד</v>
          </cell>
        </row>
        <row r="12">
          <cell r="B12" t="str">
            <v>לטם - טבע נגיש לכולם (ע"ר)</v>
          </cell>
          <cell r="C12">
            <v>2</v>
          </cell>
          <cell r="D12" t="str">
            <v>ייחודי בעניין הסיוע לעולים דוברי אנגלית</v>
          </cell>
        </row>
        <row r="13">
          <cell r="B13" t="str">
            <v>סבא ג'ק - מרכז לטיפול חוויתי משולב</v>
          </cell>
          <cell r="C13">
            <v>2</v>
          </cell>
          <cell r="D13" t="str">
            <v>פרויקט של רכיבה טיפולים לילדים עם מוגבלות</v>
          </cell>
        </row>
        <row r="14">
          <cell r="B14" t="str">
            <v>אופק לילדינו (ע"ר)</v>
          </cell>
          <cell r="C14">
            <v>2</v>
          </cell>
          <cell r="D14" t="str">
            <v>מתמקדת במספר לא גדול של ילדים עוורים, גם מסנגרת</v>
          </cell>
        </row>
        <row r="15">
          <cell r="B15" t="str">
            <v>כפר נהר הירדן (ע"ר)</v>
          </cell>
          <cell r="C15">
            <v>3</v>
          </cell>
          <cell r="D15" t="str">
            <v>כפר מיוחד במינו משרת רבים</v>
          </cell>
        </row>
        <row r="16">
          <cell r="B16" t="str">
            <v>עלה - עמותה לקידום הסטודנטים העוורי</v>
          </cell>
          <cell r="C16">
            <v>3</v>
          </cell>
          <cell r="D16" t="str">
            <v>עמותה מרכזית לטיפול באנשים עוורים וליקויי ראייה, מעניקה שירות כוללני</v>
          </cell>
        </row>
        <row r="17">
          <cell r="B17" t="str">
            <v>המכון הלאומי לשיקום נוירופסיכולוגי</v>
          </cell>
          <cell r="C17">
            <v>1</v>
          </cell>
          <cell r="D17" t="str">
            <v>הילדים מקבלים שירות מלא מהמדינה</v>
          </cell>
        </row>
        <row r="18">
          <cell r="B18" t="str">
            <v>מגן הלב</v>
          </cell>
          <cell r="C18">
            <v>1</v>
          </cell>
          <cell r="D18" t="str">
            <v>עמותה שיש לה תקציבים מהמדינה</v>
          </cell>
        </row>
        <row r="19">
          <cell r="B19" t="str">
            <v>העמותה לרכיבה וכלבנות טיפולית (ע"ר)</v>
          </cell>
          <cell r="C19">
            <v>3</v>
          </cell>
          <cell r="D19" t="str">
            <v>גוף גדול, ארצי ועם פעילויות מאוד ייחודיות בקרב ציבור העיוורים</v>
          </cell>
        </row>
        <row r="20">
          <cell r="B20" t="str">
            <v>בית איזי שפירא - עמותת אבי</v>
          </cell>
          <cell r="C20">
            <v>3</v>
          </cell>
          <cell r="D20" t="str">
            <v>פעילות האירגון מאוד חשובה וקריטית להתפתחותם של פעוטות וילדים עם מוגבלויות. כמו כן האירגון נותן תמיכה, הדרכה וידע למשפחות ופועל למען שינוי עמדות</v>
          </cell>
        </row>
        <row r="21">
          <cell r="B21" t="str">
            <v>לב בנימין (ע"ר)</v>
          </cell>
          <cell r="C21">
            <v>3</v>
          </cell>
          <cell r="D21" t="str">
            <v>פעילות חשובה באיזור פריפריאלי</v>
          </cell>
        </row>
        <row r="22">
          <cell r="B22" t="str">
            <v>עמותת על - עמותה לקידום תוכניות ייח</v>
          </cell>
          <cell r="C22">
            <v>3</v>
          </cell>
          <cell r="D22" t="str">
            <v>מפעילים מרכז מידע מקיף לזכויות של אנשים עם מוגבלויות</v>
          </cell>
        </row>
        <row r="23">
          <cell r="B23" t="str">
            <v>האגודה הישראלית לטרשת נפוצה (ע"ר)</v>
          </cell>
          <cell r="C23">
            <v>1</v>
          </cell>
          <cell r="D23" t="str">
            <v>לא בתחום מינהל מוגבלוית</v>
          </cell>
        </row>
        <row r="24">
          <cell r="B24" t="str">
            <v>צעד קדימה - עמותה לחינוך ושיקום באמ</v>
          </cell>
          <cell r="C24">
            <v>2</v>
          </cell>
          <cell r="D24" t="str">
            <v>תוכנית דירות אימון לצעירים</v>
          </cell>
        </row>
        <row r="25">
          <cell r="B25" t="str">
            <v>בית הגלגלים (ע"ר)</v>
          </cell>
          <cell r="C25">
            <v>3</v>
          </cell>
          <cell r="D25" t="str">
            <v>עמותה מצטיינת בשירותים לכל המגזרים</v>
          </cell>
        </row>
        <row r="26">
          <cell r="B26" t="str">
            <v>מכון "מסילות" אשדוד (ע"ר)</v>
          </cell>
          <cell r="C26">
            <v>1</v>
          </cell>
          <cell r="D26" t="str">
            <v>מרכז למידה לילדים רק באיזור אשדוד ולא בליבת העשייה השיקומית</v>
          </cell>
        </row>
        <row r="27">
          <cell r="B27" t="str">
            <v>יעדים לצפון מיסודה של קרן רש"י (ע"ר</v>
          </cell>
          <cell r="C27">
            <v>3</v>
          </cell>
          <cell r="D27" t="str">
            <v>מגוון תוכניות מקוריות וחדשניות</v>
          </cell>
        </row>
        <row r="28">
          <cell r="B28" t="str">
            <v>לבב חברתי (ע"ר)</v>
          </cell>
          <cell r="C28">
            <v>1</v>
          </cell>
          <cell r="D28" t="str">
            <v>לא מוכרת לנו</v>
          </cell>
        </row>
        <row r="29">
          <cell r="B29" t="str">
            <v>אתגרים</v>
          </cell>
          <cell r="C29">
            <v>3</v>
          </cell>
          <cell r="D29" t="str">
            <v>פעילות ספורט אתגרית ייחודית לכל בעלי מוגבלויות</v>
          </cell>
        </row>
        <row r="30">
          <cell r="B30" t="str">
            <v>משעולים (ע"ר)</v>
          </cell>
          <cell r="C30">
            <v>1</v>
          </cell>
          <cell r="D30" t="str">
            <v>לא מוכרת ואין בה טיפולים מיוחדים</v>
          </cell>
        </row>
        <row r="31">
          <cell r="B31" t="str">
            <v>"הבית של רונית" - מרכז התפתחות חברת</v>
          </cell>
          <cell r="C31">
            <v>1</v>
          </cell>
          <cell r="D31" t="str">
            <v>לא מוכרת</v>
          </cell>
        </row>
        <row r="32">
          <cell r="B32" t="str">
            <v>אלמנארה - עמותה לקידום אנשים עם מוג</v>
          </cell>
          <cell r="C32">
            <v>2</v>
          </cell>
          <cell r="D32" t="str">
            <v>עמותה ייחודית למגזר הערבי</v>
          </cell>
        </row>
        <row r="33">
          <cell r="B33" t="str">
            <v>מוסדות תורה, חינוך וסיוע בית שמש (ע</v>
          </cell>
          <cell r="C33">
            <v>3</v>
          </cell>
          <cell r="D33" t="str">
            <v>גוף מקומי שירותים נוספים בקהילה</v>
          </cell>
        </row>
        <row r="34">
          <cell r="B34" t="str">
            <v>אגודת עזרה למרפא שע"י אברכי חסידי ב</v>
          </cell>
          <cell r="C34">
            <v>1</v>
          </cell>
          <cell r="D34" t="str">
            <v>סיוע לכל דורש, לא ממש במינהל מוגבלויות</v>
          </cell>
        </row>
        <row r="35">
          <cell r="B35" t="str">
            <v>קרן עזרה לזולת קרית גת (ע"ר)</v>
          </cell>
          <cell r="C35">
            <v>1</v>
          </cell>
          <cell r="D35" t="str">
            <v>עמותה מקומית קטונה שמקבלת תקציבים מהמדינה</v>
          </cell>
        </row>
        <row r="36">
          <cell r="B36" t="str">
            <v>מסגרת שמעיה (ע"ר)</v>
          </cell>
          <cell r="C36">
            <v>0</v>
          </cell>
          <cell r="D36" t="str">
            <v>טיפולים שאמורים להינתן ע"י קפות החולים</v>
          </cell>
        </row>
        <row r="37">
          <cell r="B37" t="str">
            <v>קו לחיים - תנועה חברתית לשיפור והצל</v>
          </cell>
          <cell r="C37">
            <v>3</v>
          </cell>
          <cell r="D37" t="str">
            <v>עמותה ארצית פעילות עניפה</v>
          </cell>
        </row>
        <row r="38">
          <cell r="B38" t="str">
            <v>ס.ו.ל.ם. - סיוע ועידוד לילדים מוגבל</v>
          </cell>
          <cell r="C38">
            <v>1</v>
          </cell>
          <cell r="D38" t="str">
            <v>מדובר בעיבוי של תוכניות שמתוקצבות ממשרד החינוך</v>
          </cell>
        </row>
        <row r="39">
          <cell r="B39" t="str">
            <v>עמותת ורטיגו למחול - ירושלים (ע"ר)</v>
          </cell>
          <cell r="C39">
            <v>3</v>
          </cell>
          <cell r="D39" t="str">
            <v>מיזם חדשני</v>
          </cell>
        </row>
        <row r="40">
          <cell r="B40" t="str">
            <v>שיח סוד- מרכז חינוכי שיקומי לבעלי צ</v>
          </cell>
          <cell r="C40">
            <v>1</v>
          </cell>
          <cell r="D40" t="str">
            <v>עמותה גדולה שמעניקה מגוון שירותים אך יש לה הכנסות רבות מהמדינה</v>
          </cell>
        </row>
        <row r="41">
          <cell r="B41" t="str">
            <v>בדרך אל- בית ספר בטב"ע (בדרך טבעית</v>
          </cell>
          <cell r="C41">
            <v>2</v>
          </cell>
          <cell r="D41" t="str">
            <v>פרויקט חשוב של כישורי חיים לילדים לקראת סיום הלימודים</v>
          </cell>
        </row>
        <row r="42">
          <cell r="B42" t="str">
            <v>האגודה למען העוור ולמניעת העוורון ח</v>
          </cell>
          <cell r="C42">
            <v>2</v>
          </cell>
          <cell r="D42" t="str">
            <v>מגוון גדול של שירותים לאנשי הצפון</v>
          </cell>
        </row>
        <row r="43">
          <cell r="B43" t="str">
            <v>שלובות (ע"ר)</v>
          </cell>
          <cell r="C43">
            <v>1</v>
          </cell>
          <cell r="D43" t="str">
            <v>חדשה ואינה מוכרת לנו</v>
          </cell>
        </row>
        <row r="44">
          <cell r="B44" t="str">
            <v>שמע קולנו - מרכז ארצי שיקום והדרכה</v>
          </cell>
          <cell r="C44">
            <v>1</v>
          </cell>
          <cell r="D44" t="str">
            <v>עמותה גדולה וארצית, אך יש לה הרבה הסכמים עם המדינה</v>
          </cell>
        </row>
        <row r="45">
          <cell r="B45" t="str">
            <v>פתחיה - מוסדות לחינוך מיוחד (ע"ר)</v>
          </cell>
          <cell r="C45">
            <v>1</v>
          </cell>
          <cell r="D45" t="str">
            <v>מקבלת תקציבים רבים מהמדינה</v>
          </cell>
        </row>
        <row r="46">
          <cell r="B46" t="str">
            <v>שער שוויון (ע"ר)</v>
          </cell>
          <cell r="C46">
            <v>1</v>
          </cell>
          <cell r="D46" t="str">
            <v>חדשה ואינה מוכרת לנו</v>
          </cell>
        </row>
        <row r="47">
          <cell r="B47" t="str">
            <v>העמותה הישראלית לדיסאוטונומיה משפחת</v>
          </cell>
          <cell r="C47">
            <v>1</v>
          </cell>
          <cell r="D47" t="str">
            <v>נראה שהמטופלים הם אלה שמקבלים כבר שירות</v>
          </cell>
        </row>
        <row r="48">
          <cell r="B48" t="str">
            <v>שלוה - האגודה הישראלית לטיפול באנשי</v>
          </cell>
          <cell r="C48">
            <v>2</v>
          </cell>
          <cell r="D48" t="str">
            <v>מיזמים מיוחדים שעליהם אינה מקבלת תקציבים</v>
          </cell>
        </row>
        <row r="49">
          <cell r="B49" t="str">
            <v>תקוה לפרקינסון (ע''ר)</v>
          </cell>
          <cell r="C49">
            <v>2</v>
          </cell>
          <cell r="D49" t="str">
            <v>טיפול במחלה שאינה קשורה ממש למינהל מוגבלויות</v>
          </cell>
        </row>
        <row r="50">
          <cell r="B50" t="str">
            <v>חזון דב - העמותה לשיקום ותמיכה באנש</v>
          </cell>
          <cell r="C50">
            <v>1</v>
          </cell>
          <cell r="D50" t="str">
            <v>מיזם חיחודי אך לגוף הסמכים עם המדינה</v>
          </cell>
        </row>
        <row r="51">
          <cell r="B51" t="str">
            <v>שערים לחיים (ע"ר)</v>
          </cell>
          <cell r="C51">
            <v>1</v>
          </cell>
          <cell r="D51" t="str">
            <v>עמותה חדשה ולא מוכרת</v>
          </cell>
        </row>
        <row r="52">
          <cell r="B52" t="str">
            <v>מגן - מרכז גוף ונפש (ע"ר)</v>
          </cell>
          <cell r="C52">
            <v>1</v>
          </cell>
          <cell r="D52" t="str">
            <v>עמותה קטנה ומקומית</v>
          </cell>
        </row>
        <row r="53">
          <cell r="B53" t="str">
            <v>עמותת סאנרייז ישראל (ע"ר)</v>
          </cell>
          <cell r="C53">
            <v>1</v>
          </cell>
          <cell r="D53" t="str">
            <v>עמותה חדשה ולא מוכרת</v>
          </cell>
        </row>
        <row r="54">
          <cell r="B54" t="str">
            <v>צהר לטהר</v>
          </cell>
          <cell r="C54">
            <v>1</v>
          </cell>
          <cell r="D54" t="str">
            <v>לעמותה תקציבים רבים מהמדינה</v>
          </cell>
        </row>
        <row r="55">
          <cell r="B55" t="str">
            <v>שמעיה גליל עליון (ע"ר)</v>
          </cell>
          <cell r="C55">
            <v>1</v>
          </cell>
          <cell r="D55" t="str">
            <v>עמותה מקומית מקבלת תקציבים כנותן שירותים</v>
          </cell>
        </row>
        <row r="56">
          <cell r="B56" t="str">
            <v>המרכז להנצחת זכרו של אייל שמעוני ז"</v>
          </cell>
          <cell r="C56">
            <v>2</v>
          </cell>
          <cell r="D56" t="str">
            <v>טיפולים ייחודיים לאנשים עם מוגבלויות באיזור עמק הירדן והגליל התחתון</v>
          </cell>
        </row>
      </sheetData>
      <sheetData sheetId="4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</row>
        <row r="2">
          <cell r="E2" t="str">
            <v>הסעיף במבחן התמיכה</v>
          </cell>
          <cell r="F2" t="str">
            <v>6. (א) (1)(א)(1)</v>
          </cell>
          <cell r="G2" t="str">
            <v>4. (א)(1)(א) (2)</v>
          </cell>
          <cell r="H2" t="str">
            <v>4. (א)(1)(א) (3)</v>
          </cell>
          <cell r="I2" t="str">
            <v xml:space="preserve">6. (א)(1)(ב) </v>
          </cell>
          <cell r="J2" t="str">
            <v xml:space="preserve">6. (א)(1)(ב) </v>
          </cell>
          <cell r="L2" t="str">
            <v xml:space="preserve">6. (א)(2) </v>
          </cell>
          <cell r="M2" t="str">
            <v>6. (א)(3) (א)</v>
          </cell>
          <cell r="N2" t="str">
            <v>6. (א)(3) (ב)</v>
          </cell>
          <cell r="P2" t="str">
            <v>6. (א)(3) (ג)</v>
          </cell>
          <cell r="Q2" t="str">
            <v>6. (א)(3) (ד) (1)</v>
          </cell>
          <cell r="S2" t="str">
            <v xml:space="preserve">6. (א)(7)  </v>
          </cell>
          <cell r="T2" t="str">
            <v xml:space="preserve">6. (א)(7)  </v>
          </cell>
          <cell r="U2" t="str">
            <v xml:space="preserve">6. (א)(7)  </v>
          </cell>
          <cell r="V2" t="str">
            <v xml:space="preserve">6. (א)(7)  </v>
          </cell>
          <cell r="X2" t="str">
            <v xml:space="preserve">6. (א)(7)(ד)  </v>
          </cell>
          <cell r="AA2" t="str">
            <v xml:space="preserve">6. (א)(8)  </v>
          </cell>
        </row>
        <row r="3">
          <cell r="A3" t="str">
            <v>מס' בקשה</v>
          </cell>
          <cell r="B3" t="str">
            <v>מס' עמותה</v>
          </cell>
          <cell r="C3" t="str">
            <v>שם עמותה</v>
          </cell>
          <cell r="D3" t="str">
            <v>מס עמותה מהקובץ</v>
          </cell>
          <cell r="E3" t="str">
            <v>סך היקפי ההעסקה במשרות של העובדים המועסקים במוסד ואשר העסקתם אינה ממומנת מתקציב מדינה או מקופת חולים  כולל עובדים מינהליים. עובדים שעתיים בחשבונית יש לתרגם להיקפי משרה</v>
          </cell>
          <cell r="F3" t="str">
            <v>היקף העסקת עו"סים במשרות חודשיות ואשר העסקתם אינה ממומנת מתקציב מדינה או מקופת חולים  עובדים שעתיים בחשבונית יש לתרגם להיקפי משרה</v>
          </cell>
          <cell r="G3" t="str">
            <v>היקף העסקת מטפלים מקצועיים (פסיכולוגיים, מורים, הדרכה שיקומית ומקצועות הבריאות) במשרות חודשיות ואשר העסקתם אינה ממומנת מתקציב מדינה או מקופת חולים  עובדים שעתיים בחשבונית יש לתרגם להיקפי משרה</v>
          </cell>
          <cell r="H3" t="str">
            <v>היקף העסקת מדריכים לשיקום תפקודי, חברתי וטיפולי שסיימו 12 שנות לימוד ועברו הדרכה של 36 שעות לפחות בידי המוסד ואשר העסקתם אינה ממומנת מתקציב מדינה או מקופת חולים</v>
          </cell>
          <cell r="I3" t="str">
            <v>מספר המטופלים כהגדרתם בסעיף 2 "אנשים עם מוגבלות" שהמוסד מספק להם שירותים טיפוליים מקצועיים לשיקומם או למניעת החמרה במצבם</v>
          </cell>
          <cell r="J3" t="str">
            <v xml:space="preserve">מספר המטופלים שאינם  "אנשים עם מוגבלות" שעובדים אלה מספקים להם להם שירותים </v>
          </cell>
          <cell r="K3" t="str">
            <v xml:space="preserve">אחוז מטופלים </v>
          </cell>
          <cell r="L3" t="str">
            <v>מס' המתנדבים במוסד בהיקף של 50 שעות בשנה לפחות (יש לצרף אישור רו"ח)</v>
          </cell>
          <cell r="M3" t="str">
            <v xml:space="preserve">כמה מטופלים עם מוגבלות ובני משפחותיהם מקבלים טיפול סוציאלי פרטני שבועי </v>
          </cell>
          <cell r="N3" t="str">
            <v>כמה מפגשים קבוצתיים התקיימו ל שירות סוציאלי קבוצתי  ?</v>
          </cell>
          <cell r="O3" t="str">
            <v>ניקוד עבור שירות סוציאלי קבוצתי</v>
          </cell>
          <cell r="P3" t="str">
            <v>האם מתקיימים פעילות פנאי שבועית, יש למלא את הטבלה "רשימת משתתפים פנאי שבועי"</v>
          </cell>
          <cell r="Q3" t="str">
            <v>האם מקיימים פעילות פנאי שמשכה לפחות 4 שעות ? יש למלא את הטבלה "בלתי שגרתית"</v>
          </cell>
          <cell r="R3" t="str">
            <v>ניקוד עבור פנאי</v>
          </cell>
          <cell r="S3" t="str">
            <v>סניפים במחוז תל אביב והמרכז של המשרד. אם המוסד פעיל במחוז זה נא לציין שמות הרשויות במחוז שבהן יש סניף של העמותה</v>
          </cell>
          <cell r="T3" t="str">
            <v>סניפים במחוז ירושלים של המשרד. אם המוסד פעיל במחוז זה נא לציין שמות הרשויות במחוז שבהן יש סניף של העמותה</v>
          </cell>
          <cell r="U3" t="str">
            <v>סניפים במחוז חיפה והצפון של המשרד. אם המוסד פעיל במחוז זה נא לציין שמות הרשויות במחוז שבהן יש סניף של העמותה</v>
          </cell>
          <cell r="V3" t="str">
            <v>סניפים במחוז דרום של המשרד. אם המוסד פעיל במחוז זה נא לציין שמות הרשויות במחוז שבהן יש סניף של העמותה</v>
          </cell>
          <cell r="W3" t="str">
            <v>ניקוד מקומי אזורי</v>
          </cell>
          <cell r="X3" t="str">
            <v>אם עיקר פעילות המוסד היא ברשות מקומית אחת או יותר הנמצאת במדרג 1 עד 5 למדרג הפריפריה לפי החלטת ממשלה- יש לציין את  שם הרשות בפריפריה</v>
          </cell>
          <cell r="Y3" t="str">
            <v>ניקוד פריפריה</v>
          </cell>
          <cell r="Z3" t="str">
            <v xml:space="preserve">מרחב גאגרפי </v>
          </cell>
          <cell r="AA3" t="str">
            <v xml:space="preserve">כמה עובדים בארגון הם אנשים עם מוגבלות? </v>
          </cell>
          <cell r="AB3" t="str">
            <v>אחוז עובדים עם מוגבלות</v>
          </cell>
          <cell r="AD3" t="str">
            <v>אחוז מתנדבים</v>
          </cell>
          <cell r="AE3" t="str">
            <v>ניקוד נוסף מתנדבים</v>
          </cell>
        </row>
        <row r="4">
          <cell r="A4">
            <v>1001593629</v>
          </cell>
          <cell r="B4">
            <v>580676369</v>
          </cell>
          <cell r="C4" t="str">
            <v>אהבת חינ"מ לכולם (ע"ר)</v>
          </cell>
          <cell r="D4">
            <v>580145746</v>
          </cell>
          <cell r="E4">
            <v>5</v>
          </cell>
          <cell r="F4">
            <v>3</v>
          </cell>
          <cell r="G4">
            <v>1</v>
          </cell>
          <cell r="H4">
            <v>2</v>
          </cell>
          <cell r="I4">
            <v>55</v>
          </cell>
          <cell r="J4">
            <v>10</v>
          </cell>
          <cell r="K4">
            <v>0.84615384615384615</v>
          </cell>
          <cell r="L4">
            <v>6</v>
          </cell>
          <cell r="M4">
            <v>16</v>
          </cell>
          <cell r="N4">
            <v>144</v>
          </cell>
          <cell r="O4">
            <v>432</v>
          </cell>
          <cell r="P4" t="str">
            <v>כן</v>
          </cell>
          <cell r="Q4" t="str">
            <v>כן</v>
          </cell>
          <cell r="R4">
            <v>325</v>
          </cell>
          <cell r="S4">
            <v>0</v>
          </cell>
          <cell r="T4">
            <v>0</v>
          </cell>
          <cell r="U4" t="str">
            <v>נהרייה</v>
          </cell>
          <cell r="V4">
            <v>0</v>
          </cell>
          <cell r="W4">
            <v>1</v>
          </cell>
          <cell r="X4">
            <v>0</v>
          </cell>
          <cell r="Y4">
            <v>1</v>
          </cell>
          <cell r="Z4">
            <v>1</v>
          </cell>
          <cell r="AA4">
            <v>0</v>
          </cell>
          <cell r="AB4">
            <v>0</v>
          </cell>
          <cell r="AC4">
            <v>0</v>
          </cell>
          <cell r="AD4">
            <v>1.2</v>
          </cell>
          <cell r="AE4">
            <v>1</v>
          </cell>
        </row>
        <row r="5">
          <cell r="A5">
            <v>1001593670</v>
          </cell>
          <cell r="B5">
            <v>580630556</v>
          </cell>
          <cell r="C5" t="str">
            <v>בית לחינוך (ע''ר)</v>
          </cell>
          <cell r="D5">
            <v>580504249</v>
          </cell>
          <cell r="E5">
            <v>9.3000000000000007</v>
          </cell>
          <cell r="F5">
            <v>0</v>
          </cell>
          <cell r="G5">
            <v>0.4</v>
          </cell>
          <cell r="H5">
            <v>7</v>
          </cell>
          <cell r="I5">
            <v>75</v>
          </cell>
          <cell r="J5">
            <v>0</v>
          </cell>
          <cell r="K5">
            <v>1</v>
          </cell>
          <cell r="L5">
            <v>70</v>
          </cell>
          <cell r="M5">
            <v>30</v>
          </cell>
          <cell r="N5">
            <v>25</v>
          </cell>
          <cell r="O5">
            <v>75</v>
          </cell>
          <cell r="P5" t="str">
            <v>כן</v>
          </cell>
          <cell r="Q5" t="str">
            <v>כן</v>
          </cell>
          <cell r="R5">
            <v>199</v>
          </cell>
          <cell r="S5">
            <v>0</v>
          </cell>
          <cell r="T5" t="str">
            <v>ביתר עלית</v>
          </cell>
          <cell r="U5">
            <v>0</v>
          </cell>
          <cell r="V5">
            <v>0</v>
          </cell>
          <cell r="W5">
            <v>1</v>
          </cell>
          <cell r="X5" t="str">
            <v>בית עילית</v>
          </cell>
          <cell r="Y5">
            <v>1.5</v>
          </cell>
          <cell r="Z5">
            <v>1.5</v>
          </cell>
          <cell r="AA5">
            <v>15</v>
          </cell>
          <cell r="AB5">
            <v>1.6129032258064515</v>
          </cell>
          <cell r="AC5">
            <v>3</v>
          </cell>
          <cell r="AD5">
            <v>7.5268817204301071</v>
          </cell>
          <cell r="AE5">
            <v>1</v>
          </cell>
        </row>
        <row r="6">
          <cell r="A6">
            <v>1001593676</v>
          </cell>
          <cell r="B6">
            <v>580582187</v>
          </cell>
          <cell r="C6" t="str">
            <v>עמותת לסת - וחדק לתמיכה ושילוב אנשי</v>
          </cell>
          <cell r="D6">
            <v>580000073</v>
          </cell>
          <cell r="E6">
            <v>8.5</v>
          </cell>
          <cell r="F6">
            <v>0</v>
          </cell>
          <cell r="G6">
            <v>5.0999999999999996</v>
          </cell>
          <cell r="H6">
            <v>3.4</v>
          </cell>
          <cell r="I6">
            <v>129</v>
          </cell>
          <cell r="J6">
            <v>0</v>
          </cell>
          <cell r="K6">
            <v>1</v>
          </cell>
          <cell r="L6">
            <v>74</v>
          </cell>
          <cell r="M6">
            <v>35</v>
          </cell>
          <cell r="N6">
            <v>7</v>
          </cell>
          <cell r="O6">
            <v>21</v>
          </cell>
          <cell r="P6" t="str">
            <v>כן</v>
          </cell>
          <cell r="Q6" t="str">
            <v>כן</v>
          </cell>
          <cell r="R6">
            <v>357</v>
          </cell>
          <cell r="S6" t="str">
            <v>כפר קאסם</v>
          </cell>
          <cell r="T6">
            <v>0</v>
          </cell>
          <cell r="U6">
            <v>0</v>
          </cell>
          <cell r="V6">
            <v>0</v>
          </cell>
          <cell r="W6">
            <v>1</v>
          </cell>
          <cell r="X6" t="str">
            <v>אין</v>
          </cell>
          <cell r="Y6">
            <v>1</v>
          </cell>
          <cell r="Z6">
            <v>1</v>
          </cell>
          <cell r="AA6">
            <v>0</v>
          </cell>
          <cell r="AB6">
            <v>0</v>
          </cell>
          <cell r="AC6">
            <v>0</v>
          </cell>
          <cell r="AD6">
            <v>8.7058823529411757</v>
          </cell>
          <cell r="AE6">
            <v>1</v>
          </cell>
        </row>
        <row r="7">
          <cell r="A7">
            <v>1001593968</v>
          </cell>
          <cell r="B7">
            <v>580504249</v>
          </cell>
          <cell r="C7" t="str">
            <v>שותף - לקידום ולשילוב ילדים עם צרכי</v>
          </cell>
          <cell r="D7">
            <v>580554533</v>
          </cell>
          <cell r="E7">
            <v>7</v>
          </cell>
          <cell r="F7">
            <v>1</v>
          </cell>
          <cell r="G7">
            <v>1</v>
          </cell>
          <cell r="H7">
            <v>50</v>
          </cell>
          <cell r="I7">
            <v>150</v>
          </cell>
          <cell r="J7">
            <v>25</v>
          </cell>
          <cell r="K7">
            <v>0.8571428571428571</v>
          </cell>
          <cell r="L7">
            <v>4</v>
          </cell>
          <cell r="M7">
            <v>0</v>
          </cell>
          <cell r="N7">
            <v>0</v>
          </cell>
          <cell r="O7">
            <v>0</v>
          </cell>
          <cell r="P7" t="str">
            <v>כן</v>
          </cell>
          <cell r="Q7" t="str">
            <v>כן</v>
          </cell>
          <cell r="R7">
            <v>196</v>
          </cell>
          <cell r="S7" t="str">
            <v>לא</v>
          </cell>
          <cell r="T7" t="str">
            <v>כן</v>
          </cell>
          <cell r="U7" t="str">
            <v>לא</v>
          </cell>
          <cell r="V7" t="str">
            <v>לא</v>
          </cell>
          <cell r="W7">
            <v>1</v>
          </cell>
          <cell r="X7" t="str">
            <v>ירושלים</v>
          </cell>
          <cell r="Y7">
            <v>1</v>
          </cell>
          <cell r="Z7">
            <v>1</v>
          </cell>
          <cell r="AA7">
            <v>0</v>
          </cell>
          <cell r="AB7">
            <v>0</v>
          </cell>
          <cell r="AC7">
            <v>0</v>
          </cell>
          <cell r="AD7">
            <v>0.5714285714285714</v>
          </cell>
          <cell r="AE7">
            <v>1</v>
          </cell>
        </row>
        <row r="8">
          <cell r="A8">
            <v>1001595221</v>
          </cell>
          <cell r="B8">
            <v>580554533</v>
          </cell>
          <cell r="C8" t="str">
            <v>חינוך ועתיד (ע"ר)</v>
          </cell>
          <cell r="D8">
            <v>580366912</v>
          </cell>
          <cell r="E8">
            <v>14</v>
          </cell>
          <cell r="F8">
            <v>0</v>
          </cell>
          <cell r="G8">
            <v>1</v>
          </cell>
          <cell r="H8">
            <v>13</v>
          </cell>
          <cell r="I8">
            <v>60</v>
          </cell>
          <cell r="J8">
            <v>0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 t="str">
            <v>לא</v>
          </cell>
          <cell r="Q8" t="str">
            <v>לא</v>
          </cell>
          <cell r="R8">
            <v>0</v>
          </cell>
          <cell r="S8">
            <v>0</v>
          </cell>
          <cell r="T8" t="str">
            <v>ביתר עילית</v>
          </cell>
          <cell r="U8">
            <v>0</v>
          </cell>
          <cell r="V8">
            <v>0</v>
          </cell>
          <cell r="W8">
            <v>1</v>
          </cell>
          <cell r="X8" t="str">
            <v>ביתר עילית</v>
          </cell>
          <cell r="Y8">
            <v>1.5</v>
          </cell>
          <cell r="Z8">
            <v>1.5</v>
          </cell>
          <cell r="AA8">
            <v>3</v>
          </cell>
          <cell r="AB8">
            <v>0.21428571428571427</v>
          </cell>
          <cell r="AC8">
            <v>3</v>
          </cell>
          <cell r="AD8">
            <v>0</v>
          </cell>
          <cell r="AE8">
            <v>0</v>
          </cell>
        </row>
        <row r="9">
          <cell r="A9">
            <v>1001595279</v>
          </cell>
          <cell r="B9">
            <v>580388585</v>
          </cell>
          <cell r="C9" t="str">
            <v>שמחת הלב- איגוד הליצנים הרפואים - ט</v>
          </cell>
          <cell r="D9">
            <v>580115319</v>
          </cell>
          <cell r="E9">
            <v>44</v>
          </cell>
          <cell r="F9">
            <v>0</v>
          </cell>
          <cell r="G9">
            <v>15</v>
          </cell>
          <cell r="H9">
            <v>38</v>
          </cell>
          <cell r="I9">
            <v>43200</v>
          </cell>
          <cell r="J9">
            <v>0</v>
          </cell>
          <cell r="K9">
            <v>1</v>
          </cell>
          <cell r="L9">
            <v>607</v>
          </cell>
          <cell r="M9">
            <v>0</v>
          </cell>
          <cell r="N9">
            <v>0</v>
          </cell>
          <cell r="O9">
            <v>0</v>
          </cell>
          <cell r="P9" t="str">
            <v>לא</v>
          </cell>
          <cell r="Q9" t="str">
            <v>כן</v>
          </cell>
          <cell r="R9">
            <v>12855</v>
          </cell>
          <cell r="S9" t="str">
            <v xml:space="preserve">ת"א, פתח תקוה,רמת גן, חולון, רשל"צ, רעננה, כפר סבא, בני ברק </v>
          </cell>
          <cell r="T9" t="str">
            <v>ירושלים,מודיעין, בית שמש</v>
          </cell>
          <cell r="U9" t="str">
            <v>נהריה, טבריה, חיפה, בנימינה, חדרה</v>
          </cell>
          <cell r="V9" t="str">
            <v>רחובות, גדרה, באר שבע, אילת, אשדוד, אשקלון, גן יבנה</v>
          </cell>
          <cell r="W9">
            <v>2</v>
          </cell>
          <cell r="X9" t="str">
            <v>אור עקיבא</v>
          </cell>
          <cell r="Y9">
            <v>1.5</v>
          </cell>
          <cell r="Z9">
            <v>3</v>
          </cell>
          <cell r="AA9">
            <v>4</v>
          </cell>
          <cell r="AB9">
            <v>9.0909090909090912E-2</v>
          </cell>
          <cell r="AC9">
            <v>3</v>
          </cell>
          <cell r="AD9">
            <v>0</v>
          </cell>
          <cell r="AE9">
            <v>0</v>
          </cell>
        </row>
        <row r="10">
          <cell r="A10">
            <v>1001596057</v>
          </cell>
          <cell r="B10">
            <v>580235125</v>
          </cell>
          <cell r="C10" t="str">
            <v>קשר-הבית של המשפחות המיוחדות ????-</v>
          </cell>
          <cell r="D10">
            <v>580176444</v>
          </cell>
          <cell r="E10">
            <v>15</v>
          </cell>
          <cell r="F10">
            <v>1</v>
          </cell>
          <cell r="G10">
            <v>2</v>
          </cell>
          <cell r="H10">
            <v>1</v>
          </cell>
          <cell r="I10">
            <v>1000</v>
          </cell>
          <cell r="J10">
            <v>0</v>
          </cell>
          <cell r="K10">
            <v>1</v>
          </cell>
          <cell r="L10">
            <v>135</v>
          </cell>
          <cell r="M10">
            <v>110</v>
          </cell>
          <cell r="N10">
            <v>120</v>
          </cell>
          <cell r="O10">
            <v>360</v>
          </cell>
          <cell r="P10" t="str">
            <v>לא</v>
          </cell>
          <cell r="Q10" t="str">
            <v>לא</v>
          </cell>
          <cell r="R10">
            <v>0</v>
          </cell>
          <cell r="S10">
            <v>0</v>
          </cell>
          <cell r="T10">
            <v>1</v>
          </cell>
          <cell r="U10">
            <v>0</v>
          </cell>
          <cell r="V10">
            <v>0</v>
          </cell>
          <cell r="W10">
            <v>2</v>
          </cell>
          <cell r="X10" t="str">
            <v>ירושלים</v>
          </cell>
          <cell r="Y10">
            <v>1</v>
          </cell>
          <cell r="Z10">
            <v>2</v>
          </cell>
          <cell r="AA10">
            <v>58</v>
          </cell>
          <cell r="AB10">
            <v>3.8666666666666667</v>
          </cell>
          <cell r="AC10">
            <v>3</v>
          </cell>
          <cell r="AD10">
            <v>9</v>
          </cell>
          <cell r="AE10">
            <v>1</v>
          </cell>
        </row>
        <row r="11">
          <cell r="A11">
            <v>1001598154</v>
          </cell>
          <cell r="B11">
            <v>580228161</v>
          </cell>
          <cell r="C11" t="str">
            <v>לטם - טבע נגיש לכולם (ע"ר)</v>
          </cell>
          <cell r="D11">
            <v>580582187</v>
          </cell>
          <cell r="E11">
            <v>25</v>
          </cell>
          <cell r="F11">
            <v>1.5</v>
          </cell>
          <cell r="G11">
            <v>1</v>
          </cell>
          <cell r="H11">
            <v>12</v>
          </cell>
          <cell r="I11">
            <v>29607</v>
          </cell>
          <cell r="J11">
            <v>0</v>
          </cell>
          <cell r="K11">
            <v>1</v>
          </cell>
          <cell r="L11">
            <v>10</v>
          </cell>
          <cell r="M11">
            <v>0</v>
          </cell>
          <cell r="N11">
            <v>0</v>
          </cell>
          <cell r="O11">
            <v>0</v>
          </cell>
          <cell r="P11" t="str">
            <v>כן</v>
          </cell>
          <cell r="Q11" t="str">
            <v>כן</v>
          </cell>
          <cell r="R11">
            <v>13208</v>
          </cell>
          <cell r="S11" t="str">
            <v>שוהם</v>
          </cell>
          <cell r="T11" t="str">
            <v>ירושלים</v>
          </cell>
          <cell r="U11" t="str">
            <v>מגידו</v>
          </cell>
          <cell r="V11" t="str">
            <v>באר שבע</v>
          </cell>
          <cell r="W11">
            <v>1</v>
          </cell>
          <cell r="X11" t="str">
            <v>כפר קאסם</v>
          </cell>
          <cell r="Y11">
            <v>1.5</v>
          </cell>
          <cell r="Z11">
            <v>1.5</v>
          </cell>
          <cell r="AA11">
            <v>4</v>
          </cell>
          <cell r="AB11">
            <v>0.16</v>
          </cell>
          <cell r="AC11">
            <v>3</v>
          </cell>
          <cell r="AD11">
            <v>0.4</v>
          </cell>
          <cell r="AE11">
            <v>0</v>
          </cell>
        </row>
        <row r="12">
          <cell r="A12">
            <v>1001598157</v>
          </cell>
          <cell r="B12">
            <v>580366912</v>
          </cell>
          <cell r="C12" t="str">
            <v>סבא ג'ק - מרכז לטיפול חוויתי משולב</v>
          </cell>
          <cell r="D12">
            <v>580297406</v>
          </cell>
          <cell r="E12">
            <v>22</v>
          </cell>
          <cell r="F12">
            <v>1</v>
          </cell>
          <cell r="G12">
            <v>16</v>
          </cell>
          <cell r="H12">
            <v>16</v>
          </cell>
          <cell r="I12">
            <v>480</v>
          </cell>
          <cell r="J12">
            <v>80</v>
          </cell>
          <cell r="K12">
            <v>0.8571428571428571</v>
          </cell>
          <cell r="L12">
            <v>40</v>
          </cell>
          <cell r="M12">
            <v>5</v>
          </cell>
          <cell r="N12">
            <v>14</v>
          </cell>
          <cell r="O12">
            <v>42</v>
          </cell>
          <cell r="P12">
            <v>0</v>
          </cell>
          <cell r="Q12">
            <v>0</v>
          </cell>
          <cell r="R12">
            <v>0</v>
          </cell>
          <cell r="S12" t="str">
            <v>-</v>
          </cell>
          <cell r="T12">
            <v>1</v>
          </cell>
          <cell r="U12" t="str">
            <v>-</v>
          </cell>
          <cell r="V12" t="str">
            <v>-</v>
          </cell>
          <cell r="W12">
            <v>1</v>
          </cell>
          <cell r="X12" t="str">
            <v>לא</v>
          </cell>
          <cell r="Y12">
            <v>1</v>
          </cell>
          <cell r="Z12">
            <v>1</v>
          </cell>
          <cell r="AA12">
            <v>2</v>
          </cell>
          <cell r="AB12">
            <v>9.0909090909090912E-2</v>
          </cell>
          <cell r="AC12">
            <v>3</v>
          </cell>
          <cell r="AD12">
            <v>1.8181818181818181</v>
          </cell>
          <cell r="AE12">
            <v>1</v>
          </cell>
        </row>
        <row r="13">
          <cell r="A13">
            <v>1001618503</v>
          </cell>
          <cell r="B13">
            <v>580297406</v>
          </cell>
          <cell r="C13" t="str">
            <v>אופק לילדינו (ע"ר)</v>
          </cell>
          <cell r="D13">
            <v>580641959</v>
          </cell>
          <cell r="E13">
            <v>5</v>
          </cell>
          <cell r="F13">
            <v>2.1</v>
          </cell>
          <cell r="G13">
            <v>1.5</v>
          </cell>
          <cell r="H13">
            <v>0</v>
          </cell>
          <cell r="I13">
            <v>3000</v>
          </cell>
          <cell r="J13">
            <v>0</v>
          </cell>
          <cell r="K13">
            <v>1</v>
          </cell>
          <cell r="L13">
            <v>67</v>
          </cell>
          <cell r="M13">
            <v>35</v>
          </cell>
          <cell r="N13">
            <v>40</v>
          </cell>
          <cell r="O13">
            <v>120</v>
          </cell>
          <cell r="P13" t="str">
            <v>כן</v>
          </cell>
          <cell r="Q13" t="str">
            <v>כן</v>
          </cell>
          <cell r="R13">
            <v>0</v>
          </cell>
          <cell r="S13" t="str">
            <v>לא</v>
          </cell>
          <cell r="T13" t="str">
            <v>לא</v>
          </cell>
          <cell r="U13" t="str">
            <v>לא</v>
          </cell>
          <cell r="V13" t="str">
            <v>לא</v>
          </cell>
          <cell r="W13">
            <v>1</v>
          </cell>
          <cell r="X13" t="str">
            <v>לא רלוונטי</v>
          </cell>
          <cell r="Y13">
            <v>1</v>
          </cell>
          <cell r="Z13">
            <v>1</v>
          </cell>
          <cell r="AA13">
            <v>4</v>
          </cell>
          <cell r="AB13">
            <v>0.8</v>
          </cell>
          <cell r="AC13">
            <v>3</v>
          </cell>
          <cell r="AD13">
            <v>13.4</v>
          </cell>
          <cell r="AE13">
            <v>1</v>
          </cell>
        </row>
        <row r="14">
          <cell r="A14">
            <v>1001618504</v>
          </cell>
          <cell r="B14">
            <v>580355584</v>
          </cell>
          <cell r="C14" t="str">
            <v>כפר נהר הירדן (ע"ר)</v>
          </cell>
          <cell r="D14">
            <v>580266971</v>
          </cell>
          <cell r="E14">
            <v>44</v>
          </cell>
          <cell r="F14">
            <v>1</v>
          </cell>
          <cell r="G14">
            <v>25</v>
          </cell>
          <cell r="H14">
            <v>28</v>
          </cell>
          <cell r="I14">
            <v>6541</v>
          </cell>
          <cell r="J14">
            <v>624</v>
          </cell>
          <cell r="K14">
            <v>0.91290997906489879</v>
          </cell>
          <cell r="L14">
            <v>819</v>
          </cell>
          <cell r="M14">
            <v>0</v>
          </cell>
          <cell r="N14">
            <v>72</v>
          </cell>
          <cell r="O14">
            <v>216</v>
          </cell>
          <cell r="P14" t="str">
            <v>כן</v>
          </cell>
          <cell r="Q14" t="str">
            <v>כן</v>
          </cell>
          <cell r="R14">
            <v>0</v>
          </cell>
          <cell r="S14" t="str">
            <v xml:space="preserve">פתח תקווה </v>
          </cell>
          <cell r="T14" t="str">
            <v>לא</v>
          </cell>
          <cell r="U14" t="str">
            <v xml:space="preserve">גליל תחתון,חיפה </v>
          </cell>
          <cell r="V14" t="str">
            <v>לא</v>
          </cell>
          <cell r="W14">
            <v>2</v>
          </cell>
          <cell r="X14" t="str">
            <v>כן</v>
          </cell>
          <cell r="Y14">
            <v>1.5</v>
          </cell>
          <cell r="Z14">
            <v>3</v>
          </cell>
          <cell r="AA14">
            <v>0</v>
          </cell>
          <cell r="AB14">
            <v>0</v>
          </cell>
          <cell r="AC14">
            <v>0</v>
          </cell>
          <cell r="AD14">
            <v>18.613636363636363</v>
          </cell>
          <cell r="AE14">
            <v>1</v>
          </cell>
        </row>
        <row r="15">
          <cell r="A15">
            <v>1001618505</v>
          </cell>
          <cell r="B15">
            <v>580176444</v>
          </cell>
          <cell r="C15" t="str">
            <v>עלה - עמותה לקידום הסטודנטים העוורי</v>
          </cell>
          <cell r="D15">
            <v>580630556</v>
          </cell>
          <cell r="E15">
            <v>92</v>
          </cell>
          <cell r="F15">
            <v>4</v>
          </cell>
          <cell r="G15">
            <v>64</v>
          </cell>
          <cell r="H15">
            <v>92</v>
          </cell>
          <cell r="I15">
            <v>6480</v>
          </cell>
          <cell r="J15">
            <v>0</v>
          </cell>
          <cell r="K15">
            <v>1</v>
          </cell>
          <cell r="L15">
            <v>510</v>
          </cell>
          <cell r="M15">
            <v>4772</v>
          </cell>
          <cell r="N15">
            <v>30</v>
          </cell>
          <cell r="O15">
            <v>90</v>
          </cell>
          <cell r="P15" t="str">
            <v>כן</v>
          </cell>
          <cell r="Q15" t="str">
            <v>כן</v>
          </cell>
          <cell r="R15">
            <v>0</v>
          </cell>
          <cell r="S15" t="str">
            <v>תל אביב, רמת גן, פתח תקווה, חולון, נתניה, כפר סבא</v>
          </cell>
          <cell r="T15" t="str">
            <v>ירושלים, אשדוד</v>
          </cell>
          <cell r="U15" t="str">
            <v>חיפה, חדרה, נצרת, נהריה, טבריה, צפת</v>
          </cell>
          <cell r="V15" t="str">
            <v>באר שבע, רהט</v>
          </cell>
          <cell r="W15">
            <v>2</v>
          </cell>
          <cell r="X15" t="str">
            <v>באר שבע</v>
          </cell>
          <cell r="Y15">
            <v>1.5</v>
          </cell>
          <cell r="Z15">
            <v>3</v>
          </cell>
          <cell r="AA15">
            <v>2</v>
          </cell>
          <cell r="AB15">
            <v>2.1739130434782608E-2</v>
          </cell>
          <cell r="AC15">
            <v>3</v>
          </cell>
          <cell r="AD15">
            <v>5.5434782608695654</v>
          </cell>
          <cell r="AE15">
            <v>1</v>
          </cell>
        </row>
        <row r="16">
          <cell r="A16">
            <v>1001625711</v>
          </cell>
          <cell r="B16">
            <v>580077089</v>
          </cell>
          <cell r="C16" t="str">
            <v>המכון הלאומי לשיקום נוירופסיכולוגי</v>
          </cell>
          <cell r="D16">
            <v>580235125</v>
          </cell>
          <cell r="E16">
            <v>90.125</v>
          </cell>
          <cell r="F16">
            <v>3.54</v>
          </cell>
          <cell r="G16">
            <v>54.5</v>
          </cell>
          <cell r="H16">
            <v>23</v>
          </cell>
          <cell r="I16">
            <v>700</v>
          </cell>
          <cell r="J16">
            <v>100</v>
          </cell>
          <cell r="K16">
            <v>0.875</v>
          </cell>
          <cell r="L16">
            <v>3</v>
          </cell>
          <cell r="M16">
            <v>50</v>
          </cell>
          <cell r="N16">
            <v>200</v>
          </cell>
          <cell r="O16">
            <v>600</v>
          </cell>
          <cell r="P16" t="str">
            <v>לא</v>
          </cell>
          <cell r="Q16" t="str">
            <v>כן</v>
          </cell>
          <cell r="R16">
            <v>0</v>
          </cell>
          <cell r="S16" t="str">
            <v>עיריית תל אביב</v>
          </cell>
          <cell r="T16" t="str">
            <v>עיריית ירושלים</v>
          </cell>
          <cell r="U16" t="str">
            <v>עיריית חיפה, מועצה מקומית מגדל תפן</v>
          </cell>
          <cell r="V16" t="str">
            <v>אין</v>
          </cell>
          <cell r="W16">
            <v>2</v>
          </cell>
          <cell r="X16" t="str">
            <v>קרית גת, קרית מלאכי, אופקים, נתיבות, באר שבע, רהט, חורה, נשר, עכו, נהריה, רמלה, לוד, אור יהודה, שומרון, פרדס חנה, כרכור, צפת, בני שמעון</v>
          </cell>
          <cell r="Y16">
            <v>1.5</v>
          </cell>
          <cell r="Z16">
            <v>3</v>
          </cell>
          <cell r="AA16">
            <v>3</v>
          </cell>
          <cell r="AB16">
            <v>3.3287101248266296E-2</v>
          </cell>
          <cell r="AC16">
            <v>3</v>
          </cell>
          <cell r="AD16">
            <v>3.3287101248266296E-2</v>
          </cell>
          <cell r="AE16">
            <v>0</v>
          </cell>
        </row>
        <row r="17">
          <cell r="A17">
            <v>1001625713</v>
          </cell>
          <cell r="B17">
            <v>580263614</v>
          </cell>
          <cell r="C17" t="str">
            <v>מגן הלב</v>
          </cell>
          <cell r="D17">
            <v>580388585</v>
          </cell>
          <cell r="E17">
            <v>55</v>
          </cell>
          <cell r="F17">
            <v>4</v>
          </cell>
          <cell r="G17">
            <v>11</v>
          </cell>
          <cell r="H17">
            <v>28</v>
          </cell>
          <cell r="I17">
            <v>1200</v>
          </cell>
          <cell r="J17">
            <v>0</v>
          </cell>
          <cell r="K17">
            <v>1</v>
          </cell>
          <cell r="L17">
            <v>0</v>
          </cell>
          <cell r="M17">
            <v>520</v>
          </cell>
          <cell r="N17">
            <v>45</v>
          </cell>
          <cell r="O17">
            <v>135</v>
          </cell>
          <cell r="P17" t="str">
            <v>כן</v>
          </cell>
          <cell r="Q17" t="str">
            <v>כן</v>
          </cell>
          <cell r="R17">
            <v>423</v>
          </cell>
          <cell r="S17" t="str">
            <v>בני ברק, לוד, קרית עקרון, בני עייש, ראשון לציון</v>
          </cell>
          <cell r="T17" t="str">
            <v>בית שמש, אשדוד</v>
          </cell>
          <cell r="U17" t="str">
            <v>רכסים</v>
          </cell>
          <cell r="V17" t="str">
            <v>נתיבות, אופקים</v>
          </cell>
          <cell r="W17">
            <v>2</v>
          </cell>
          <cell r="X17" t="str">
            <v>נתיבות, אשדוד</v>
          </cell>
          <cell r="Y17">
            <v>1.5</v>
          </cell>
          <cell r="Z17">
            <v>3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1001625894</v>
          </cell>
          <cell r="B18">
            <v>580145746</v>
          </cell>
          <cell r="C18" t="str">
            <v>העמותה לרכיבה וכלבנות טיפולית (ע"ר)</v>
          </cell>
          <cell r="D18">
            <v>580012318</v>
          </cell>
          <cell r="E18">
            <v>23</v>
          </cell>
          <cell r="F18">
            <v>0.75</v>
          </cell>
          <cell r="G18">
            <v>0</v>
          </cell>
          <cell r="H18">
            <v>11</v>
          </cell>
          <cell r="I18">
            <v>350</v>
          </cell>
          <cell r="J18">
            <v>100</v>
          </cell>
          <cell r="K18">
            <v>0.77777777777777779</v>
          </cell>
          <cell r="L18">
            <v>60</v>
          </cell>
          <cell r="M18">
            <v>250</v>
          </cell>
          <cell r="N18">
            <v>210</v>
          </cell>
          <cell r="O18">
            <v>630</v>
          </cell>
          <cell r="P18" t="str">
            <v>לא</v>
          </cell>
          <cell r="Q18" t="str">
            <v>לא</v>
          </cell>
          <cell r="R18">
            <v>0</v>
          </cell>
          <cell r="S18" t="str">
            <v>כן</v>
          </cell>
          <cell r="T18" t="str">
            <v>לא</v>
          </cell>
          <cell r="U18" t="str">
            <v>לא</v>
          </cell>
          <cell r="V18" t="str">
            <v>לא</v>
          </cell>
          <cell r="W18">
            <v>2</v>
          </cell>
          <cell r="X18" t="str">
            <v xml:space="preserve">שדרות 
</v>
          </cell>
          <cell r="Y18">
            <v>1.5</v>
          </cell>
          <cell r="Z18">
            <v>3</v>
          </cell>
          <cell r="AA18">
            <v>0</v>
          </cell>
          <cell r="AB18">
            <v>0</v>
          </cell>
          <cell r="AC18">
            <v>0</v>
          </cell>
          <cell r="AD18">
            <v>2.6086956521739131</v>
          </cell>
          <cell r="AE18">
            <v>1</v>
          </cell>
        </row>
        <row r="19">
          <cell r="A19">
            <v>1001627525</v>
          </cell>
          <cell r="B19">
            <v>580071850</v>
          </cell>
          <cell r="C19" t="str">
            <v>בית איזי שפירא - עמותת אבי</v>
          </cell>
          <cell r="D19">
            <v>580333011</v>
          </cell>
          <cell r="E19">
            <v>104.91000000000003</v>
          </cell>
          <cell r="F19">
            <v>8.4599999999999991</v>
          </cell>
          <cell r="G19">
            <v>11</v>
          </cell>
          <cell r="H19">
            <v>9.6</v>
          </cell>
          <cell r="I19">
            <v>2357</v>
          </cell>
          <cell r="J19">
            <v>0</v>
          </cell>
          <cell r="K19">
            <v>1</v>
          </cell>
          <cell r="L19">
            <v>50</v>
          </cell>
          <cell r="M19">
            <v>158</v>
          </cell>
          <cell r="N19">
            <v>62</v>
          </cell>
          <cell r="O19">
            <v>186</v>
          </cell>
          <cell r="P19" t="str">
            <v>לא</v>
          </cell>
          <cell r="Q19" t="str">
            <v>לא</v>
          </cell>
          <cell r="R19">
            <v>0</v>
          </cell>
          <cell r="S19">
            <v>2</v>
          </cell>
          <cell r="T19">
            <v>0</v>
          </cell>
          <cell r="U19">
            <v>0</v>
          </cell>
          <cell r="V19">
            <v>0</v>
          </cell>
          <cell r="W19">
            <v>1</v>
          </cell>
          <cell r="X19" t="str">
            <v>מטה בנימין</v>
          </cell>
          <cell r="Y19">
            <v>1.5</v>
          </cell>
          <cell r="Z19">
            <v>1.5</v>
          </cell>
          <cell r="AB19">
            <v>0</v>
          </cell>
          <cell r="AC19">
            <v>0</v>
          </cell>
          <cell r="AD19">
            <v>0.47659898961014191</v>
          </cell>
          <cell r="AE19">
            <v>0</v>
          </cell>
        </row>
        <row r="20">
          <cell r="A20">
            <v>1001627840</v>
          </cell>
          <cell r="B20">
            <v>580333011</v>
          </cell>
          <cell r="C20" t="str">
            <v>לב בנימין (ע"ר)</v>
          </cell>
          <cell r="D20">
            <v>580071850</v>
          </cell>
          <cell r="E20">
            <v>17</v>
          </cell>
          <cell r="F20">
            <v>1.5</v>
          </cell>
          <cell r="G20">
            <v>1</v>
          </cell>
          <cell r="H20">
            <v>16</v>
          </cell>
          <cell r="I20">
            <v>300</v>
          </cell>
          <cell r="J20">
            <v>0</v>
          </cell>
          <cell r="K20">
            <v>1</v>
          </cell>
          <cell r="L20">
            <v>267</v>
          </cell>
          <cell r="M20">
            <v>70</v>
          </cell>
          <cell r="N20">
            <v>7</v>
          </cell>
          <cell r="O20">
            <v>21</v>
          </cell>
          <cell r="P20" t="str">
            <v>לא</v>
          </cell>
          <cell r="Q20" t="str">
            <v>כן</v>
          </cell>
          <cell r="R20">
            <v>471</v>
          </cell>
          <cell r="S20">
            <v>0</v>
          </cell>
          <cell r="T20" t="str">
            <v>מטה בנימין ובית אל</v>
          </cell>
          <cell r="U20">
            <v>0</v>
          </cell>
          <cell r="V20">
            <v>0</v>
          </cell>
          <cell r="W20">
            <v>1</v>
          </cell>
          <cell r="X20" t="str">
            <v>מטה בנימין</v>
          </cell>
          <cell r="Y20">
            <v>1.5</v>
          </cell>
          <cell r="Z20">
            <v>1.5</v>
          </cell>
          <cell r="AA20">
            <v>16</v>
          </cell>
          <cell r="AB20">
            <v>0.94117647058823528</v>
          </cell>
          <cell r="AC20">
            <v>3</v>
          </cell>
          <cell r="AD20">
            <v>15.705882352941176</v>
          </cell>
          <cell r="AE20">
            <v>1</v>
          </cell>
        </row>
        <row r="21">
          <cell r="A21">
            <v>1001627886</v>
          </cell>
          <cell r="B21">
            <v>580309896</v>
          </cell>
          <cell r="C21" t="str">
            <v>עמותת על - עמותה לקידום תוכניות ייח</v>
          </cell>
          <cell r="D21">
            <v>580442697</v>
          </cell>
          <cell r="E21">
            <v>10</v>
          </cell>
          <cell r="F21">
            <v>50</v>
          </cell>
          <cell r="G21">
            <v>4</v>
          </cell>
          <cell r="H21">
            <v>5</v>
          </cell>
          <cell r="I21">
            <v>65</v>
          </cell>
          <cell r="J21">
            <v>0</v>
          </cell>
          <cell r="K21">
            <v>1</v>
          </cell>
          <cell r="L21">
            <v>50</v>
          </cell>
          <cell r="M21">
            <v>10</v>
          </cell>
          <cell r="N21">
            <v>2</v>
          </cell>
          <cell r="O21">
            <v>6</v>
          </cell>
          <cell r="P21" t="str">
            <v>כן</v>
          </cell>
          <cell r="Q21" t="str">
            <v>כן</v>
          </cell>
          <cell r="R21">
            <v>260</v>
          </cell>
          <cell r="S21" t="str">
            <v>אין</v>
          </cell>
          <cell r="T21" t="str">
            <v>אין</v>
          </cell>
          <cell r="U21" t="str">
            <v>אין</v>
          </cell>
          <cell r="V21" t="str">
            <v>באר שבע</v>
          </cell>
          <cell r="W21">
            <v>1</v>
          </cell>
          <cell r="X21" t="str">
            <v xml:space="preserve">נצרת והסביבה, אום אלפחם והסביבה </v>
          </cell>
          <cell r="Y21">
            <v>1.5</v>
          </cell>
          <cell r="Z21">
            <v>1.5</v>
          </cell>
          <cell r="AA21">
            <v>12</v>
          </cell>
          <cell r="AB21">
            <v>1.2</v>
          </cell>
          <cell r="AC21">
            <v>3</v>
          </cell>
          <cell r="AD21">
            <v>5</v>
          </cell>
          <cell r="AE21">
            <v>1</v>
          </cell>
        </row>
        <row r="22">
          <cell r="A22">
            <v>1001627887</v>
          </cell>
          <cell r="B22">
            <v>580005890</v>
          </cell>
          <cell r="C22" t="str">
            <v>האגודה הישראלית לטרשת נפוצה (ע"ר)</v>
          </cell>
          <cell r="D22">
            <v>580258242</v>
          </cell>
          <cell r="E22">
            <v>4</v>
          </cell>
          <cell r="F22">
            <v>7</v>
          </cell>
          <cell r="G22">
            <v>0</v>
          </cell>
          <cell r="H22">
            <v>1</v>
          </cell>
          <cell r="I22">
            <v>6700</v>
          </cell>
          <cell r="J22">
            <v>10000</v>
          </cell>
          <cell r="K22">
            <v>0.40119760479041916</v>
          </cell>
          <cell r="L22">
            <v>40</v>
          </cell>
          <cell r="M22">
            <v>60</v>
          </cell>
          <cell r="N22">
            <v>8</v>
          </cell>
          <cell r="O22">
            <v>24</v>
          </cell>
          <cell r="P22" t="str">
            <v>לא</v>
          </cell>
          <cell r="Q22" t="str">
            <v>לא</v>
          </cell>
          <cell r="R22">
            <v>0</v>
          </cell>
          <cell r="S22" t="str">
            <v>תל אביב</v>
          </cell>
          <cell r="T22" t="str">
            <v>קב תמיכה</v>
          </cell>
          <cell r="U22" t="str">
            <v>קב תמיכה</v>
          </cell>
          <cell r="V22" t="str">
            <v xml:space="preserve">קב תמיכה </v>
          </cell>
          <cell r="W22">
            <v>2</v>
          </cell>
          <cell r="Y22">
            <v>1</v>
          </cell>
          <cell r="Z22">
            <v>2</v>
          </cell>
          <cell r="AA22">
            <v>15</v>
          </cell>
          <cell r="AB22">
            <v>3.75</v>
          </cell>
          <cell r="AC22">
            <v>3</v>
          </cell>
          <cell r="AD22">
            <v>10</v>
          </cell>
          <cell r="AE22">
            <v>1</v>
          </cell>
        </row>
        <row r="23">
          <cell r="A23">
            <v>1001627933</v>
          </cell>
          <cell r="B23">
            <v>580115319</v>
          </cell>
          <cell r="C23" t="str">
            <v>צעד קדימה - עמותה לחינוך ושיקום באמ</v>
          </cell>
          <cell r="D23">
            <v>580590875</v>
          </cell>
          <cell r="E23">
            <v>10.55</v>
          </cell>
          <cell r="F23">
            <v>0.5</v>
          </cell>
          <cell r="G23">
            <v>0.7</v>
          </cell>
          <cell r="H23">
            <v>3.1</v>
          </cell>
          <cell r="I23">
            <v>41</v>
          </cell>
          <cell r="J23">
            <v>0</v>
          </cell>
          <cell r="K23">
            <v>1</v>
          </cell>
          <cell r="L23">
            <v>51</v>
          </cell>
          <cell r="M23">
            <v>15</v>
          </cell>
          <cell r="N23">
            <v>5</v>
          </cell>
          <cell r="O23">
            <v>15</v>
          </cell>
          <cell r="P23" t="str">
            <v>כן</v>
          </cell>
          <cell r="Q23" t="str">
            <v>כן</v>
          </cell>
          <cell r="R23">
            <v>85</v>
          </cell>
          <cell r="S23" t="str">
            <v>ראשון לציון, נס ציונה</v>
          </cell>
          <cell r="T23" t="str">
            <v>ירושלים</v>
          </cell>
          <cell r="U23" t="str">
            <v>אור עקיבא</v>
          </cell>
          <cell r="V23" t="str">
            <v>באר שבע, אילת</v>
          </cell>
          <cell r="W23">
            <v>2</v>
          </cell>
          <cell r="X23" t="str">
            <v>כן, ראשי - בית שמש</v>
          </cell>
          <cell r="Y23">
            <v>1</v>
          </cell>
          <cell r="Z23">
            <v>2</v>
          </cell>
          <cell r="AA23">
            <v>0</v>
          </cell>
          <cell r="AB23">
            <v>0</v>
          </cell>
          <cell r="AC23">
            <v>0</v>
          </cell>
          <cell r="AD23">
            <v>4.8341232227488149</v>
          </cell>
          <cell r="AE23">
            <v>1</v>
          </cell>
        </row>
        <row r="24">
          <cell r="A24">
            <v>1001628580</v>
          </cell>
          <cell r="B24">
            <v>580023992</v>
          </cell>
          <cell r="C24" t="str">
            <v>בית הגלגלים (ע"ר)</v>
          </cell>
          <cell r="D24">
            <v>580309896</v>
          </cell>
          <cell r="E24">
            <v>41</v>
          </cell>
          <cell r="F24">
            <v>7</v>
          </cell>
          <cell r="G24">
            <v>9</v>
          </cell>
          <cell r="H24">
            <v>13</v>
          </cell>
          <cell r="I24">
            <v>550</v>
          </cell>
          <cell r="J24">
            <v>0</v>
          </cell>
          <cell r="K24">
            <v>1</v>
          </cell>
          <cell r="L24">
            <v>510</v>
          </cell>
          <cell r="M24">
            <v>120</v>
          </cell>
          <cell r="N24">
            <v>0</v>
          </cell>
          <cell r="O24">
            <v>0</v>
          </cell>
          <cell r="P24" t="str">
            <v>כן</v>
          </cell>
          <cell r="Q24" t="str">
            <v>כן</v>
          </cell>
          <cell r="R24">
            <v>0</v>
          </cell>
          <cell r="S24" t="str">
            <v>הרצליה</v>
          </cell>
          <cell r="T24" t="str">
            <v>מטה יהודה</v>
          </cell>
          <cell r="U24" t="str">
            <v>מטה אשר+</v>
          </cell>
          <cell r="V24" t="str">
            <v>אשכול+</v>
          </cell>
          <cell r="W24">
            <v>1</v>
          </cell>
          <cell r="Y24">
            <v>1</v>
          </cell>
          <cell r="Z24">
            <v>1</v>
          </cell>
          <cell r="AA24">
            <v>0</v>
          </cell>
          <cell r="AB24">
            <v>0</v>
          </cell>
          <cell r="AC24">
            <v>0</v>
          </cell>
          <cell r="AD24">
            <v>12.439024390243903</v>
          </cell>
          <cell r="AE24">
            <v>1</v>
          </cell>
        </row>
        <row r="25">
          <cell r="A25">
            <v>1001628701</v>
          </cell>
          <cell r="B25">
            <v>580382414</v>
          </cell>
          <cell r="C25" t="str">
            <v>מכון "מסילות" אשדוד (ע"ר)</v>
          </cell>
          <cell r="D25" t="str">
            <v>58-000-5890</v>
          </cell>
          <cell r="E25">
            <v>65</v>
          </cell>
          <cell r="F25">
            <v>7</v>
          </cell>
          <cell r="G25">
            <v>48</v>
          </cell>
          <cell r="H25">
            <v>5</v>
          </cell>
          <cell r="I25">
            <v>3400</v>
          </cell>
          <cell r="J25">
            <v>1900</v>
          </cell>
          <cell r="K25">
            <v>0.64150943396226412</v>
          </cell>
          <cell r="L25">
            <v>0</v>
          </cell>
          <cell r="M25">
            <v>400</v>
          </cell>
          <cell r="N25">
            <v>15</v>
          </cell>
          <cell r="O25">
            <v>45</v>
          </cell>
          <cell r="P25" t="str">
            <v>לא</v>
          </cell>
          <cell r="Q25" t="str">
            <v>כן</v>
          </cell>
          <cell r="R25">
            <v>89</v>
          </cell>
          <cell r="S25" t="str">
            <v>לא</v>
          </cell>
          <cell r="T25" t="str">
            <v xml:space="preserve">לא </v>
          </cell>
          <cell r="U25" t="str">
            <v xml:space="preserve">לא </v>
          </cell>
          <cell r="V25" t="str">
            <v>כן</v>
          </cell>
          <cell r="W25">
            <v>1</v>
          </cell>
          <cell r="X25" t="str">
            <v>לא</v>
          </cell>
          <cell r="Y25">
            <v>1</v>
          </cell>
          <cell r="Z25">
            <v>1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A26">
            <v>1001628706</v>
          </cell>
          <cell r="B26">
            <v>580421626</v>
          </cell>
          <cell r="C26" t="str">
            <v>יעדים לצפון מיסודה של קרן רש"י (ע"ר</v>
          </cell>
          <cell r="D26">
            <v>580028173</v>
          </cell>
          <cell r="E26">
            <v>9</v>
          </cell>
          <cell r="F26">
            <v>5</v>
          </cell>
          <cell r="G26">
            <v>4</v>
          </cell>
          <cell r="H26">
            <v>0</v>
          </cell>
          <cell r="I26">
            <v>5148</v>
          </cell>
          <cell r="J26">
            <v>47000</v>
          </cell>
          <cell r="K26">
            <v>9.8719030451791062E-2</v>
          </cell>
          <cell r="L26">
            <v>180</v>
          </cell>
          <cell r="M26">
            <v>250</v>
          </cell>
          <cell r="N26">
            <v>32</v>
          </cell>
          <cell r="O26">
            <v>96</v>
          </cell>
          <cell r="P26" t="str">
            <v>כן</v>
          </cell>
          <cell r="Q26" t="str">
            <v>כן</v>
          </cell>
          <cell r="R26">
            <v>309</v>
          </cell>
          <cell r="S26" t="str">
            <v>תל אביב</v>
          </cell>
          <cell r="T26" t="str">
            <v>ירושלים</v>
          </cell>
          <cell r="U26" t="str">
            <v>קרית חיים (חיפה)</v>
          </cell>
          <cell r="V26" t="str">
            <v>באר שבע</v>
          </cell>
          <cell r="W26">
            <v>1</v>
          </cell>
          <cell r="X26" t="str">
            <v xml:space="preserve">חיפה </v>
          </cell>
          <cell r="Y26">
            <v>1</v>
          </cell>
          <cell r="Z26">
            <v>1</v>
          </cell>
          <cell r="AA26">
            <v>5</v>
          </cell>
          <cell r="AB26">
            <v>0.55555555555555558</v>
          </cell>
          <cell r="AC26">
            <v>3</v>
          </cell>
          <cell r="AD26">
            <v>20</v>
          </cell>
          <cell r="AE26">
            <v>1</v>
          </cell>
        </row>
        <row r="27">
          <cell r="A27">
            <v>1001629302</v>
          </cell>
          <cell r="B27">
            <v>580684538</v>
          </cell>
          <cell r="C27" t="str">
            <v>לבב חברתי (ע"ר)</v>
          </cell>
          <cell r="D27">
            <v>580604908</v>
          </cell>
          <cell r="E27">
            <v>2</v>
          </cell>
          <cell r="F27">
            <v>1</v>
          </cell>
          <cell r="G27">
            <v>1</v>
          </cell>
          <cell r="H27">
            <v>2</v>
          </cell>
          <cell r="I27">
            <v>200</v>
          </cell>
          <cell r="J27">
            <v>0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530</v>
          </cell>
          <cell r="S27" t="str">
            <v xml:space="preserve">תל אביב ראשל"צ, רחובות </v>
          </cell>
          <cell r="T27">
            <v>0</v>
          </cell>
          <cell r="U27" t="str">
            <v>גליל תחתון</v>
          </cell>
          <cell r="V27" t="str">
            <v xml:space="preserve">שדרות קרית גת </v>
          </cell>
          <cell r="W27">
            <v>1</v>
          </cell>
          <cell r="X27" t="str">
            <v>שדרות , ק. גת</v>
          </cell>
          <cell r="Y27">
            <v>1.5</v>
          </cell>
          <cell r="Z27">
            <v>1.5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A28">
            <v>1001629431</v>
          </cell>
          <cell r="B28">
            <v>580258242</v>
          </cell>
          <cell r="C28" t="str">
            <v>אתגרים</v>
          </cell>
          <cell r="D28">
            <v>580313039</v>
          </cell>
          <cell r="E28">
            <v>150</v>
          </cell>
          <cell r="F28">
            <v>1</v>
          </cell>
          <cell r="G28">
            <v>3</v>
          </cell>
          <cell r="H28">
            <v>120</v>
          </cell>
          <cell r="I28">
            <v>6000</v>
          </cell>
          <cell r="J28">
            <v>0</v>
          </cell>
          <cell r="K28">
            <v>1</v>
          </cell>
          <cell r="L28">
            <v>1583</v>
          </cell>
          <cell r="M28">
            <v>0</v>
          </cell>
          <cell r="N28">
            <v>0</v>
          </cell>
          <cell r="O28">
            <v>0</v>
          </cell>
          <cell r="P28" t="str">
            <v>כן</v>
          </cell>
          <cell r="Q28" t="str">
            <v>כן</v>
          </cell>
          <cell r="R28">
            <v>1207</v>
          </cell>
          <cell r="S28">
            <v>5</v>
          </cell>
          <cell r="T28">
            <v>1</v>
          </cell>
          <cell r="U28">
            <v>5</v>
          </cell>
          <cell r="V28">
            <v>1</v>
          </cell>
          <cell r="W28">
            <v>1</v>
          </cell>
          <cell r="X28" t="str">
            <v>עמק הירדן</v>
          </cell>
          <cell r="Y28">
            <v>1.5</v>
          </cell>
          <cell r="Z28">
            <v>1.5</v>
          </cell>
          <cell r="AA28">
            <v>3</v>
          </cell>
          <cell r="AB28">
            <v>0.02</v>
          </cell>
          <cell r="AC28">
            <v>3</v>
          </cell>
          <cell r="AD28">
            <v>10.553333333333333</v>
          </cell>
          <cell r="AE28">
            <v>1</v>
          </cell>
        </row>
        <row r="29">
          <cell r="A29">
            <v>1001629553</v>
          </cell>
          <cell r="B29">
            <v>580000073</v>
          </cell>
          <cell r="C29" t="str">
            <v>משעולים (ע"ר)</v>
          </cell>
          <cell r="D29">
            <v>580228161</v>
          </cell>
          <cell r="E29">
            <v>7</v>
          </cell>
          <cell r="F29">
            <v>3</v>
          </cell>
          <cell r="G29">
            <v>2</v>
          </cell>
          <cell r="H29">
            <v>0</v>
          </cell>
          <cell r="I29">
            <v>90</v>
          </cell>
          <cell r="J29">
            <v>180</v>
          </cell>
          <cell r="K29">
            <v>0.33333333333333331</v>
          </cell>
          <cell r="L29">
            <v>4</v>
          </cell>
          <cell r="M29">
            <v>36</v>
          </cell>
          <cell r="N29">
            <v>378</v>
          </cell>
          <cell r="O29">
            <v>1134</v>
          </cell>
          <cell r="P29" t="str">
            <v>כן</v>
          </cell>
          <cell r="Q29" t="str">
            <v>לא</v>
          </cell>
          <cell r="R29">
            <v>0</v>
          </cell>
          <cell r="S29" t="str">
            <v>אין</v>
          </cell>
          <cell r="T29" t="str">
            <v>אין</v>
          </cell>
          <cell r="U29" t="str">
            <v>אין</v>
          </cell>
          <cell r="V29" t="str">
            <v>אין</v>
          </cell>
          <cell r="W29">
            <v>2</v>
          </cell>
          <cell r="Y29">
            <v>1</v>
          </cell>
          <cell r="Z29">
            <v>2</v>
          </cell>
          <cell r="AA29">
            <v>6</v>
          </cell>
          <cell r="AB29">
            <v>0.8571428571428571</v>
          </cell>
          <cell r="AC29">
            <v>3</v>
          </cell>
          <cell r="AD29">
            <v>0.5714285714285714</v>
          </cell>
          <cell r="AE29">
            <v>1</v>
          </cell>
        </row>
        <row r="30">
          <cell r="A30">
            <v>1001631595</v>
          </cell>
          <cell r="B30">
            <v>580543122</v>
          </cell>
          <cell r="C30" t="str">
            <v>"הבית של רונית" - מרכז התפתחות חברת</v>
          </cell>
          <cell r="D30">
            <v>580023992</v>
          </cell>
          <cell r="E30">
            <v>6</v>
          </cell>
          <cell r="F30">
            <v>1</v>
          </cell>
          <cell r="G30">
            <v>1.5</v>
          </cell>
          <cell r="H30">
            <v>0.5</v>
          </cell>
          <cell r="I30">
            <v>60</v>
          </cell>
          <cell r="J30">
            <v>0</v>
          </cell>
          <cell r="K30">
            <v>1</v>
          </cell>
          <cell r="L30">
            <v>13</v>
          </cell>
          <cell r="M30">
            <v>30</v>
          </cell>
          <cell r="N30">
            <v>330</v>
          </cell>
          <cell r="O30">
            <v>990</v>
          </cell>
          <cell r="P30" t="str">
            <v>כן</v>
          </cell>
          <cell r="Q30" t="str">
            <v>כן</v>
          </cell>
          <cell r="R30">
            <v>243</v>
          </cell>
          <cell r="S30">
            <v>1</v>
          </cell>
          <cell r="T30">
            <v>0</v>
          </cell>
          <cell r="U30">
            <v>0</v>
          </cell>
          <cell r="V30">
            <v>0</v>
          </cell>
          <cell r="W30">
            <v>1</v>
          </cell>
          <cell r="Y30">
            <v>1</v>
          </cell>
          <cell r="Z30">
            <v>1</v>
          </cell>
          <cell r="AA30">
            <v>15</v>
          </cell>
          <cell r="AB30">
            <v>2.5</v>
          </cell>
          <cell r="AC30">
            <v>3</v>
          </cell>
          <cell r="AD30">
            <v>2.1666666666666665</v>
          </cell>
          <cell r="AE30">
            <v>1</v>
          </cell>
        </row>
        <row r="31">
          <cell r="A31">
            <v>1001631600</v>
          </cell>
          <cell r="B31">
            <v>580442697</v>
          </cell>
          <cell r="C31" t="str">
            <v>אלמנארה - עמותה לקידום אנשים עם מוג</v>
          </cell>
          <cell r="D31">
            <v>580382414</v>
          </cell>
          <cell r="E31">
            <v>12</v>
          </cell>
          <cell r="F31">
            <v>2</v>
          </cell>
          <cell r="G31">
            <v>2</v>
          </cell>
          <cell r="H31">
            <v>12</v>
          </cell>
          <cell r="I31">
            <v>500</v>
          </cell>
          <cell r="J31">
            <v>300</v>
          </cell>
          <cell r="K31">
            <v>0.625</v>
          </cell>
          <cell r="L31">
            <v>50</v>
          </cell>
          <cell r="M31">
            <v>45</v>
          </cell>
          <cell r="N31">
            <v>45</v>
          </cell>
          <cell r="O31">
            <v>135</v>
          </cell>
          <cell r="P31" t="str">
            <v>כן</v>
          </cell>
          <cell r="Q31" t="str">
            <v>כן</v>
          </cell>
          <cell r="R31">
            <v>319</v>
          </cell>
          <cell r="S31">
            <v>0</v>
          </cell>
          <cell r="T31">
            <v>0</v>
          </cell>
          <cell r="U31">
            <v>1</v>
          </cell>
          <cell r="V31">
            <v>0</v>
          </cell>
          <cell r="W31">
            <v>1</v>
          </cell>
          <cell r="X31" t="str">
            <v>אשדוד והסביבה</v>
          </cell>
          <cell r="Y31">
            <v>1</v>
          </cell>
          <cell r="Z31">
            <v>1</v>
          </cell>
          <cell r="AB31">
            <v>0</v>
          </cell>
          <cell r="AC31">
            <v>0</v>
          </cell>
          <cell r="AD31">
            <v>4.166666666666667</v>
          </cell>
          <cell r="AE31">
            <v>1</v>
          </cell>
        </row>
        <row r="32">
          <cell r="A32">
            <v>1001632006</v>
          </cell>
          <cell r="B32">
            <v>580590875</v>
          </cell>
          <cell r="C32" t="str">
            <v>מוסדות תורה, חינוך וסיוע בית שמש (ע</v>
          </cell>
          <cell r="D32">
            <v>580381655</v>
          </cell>
          <cell r="E32">
            <v>11.5</v>
          </cell>
          <cell r="F32">
            <v>0</v>
          </cell>
          <cell r="G32">
            <v>8.25</v>
          </cell>
          <cell r="H32">
            <v>3.25</v>
          </cell>
          <cell r="I32">
            <v>400</v>
          </cell>
          <cell r="J32">
            <v>45</v>
          </cell>
          <cell r="K32">
            <v>0.898876404494382</v>
          </cell>
          <cell r="L32">
            <v>0</v>
          </cell>
          <cell r="M32">
            <v>325</v>
          </cell>
          <cell r="N32">
            <v>90</v>
          </cell>
          <cell r="O32">
            <v>270</v>
          </cell>
          <cell r="P32" t="str">
            <v>כן</v>
          </cell>
          <cell r="Q32" t="str">
            <v>כן</v>
          </cell>
          <cell r="R32">
            <v>120</v>
          </cell>
          <cell r="S32" t="str">
            <v>נתניה</v>
          </cell>
          <cell r="T32" t="str">
            <v>ירושלים, בית שמש</v>
          </cell>
          <cell r="U32">
            <v>0</v>
          </cell>
          <cell r="V32" t="str">
            <v>אשדוד, קרית גת</v>
          </cell>
          <cell r="W32">
            <v>2</v>
          </cell>
          <cell r="X32" t="str">
            <v xml:space="preserve"> 38 ילדים מהפריפריה מטופלים על ידינו</v>
          </cell>
          <cell r="Y32">
            <v>1.5</v>
          </cell>
          <cell r="Z32">
            <v>3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A33">
            <v>1001632013</v>
          </cell>
          <cell r="B33">
            <v>580012318</v>
          </cell>
          <cell r="C33" t="str">
            <v>אגודת עזרה למרפא שע"י אברכי חסידי ב</v>
          </cell>
          <cell r="D33">
            <v>580421626</v>
          </cell>
          <cell r="E33">
            <v>159</v>
          </cell>
          <cell r="F33">
            <v>3</v>
          </cell>
          <cell r="G33">
            <v>19</v>
          </cell>
          <cell r="H33">
            <v>13.5</v>
          </cell>
          <cell r="I33">
            <v>3224</v>
          </cell>
          <cell r="J33">
            <v>0</v>
          </cell>
          <cell r="K33">
            <v>1</v>
          </cell>
          <cell r="L33">
            <v>435</v>
          </cell>
          <cell r="M33">
            <v>3224</v>
          </cell>
          <cell r="N33">
            <v>7285</v>
          </cell>
          <cell r="O33">
            <v>21855</v>
          </cell>
          <cell r="P33" t="str">
            <v>כן</v>
          </cell>
          <cell r="Q33" t="str">
            <v>לא</v>
          </cell>
          <cell r="R33">
            <v>298</v>
          </cell>
          <cell r="S33" t="str">
            <v>בני ברק
יד בנימין
רעננה</v>
          </cell>
          <cell r="T33" t="str">
            <v>יהודה ושומרון</v>
          </cell>
          <cell r="U33" t="str">
            <v>קרית שמונה</v>
          </cell>
          <cell r="V33" t="str">
            <v>שדרות</v>
          </cell>
          <cell r="W33">
            <v>2</v>
          </cell>
          <cell r="X33" t="str">
            <v xml:space="preserve">רוב הרשויות בהם אנחנו פעילים הם בפריפריה, השירותים ניתנים מתוך בחירה ביישובים החלשים יותר. </v>
          </cell>
          <cell r="Y33">
            <v>1.5</v>
          </cell>
          <cell r="Z33">
            <v>3</v>
          </cell>
          <cell r="AA33">
            <v>25</v>
          </cell>
          <cell r="AB33">
            <v>0.15723270440251572</v>
          </cell>
          <cell r="AC33">
            <v>3</v>
          </cell>
          <cell r="AD33">
            <v>2.7358490566037736</v>
          </cell>
          <cell r="AE33">
            <v>1</v>
          </cell>
        </row>
        <row r="34">
          <cell r="A34">
            <v>1001632042</v>
          </cell>
          <cell r="B34">
            <v>580426062</v>
          </cell>
          <cell r="C34" t="str">
            <v>קרן עזרה לזולת קרית גת (ע"ר)</v>
          </cell>
          <cell r="D34">
            <v>580507234</v>
          </cell>
          <cell r="E34">
            <v>22</v>
          </cell>
          <cell r="F34">
            <v>0.5</v>
          </cell>
          <cell r="G34">
            <v>2.75</v>
          </cell>
          <cell r="H34">
            <v>14</v>
          </cell>
          <cell r="I34">
            <v>145</v>
          </cell>
          <cell r="J34">
            <v>0</v>
          </cell>
          <cell r="K34">
            <v>1</v>
          </cell>
          <cell r="L34">
            <v>0</v>
          </cell>
          <cell r="M34">
            <v>62</v>
          </cell>
          <cell r="N34">
            <v>15</v>
          </cell>
          <cell r="O34">
            <v>45</v>
          </cell>
          <cell r="P34" t="str">
            <v>כן</v>
          </cell>
          <cell r="Q34" t="str">
            <v>כן</v>
          </cell>
          <cell r="R34">
            <v>286</v>
          </cell>
          <cell r="S34">
            <v>0</v>
          </cell>
          <cell r="T34">
            <v>0</v>
          </cell>
          <cell r="U34">
            <v>0</v>
          </cell>
          <cell r="V34" t="str">
            <v>קרית גת</v>
          </cell>
          <cell r="W34">
            <v>1</v>
          </cell>
          <cell r="X34" t="str">
            <v>קרית גת</v>
          </cell>
          <cell r="Y34">
            <v>1.5</v>
          </cell>
          <cell r="Z34">
            <v>1.5</v>
          </cell>
          <cell r="AA34">
            <v>50</v>
          </cell>
          <cell r="AB34">
            <v>2.2727272727272729</v>
          </cell>
          <cell r="AC34">
            <v>3</v>
          </cell>
          <cell r="AD34">
            <v>0</v>
          </cell>
          <cell r="AE34">
            <v>0</v>
          </cell>
        </row>
        <row r="35">
          <cell r="A35">
            <v>1001632055</v>
          </cell>
          <cell r="B35">
            <v>580003739</v>
          </cell>
          <cell r="C35" t="str">
            <v>מסגרת שמעיה (ע"ר)</v>
          </cell>
          <cell r="D35">
            <v>580077089</v>
          </cell>
          <cell r="E35">
            <v>13.4</v>
          </cell>
          <cell r="F35">
            <v>0</v>
          </cell>
          <cell r="G35">
            <v>5.3</v>
          </cell>
          <cell r="H35">
            <v>7.1</v>
          </cell>
          <cell r="I35">
            <v>1672</v>
          </cell>
          <cell r="J35">
            <v>319</v>
          </cell>
          <cell r="K35">
            <v>0.83977900552486184</v>
          </cell>
          <cell r="L35">
            <v>0</v>
          </cell>
          <cell r="M35">
            <v>613</v>
          </cell>
          <cell r="N35">
            <v>0</v>
          </cell>
          <cell r="O35">
            <v>0</v>
          </cell>
          <cell r="P35" t="str">
            <v>כן</v>
          </cell>
          <cell r="Q35" t="str">
            <v>כן</v>
          </cell>
          <cell r="R35">
            <v>148</v>
          </cell>
          <cell r="S35">
            <v>3</v>
          </cell>
          <cell r="T35">
            <v>1</v>
          </cell>
          <cell r="U35">
            <v>3</v>
          </cell>
          <cell r="V35">
            <v>2</v>
          </cell>
          <cell r="W35">
            <v>2</v>
          </cell>
          <cell r="X35" t="str">
            <v>לא</v>
          </cell>
          <cell r="Y35">
            <v>1</v>
          </cell>
          <cell r="Z35">
            <v>2</v>
          </cell>
          <cell r="AA35">
            <v>4</v>
          </cell>
          <cell r="AB35">
            <v>0.29850746268656714</v>
          </cell>
          <cell r="AC35">
            <v>0</v>
          </cell>
          <cell r="AD35">
            <v>0</v>
          </cell>
          <cell r="AE35">
            <v>0</v>
          </cell>
        </row>
        <row r="36">
          <cell r="A36">
            <v>1001632067</v>
          </cell>
          <cell r="B36">
            <v>580175677</v>
          </cell>
          <cell r="C36" t="str">
            <v>קו לחיים - תנועה חברתית לשיפור והצל</v>
          </cell>
          <cell r="D36">
            <v>512014192</v>
          </cell>
          <cell r="E36">
            <v>12.4</v>
          </cell>
          <cell r="F36">
            <v>0</v>
          </cell>
          <cell r="G36">
            <v>66</v>
          </cell>
          <cell r="H36">
            <v>0</v>
          </cell>
          <cell r="I36">
            <v>160</v>
          </cell>
          <cell r="J36">
            <v>25</v>
          </cell>
          <cell r="K36">
            <v>0.86486486486486491</v>
          </cell>
          <cell r="L36">
            <v>500</v>
          </cell>
          <cell r="M36">
            <v>0</v>
          </cell>
          <cell r="N36">
            <v>48</v>
          </cell>
          <cell r="O36">
            <v>144</v>
          </cell>
          <cell r="P36" t="str">
            <v>כן</v>
          </cell>
          <cell r="Q36" t="str">
            <v>כן</v>
          </cell>
          <cell r="R36">
            <v>660</v>
          </cell>
          <cell r="S36" t="str">
            <v>פתח תקווה</v>
          </cell>
          <cell r="T36" t="str">
            <v>ירושלים - פסגת זאב ומלחה, מודיעין</v>
          </cell>
          <cell r="U36" t="str">
            <v>חיפה, קריית שמונה</v>
          </cell>
          <cell r="V36" t="str">
            <v>אשקלון, אשדוד ובאר שבע</v>
          </cell>
          <cell r="W36">
            <v>1</v>
          </cell>
          <cell r="X36" t="str">
            <v>מועצה איזורית משגב</v>
          </cell>
          <cell r="Y36">
            <v>1.5</v>
          </cell>
          <cell r="Z36">
            <v>1.5</v>
          </cell>
          <cell r="AB36">
            <v>0</v>
          </cell>
          <cell r="AC36">
            <v>0</v>
          </cell>
          <cell r="AD36">
            <v>40.322580645161288</v>
          </cell>
          <cell r="AE36">
            <v>1</v>
          </cell>
        </row>
        <row r="37">
          <cell r="A37">
            <v>1001632289</v>
          </cell>
          <cell r="B37">
            <v>580165249</v>
          </cell>
          <cell r="C37" t="str">
            <v>ס.ו.ל.ם. - סיוע ועידוד לילדים מוגבל</v>
          </cell>
          <cell r="D37">
            <v>580047835</v>
          </cell>
          <cell r="E37">
            <v>43</v>
          </cell>
          <cell r="F37">
            <v>0</v>
          </cell>
          <cell r="G37">
            <v>4.5</v>
          </cell>
          <cell r="H37">
            <v>26</v>
          </cell>
          <cell r="I37">
            <v>1013</v>
          </cell>
          <cell r="J37">
            <v>0</v>
          </cell>
          <cell r="K37">
            <v>1</v>
          </cell>
          <cell r="L37">
            <v>103</v>
          </cell>
          <cell r="M37">
            <v>165</v>
          </cell>
          <cell r="N37">
            <v>110</v>
          </cell>
          <cell r="O37">
            <v>330</v>
          </cell>
          <cell r="P37" t="str">
            <v>כן</v>
          </cell>
          <cell r="Q37" t="str">
            <v>לא</v>
          </cell>
          <cell r="R37">
            <v>14</v>
          </cell>
          <cell r="S37" t="str">
            <v>לוד, בני ברק, מודיעין עילית, בת ים</v>
          </cell>
          <cell r="T37" t="str">
            <v>ירושלים, בית שמש, קרית יערים</v>
          </cell>
          <cell r="U37">
            <v>0</v>
          </cell>
          <cell r="V37">
            <v>0</v>
          </cell>
          <cell r="W37">
            <v>2</v>
          </cell>
          <cell r="Y37">
            <v>1</v>
          </cell>
          <cell r="Z37">
            <v>2</v>
          </cell>
          <cell r="AA37">
            <v>5</v>
          </cell>
          <cell r="AB37">
            <v>0.11627906976744186</v>
          </cell>
          <cell r="AC37">
            <v>0</v>
          </cell>
          <cell r="AD37">
            <v>2.3953488372093021</v>
          </cell>
          <cell r="AE37">
            <v>1</v>
          </cell>
        </row>
        <row r="38">
          <cell r="A38">
            <v>1001653064</v>
          </cell>
          <cell r="B38">
            <v>580014322</v>
          </cell>
          <cell r="C38" t="str">
            <v>שיח סוד- מרכז חינוכי שיקומי לבעלי צ</v>
          </cell>
          <cell r="D38">
            <v>580165249</v>
          </cell>
          <cell r="E38">
            <v>40</v>
          </cell>
          <cell r="F38">
            <v>1.6</v>
          </cell>
          <cell r="G38">
            <v>3.2</v>
          </cell>
          <cell r="H38">
            <v>2</v>
          </cell>
          <cell r="I38">
            <v>1400</v>
          </cell>
          <cell r="J38">
            <v>0</v>
          </cell>
          <cell r="K38">
            <v>1</v>
          </cell>
          <cell r="L38">
            <v>0</v>
          </cell>
          <cell r="M38">
            <v>340</v>
          </cell>
          <cell r="N38">
            <v>0</v>
          </cell>
          <cell r="O38">
            <v>0</v>
          </cell>
          <cell r="P38" t="str">
            <v>לא</v>
          </cell>
          <cell r="Q38" t="str">
            <v>כן</v>
          </cell>
          <cell r="R38">
            <v>658</v>
          </cell>
          <cell r="S38">
            <v>1</v>
          </cell>
          <cell r="T38">
            <v>2</v>
          </cell>
          <cell r="U38">
            <v>1</v>
          </cell>
          <cell r="V38">
            <v>0</v>
          </cell>
          <cell r="W38">
            <v>2</v>
          </cell>
          <cell r="X38" t="str">
            <v>ירושלים, לוד, בית שמש, מודיעין עילית, בני ברק, קרית יערים</v>
          </cell>
          <cell r="Y38">
            <v>1.5</v>
          </cell>
          <cell r="Z38">
            <v>3</v>
          </cell>
          <cell r="AA38">
            <v>5</v>
          </cell>
          <cell r="AB38">
            <v>0.125</v>
          </cell>
          <cell r="AC38">
            <v>3</v>
          </cell>
          <cell r="AD38">
            <v>0</v>
          </cell>
          <cell r="AE38">
            <v>0</v>
          </cell>
        </row>
        <row r="39">
          <cell r="A39">
            <v>1001653065</v>
          </cell>
          <cell r="B39">
            <v>580507234</v>
          </cell>
          <cell r="C39" t="str">
            <v>בדרך אל- בית ספר בטב"ע (בדרך טבעית</v>
          </cell>
          <cell r="D39">
            <v>580426062</v>
          </cell>
          <cell r="E39">
            <v>2</v>
          </cell>
          <cell r="F39">
            <v>0.5</v>
          </cell>
          <cell r="G39">
            <v>2</v>
          </cell>
          <cell r="H39">
            <v>2</v>
          </cell>
          <cell r="I39">
            <v>50</v>
          </cell>
          <cell r="J39">
            <v>3</v>
          </cell>
          <cell r="K39">
            <v>0.94339622641509435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 t="str">
            <v>כן</v>
          </cell>
          <cell r="Q39" t="str">
            <v>כן</v>
          </cell>
          <cell r="R39">
            <v>108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 t="str">
            <v xml:space="preserve">קרית גת </v>
          </cell>
          <cell r="Y39">
            <v>1.5</v>
          </cell>
          <cell r="Z39">
            <v>1.5</v>
          </cell>
          <cell r="AA39">
            <v>3</v>
          </cell>
          <cell r="AB39">
            <v>1.5</v>
          </cell>
          <cell r="AC39">
            <v>3</v>
          </cell>
          <cell r="AD39">
            <v>0</v>
          </cell>
          <cell r="AE39">
            <v>0</v>
          </cell>
        </row>
        <row r="40">
          <cell r="A40">
            <v>1001653069</v>
          </cell>
          <cell r="B40">
            <v>580028173</v>
          </cell>
          <cell r="C40" t="str">
            <v>האגודה למען העוור ולמניעת העוורון ח</v>
          </cell>
          <cell r="D40">
            <v>580014322</v>
          </cell>
          <cell r="E40">
            <v>1</v>
          </cell>
          <cell r="F40">
            <v>1</v>
          </cell>
          <cell r="G40">
            <v>0</v>
          </cell>
          <cell r="H40">
            <v>0</v>
          </cell>
          <cell r="I40">
            <v>50</v>
          </cell>
          <cell r="J40">
            <v>0</v>
          </cell>
          <cell r="K40">
            <v>1</v>
          </cell>
          <cell r="L40">
            <v>206</v>
          </cell>
          <cell r="M40">
            <v>42</v>
          </cell>
          <cell r="N40">
            <v>192</v>
          </cell>
          <cell r="O40">
            <v>576</v>
          </cell>
          <cell r="P40" t="str">
            <v>לא</v>
          </cell>
          <cell r="Q40" t="str">
            <v>כן</v>
          </cell>
          <cell r="R40">
            <v>21</v>
          </cell>
          <cell r="S40">
            <v>0</v>
          </cell>
          <cell r="T40">
            <v>0</v>
          </cell>
          <cell r="U40" t="str">
            <v>חיפה</v>
          </cell>
          <cell r="V40">
            <v>0</v>
          </cell>
          <cell r="W40">
            <v>2</v>
          </cell>
          <cell r="X40" t="str">
            <v>ירושלים, בני ברק, בית שמש וצפת</v>
          </cell>
          <cell r="Y40">
            <v>1.5</v>
          </cell>
          <cell r="Z40">
            <v>3</v>
          </cell>
          <cell r="AA40">
            <v>6</v>
          </cell>
          <cell r="AB40">
            <v>6</v>
          </cell>
          <cell r="AC40">
            <v>3</v>
          </cell>
          <cell r="AD40">
            <v>206</v>
          </cell>
          <cell r="AE40">
            <v>1</v>
          </cell>
        </row>
        <row r="41">
          <cell r="A41">
            <v>1001653173</v>
          </cell>
          <cell r="B41">
            <v>580210243</v>
          </cell>
          <cell r="C41" t="str">
            <v>שמע קולנו - מרכז ארצי שיקום והדרכה</v>
          </cell>
          <cell r="D41">
            <v>580684538</v>
          </cell>
          <cell r="E41">
            <v>16</v>
          </cell>
          <cell r="F41">
            <v>0.5</v>
          </cell>
          <cell r="G41">
            <v>5</v>
          </cell>
          <cell r="H41">
            <v>3</v>
          </cell>
          <cell r="I41">
            <v>2015</v>
          </cell>
          <cell r="J41">
            <v>0</v>
          </cell>
          <cell r="K41">
            <v>1</v>
          </cell>
          <cell r="L41">
            <v>0</v>
          </cell>
          <cell r="M41">
            <v>5</v>
          </cell>
          <cell r="N41">
            <v>0</v>
          </cell>
          <cell r="O41">
            <v>0</v>
          </cell>
          <cell r="P41" t="str">
            <v>כן</v>
          </cell>
          <cell r="Q41" t="str">
            <v>כן</v>
          </cell>
          <cell r="R41">
            <v>692</v>
          </cell>
          <cell r="S41">
            <v>0</v>
          </cell>
          <cell r="T41" t="str">
            <v>ירושלים, מודיעין עילית, בית שמש, ביתר</v>
          </cell>
          <cell r="U41">
            <v>0</v>
          </cell>
          <cell r="V41" t="str">
            <v>אשדוד ונתיבות</v>
          </cell>
          <cell r="W41">
            <v>2</v>
          </cell>
          <cell r="X41" t="str">
            <v>נתיבות, אשדוד</v>
          </cell>
          <cell r="Y41">
            <v>1.5</v>
          </cell>
          <cell r="Z41">
            <v>3</v>
          </cell>
          <cell r="AB41">
            <v>0</v>
          </cell>
          <cell r="AC41">
            <v>3</v>
          </cell>
          <cell r="AD41">
            <v>0</v>
          </cell>
          <cell r="AE41">
            <v>0</v>
          </cell>
        </row>
        <row r="42">
          <cell r="A42">
            <v>1001653175</v>
          </cell>
          <cell r="B42">
            <v>580266971</v>
          </cell>
          <cell r="C42" t="str">
            <v>פתחיה - מוסדות לחינוך מיוחד (ע"ר)</v>
          </cell>
          <cell r="D42">
            <v>580003739</v>
          </cell>
          <cell r="E42">
            <v>533</v>
          </cell>
          <cell r="F42">
            <v>16.2</v>
          </cell>
          <cell r="G42">
            <v>137.69999999999999</v>
          </cell>
          <cell r="H42">
            <v>2</v>
          </cell>
          <cell r="I42">
            <v>1245</v>
          </cell>
          <cell r="J42">
            <v>58</v>
          </cell>
          <cell r="K42">
            <v>0.95548733691481202</v>
          </cell>
          <cell r="L42">
            <v>4</v>
          </cell>
          <cell r="M42">
            <v>399</v>
          </cell>
          <cell r="N42">
            <v>91</v>
          </cell>
          <cell r="O42">
            <v>273</v>
          </cell>
          <cell r="P42" t="str">
            <v>כן</v>
          </cell>
          <cell r="Q42" t="str">
            <v>כן</v>
          </cell>
          <cell r="R42">
            <v>396</v>
          </cell>
          <cell r="S42">
            <v>44</v>
          </cell>
          <cell r="T42">
            <v>57</v>
          </cell>
          <cell r="U42">
            <v>0</v>
          </cell>
          <cell r="V42">
            <v>5</v>
          </cell>
          <cell r="W42">
            <v>2</v>
          </cell>
          <cell r="X42" t="str">
            <v xml:space="preserve">בני ברק </v>
          </cell>
          <cell r="Y42">
            <v>1</v>
          </cell>
          <cell r="Z42">
            <v>2</v>
          </cell>
          <cell r="AA42" t="str">
            <v>באחוזים 5.7</v>
          </cell>
          <cell r="AB42">
            <v>0.05</v>
          </cell>
          <cell r="AC42">
            <v>3</v>
          </cell>
          <cell r="AD42">
            <v>7.5046904315196998E-3</v>
          </cell>
          <cell r="AE42">
            <v>0</v>
          </cell>
        </row>
        <row r="43">
          <cell r="A43">
            <v>1001653206</v>
          </cell>
          <cell r="B43">
            <v>580047835</v>
          </cell>
          <cell r="C43" t="str">
            <v>העמותה הישראלית לדיסאוטונומיה משפחת</v>
          </cell>
          <cell r="D43">
            <v>580649739</v>
          </cell>
          <cell r="E43">
            <v>1.5</v>
          </cell>
          <cell r="F43">
            <v>0.5</v>
          </cell>
          <cell r="G43">
            <v>1</v>
          </cell>
          <cell r="H43">
            <v>0.2</v>
          </cell>
          <cell r="I43">
            <v>50</v>
          </cell>
          <cell r="J43">
            <v>0</v>
          </cell>
          <cell r="K43">
            <v>1</v>
          </cell>
          <cell r="L43">
            <v>5</v>
          </cell>
          <cell r="M43">
            <v>50</v>
          </cell>
          <cell r="N43">
            <v>120</v>
          </cell>
          <cell r="O43">
            <v>360</v>
          </cell>
          <cell r="P43" t="str">
            <v>לא</v>
          </cell>
          <cell r="Q43" t="str">
            <v>כן</v>
          </cell>
          <cell r="R43">
            <v>138</v>
          </cell>
          <cell r="S43">
            <v>2</v>
          </cell>
          <cell r="T43">
            <v>1</v>
          </cell>
          <cell r="U43">
            <v>1</v>
          </cell>
          <cell r="V43">
            <v>0</v>
          </cell>
          <cell r="W43">
            <v>2</v>
          </cell>
          <cell r="Y43">
            <v>1</v>
          </cell>
          <cell r="Z43">
            <v>2</v>
          </cell>
          <cell r="AA43">
            <v>1</v>
          </cell>
          <cell r="AB43">
            <v>0.66666666666666663</v>
          </cell>
          <cell r="AC43">
            <v>3</v>
          </cell>
          <cell r="AD43">
            <v>3.3333333333333335</v>
          </cell>
          <cell r="AE43">
            <v>1</v>
          </cell>
        </row>
        <row r="44">
          <cell r="A44">
            <v>1001653207</v>
          </cell>
          <cell r="B44">
            <v>580173987</v>
          </cell>
          <cell r="C44" t="str">
            <v>שלוה - האגודה הישראלית לטיפול באנשי</v>
          </cell>
          <cell r="D44">
            <v>580476851</v>
          </cell>
          <cell r="E44">
            <v>62.49</v>
          </cell>
          <cell r="F44">
            <v>56</v>
          </cell>
          <cell r="G44">
            <v>6.6</v>
          </cell>
          <cell r="H44">
            <v>6</v>
          </cell>
          <cell r="I44">
            <v>700</v>
          </cell>
          <cell r="J44">
            <v>0</v>
          </cell>
          <cell r="K44">
            <v>1</v>
          </cell>
          <cell r="L44">
            <v>300</v>
          </cell>
          <cell r="M44">
            <v>400</v>
          </cell>
          <cell r="N44">
            <v>150</v>
          </cell>
          <cell r="O44">
            <v>450</v>
          </cell>
          <cell r="P44">
            <v>0</v>
          </cell>
          <cell r="Q44">
            <v>0</v>
          </cell>
          <cell r="R44">
            <v>698</v>
          </cell>
          <cell r="S44" t="str">
            <v>לא</v>
          </cell>
          <cell r="T44" t="str">
            <v>עיריית ירושלים, מועצה מקומית גוש עציון</v>
          </cell>
          <cell r="U44" t="str">
            <v>לא</v>
          </cell>
          <cell r="V44" t="str">
            <v>לא</v>
          </cell>
          <cell r="W44">
            <v>2</v>
          </cell>
          <cell r="X44" t="str">
            <v>ירושלים וגוש עציון</v>
          </cell>
          <cell r="Y44">
            <v>1.5</v>
          </cell>
          <cell r="Z44">
            <v>3</v>
          </cell>
          <cell r="AA44">
            <v>3</v>
          </cell>
          <cell r="AB44">
            <v>4.8007681228996638E-2</v>
          </cell>
          <cell r="AC44">
            <v>3</v>
          </cell>
          <cell r="AD44">
            <v>4.8007681228996635</v>
          </cell>
          <cell r="AE44">
            <v>1</v>
          </cell>
        </row>
        <row r="45">
          <cell r="A45">
            <v>1001653226</v>
          </cell>
          <cell r="B45">
            <v>580641959</v>
          </cell>
          <cell r="C45" t="str">
            <v>תקוה לפרקינסון (ע''ר)</v>
          </cell>
          <cell r="D45">
            <v>580476851</v>
          </cell>
          <cell r="E45">
            <v>2.2000000000000002</v>
          </cell>
          <cell r="F45">
            <v>0.2</v>
          </cell>
          <cell r="G45">
            <v>0.5</v>
          </cell>
          <cell r="H45">
            <v>0.5</v>
          </cell>
          <cell r="I45">
            <v>323</v>
          </cell>
          <cell r="J45">
            <v>0</v>
          </cell>
          <cell r="K45">
            <v>1</v>
          </cell>
          <cell r="L45">
            <v>6</v>
          </cell>
          <cell r="M45">
            <v>84</v>
          </cell>
          <cell r="N45">
            <v>1320</v>
          </cell>
          <cell r="O45">
            <v>3960</v>
          </cell>
          <cell r="P45" t="str">
            <v>לא</v>
          </cell>
          <cell r="Q45" t="str">
            <v>כן</v>
          </cell>
          <cell r="R45">
            <v>270</v>
          </cell>
          <cell r="S45" t="str">
            <v>לא</v>
          </cell>
          <cell r="T45" t="str">
            <v>ירושלים</v>
          </cell>
          <cell r="U45" t="str">
            <v xml:space="preserve">לא </v>
          </cell>
          <cell r="V45" t="str">
            <v>לא</v>
          </cell>
          <cell r="W45">
            <v>1</v>
          </cell>
          <cell r="X45" t="str">
            <v>ירושלים</v>
          </cell>
          <cell r="Y45">
            <v>1</v>
          </cell>
          <cell r="Z45">
            <v>1</v>
          </cell>
          <cell r="AA45">
            <v>3</v>
          </cell>
          <cell r="AB45">
            <v>1.3636363636363635</v>
          </cell>
          <cell r="AC45">
            <v>3</v>
          </cell>
          <cell r="AD45">
            <v>2.7272727272727271</v>
          </cell>
          <cell r="AE45">
            <v>1</v>
          </cell>
        </row>
        <row r="46">
          <cell r="A46">
            <v>1001653365</v>
          </cell>
          <cell r="B46">
            <v>580476851</v>
          </cell>
          <cell r="C46" t="str">
            <v>חזון דב - העמותה לשיקום ותמיכה באנש</v>
          </cell>
          <cell r="D46">
            <v>580476851</v>
          </cell>
          <cell r="E46">
            <v>21</v>
          </cell>
          <cell r="F46">
            <v>2</v>
          </cell>
          <cell r="G46">
            <v>2</v>
          </cell>
          <cell r="H46">
            <v>15</v>
          </cell>
          <cell r="I46">
            <v>310</v>
          </cell>
          <cell r="J46">
            <v>0</v>
          </cell>
          <cell r="K46">
            <v>1</v>
          </cell>
          <cell r="L46">
            <v>50</v>
          </cell>
          <cell r="M46">
            <v>60</v>
          </cell>
          <cell r="N46">
            <v>24</v>
          </cell>
          <cell r="O46">
            <v>72</v>
          </cell>
          <cell r="P46" t="str">
            <v>כן</v>
          </cell>
          <cell r="Q46" t="str">
            <v>כן</v>
          </cell>
          <cell r="R46">
            <v>211</v>
          </cell>
          <cell r="S46" t="str">
            <v>בני ברק</v>
          </cell>
          <cell r="T46">
            <v>0</v>
          </cell>
          <cell r="U46" t="str">
            <v>צפת</v>
          </cell>
          <cell r="V46">
            <v>0</v>
          </cell>
          <cell r="W46">
            <v>2</v>
          </cell>
          <cell r="X46" t="str">
            <v>בני ברק וצפת</v>
          </cell>
          <cell r="Y46">
            <v>1.5</v>
          </cell>
          <cell r="Z46">
            <v>3</v>
          </cell>
          <cell r="AB46">
            <v>0</v>
          </cell>
          <cell r="AD46">
            <v>2.3809523809523809</v>
          </cell>
          <cell r="AE46">
            <v>1</v>
          </cell>
        </row>
        <row r="47">
          <cell r="A47">
            <v>1001653366</v>
          </cell>
          <cell r="B47">
            <v>580673770</v>
          </cell>
          <cell r="C47" t="str">
            <v>שערים לחיים (ע"ר)</v>
          </cell>
          <cell r="D47">
            <v>580476851</v>
          </cell>
          <cell r="E47">
            <v>5</v>
          </cell>
          <cell r="F47">
            <v>1</v>
          </cell>
          <cell r="G47">
            <v>1.5</v>
          </cell>
          <cell r="H47">
            <v>2.5</v>
          </cell>
          <cell r="I47">
            <v>320</v>
          </cell>
          <cell r="J47">
            <v>0</v>
          </cell>
          <cell r="K47">
            <v>1</v>
          </cell>
          <cell r="L47">
            <v>52</v>
          </cell>
          <cell r="M47">
            <v>25</v>
          </cell>
          <cell r="N47">
            <v>50</v>
          </cell>
          <cell r="O47">
            <v>150</v>
          </cell>
          <cell r="P47" t="str">
            <v>כן</v>
          </cell>
          <cell r="Q47" t="str">
            <v>כן</v>
          </cell>
          <cell r="R47">
            <v>465</v>
          </cell>
          <cell r="S47" t="str">
            <v>בני ברק</v>
          </cell>
          <cell r="T47" t="str">
            <v>ירושלים</v>
          </cell>
          <cell r="U47">
            <v>0</v>
          </cell>
          <cell r="V47">
            <v>0</v>
          </cell>
          <cell r="W47">
            <v>2</v>
          </cell>
          <cell r="X47" t="str">
            <v>בני ברק וירושלים</v>
          </cell>
          <cell r="Y47">
            <v>1</v>
          </cell>
          <cell r="Z47">
            <v>2</v>
          </cell>
        </row>
        <row r="48">
          <cell r="A48">
            <v>1001653626</v>
          </cell>
          <cell r="B48">
            <v>580299683</v>
          </cell>
          <cell r="C48" t="str">
            <v>מגן - מרכז גוף ונפש (ע"ר)</v>
          </cell>
          <cell r="D48">
            <v>580476851</v>
          </cell>
          <cell r="E48">
            <v>13</v>
          </cell>
          <cell r="F48">
            <v>0.7</v>
          </cell>
          <cell r="G48">
            <v>1.25</v>
          </cell>
          <cell r="H48">
            <v>0.24</v>
          </cell>
          <cell r="I48">
            <v>60</v>
          </cell>
          <cell r="J48">
            <v>0</v>
          </cell>
          <cell r="K48">
            <v>1</v>
          </cell>
          <cell r="L48">
            <v>10</v>
          </cell>
          <cell r="M48">
            <v>60</v>
          </cell>
          <cell r="N48">
            <v>15</v>
          </cell>
          <cell r="O48">
            <v>45</v>
          </cell>
          <cell r="P48" t="str">
            <v>לא</v>
          </cell>
          <cell r="Q48" t="str">
            <v>לא</v>
          </cell>
          <cell r="R48">
            <v>0</v>
          </cell>
          <cell r="S48" t="str">
            <v>בני ברק</v>
          </cell>
          <cell r="T48" t="str">
            <v>ירושלים, בית שמש, ביתר עילית</v>
          </cell>
          <cell r="U48" t="str">
            <v>חיפה</v>
          </cell>
          <cell r="V48" t="str">
            <v>אשדוד</v>
          </cell>
          <cell r="W48">
            <v>2</v>
          </cell>
          <cell r="X48" t="str">
            <v>בני ברק, אשדוד, חיפה</v>
          </cell>
          <cell r="Y48">
            <v>1</v>
          </cell>
          <cell r="Z48">
            <v>2</v>
          </cell>
        </row>
        <row r="49">
          <cell r="A49">
            <v>1001653690</v>
          </cell>
          <cell r="B49">
            <v>580517167</v>
          </cell>
          <cell r="C49" t="str">
            <v>עמותת סאנרייז ישראל (ע"ר)</v>
          </cell>
          <cell r="D49">
            <v>580476851</v>
          </cell>
          <cell r="E49">
            <v>16.7</v>
          </cell>
          <cell r="F49">
            <v>0</v>
          </cell>
          <cell r="G49">
            <v>0</v>
          </cell>
          <cell r="H49">
            <v>13.9</v>
          </cell>
          <cell r="I49">
            <v>24</v>
          </cell>
          <cell r="J49">
            <v>193</v>
          </cell>
          <cell r="K49">
            <v>0.11059907834101383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 t="str">
            <v>כן</v>
          </cell>
          <cell r="Q49" t="str">
            <v>כן</v>
          </cell>
          <cell r="R49">
            <v>70</v>
          </cell>
          <cell r="S49" t="str">
            <v>לא</v>
          </cell>
          <cell r="T49" t="str">
            <v>ירושלים</v>
          </cell>
          <cell r="U49" t="str">
            <v>חיפה</v>
          </cell>
          <cell r="V49" t="str">
            <v>באר שבע</v>
          </cell>
          <cell r="W49">
            <v>2</v>
          </cell>
          <cell r="X49" t="str">
            <v>ירושלים, חיפה, באר שבע</v>
          </cell>
          <cell r="Y49">
            <v>1.5</v>
          </cell>
          <cell r="Z49">
            <v>3</v>
          </cell>
        </row>
        <row r="50">
          <cell r="A50">
            <v>1001653735</v>
          </cell>
          <cell r="B50">
            <v>580107787</v>
          </cell>
          <cell r="C50" t="str">
            <v>צהר לטהר</v>
          </cell>
          <cell r="D50">
            <v>580476851</v>
          </cell>
          <cell r="E50">
            <v>45</v>
          </cell>
          <cell r="F50">
            <v>2.25</v>
          </cell>
          <cell r="G50">
            <v>6.5</v>
          </cell>
          <cell r="H50">
            <v>26</v>
          </cell>
          <cell r="I50">
            <v>617</v>
          </cell>
          <cell r="J50">
            <v>0</v>
          </cell>
          <cell r="K50">
            <v>1</v>
          </cell>
          <cell r="L50">
            <v>0</v>
          </cell>
          <cell r="M50">
            <v>160</v>
          </cell>
          <cell r="N50">
            <v>75</v>
          </cell>
          <cell r="O50">
            <v>225</v>
          </cell>
          <cell r="P50" t="str">
            <v>כן</v>
          </cell>
          <cell r="Q50" t="str">
            <v>כן</v>
          </cell>
          <cell r="R50">
            <v>614</v>
          </cell>
          <cell r="S50" t="str">
            <v>גן יבנה</v>
          </cell>
          <cell r="T50" t="str">
            <v>ביתר עלית, אשדוד</v>
          </cell>
          <cell r="U50" t="str">
            <v>רכסים צפת חיפה</v>
          </cell>
          <cell r="V50">
            <v>0</v>
          </cell>
          <cell r="W50">
            <v>2</v>
          </cell>
          <cell r="X50" t="str">
            <v>צפת, רכסים</v>
          </cell>
          <cell r="Y50">
            <v>1.5</v>
          </cell>
          <cell r="Z50">
            <v>3</v>
          </cell>
        </row>
        <row r="51">
          <cell r="A51">
            <v>1001653738</v>
          </cell>
          <cell r="B51">
            <v>580560738</v>
          </cell>
          <cell r="C51" t="str">
            <v>שמעיה גליל עליון (ע"ר)</v>
          </cell>
          <cell r="D51">
            <v>580476851</v>
          </cell>
          <cell r="E51">
            <v>3.3</v>
          </cell>
          <cell r="F51">
            <v>0</v>
          </cell>
          <cell r="G51">
            <v>1.3</v>
          </cell>
          <cell r="H51">
            <v>0.6</v>
          </cell>
          <cell r="I51">
            <v>30</v>
          </cell>
          <cell r="J51">
            <v>38</v>
          </cell>
          <cell r="K51">
            <v>0.44117647058823528</v>
          </cell>
          <cell r="L51">
            <v>0</v>
          </cell>
          <cell r="M51">
            <v>160</v>
          </cell>
          <cell r="N51">
            <v>0</v>
          </cell>
          <cell r="O51">
            <v>0</v>
          </cell>
          <cell r="P51" t="str">
            <v>כן</v>
          </cell>
          <cell r="Q51" t="str">
            <v>כן</v>
          </cell>
          <cell r="R51">
            <v>103</v>
          </cell>
          <cell r="S51">
            <v>0</v>
          </cell>
          <cell r="T51">
            <v>0</v>
          </cell>
          <cell r="U51">
            <v>2</v>
          </cell>
          <cell r="V51">
            <v>0</v>
          </cell>
          <cell r="W51">
            <v>1</v>
          </cell>
          <cell r="X51" t="str">
            <v>גליל עליון</v>
          </cell>
          <cell r="Y51">
            <v>1.5</v>
          </cell>
          <cell r="Z51">
            <v>1.5</v>
          </cell>
        </row>
        <row r="52">
          <cell r="A52" t="str">
            <v>1001629343</v>
          </cell>
          <cell r="B52" t="str">
            <v>580313039</v>
          </cell>
          <cell r="C52" t="str">
            <v>המרכז להנצחת זכרו של אייל שמעוני ז"</v>
          </cell>
          <cell r="D52" t="str">
            <v>580313039</v>
          </cell>
          <cell r="E52">
            <v>50</v>
          </cell>
          <cell r="F52">
            <v>1</v>
          </cell>
          <cell r="G52">
            <v>25</v>
          </cell>
          <cell r="H52">
            <v>15</v>
          </cell>
          <cell r="I52">
            <v>800</v>
          </cell>
          <cell r="J52">
            <v>1000</v>
          </cell>
          <cell r="M52">
            <v>5</v>
          </cell>
          <cell r="P52" t="str">
            <v>לא</v>
          </cell>
          <cell r="Q52" t="str">
            <v>לא</v>
          </cell>
          <cell r="U52" t="str">
            <v>עמק הירדן, אשכול, עמקים</v>
          </cell>
          <cell r="W52">
            <v>2</v>
          </cell>
          <cell r="X52" t="str">
            <v>עמק הירדן</v>
          </cell>
          <cell r="Y52">
            <v>1.5</v>
          </cell>
          <cell r="Z52">
            <v>3</v>
          </cell>
          <cell r="AA52">
            <v>4</v>
          </cell>
        </row>
        <row r="55">
          <cell r="A55">
            <v>1001632819</v>
          </cell>
          <cell r="B55">
            <v>580321016</v>
          </cell>
          <cell r="C55" t="str">
            <v>עמותת ורטיגו למחול - ירושלים (ע"ר)</v>
          </cell>
          <cell r="D55">
            <v>580299683</v>
          </cell>
          <cell r="E55">
            <v>20</v>
          </cell>
          <cell r="F55">
            <v>0</v>
          </cell>
          <cell r="G55">
            <v>0</v>
          </cell>
          <cell r="H55">
            <v>3</v>
          </cell>
          <cell r="I55">
            <v>224</v>
          </cell>
          <cell r="J55">
            <v>643</v>
          </cell>
          <cell r="K55">
            <v>0.25836216839677045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 t="str">
            <v>ירושלים, מטה יהודה</v>
          </cell>
          <cell r="U55">
            <v>0</v>
          </cell>
          <cell r="V55">
            <v>0</v>
          </cell>
          <cell r="W55">
            <v>2</v>
          </cell>
          <cell r="X55" t="str">
            <v>מטה יהודה</v>
          </cell>
          <cell r="Y55">
            <v>1.5</v>
          </cell>
          <cell r="Z55">
            <v>3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</row>
      </sheetData>
      <sheetData sheetId="5" refreshError="1"/>
      <sheetData sheetId="6">
        <row r="2">
          <cell r="A2">
            <v>1001593629</v>
          </cell>
          <cell r="B2" t="str">
            <v>אנשים עם מוגבלות 2023</v>
          </cell>
          <cell r="C2">
            <v>580676369</v>
          </cell>
          <cell r="D2">
            <v>42395685</v>
          </cell>
          <cell r="E2" t="str">
            <v>אהבת חינ"מ לכולם (ע"ר)</v>
          </cell>
          <cell r="F2">
            <v>300000</v>
          </cell>
          <cell r="G2">
            <v>250000</v>
          </cell>
        </row>
        <row r="3">
          <cell r="A3">
            <v>1001593670</v>
          </cell>
          <cell r="B3" t="str">
            <v>אנשים עם מוגבלות 2023</v>
          </cell>
          <cell r="C3">
            <v>580630556</v>
          </cell>
          <cell r="D3">
            <v>42376202</v>
          </cell>
          <cell r="E3" t="str">
            <v>בית לחינוך (ע''ר)</v>
          </cell>
          <cell r="F3">
            <v>600000</v>
          </cell>
          <cell r="G3">
            <v>150000</v>
          </cell>
        </row>
        <row r="4">
          <cell r="A4">
            <v>1001593676</v>
          </cell>
          <cell r="B4" t="str">
            <v>אנשים עם מוגבלות 2023</v>
          </cell>
          <cell r="C4">
            <v>580582187</v>
          </cell>
          <cell r="D4">
            <v>41527651</v>
          </cell>
          <cell r="E4" t="str">
            <v>עמותת לסת - וחדק לתמיכה ושילוב אנשי</v>
          </cell>
          <cell r="F4">
            <v>300000</v>
          </cell>
          <cell r="G4">
            <v>200000</v>
          </cell>
        </row>
        <row r="5">
          <cell r="A5">
            <v>1001593968</v>
          </cell>
          <cell r="B5" t="str">
            <v>עמותת שותף תמשיך לסייע לבני נוער עם מוגב</v>
          </cell>
          <cell r="C5">
            <v>580504249</v>
          </cell>
          <cell r="D5">
            <v>41123796</v>
          </cell>
          <cell r="E5" t="str">
            <v>שותף - לקידום ולשילוב ילדים עם צרכי</v>
          </cell>
          <cell r="F5">
            <v>1000000</v>
          </cell>
          <cell r="G5">
            <v>200000</v>
          </cell>
        </row>
        <row r="6">
          <cell r="A6">
            <v>1001595221</v>
          </cell>
          <cell r="B6" t="str">
            <v>טיפול שיקום בני נוער עם מוגבלות ומשפחתם</v>
          </cell>
          <cell r="C6">
            <v>580554533</v>
          </cell>
          <cell r="D6">
            <v>40827314</v>
          </cell>
          <cell r="E6" t="str">
            <v>חינוך ועתיד (ע"ר)</v>
          </cell>
          <cell r="F6">
            <v>300000</v>
          </cell>
          <cell r="G6">
            <v>250000</v>
          </cell>
        </row>
        <row r="7">
          <cell r="A7">
            <v>1001595279</v>
          </cell>
          <cell r="B7" t="str">
            <v>מימון העסקת עובדים להדרכה שיקומית</v>
          </cell>
          <cell r="C7">
            <v>580388585</v>
          </cell>
          <cell r="D7">
            <v>40140344</v>
          </cell>
          <cell r="E7" t="str">
            <v>שמחת הלב- איגוד הליצנים הרפואים - ט</v>
          </cell>
          <cell r="F7">
            <v>1500000</v>
          </cell>
          <cell r="G7">
            <v>250000</v>
          </cell>
        </row>
        <row r="8">
          <cell r="A8">
            <v>1001596057</v>
          </cell>
          <cell r="B8" t="str">
            <v>הפעלת השירות הסוציאלי בקשר</v>
          </cell>
          <cell r="C8">
            <v>580235125</v>
          </cell>
          <cell r="D8">
            <v>40011299</v>
          </cell>
          <cell r="E8" t="str">
            <v>קשר-הבית של המשפחות המיוחדות ????-</v>
          </cell>
          <cell r="F8">
            <v>400000</v>
          </cell>
          <cell r="G8">
            <v>200000</v>
          </cell>
        </row>
        <row r="9">
          <cell r="A9">
            <v>1001598154</v>
          </cell>
          <cell r="B9" t="str">
            <v>פעילות טבע לאנשים עם מוגבלויות</v>
          </cell>
          <cell r="C9">
            <v>580228161</v>
          </cell>
          <cell r="D9">
            <v>40019254</v>
          </cell>
          <cell r="E9" t="str">
            <v>לטם - טבע נגיש לכולם (ע"ר)</v>
          </cell>
          <cell r="F9">
            <v>750000</v>
          </cell>
          <cell r="G9">
            <v>600000</v>
          </cell>
        </row>
        <row r="10">
          <cell r="A10">
            <v>1001598157</v>
          </cell>
          <cell r="B10" t="str">
            <v>עמותת סבא ג'ק תמשיך לפעול לשילוב בעלי מו</v>
          </cell>
          <cell r="C10">
            <v>580366912</v>
          </cell>
          <cell r="D10">
            <v>40522867</v>
          </cell>
          <cell r="E10" t="str">
            <v>סבא ג'ק - מרכז לטיפול חוויתי משולב</v>
          </cell>
          <cell r="F10">
            <v>400000</v>
          </cell>
          <cell r="G10">
            <v>100000</v>
          </cell>
        </row>
        <row r="11">
          <cell r="A11">
            <v>1001618503</v>
          </cell>
          <cell r="B11" t="str">
            <v>טיפול ושיקום ילדים עם עיוורון ולקות ראיה</v>
          </cell>
          <cell r="C11">
            <v>580297406</v>
          </cell>
          <cell r="D11">
            <v>40176313</v>
          </cell>
          <cell r="E11" t="str">
            <v>אופק לילדינו (ע"ר)</v>
          </cell>
          <cell r="F11">
            <v>150000</v>
          </cell>
          <cell r="G11">
            <v>100000</v>
          </cell>
        </row>
        <row r="12">
          <cell r="A12">
            <v>1001618504</v>
          </cell>
          <cell r="B12" t="str">
            <v>ימי הפוגה לילדים ,בני נוער ומשפחותיהם עם</v>
          </cell>
          <cell r="C12">
            <v>580355584</v>
          </cell>
          <cell r="D12">
            <v>40390869</v>
          </cell>
          <cell r="E12" t="str">
            <v>כפר נהר הירדן (ע"ר)</v>
          </cell>
          <cell r="F12">
            <v>176000</v>
          </cell>
          <cell r="G12">
            <v>140000</v>
          </cell>
        </row>
        <row r="13">
          <cell r="A13">
            <v>1001618505</v>
          </cell>
          <cell r="B13" t="str">
            <v>סיוע במימון עו"סים ורכזי פרוייקט קשישים</v>
          </cell>
          <cell r="C13">
            <v>580176444</v>
          </cell>
          <cell r="D13">
            <v>40000534</v>
          </cell>
          <cell r="E13" t="str">
            <v>עלה - עמותה לקידום הסטודנטים העוורי</v>
          </cell>
          <cell r="F13">
            <v>378443</v>
          </cell>
          <cell r="G13">
            <v>240000</v>
          </cell>
        </row>
        <row r="14">
          <cell r="A14">
            <v>1001625711</v>
          </cell>
          <cell r="B14" t="str">
            <v>תמיכה בשיקום אנשים עם פגיעה מוחית</v>
          </cell>
          <cell r="C14">
            <v>580077089</v>
          </cell>
          <cell r="D14">
            <v>40009754</v>
          </cell>
          <cell r="E14" t="str">
            <v>המכון הלאומי לשיקום נוירופסיכולוגי</v>
          </cell>
          <cell r="F14">
            <v>550000</v>
          </cell>
          <cell r="G14">
            <v>550000</v>
          </cell>
        </row>
        <row r="15">
          <cell r="A15">
            <v>1001625713</v>
          </cell>
          <cell r="B15" t="str">
            <v>תמיכה באנשים עם מוגבלויות ושיקומם2023</v>
          </cell>
          <cell r="C15">
            <v>580263614</v>
          </cell>
          <cell r="D15">
            <v>40299519</v>
          </cell>
          <cell r="E15" t="str">
            <v>מגן הלב</v>
          </cell>
          <cell r="F15">
            <v>200000</v>
          </cell>
          <cell r="G15">
            <v>170000</v>
          </cell>
        </row>
        <row r="16">
          <cell r="A16">
            <v>1001625894</v>
          </cell>
          <cell r="B16" t="str">
            <v>אנשים עם מוגבלויות 2023</v>
          </cell>
          <cell r="C16">
            <v>580145746</v>
          </cell>
          <cell r="D16">
            <v>40000152</v>
          </cell>
          <cell r="E16" t="str">
            <v>העמותה לרכיבה וכלבנות טיפולית (ע"ר)</v>
          </cell>
          <cell r="F16">
            <v>3000000</v>
          </cell>
          <cell r="G16">
            <v>300000</v>
          </cell>
        </row>
        <row r="17">
          <cell r="A17">
            <v>1001627525</v>
          </cell>
          <cell r="B17" t="str">
            <v>טיפול באנשים עם מוגבלות 2023</v>
          </cell>
          <cell r="C17">
            <v>580071850</v>
          </cell>
          <cell r="D17">
            <v>40001679</v>
          </cell>
          <cell r="E17" t="str">
            <v>בית איזי שפירא - עמותת אבי</v>
          </cell>
          <cell r="F17">
            <v>1250000</v>
          </cell>
          <cell r="G17">
            <v>500000</v>
          </cell>
        </row>
        <row r="18">
          <cell r="A18">
            <v>1001627840</v>
          </cell>
          <cell r="B18" t="str">
            <v>העסקת עו"ס ומדריכים טיפוליים חברתיים</v>
          </cell>
          <cell r="C18">
            <v>580333011</v>
          </cell>
          <cell r="D18">
            <v>40388156</v>
          </cell>
          <cell r="E18" t="str">
            <v>לב בנימין (ע"ר)</v>
          </cell>
          <cell r="F18">
            <v>370000</v>
          </cell>
          <cell r="G18">
            <v>300000</v>
          </cell>
        </row>
        <row r="19">
          <cell r="A19">
            <v>1001627886</v>
          </cell>
          <cell r="B19" t="str">
            <v>מועדון צוותא</v>
          </cell>
          <cell r="C19">
            <v>580309896</v>
          </cell>
          <cell r="D19">
            <v>40388143</v>
          </cell>
          <cell r="E19" t="str">
            <v>עמותת על - עמותה לקידום תוכניות ייח</v>
          </cell>
          <cell r="F19">
            <v>250000</v>
          </cell>
          <cell r="G19">
            <v>219000</v>
          </cell>
        </row>
        <row r="20">
          <cell r="A20">
            <v>1001627887</v>
          </cell>
          <cell r="B20" t="str">
            <v>קבוצות תמיכה</v>
          </cell>
          <cell r="C20">
            <v>580005890</v>
          </cell>
          <cell r="D20">
            <v>40016851</v>
          </cell>
          <cell r="E20" t="str">
            <v>האגודה הישראלית לטרשת נפוצה (ע"ר)</v>
          </cell>
          <cell r="F20">
            <v>149670</v>
          </cell>
          <cell r="G20">
            <v>91650</v>
          </cell>
        </row>
        <row r="21">
          <cell r="A21">
            <v>1001627933</v>
          </cell>
          <cell r="B21" t="str">
            <v>הכנה לחיים עצמאיים אנשם עם נכוית מורכבות</v>
          </cell>
          <cell r="C21">
            <v>580115319</v>
          </cell>
          <cell r="D21">
            <v>40140336</v>
          </cell>
          <cell r="E21" t="str">
            <v>צעד קדימה - עמותה לחינוך ושיקום באמ</v>
          </cell>
          <cell r="F21">
            <v>350000</v>
          </cell>
          <cell r="G21">
            <v>150000</v>
          </cell>
        </row>
        <row r="22">
          <cell r="A22">
            <v>1001628580</v>
          </cell>
          <cell r="B22" t="str">
            <v>תמיכה בהעסקת מדריכים מקצועיים ועו"סים</v>
          </cell>
          <cell r="C22">
            <v>580023992</v>
          </cell>
          <cell r="D22">
            <v>40293009</v>
          </cell>
          <cell r="E22" t="str">
            <v>בית הגלגלים (ע"ר)</v>
          </cell>
          <cell r="F22">
            <v>1800000</v>
          </cell>
          <cell r="G22">
            <v>450000</v>
          </cell>
        </row>
        <row r="23">
          <cell r="A23">
            <v>1001628701</v>
          </cell>
          <cell r="B23" t="str">
            <v>תמיכה באנשים עם מוגבלויות ושיקומם</v>
          </cell>
          <cell r="C23">
            <v>580382414</v>
          </cell>
          <cell r="D23">
            <v>40272736</v>
          </cell>
          <cell r="E23" t="str">
            <v>מכון "מסילות" אשדוד (ע"ר)</v>
          </cell>
          <cell r="F23">
            <v>200000</v>
          </cell>
          <cell r="G23">
            <v>150000</v>
          </cell>
        </row>
        <row r="24">
          <cell r="A24">
            <v>1001628706</v>
          </cell>
          <cell r="B24" t="str">
            <v>טיפול ריגשי מונגש לאנשים עם עיוורון 2023</v>
          </cell>
          <cell r="C24">
            <v>580421626</v>
          </cell>
          <cell r="D24">
            <v>40327609</v>
          </cell>
          <cell r="E24" t="str">
            <v>יעדים לצפון מיסודה של קרן רש"י (ע"ר</v>
          </cell>
          <cell r="F24">
            <v>289776</v>
          </cell>
          <cell r="G24">
            <v>120000</v>
          </cell>
        </row>
        <row r="25">
          <cell r="A25">
            <v>1001629302</v>
          </cell>
          <cell r="B25" t="str">
            <v>תמיכה לפתיחת סניפים, עזרה לחסרי אמצעים,</v>
          </cell>
          <cell r="C25">
            <v>580684538</v>
          </cell>
          <cell r="D25">
            <v>42414504</v>
          </cell>
          <cell r="E25" t="str">
            <v>לבב חברתי (ע"ר)</v>
          </cell>
          <cell r="F25">
            <v>554000</v>
          </cell>
          <cell r="G25">
            <v>100000</v>
          </cell>
        </row>
        <row r="26">
          <cell r="A26">
            <v>1001629431</v>
          </cell>
          <cell r="B26" t="str">
            <v>תמיכה בפעילויות ספורט לאנשים עם מוגבלות</v>
          </cell>
          <cell r="C26">
            <v>580258242</v>
          </cell>
          <cell r="D26">
            <v>40000204</v>
          </cell>
          <cell r="E26" t="str">
            <v>אתגרים</v>
          </cell>
          <cell r="F26">
            <v>1163760</v>
          </cell>
          <cell r="G26">
            <v>814632</v>
          </cell>
        </row>
        <row r="27">
          <cell r="A27">
            <v>1001629553</v>
          </cell>
          <cell r="B27" t="str">
            <v>עמותת משעולים תמשיך בשנת 2023 לסייע לילד</v>
          </cell>
          <cell r="C27">
            <v>580000073</v>
          </cell>
          <cell r="D27">
            <v>40140331</v>
          </cell>
          <cell r="E27" t="str">
            <v>משעולים (ע"ר)</v>
          </cell>
          <cell r="F27">
            <v>450000</v>
          </cell>
          <cell r="G27">
            <v>100000</v>
          </cell>
        </row>
        <row r="28">
          <cell r="A28">
            <v>1001631595</v>
          </cell>
          <cell r="B28" t="str">
            <v>טיפול באנשים עם מוגבלויות ושיקומם 2023</v>
          </cell>
          <cell r="C28">
            <v>580543122</v>
          </cell>
          <cell r="D28">
            <v>41381807</v>
          </cell>
          <cell r="E28" t="str">
            <v>"הבית של רונית" - מרכז התפתחות חברת</v>
          </cell>
          <cell r="F28">
            <v>710000</v>
          </cell>
          <cell r="G28">
            <v>600000</v>
          </cell>
        </row>
        <row r="29">
          <cell r="A29">
            <v>1001631600</v>
          </cell>
          <cell r="B29" t="str">
            <v>פרויקט מרכז הנגישות וההעצמה</v>
          </cell>
          <cell r="C29">
            <v>580442697</v>
          </cell>
          <cell r="D29">
            <v>40296190</v>
          </cell>
          <cell r="E29" t="str">
            <v>אלמנארה - עמותה לקידום אנשים עם מוג</v>
          </cell>
          <cell r="F29">
            <v>192500</v>
          </cell>
          <cell r="G29">
            <v>150000</v>
          </cell>
        </row>
        <row r="30">
          <cell r="A30">
            <v>1001632006</v>
          </cell>
          <cell r="B30" t="str">
            <v>תמיכה באנשים עם מוגבלות ושיקומם</v>
          </cell>
          <cell r="C30">
            <v>580590875</v>
          </cell>
          <cell r="D30">
            <v>42003365</v>
          </cell>
          <cell r="E30" t="str">
            <v>מוסדות תורה, חינוך וסיוע בית שמש (ע</v>
          </cell>
          <cell r="F30">
            <v>700000</v>
          </cell>
          <cell r="G30">
            <v>400000</v>
          </cell>
        </row>
        <row r="31">
          <cell r="A31">
            <v>1001632013</v>
          </cell>
          <cell r="B31" t="str">
            <v>תמיכה לאנשים עם מוגבלויות לשנת 2023</v>
          </cell>
          <cell r="C31">
            <v>580012318</v>
          </cell>
          <cell r="D31">
            <v>40140352</v>
          </cell>
          <cell r="E31" t="str">
            <v>אגודת עזרה למרפא שע"י אברכי חסידי ב</v>
          </cell>
          <cell r="F31">
            <v>2500000</v>
          </cell>
          <cell r="G31">
            <v>1800000</v>
          </cell>
        </row>
        <row r="32">
          <cell r="A32">
            <v>1001632042</v>
          </cell>
          <cell r="B32" t="str">
            <v>תמיכה וטיפול למוגבלים 2023</v>
          </cell>
          <cell r="C32">
            <v>580426062</v>
          </cell>
          <cell r="D32">
            <v>40412572</v>
          </cell>
          <cell r="E32" t="str">
            <v>קרן עזרה לזולת קרית גת (ע"ר)</v>
          </cell>
          <cell r="F32">
            <v>110000</v>
          </cell>
          <cell r="G32">
            <v>80000</v>
          </cell>
        </row>
        <row r="33">
          <cell r="A33">
            <v>1001632055</v>
          </cell>
          <cell r="B33" t="str">
            <v>תמיכה למוסדות ציבור העוסקים בטיפול באנשי</v>
          </cell>
          <cell r="C33">
            <v>580003739</v>
          </cell>
          <cell r="D33">
            <v>40296467</v>
          </cell>
          <cell r="E33" t="str">
            <v>מסגרת שמעיה (ע"ר)</v>
          </cell>
          <cell r="F33">
            <v>355000</v>
          </cell>
          <cell r="G33">
            <v>300000</v>
          </cell>
        </row>
        <row r="34">
          <cell r="A34">
            <v>1001632067</v>
          </cell>
          <cell r="B34" t="str">
            <v>עמותת קו לחיים - שיקום אנשים עם מוגבלות</v>
          </cell>
          <cell r="C34">
            <v>580175677</v>
          </cell>
          <cell r="D34">
            <v>40140407</v>
          </cell>
          <cell r="E34" t="str">
            <v>קו לחיים - תנועה חברתית לשיפור והצל</v>
          </cell>
          <cell r="F34">
            <v>2300000</v>
          </cell>
          <cell r="G34">
            <v>1300000</v>
          </cell>
        </row>
        <row r="35">
          <cell r="A35">
            <v>1001632289</v>
          </cell>
          <cell r="B35" t="str">
            <v>תמיכה בכח אדם לטיפול בילדים בעלי מוגבלוי</v>
          </cell>
          <cell r="C35">
            <v>580165249</v>
          </cell>
          <cell r="D35">
            <v>40140403</v>
          </cell>
          <cell r="E35" t="str">
            <v>ס.ו.ל.ם. - סיוע ועידוד לילדים מוגבל</v>
          </cell>
          <cell r="F35">
            <v>1000000</v>
          </cell>
          <cell r="G35">
            <v>850000</v>
          </cell>
        </row>
        <row r="36">
          <cell r="A36">
            <v>1001632819</v>
          </cell>
          <cell r="B36" t="str">
            <v>כח האיזון מיזמים יחודיים</v>
          </cell>
          <cell r="C36">
            <v>580321016</v>
          </cell>
          <cell r="D36">
            <v>40000234</v>
          </cell>
          <cell r="E36" t="str">
            <v>עמותת ורטיגו למחול - ירושלים (ע"ר)</v>
          </cell>
          <cell r="F36">
            <v>489531</v>
          </cell>
          <cell r="G36">
            <v>416101</v>
          </cell>
        </row>
        <row r="37">
          <cell r="A37">
            <v>1001653064</v>
          </cell>
          <cell r="B37" t="str">
            <v>טיפול באנשים עם מוגבלות ובני משפחותיהם</v>
          </cell>
          <cell r="C37">
            <v>580014322</v>
          </cell>
          <cell r="D37">
            <v>40140354</v>
          </cell>
          <cell r="E37" t="str">
            <v>שיח סוד- מרכז חינוכי שיקומי לבעלי צ</v>
          </cell>
          <cell r="F37">
            <v>1200000</v>
          </cell>
          <cell r="G37">
            <v>1080000</v>
          </cell>
        </row>
        <row r="38">
          <cell r="A38">
            <v>1001653065</v>
          </cell>
          <cell r="B38" t="str">
            <v>בקשת תמיכה לטיפול באנשים עם מוגבלויות</v>
          </cell>
          <cell r="C38">
            <v>580507234</v>
          </cell>
          <cell r="D38">
            <v>40376024</v>
          </cell>
          <cell r="E38" t="str">
            <v>בדרך אל- בית ספר בטב"ע (בדרך טבעית</v>
          </cell>
          <cell r="F38">
            <v>100000</v>
          </cell>
          <cell r="G38">
            <v>50000</v>
          </cell>
        </row>
        <row r="39">
          <cell r="A39">
            <v>1001653069</v>
          </cell>
          <cell r="B39" t="str">
            <v>בעלי מוגבלויות 2023</v>
          </cell>
          <cell r="C39">
            <v>580028173</v>
          </cell>
          <cell r="D39">
            <v>40016868</v>
          </cell>
          <cell r="E39" t="str">
            <v>האגודה למען העוור ולמניעת העוורון ח</v>
          </cell>
          <cell r="F39">
            <v>500000</v>
          </cell>
          <cell r="G39">
            <v>350000</v>
          </cell>
        </row>
        <row r="40">
          <cell r="A40">
            <v>1001653142</v>
          </cell>
          <cell r="B40" t="str">
            <v>תמיכה וטיפול בבעלי מוגבלות</v>
          </cell>
          <cell r="C40">
            <v>580676823</v>
          </cell>
          <cell r="D40">
            <v>42301418</v>
          </cell>
          <cell r="E40" t="str">
            <v>שלובות (ע"ר)</v>
          </cell>
          <cell r="F40">
            <v>150000</v>
          </cell>
          <cell r="G40">
            <v>125000</v>
          </cell>
        </row>
        <row r="41">
          <cell r="A41">
            <v>1001653173</v>
          </cell>
          <cell r="B41" t="str">
            <v>תמיכה בפעילות בלתי נתמכת בלקש</v>
          </cell>
          <cell r="C41">
            <v>580210243</v>
          </cell>
          <cell r="D41">
            <v>40144039</v>
          </cell>
          <cell r="E41" t="str">
            <v>שמע קולנו - מרכז ארצי שיקום והדרכה</v>
          </cell>
          <cell r="F41">
            <v>500000</v>
          </cell>
          <cell r="G41">
            <v>400000</v>
          </cell>
        </row>
        <row r="42">
          <cell r="A42">
            <v>1001653175</v>
          </cell>
          <cell r="B42" t="str">
            <v>בקשת תמיכה לטיפול באנשים עם מוגבלות - פת</v>
          </cell>
          <cell r="C42">
            <v>580266971</v>
          </cell>
          <cell r="D42">
            <v>40140430</v>
          </cell>
          <cell r="E42" t="str">
            <v>פתחיה - מוסדות לחינוך מיוחד (ע"ר)</v>
          </cell>
          <cell r="F42">
            <v>2863014</v>
          </cell>
          <cell r="G42">
            <v>2433562</v>
          </cell>
        </row>
        <row r="43">
          <cell r="A43">
            <v>1001653193</v>
          </cell>
          <cell r="B43" t="str">
            <v>בקשת תמיכה לתוכנית "שווים ניצחון" 2023</v>
          </cell>
          <cell r="C43">
            <v>580558591</v>
          </cell>
          <cell r="D43">
            <v>41461204</v>
          </cell>
          <cell r="E43" t="str">
            <v>שער שוויון (ע"ר)</v>
          </cell>
          <cell r="F43">
            <v>620940</v>
          </cell>
          <cell r="G43">
            <v>300840</v>
          </cell>
        </row>
        <row r="44">
          <cell r="A44">
            <v>1001653206</v>
          </cell>
          <cell r="B44" t="str">
            <v>תמיכה באנשים בעלי מוגבליות 2023</v>
          </cell>
          <cell r="C44">
            <v>580047835</v>
          </cell>
          <cell r="D44">
            <v>40140368</v>
          </cell>
          <cell r="E44" t="str">
            <v>העמותה הישראלית לדיסאוטונומיה משפחת</v>
          </cell>
          <cell r="F44">
            <v>200000</v>
          </cell>
          <cell r="G44">
            <v>150000</v>
          </cell>
        </row>
        <row r="45">
          <cell r="A45">
            <v>1001653207</v>
          </cell>
          <cell r="B45" t="str">
            <v>בקשה לתמיכה תכניות שיקומיות שלוה - אני ו</v>
          </cell>
          <cell r="C45">
            <v>580173987</v>
          </cell>
          <cell r="D45">
            <v>40140406</v>
          </cell>
          <cell r="E45" t="str">
            <v>שלוה - האגודה הישראלית לטיפול באנשי</v>
          </cell>
          <cell r="F45">
            <v>1570000</v>
          </cell>
          <cell r="G45">
            <v>100000</v>
          </cell>
        </row>
        <row r="46">
          <cell r="A46">
            <v>1001653226</v>
          </cell>
          <cell r="B46" t="str">
            <v>תמיכה באנשים בעלי מוגבלויות 2023</v>
          </cell>
          <cell r="C46">
            <v>580641959</v>
          </cell>
          <cell r="D46">
            <v>42236326</v>
          </cell>
          <cell r="E46" t="str">
            <v>תקוה לפרקינסון (ע''ר)</v>
          </cell>
          <cell r="F46">
            <v>400000</v>
          </cell>
          <cell r="G46">
            <v>250000</v>
          </cell>
        </row>
        <row r="47">
          <cell r="A47">
            <v>1001653365</v>
          </cell>
          <cell r="B47" t="str">
            <v>פעילות לבעלי מוגבלויות ושילובם בקהילה וע</v>
          </cell>
          <cell r="C47">
            <v>580476851</v>
          </cell>
          <cell r="D47">
            <v>41562694</v>
          </cell>
          <cell r="E47" t="str">
            <v>חזון דב - העמותה לשיקום ותמיכה באנש</v>
          </cell>
          <cell r="F47">
            <v>400000</v>
          </cell>
          <cell r="G47">
            <v>360000</v>
          </cell>
        </row>
        <row r="48">
          <cell r="A48">
            <v>1001653366</v>
          </cell>
          <cell r="B48" t="str">
            <v>תמיכה בפעילות עבור בעלי מוגבלויות</v>
          </cell>
          <cell r="C48">
            <v>580673770</v>
          </cell>
          <cell r="D48">
            <v>42427769</v>
          </cell>
          <cell r="E48" t="str">
            <v>שערים לחיים (ע"ר)</v>
          </cell>
          <cell r="F48">
            <v>200000</v>
          </cell>
          <cell r="G48">
            <v>180000</v>
          </cell>
        </row>
        <row r="49">
          <cell r="A49">
            <v>1001653626</v>
          </cell>
          <cell r="B49" t="str">
            <v>תמיכה באנשים עם מוגבלויות לשנת 2023</v>
          </cell>
          <cell r="C49">
            <v>580299683</v>
          </cell>
          <cell r="D49">
            <v>40153417</v>
          </cell>
          <cell r="E49" t="str">
            <v>מגן - מרכז גוף ונפש (ע"ר)</v>
          </cell>
          <cell r="F49">
            <v>790000</v>
          </cell>
          <cell r="G49">
            <v>670000</v>
          </cell>
        </row>
        <row r="50">
          <cell r="A50">
            <v>1001653690</v>
          </cell>
          <cell r="B50" t="str">
            <v>תמיכה בקייטנות ופעילות בית החולים</v>
          </cell>
          <cell r="C50">
            <v>580517167</v>
          </cell>
          <cell r="D50">
            <v>41005258</v>
          </cell>
          <cell r="E50" t="str">
            <v>עמותת סאנרייז ישראל (ע"ר)</v>
          </cell>
          <cell r="F50">
            <v>4063281</v>
          </cell>
          <cell r="G50">
            <v>314912</v>
          </cell>
        </row>
        <row r="51">
          <cell r="A51">
            <v>1001653735</v>
          </cell>
          <cell r="B51" t="str">
            <v>תמיכה וטיפול במוגבלויות ושיקומם 2023</v>
          </cell>
          <cell r="C51">
            <v>580107787</v>
          </cell>
          <cell r="D51">
            <v>40303429</v>
          </cell>
          <cell r="E51" t="str">
            <v>צהר לטהר</v>
          </cell>
          <cell r="F51">
            <v>150000</v>
          </cell>
          <cell r="G51">
            <v>127500</v>
          </cell>
        </row>
        <row r="52">
          <cell r="A52">
            <v>1001653738</v>
          </cell>
          <cell r="B52" t="str">
            <v>תמיכה בטיפול באנשים עם מוגבלויות</v>
          </cell>
          <cell r="C52">
            <v>580560738</v>
          </cell>
          <cell r="D52">
            <v>41376480</v>
          </cell>
          <cell r="E52" t="str">
            <v>שמעיה גליל עליון (ע"ר)</v>
          </cell>
          <cell r="F52">
            <v>60000</v>
          </cell>
          <cell r="G52">
            <v>50000</v>
          </cell>
        </row>
        <row r="53">
          <cell r="A53" t="str">
            <v>1001629343</v>
          </cell>
          <cell r="C53" t="str">
            <v>580313039</v>
          </cell>
          <cell r="E53" t="str">
            <v>המרכז להנצחת זכרו של אייל שמעוני ז"</v>
          </cell>
          <cell r="F53">
            <v>475000</v>
          </cell>
          <cell r="G53">
            <v>403750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קריטריונים וניקוד"/>
      <sheetName val="גליון מסכם"/>
      <sheetName val="מגוון שרותים"/>
      <sheetName val="ייחודיות ונחיצות"/>
      <sheetName val="נתונים מהעמותות"/>
      <sheetName val="סכומי בקשה"/>
      <sheetName val="פרויקטים"/>
      <sheetName val="אפשרויות"/>
      <sheetName val="תקציב"/>
      <sheetName val="התקשרות"/>
    </sheetNames>
    <sheetDataSet>
      <sheetData sheetId="0">
        <row r="7">
          <cell r="A7">
            <v>1001546645</v>
          </cell>
          <cell r="B7" t="str">
            <v>העמותה לרכיבה וכלבנות טיפולית (ע"ר)</v>
          </cell>
          <cell r="C7">
            <v>1</v>
          </cell>
          <cell r="D7">
            <v>2</v>
          </cell>
          <cell r="E7">
            <v>4.5</v>
          </cell>
          <cell r="F7">
            <v>7.5</v>
          </cell>
          <cell r="G7">
            <v>4</v>
          </cell>
          <cell r="H7">
            <v>4</v>
          </cell>
          <cell r="I7">
            <v>4.5</v>
          </cell>
          <cell r="J7">
            <v>0.66666666666666663</v>
          </cell>
          <cell r="K7">
            <v>12.5</v>
          </cell>
          <cell r="L7">
            <v>6.5463873596368133E-3</v>
          </cell>
          <cell r="M7">
            <v>20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300</v>
          </cell>
          <cell r="T7">
            <v>0</v>
          </cell>
          <cell r="U7">
            <v>300</v>
          </cell>
          <cell r="V7">
            <v>3.1531815601942362E-3</v>
          </cell>
          <cell r="W7">
            <v>1</v>
          </cell>
          <cell r="X7">
            <v>1.4084507042253521E-2</v>
          </cell>
          <cell r="Y7">
            <v>1</v>
          </cell>
          <cell r="Z7">
            <v>1.3245033112582781E-2</v>
          </cell>
          <cell r="AA7">
            <v>0</v>
          </cell>
          <cell r="AB7">
            <v>0</v>
          </cell>
          <cell r="AC7">
            <v>5.1382321138135172E-3</v>
          </cell>
          <cell r="AD7">
            <v>16218.962903972535</v>
          </cell>
          <cell r="AE7">
            <v>750000</v>
          </cell>
          <cell r="AF7">
            <v>2400000</v>
          </cell>
          <cell r="AG7">
            <v>750000</v>
          </cell>
          <cell r="AH7">
            <v>3000000</v>
          </cell>
          <cell r="AI7">
            <v>2550000</v>
          </cell>
          <cell r="AJ7">
            <v>16218.962903972535</v>
          </cell>
        </row>
        <row r="8">
          <cell r="A8">
            <v>1001546689</v>
          </cell>
          <cell r="B8" t="str">
            <v>שותף - לקידום ולשילוב ילדים עם צרכי</v>
          </cell>
          <cell r="C8">
            <v>1</v>
          </cell>
          <cell r="D8">
            <v>1</v>
          </cell>
          <cell r="E8">
            <v>50</v>
          </cell>
          <cell r="F8">
            <v>52</v>
          </cell>
          <cell r="G8">
            <v>4</v>
          </cell>
          <cell r="H8">
            <v>2</v>
          </cell>
          <cell r="I8">
            <v>50</v>
          </cell>
          <cell r="J8">
            <v>0.8571428571428571</v>
          </cell>
          <cell r="K8">
            <v>56</v>
          </cell>
          <cell r="L8">
            <v>2.9327815371172922E-2</v>
          </cell>
          <cell r="M8">
            <v>4</v>
          </cell>
          <cell r="N8">
            <v>0</v>
          </cell>
          <cell r="O8">
            <v>3</v>
          </cell>
          <cell r="P8">
            <v>3</v>
          </cell>
          <cell r="Q8">
            <v>3.7974683544303799E-2</v>
          </cell>
          <cell r="R8">
            <v>5</v>
          </cell>
          <cell r="S8">
            <v>75</v>
          </cell>
          <cell r="T8">
            <v>0</v>
          </cell>
          <cell r="U8">
            <v>80</v>
          </cell>
          <cell r="V8">
            <v>8.4084841605179626E-4</v>
          </cell>
          <cell r="W8">
            <v>3</v>
          </cell>
          <cell r="X8">
            <v>4.2253521126760563E-2</v>
          </cell>
          <cell r="Y8">
            <v>1</v>
          </cell>
          <cell r="Z8">
            <v>1.3245033112582781E-2</v>
          </cell>
          <cell r="AA8">
            <v>3</v>
          </cell>
          <cell r="AB8">
            <v>6.25E-2</v>
          </cell>
          <cell r="AC8">
            <v>2.4027713679705583E-2</v>
          </cell>
          <cell r="AD8">
            <v>75844.10127964917</v>
          </cell>
          <cell r="AE8">
            <v>5200000</v>
          </cell>
          <cell r="AF8">
            <v>100000</v>
          </cell>
          <cell r="AG8">
            <v>100000</v>
          </cell>
          <cell r="AH8">
            <v>350000</v>
          </cell>
          <cell r="AI8">
            <v>297500</v>
          </cell>
          <cell r="AJ8">
            <v>75844.10127964917</v>
          </cell>
        </row>
        <row r="9">
          <cell r="A9">
            <v>1001546703</v>
          </cell>
          <cell r="B9" t="str">
            <v>משעולים (ע"ר)</v>
          </cell>
          <cell r="C9">
            <v>3</v>
          </cell>
          <cell r="D9">
            <v>2</v>
          </cell>
          <cell r="E9">
            <v>5</v>
          </cell>
          <cell r="F9">
            <v>10</v>
          </cell>
          <cell r="G9">
            <v>12</v>
          </cell>
          <cell r="H9">
            <v>4</v>
          </cell>
          <cell r="I9">
            <v>5</v>
          </cell>
          <cell r="J9">
            <v>0.33333333333333331</v>
          </cell>
          <cell r="K9">
            <v>21</v>
          </cell>
          <cell r="L9">
            <v>1.0997930764189846E-2</v>
          </cell>
          <cell r="M9">
            <v>4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36</v>
          </cell>
          <cell r="S9">
            <v>1134</v>
          </cell>
          <cell r="T9">
            <v>0</v>
          </cell>
          <cell r="U9">
            <v>1170</v>
          </cell>
          <cell r="V9">
            <v>1.229740808475752E-2</v>
          </cell>
          <cell r="W9">
            <v>1</v>
          </cell>
          <cell r="X9">
            <v>1.4084507042253521E-2</v>
          </cell>
          <cell r="Y9">
            <v>1</v>
          </cell>
          <cell r="Z9">
            <v>1.3245033112582781E-2</v>
          </cell>
          <cell r="AA9">
            <v>0</v>
          </cell>
          <cell r="AB9">
            <v>0</v>
          </cell>
          <cell r="AC9">
            <v>9.6741744187765766E-3</v>
          </cell>
          <cell r="AD9">
            <v>30536.782408657054</v>
          </cell>
          <cell r="AE9">
            <v>1000000</v>
          </cell>
          <cell r="AF9">
            <v>70000</v>
          </cell>
          <cell r="AG9">
            <v>70000</v>
          </cell>
          <cell r="AH9">
            <v>250000</v>
          </cell>
          <cell r="AI9">
            <v>212500</v>
          </cell>
          <cell r="AJ9">
            <v>30536.782408657054</v>
          </cell>
        </row>
        <row r="10">
          <cell r="A10">
            <v>1001546704</v>
          </cell>
          <cell r="B10" t="str">
            <v>חינוך ועתיד (ע"ר)</v>
          </cell>
          <cell r="C10">
            <v>0</v>
          </cell>
          <cell r="D10">
            <v>1</v>
          </cell>
          <cell r="E10">
            <v>1</v>
          </cell>
          <cell r="F10">
            <v>2</v>
          </cell>
          <cell r="G10">
            <v>0</v>
          </cell>
          <cell r="H10">
            <v>2</v>
          </cell>
          <cell r="I10">
            <v>1</v>
          </cell>
          <cell r="J10">
            <v>1</v>
          </cell>
          <cell r="K10">
            <v>3</v>
          </cell>
          <cell r="L10">
            <v>1.5711329663128351E-3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1</v>
          </cell>
          <cell r="X10">
            <v>1.4084507042253521E-2</v>
          </cell>
          <cell r="Y10">
            <v>1</v>
          </cell>
          <cell r="Z10">
            <v>1.3245033112582781E-2</v>
          </cell>
          <cell r="AA10">
            <v>0</v>
          </cell>
          <cell r="AB10">
            <v>0</v>
          </cell>
          <cell r="AC10">
            <v>2.5420422497483418E-3</v>
          </cell>
          <cell r="AD10">
            <v>8024.0222776544624</v>
          </cell>
          <cell r="AE10">
            <v>200000</v>
          </cell>
          <cell r="AF10">
            <v>200850</v>
          </cell>
          <cell r="AG10">
            <v>200000</v>
          </cell>
          <cell r="AH10">
            <v>236295</v>
          </cell>
          <cell r="AI10">
            <v>200850.75</v>
          </cell>
          <cell r="AJ10">
            <v>8024.0222776544624</v>
          </cell>
        </row>
        <row r="11">
          <cell r="A11">
            <v>1001546705</v>
          </cell>
          <cell r="B11" t="str">
            <v>סבא ג'ק - מרכז לטיפול חוויתי משולב</v>
          </cell>
          <cell r="C11">
            <v>1</v>
          </cell>
          <cell r="D11">
            <v>14</v>
          </cell>
          <cell r="E11">
            <v>14</v>
          </cell>
          <cell r="F11">
            <v>29</v>
          </cell>
          <cell r="G11">
            <v>4</v>
          </cell>
          <cell r="H11">
            <v>28</v>
          </cell>
          <cell r="I11">
            <v>14</v>
          </cell>
          <cell r="J11">
            <v>0.90909090909090906</v>
          </cell>
          <cell r="K11">
            <v>46</v>
          </cell>
          <cell r="L11">
            <v>2.4090705483463475E-2</v>
          </cell>
          <cell r="M11">
            <v>40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6</v>
          </cell>
          <cell r="S11">
            <v>36</v>
          </cell>
          <cell r="T11">
            <v>0</v>
          </cell>
          <cell r="U11">
            <v>42</v>
          </cell>
          <cell r="V11">
            <v>4.4144541842719301E-4</v>
          </cell>
          <cell r="W11">
            <v>1</v>
          </cell>
          <cell r="X11">
            <v>1.4084507042253521E-2</v>
          </cell>
          <cell r="Y11">
            <v>1</v>
          </cell>
          <cell r="Z11">
            <v>1.3245033112582781E-2</v>
          </cell>
          <cell r="AA11">
            <v>0</v>
          </cell>
          <cell r="AB11">
            <v>0</v>
          </cell>
          <cell r="AC11">
            <v>9.4524199013430506E-3</v>
          </cell>
          <cell r="AD11">
            <v>29836.808524181575</v>
          </cell>
          <cell r="AE11">
            <v>2900000</v>
          </cell>
          <cell r="AF11">
            <v>100000</v>
          </cell>
          <cell r="AG11">
            <v>100000</v>
          </cell>
          <cell r="AH11">
            <v>450000</v>
          </cell>
          <cell r="AI11">
            <v>382500</v>
          </cell>
          <cell r="AJ11">
            <v>29836.808524181575</v>
          </cell>
        </row>
        <row r="12">
          <cell r="A12">
            <v>1001546862</v>
          </cell>
          <cell r="B12" t="str">
            <v>צעד קדימה - עמותה לחינוך ושיקום באמ</v>
          </cell>
          <cell r="C12">
            <v>0.25</v>
          </cell>
          <cell r="D12">
            <v>0.39</v>
          </cell>
          <cell r="E12">
            <v>1.4</v>
          </cell>
          <cell r="F12">
            <v>2.04</v>
          </cell>
          <cell r="G12">
            <v>1</v>
          </cell>
          <cell r="H12">
            <v>0.78</v>
          </cell>
          <cell r="I12">
            <v>1.4</v>
          </cell>
          <cell r="J12">
            <v>1</v>
          </cell>
          <cell r="K12">
            <v>3.1799999999999997</v>
          </cell>
          <cell r="L12">
            <v>1.6654009442916052E-3</v>
          </cell>
          <cell r="M12">
            <v>60</v>
          </cell>
          <cell r="N12">
            <v>1</v>
          </cell>
          <cell r="O12">
            <v>0</v>
          </cell>
          <cell r="P12">
            <v>1</v>
          </cell>
          <cell r="Q12">
            <v>1.2658227848101266E-2</v>
          </cell>
          <cell r="R12">
            <v>18</v>
          </cell>
          <cell r="S12">
            <v>18</v>
          </cell>
          <cell r="T12">
            <v>73</v>
          </cell>
          <cell r="U12">
            <v>109</v>
          </cell>
          <cell r="V12">
            <v>1.1456559668705723E-3</v>
          </cell>
          <cell r="W12">
            <v>2</v>
          </cell>
          <cell r="X12">
            <v>2.8169014084507043E-2</v>
          </cell>
          <cell r="Y12">
            <v>2</v>
          </cell>
          <cell r="Z12">
            <v>2.6490066225165563E-2</v>
          </cell>
          <cell r="AA12">
            <v>0</v>
          </cell>
          <cell r="AB12">
            <v>0</v>
          </cell>
          <cell r="AC12">
            <v>6.3078273762112906E-3</v>
          </cell>
          <cell r="AD12">
            <v>19910.820677873791</v>
          </cell>
          <cell r="AE12">
            <v>204000</v>
          </cell>
          <cell r="AF12">
            <v>150000</v>
          </cell>
          <cell r="AG12">
            <v>150000</v>
          </cell>
          <cell r="AH12">
            <v>708000</v>
          </cell>
          <cell r="AI12">
            <v>601800</v>
          </cell>
          <cell r="AJ12">
            <v>19910.820677873791</v>
          </cell>
        </row>
        <row r="13">
          <cell r="A13">
            <v>1001547450</v>
          </cell>
          <cell r="B13" t="str">
            <v>עלה - עמותה לקידום הסטודנטים העוורי</v>
          </cell>
          <cell r="C13">
            <v>4</v>
          </cell>
          <cell r="D13">
            <v>47</v>
          </cell>
          <cell r="E13">
            <v>38</v>
          </cell>
          <cell r="F13">
            <v>89</v>
          </cell>
          <cell r="G13">
            <v>16</v>
          </cell>
          <cell r="H13">
            <v>94</v>
          </cell>
          <cell r="I13">
            <v>38</v>
          </cell>
          <cell r="J13">
            <v>1</v>
          </cell>
          <cell r="K13">
            <v>148</v>
          </cell>
          <cell r="L13">
            <v>7.7509226338099868E-2</v>
          </cell>
          <cell r="M13">
            <v>500</v>
          </cell>
          <cell r="N13">
            <v>3</v>
          </cell>
          <cell r="O13">
            <v>3</v>
          </cell>
          <cell r="P13">
            <v>6</v>
          </cell>
          <cell r="Q13">
            <v>7.5949367088607597E-2</v>
          </cell>
          <cell r="R13">
            <v>4500</v>
          </cell>
          <cell r="S13">
            <v>210</v>
          </cell>
          <cell r="T13">
            <v>0</v>
          </cell>
          <cell r="U13">
            <v>4710</v>
          </cell>
          <cell r="V13">
            <v>4.9504950495049507E-2</v>
          </cell>
          <cell r="W13">
            <v>3</v>
          </cell>
          <cell r="X13">
            <v>4.2253521126760563E-2</v>
          </cell>
          <cell r="Y13">
            <v>2</v>
          </cell>
          <cell r="Z13">
            <v>2.6490066225165563E-2</v>
          </cell>
          <cell r="AA13">
            <v>3</v>
          </cell>
          <cell r="AB13">
            <v>6.25E-2</v>
          </cell>
          <cell r="AC13">
            <v>5.9974292707492376E-2</v>
          </cell>
          <cell r="AD13">
            <v>189310.41009217291</v>
          </cell>
          <cell r="AE13">
            <v>8900000</v>
          </cell>
          <cell r="AF13">
            <v>240000</v>
          </cell>
          <cell r="AG13">
            <v>240000</v>
          </cell>
          <cell r="AH13">
            <v>434446</v>
          </cell>
          <cell r="AI13">
            <v>369279.1</v>
          </cell>
          <cell r="AJ13">
            <v>189310.41009217291</v>
          </cell>
        </row>
        <row r="14">
          <cell r="A14">
            <v>1001547735</v>
          </cell>
          <cell r="B14" t="str">
            <v>עמותת לסת - וחדק לתמיכה ושילוב אנשי</v>
          </cell>
          <cell r="C14">
            <v>0</v>
          </cell>
          <cell r="D14">
            <v>3.7</v>
          </cell>
          <cell r="E14">
            <v>8.2100000000000009</v>
          </cell>
          <cell r="F14">
            <v>11.91</v>
          </cell>
          <cell r="G14">
            <v>0</v>
          </cell>
          <cell r="H14">
            <v>7.4</v>
          </cell>
          <cell r="I14">
            <v>8.2100000000000009</v>
          </cell>
          <cell r="J14">
            <v>1</v>
          </cell>
          <cell r="K14">
            <v>15.610000000000001</v>
          </cell>
          <cell r="L14">
            <v>8.1751285347144535E-3</v>
          </cell>
          <cell r="M14">
            <v>74</v>
          </cell>
          <cell r="N14">
            <v>1</v>
          </cell>
          <cell r="O14">
            <v>3</v>
          </cell>
          <cell r="P14">
            <v>4</v>
          </cell>
          <cell r="Q14">
            <v>5.0632911392405063E-2</v>
          </cell>
          <cell r="R14">
            <v>25</v>
          </cell>
          <cell r="S14">
            <v>9</v>
          </cell>
          <cell r="T14">
            <v>357</v>
          </cell>
          <cell r="U14">
            <v>391</v>
          </cell>
          <cell r="V14">
            <v>4.1096466334531543E-3</v>
          </cell>
          <cell r="W14">
            <v>1</v>
          </cell>
          <cell r="X14">
            <v>1.4084507042253521E-2</v>
          </cell>
          <cell r="Y14">
            <v>1.5</v>
          </cell>
          <cell r="Z14">
            <v>1.9867549668874173E-2</v>
          </cell>
          <cell r="AA14">
            <v>3</v>
          </cell>
          <cell r="AB14">
            <v>6.25E-2</v>
          </cell>
          <cell r="AC14">
            <v>1.7606034209032506E-2</v>
          </cell>
          <cell r="AD14">
            <v>55573.903513369623</v>
          </cell>
          <cell r="AE14">
            <v>1191000</v>
          </cell>
          <cell r="AF14">
            <v>200000</v>
          </cell>
          <cell r="AG14">
            <v>200000</v>
          </cell>
          <cell r="AH14">
            <v>250000</v>
          </cell>
          <cell r="AI14">
            <v>212500</v>
          </cell>
          <cell r="AJ14">
            <v>55573.903513369623</v>
          </cell>
        </row>
        <row r="15">
          <cell r="A15">
            <v>1001548067</v>
          </cell>
          <cell r="B15" t="str">
            <v>אופק לילדינו (ע"ר)</v>
          </cell>
          <cell r="C15">
            <v>2.1</v>
          </cell>
          <cell r="D15">
            <v>0.12</v>
          </cell>
          <cell r="E15">
            <v>0</v>
          </cell>
          <cell r="F15">
            <v>2.2200000000000002</v>
          </cell>
          <cell r="G15">
            <v>8.4</v>
          </cell>
          <cell r="H15">
            <v>0.24</v>
          </cell>
          <cell r="I15">
            <v>0</v>
          </cell>
          <cell r="J15">
            <v>1</v>
          </cell>
          <cell r="K15">
            <v>8.64</v>
          </cell>
          <cell r="L15">
            <v>4.524862942980966E-3</v>
          </cell>
          <cell r="M15">
            <v>67</v>
          </cell>
          <cell r="N15">
            <v>1</v>
          </cell>
          <cell r="O15">
            <v>3</v>
          </cell>
          <cell r="P15">
            <v>4</v>
          </cell>
          <cell r="Q15">
            <v>5.0632911392405063E-2</v>
          </cell>
          <cell r="R15">
            <v>35</v>
          </cell>
          <cell r="S15">
            <v>120</v>
          </cell>
          <cell r="T15">
            <v>462</v>
          </cell>
          <cell r="U15">
            <v>617</v>
          </cell>
          <cell r="V15">
            <v>6.4850434087994789E-3</v>
          </cell>
          <cell r="W15">
            <v>2</v>
          </cell>
          <cell r="X15">
            <v>2.8169014084507043E-2</v>
          </cell>
          <cell r="Y15">
            <v>1</v>
          </cell>
          <cell r="Z15">
            <v>1.3245033112582781E-2</v>
          </cell>
          <cell r="AA15">
            <v>3</v>
          </cell>
          <cell r="AB15">
            <v>6.25E-2</v>
          </cell>
          <cell r="AC15">
            <v>1.8419668279294456E-2</v>
          </cell>
          <cell r="AD15">
            <v>58142.160554056842</v>
          </cell>
          <cell r="AE15">
            <v>222000.00000000003</v>
          </cell>
          <cell r="AF15">
            <v>80000</v>
          </cell>
          <cell r="AG15">
            <v>80000</v>
          </cell>
          <cell r="AH15">
            <v>100000</v>
          </cell>
          <cell r="AI15">
            <v>85000</v>
          </cell>
          <cell r="AJ15">
            <v>58142.160554056842</v>
          </cell>
        </row>
        <row r="16">
          <cell r="A16">
            <v>1001548120</v>
          </cell>
          <cell r="B16" t="str">
            <v>תקוה לפרקינסון (ע''ר)</v>
          </cell>
          <cell r="C16">
            <v>0.23</v>
          </cell>
          <cell r="D16">
            <v>0.5</v>
          </cell>
          <cell r="E16">
            <v>0.35</v>
          </cell>
          <cell r="F16">
            <v>1.08</v>
          </cell>
          <cell r="G16">
            <v>0.92</v>
          </cell>
          <cell r="H16">
            <v>1</v>
          </cell>
          <cell r="I16">
            <v>0.35</v>
          </cell>
          <cell r="J16">
            <v>1</v>
          </cell>
          <cell r="K16">
            <v>2.27</v>
          </cell>
          <cell r="L16">
            <v>1.1888239445100454E-3</v>
          </cell>
          <cell r="M16">
            <v>6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616</v>
          </cell>
          <cell r="S16">
            <v>60</v>
          </cell>
          <cell r="T16">
            <v>279</v>
          </cell>
          <cell r="U16">
            <v>955</v>
          </cell>
          <cell r="V16">
            <v>1.0037627966618319E-2</v>
          </cell>
          <cell r="W16">
            <v>1</v>
          </cell>
          <cell r="X16">
            <v>1.4084507042253521E-2</v>
          </cell>
          <cell r="Y16">
            <v>1</v>
          </cell>
          <cell r="Z16">
            <v>1.3245033112582781E-2</v>
          </cell>
          <cell r="AA16">
            <v>0</v>
          </cell>
          <cell r="AB16">
            <v>0</v>
          </cell>
          <cell r="AC16">
            <v>5.940519331523916E-3</v>
          </cell>
          <cell r="AD16">
            <v>18751.403310351685</v>
          </cell>
          <cell r="AE16">
            <v>108000</v>
          </cell>
          <cell r="AF16">
            <v>250000</v>
          </cell>
          <cell r="AG16">
            <v>108000</v>
          </cell>
          <cell r="AH16">
            <v>400000</v>
          </cell>
          <cell r="AI16">
            <v>340000</v>
          </cell>
          <cell r="AJ16">
            <v>18751.403310351685</v>
          </cell>
        </row>
        <row r="17">
          <cell r="A17">
            <v>1001548321</v>
          </cell>
          <cell r="B17" t="str">
            <v>פתחיה - מוסדות לחינוך מיוחד (ע"ר)</v>
          </cell>
          <cell r="C17">
            <v>15</v>
          </cell>
          <cell r="D17">
            <v>125</v>
          </cell>
          <cell r="E17">
            <v>2</v>
          </cell>
          <cell r="F17">
            <v>142</v>
          </cell>
          <cell r="G17">
            <v>60</v>
          </cell>
          <cell r="H17">
            <v>250</v>
          </cell>
          <cell r="I17">
            <v>2</v>
          </cell>
          <cell r="J17">
            <v>0.95348837209302328</v>
          </cell>
          <cell r="K17">
            <v>297.48837209302326</v>
          </cell>
          <cell r="L17">
            <v>0.15579792949669602</v>
          </cell>
          <cell r="M17">
            <v>4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357</v>
          </cell>
          <cell r="S17">
            <v>270</v>
          </cell>
          <cell r="T17">
            <v>396</v>
          </cell>
          <cell r="U17">
            <v>1023</v>
          </cell>
          <cell r="V17">
            <v>1.0752349120262345E-2</v>
          </cell>
          <cell r="W17">
            <v>1</v>
          </cell>
          <cell r="X17">
            <v>1.4084507042253521E-2</v>
          </cell>
          <cell r="Y17">
            <v>2</v>
          </cell>
          <cell r="Z17">
            <v>2.6490066225165563E-2</v>
          </cell>
          <cell r="AA17">
            <v>0</v>
          </cell>
          <cell r="AB17">
            <v>0</v>
          </cell>
          <cell r="AC17">
            <v>5.3235655056584258E-2</v>
          </cell>
          <cell r="AD17">
            <v>168039.72561111016</v>
          </cell>
          <cell r="AE17">
            <v>14200000</v>
          </cell>
          <cell r="AF17">
            <v>2433562</v>
          </cell>
          <cell r="AG17">
            <v>2433562</v>
          </cell>
          <cell r="AH17">
            <v>2863014</v>
          </cell>
          <cell r="AI17">
            <v>2433561.9</v>
          </cell>
          <cell r="AJ17">
            <v>168039.72561111016</v>
          </cell>
        </row>
        <row r="18">
          <cell r="A18">
            <v>1001548441</v>
          </cell>
          <cell r="B18" t="str">
            <v>בית לחינוך (ע''ר)</v>
          </cell>
          <cell r="C18">
            <v>0.1</v>
          </cell>
          <cell r="D18">
            <v>0.68</v>
          </cell>
          <cell r="E18">
            <v>6.31</v>
          </cell>
          <cell r="F18">
            <v>7.09</v>
          </cell>
          <cell r="G18">
            <v>0.4</v>
          </cell>
          <cell r="H18">
            <v>1.36</v>
          </cell>
          <cell r="I18">
            <v>6.31</v>
          </cell>
          <cell r="J18">
            <v>1</v>
          </cell>
          <cell r="K18">
            <v>8.07</v>
          </cell>
          <cell r="L18">
            <v>4.2263476793815268E-3</v>
          </cell>
          <cell r="M18">
            <v>15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26</v>
          </cell>
          <cell r="S18">
            <v>144</v>
          </cell>
          <cell r="T18">
            <v>498</v>
          </cell>
          <cell r="U18">
            <v>668</v>
          </cell>
          <cell r="V18">
            <v>7.0210842740324984E-3</v>
          </cell>
          <cell r="W18">
            <v>1</v>
          </cell>
          <cell r="X18">
            <v>1.4084507042253521E-2</v>
          </cell>
          <cell r="Y18">
            <v>1</v>
          </cell>
          <cell r="Z18">
            <v>1.3245033112582781E-2</v>
          </cell>
          <cell r="AA18">
            <v>0</v>
          </cell>
          <cell r="AB18">
            <v>0</v>
          </cell>
          <cell r="AC18">
            <v>5.7959861595803241E-3</v>
          </cell>
          <cell r="AD18">
            <v>18295.180605300164</v>
          </cell>
          <cell r="AE18">
            <v>709000</v>
          </cell>
          <cell r="AF18">
            <v>250000</v>
          </cell>
          <cell r="AG18">
            <v>250000</v>
          </cell>
          <cell r="AH18">
            <v>750000</v>
          </cell>
          <cell r="AI18">
            <v>637500</v>
          </cell>
          <cell r="AJ18">
            <v>18295.180605300164</v>
          </cell>
        </row>
        <row r="19">
          <cell r="A19">
            <v>1001548503</v>
          </cell>
          <cell r="B19" t="str">
            <v>קשר-הבית של המשפחות המיוחדות ????-</v>
          </cell>
          <cell r="C19">
            <v>1</v>
          </cell>
          <cell r="D19">
            <v>2</v>
          </cell>
          <cell r="E19">
            <v>1</v>
          </cell>
          <cell r="F19">
            <v>4</v>
          </cell>
          <cell r="G19">
            <v>4</v>
          </cell>
          <cell r="H19">
            <v>4</v>
          </cell>
          <cell r="I19">
            <v>1</v>
          </cell>
          <cell r="J19">
            <v>1</v>
          </cell>
          <cell r="K19">
            <v>9</v>
          </cell>
          <cell r="L19">
            <v>4.7133988989385058E-3</v>
          </cell>
          <cell r="M19">
            <v>135</v>
          </cell>
          <cell r="N19">
            <v>2</v>
          </cell>
          <cell r="O19">
            <v>3</v>
          </cell>
          <cell r="P19">
            <v>5</v>
          </cell>
          <cell r="Q19">
            <v>6.3291139240506333E-2</v>
          </cell>
          <cell r="R19">
            <v>110</v>
          </cell>
          <cell r="S19">
            <v>360</v>
          </cell>
          <cell r="T19">
            <v>0</v>
          </cell>
          <cell r="U19">
            <v>470</v>
          </cell>
          <cell r="V19">
            <v>4.9399844443043031E-3</v>
          </cell>
          <cell r="W19">
            <v>3</v>
          </cell>
          <cell r="X19">
            <v>4.2253521126760563E-2</v>
          </cell>
          <cell r="Y19">
            <v>3</v>
          </cell>
          <cell r="Z19">
            <v>3.9735099337748346E-2</v>
          </cell>
          <cell r="AA19">
            <v>3</v>
          </cell>
          <cell r="AB19">
            <v>6.25E-2</v>
          </cell>
          <cell r="AC19">
            <v>2.1934235228802168E-2</v>
          </cell>
          <cell r="AD19">
            <v>69235.982264514183</v>
          </cell>
          <cell r="AE19">
            <v>400000</v>
          </cell>
          <cell r="AF19">
            <v>200000</v>
          </cell>
          <cell r="AG19">
            <v>200000</v>
          </cell>
          <cell r="AH19">
            <v>400000</v>
          </cell>
          <cell r="AI19">
            <v>340000</v>
          </cell>
          <cell r="AJ19">
            <v>69235.982264514183</v>
          </cell>
        </row>
        <row r="20">
          <cell r="A20">
            <v>1001548925</v>
          </cell>
          <cell r="B20" t="str">
            <v>שמחת הלב- איגוד הליצנים הרפואים - ט</v>
          </cell>
          <cell r="C20">
            <v>1</v>
          </cell>
          <cell r="D20">
            <v>10</v>
          </cell>
          <cell r="E20">
            <v>9</v>
          </cell>
          <cell r="F20">
            <v>20</v>
          </cell>
          <cell r="G20">
            <v>4</v>
          </cell>
          <cell r="H20">
            <v>15</v>
          </cell>
          <cell r="I20">
            <v>130</v>
          </cell>
          <cell r="J20">
            <v>1</v>
          </cell>
          <cell r="K20">
            <v>149</v>
          </cell>
          <cell r="L20">
            <v>7.8032937326870819E-2</v>
          </cell>
          <cell r="M20">
            <v>607</v>
          </cell>
          <cell r="N20">
            <v>3</v>
          </cell>
          <cell r="O20">
            <v>3</v>
          </cell>
          <cell r="P20">
            <v>6</v>
          </cell>
          <cell r="Q20">
            <v>7.5949367088607597E-2</v>
          </cell>
          <cell r="R20">
            <v>0</v>
          </cell>
          <cell r="S20">
            <v>34560</v>
          </cell>
          <cell r="T20">
            <v>6420</v>
          </cell>
          <cell r="U20">
            <v>40980</v>
          </cell>
          <cell r="V20">
            <v>0.43072460112253264</v>
          </cell>
          <cell r="W20">
            <v>2</v>
          </cell>
          <cell r="X20">
            <v>2.8169014084507043E-2</v>
          </cell>
          <cell r="Y20">
            <v>2</v>
          </cell>
          <cell r="Z20">
            <v>2.6490066225165563E-2</v>
          </cell>
          <cell r="AA20">
            <v>3</v>
          </cell>
          <cell r="AB20">
            <v>6.25E-2</v>
          </cell>
          <cell r="AC20">
            <v>0.19214983301951738</v>
          </cell>
          <cell r="AD20">
            <v>606525.93045958609</v>
          </cell>
          <cell r="AE20">
            <v>2000000</v>
          </cell>
          <cell r="AF20">
            <v>250000</v>
          </cell>
          <cell r="AG20">
            <v>250000</v>
          </cell>
          <cell r="AH20">
            <v>1500000</v>
          </cell>
          <cell r="AI20">
            <v>1275000</v>
          </cell>
          <cell r="AJ20">
            <v>250000</v>
          </cell>
        </row>
        <row r="21">
          <cell r="A21">
            <v>1001548959</v>
          </cell>
          <cell r="B21" t="str">
            <v>אגודת עזרה למרפא שע"י אברכי חסידי ב</v>
          </cell>
          <cell r="C21">
            <v>2.7</v>
          </cell>
          <cell r="D21">
            <v>19.7</v>
          </cell>
          <cell r="E21">
            <v>13.5</v>
          </cell>
          <cell r="F21">
            <v>35.9</v>
          </cell>
          <cell r="G21">
            <v>10.8</v>
          </cell>
          <cell r="H21">
            <v>39.4</v>
          </cell>
          <cell r="I21">
            <v>13.5</v>
          </cell>
          <cell r="J21">
            <v>1</v>
          </cell>
          <cell r="K21">
            <v>63.7</v>
          </cell>
          <cell r="L21">
            <v>3.33603899847092E-2</v>
          </cell>
          <cell r="M21">
            <v>435</v>
          </cell>
          <cell r="N21">
            <v>3</v>
          </cell>
          <cell r="O21">
            <v>0</v>
          </cell>
          <cell r="P21">
            <v>3</v>
          </cell>
          <cell r="Q21">
            <v>3.7974683544303799E-2</v>
          </cell>
          <cell r="R21">
            <v>3548</v>
          </cell>
          <cell r="S21">
            <v>2997</v>
          </cell>
          <cell r="T21">
            <v>399</v>
          </cell>
          <cell r="U21">
            <v>6944</v>
          </cell>
          <cell r="V21">
            <v>7.2985642513295909E-2</v>
          </cell>
          <cell r="W21">
            <v>2</v>
          </cell>
          <cell r="X21">
            <v>2.8169014084507043E-2</v>
          </cell>
          <cell r="Y21">
            <v>3</v>
          </cell>
          <cell r="Z21">
            <v>3.9735099337748346E-2</v>
          </cell>
          <cell r="AA21">
            <v>0</v>
          </cell>
          <cell r="AB21">
            <v>0</v>
          </cell>
          <cell r="AC21">
            <v>4.4154216604834831E-2</v>
          </cell>
          <cell r="AD21">
            <v>139373.92965229033</v>
          </cell>
          <cell r="AE21">
            <v>3590000</v>
          </cell>
          <cell r="AF21">
            <v>1800000</v>
          </cell>
          <cell r="AG21">
            <v>1800000</v>
          </cell>
          <cell r="AH21">
            <v>2500000</v>
          </cell>
          <cell r="AI21">
            <v>2125000</v>
          </cell>
          <cell r="AJ21">
            <v>139373.92965229033</v>
          </cell>
        </row>
        <row r="22">
          <cell r="A22">
            <v>1001549381</v>
          </cell>
          <cell r="B22" t="str">
            <v>לב בנימין (ע"ר)</v>
          </cell>
          <cell r="C22">
            <v>1.5</v>
          </cell>
          <cell r="D22">
            <v>1</v>
          </cell>
          <cell r="E22">
            <v>8</v>
          </cell>
          <cell r="F22">
            <v>10.5</v>
          </cell>
          <cell r="G22">
            <v>6</v>
          </cell>
          <cell r="H22">
            <v>2</v>
          </cell>
          <cell r="I22">
            <v>8</v>
          </cell>
          <cell r="J22">
            <v>1</v>
          </cell>
          <cell r="K22">
            <v>16</v>
          </cell>
          <cell r="L22">
            <v>8.3793758203351207E-3</v>
          </cell>
          <cell r="M22">
            <v>223</v>
          </cell>
          <cell r="N22">
            <v>3</v>
          </cell>
          <cell r="O22">
            <v>0</v>
          </cell>
          <cell r="P22">
            <v>3</v>
          </cell>
          <cell r="Q22">
            <v>3.7974683544303799E-2</v>
          </cell>
          <cell r="R22">
            <v>60</v>
          </cell>
          <cell r="S22">
            <v>162</v>
          </cell>
          <cell r="T22">
            <v>1513</v>
          </cell>
          <cell r="U22">
            <v>1735</v>
          </cell>
          <cell r="V22">
            <v>1.8235900023123332E-2</v>
          </cell>
          <cell r="W22">
            <v>2</v>
          </cell>
          <cell r="X22">
            <v>2.8169014084507043E-2</v>
          </cell>
          <cell r="Y22">
            <v>1</v>
          </cell>
          <cell r="Z22">
            <v>1.3245033112582781E-2</v>
          </cell>
          <cell r="AA22">
            <v>0</v>
          </cell>
          <cell r="AB22">
            <v>0</v>
          </cell>
          <cell r="AC22">
            <v>1.6172999172703924E-2</v>
          </cell>
          <cell r="AD22">
            <v>51050.491261941359</v>
          </cell>
          <cell r="AE22">
            <v>1050000</v>
          </cell>
          <cell r="AF22">
            <v>360000</v>
          </cell>
          <cell r="AG22">
            <v>360000</v>
          </cell>
          <cell r="AH22">
            <v>450000</v>
          </cell>
          <cell r="AI22">
            <v>382500</v>
          </cell>
          <cell r="AJ22">
            <v>51050.491261941359</v>
          </cell>
        </row>
        <row r="23">
          <cell r="A23">
            <v>1001549588</v>
          </cell>
          <cell r="B23" t="str">
            <v>בית איזי שפירא - עמותת אבי</v>
          </cell>
          <cell r="C23">
            <v>8.4599999999999991</v>
          </cell>
          <cell r="D23">
            <v>11</v>
          </cell>
          <cell r="E23">
            <v>9.6</v>
          </cell>
          <cell r="F23">
            <v>29.060000000000002</v>
          </cell>
          <cell r="G23">
            <v>33.839999999999996</v>
          </cell>
          <cell r="H23">
            <v>22</v>
          </cell>
          <cell r="I23">
            <v>9.6</v>
          </cell>
          <cell r="J23">
            <v>1</v>
          </cell>
          <cell r="K23">
            <v>65.44</v>
          </cell>
          <cell r="L23">
            <v>3.4271647105170645E-2</v>
          </cell>
          <cell r="M23">
            <v>43</v>
          </cell>
          <cell r="N23">
            <v>0</v>
          </cell>
          <cell r="O23">
            <v>3</v>
          </cell>
          <cell r="P23">
            <v>3</v>
          </cell>
          <cell r="Q23">
            <v>3.7974683544303799E-2</v>
          </cell>
          <cell r="R23">
            <v>158</v>
          </cell>
          <cell r="S23">
            <v>186</v>
          </cell>
          <cell r="T23">
            <v>0</v>
          </cell>
          <cell r="U23">
            <v>344</v>
          </cell>
          <cell r="V23">
            <v>3.6156481890227241E-3</v>
          </cell>
          <cell r="W23">
            <v>3</v>
          </cell>
          <cell r="X23">
            <v>4.2253521126760563E-2</v>
          </cell>
          <cell r="Y23">
            <v>1</v>
          </cell>
          <cell r="Z23">
            <v>1.3245033112582781E-2</v>
          </cell>
          <cell r="AA23">
            <v>3</v>
          </cell>
          <cell r="AB23">
            <v>6.25E-2</v>
          </cell>
          <cell r="AC23">
            <v>2.6482043120444727E-2</v>
          </cell>
          <cell r="AD23">
            <v>83591.255801232663</v>
          </cell>
          <cell r="AE23">
            <v>2906000</v>
          </cell>
          <cell r="AF23">
            <v>500000</v>
          </cell>
          <cell r="AG23">
            <v>500000</v>
          </cell>
          <cell r="AH23">
            <v>760000</v>
          </cell>
          <cell r="AI23">
            <v>646000</v>
          </cell>
          <cell r="AJ23">
            <v>83591.255801232663</v>
          </cell>
        </row>
        <row r="24">
          <cell r="A24">
            <v>1001549989</v>
          </cell>
          <cell r="B24" t="str">
            <v>אלמנארה - עמותה לקידום אנשים עם מוג</v>
          </cell>
          <cell r="C24">
            <v>2</v>
          </cell>
          <cell r="D24">
            <v>2</v>
          </cell>
          <cell r="E24">
            <v>12</v>
          </cell>
          <cell r="F24">
            <v>16</v>
          </cell>
          <cell r="G24">
            <v>8</v>
          </cell>
          <cell r="H24">
            <v>4</v>
          </cell>
          <cell r="I24">
            <v>12</v>
          </cell>
          <cell r="J24">
            <v>0.625</v>
          </cell>
          <cell r="K24">
            <v>15</v>
          </cell>
          <cell r="L24">
            <v>7.8556648315641752E-3</v>
          </cell>
          <cell r="M24">
            <v>50</v>
          </cell>
          <cell r="N24">
            <v>1</v>
          </cell>
          <cell r="O24">
            <v>3</v>
          </cell>
          <cell r="P24">
            <v>4</v>
          </cell>
          <cell r="Q24">
            <v>5.0632911392405063E-2</v>
          </cell>
          <cell r="R24">
            <v>45</v>
          </cell>
          <cell r="S24">
            <v>135</v>
          </cell>
          <cell r="T24">
            <v>263</v>
          </cell>
          <cell r="U24">
            <v>443</v>
          </cell>
          <cell r="V24">
            <v>4.6561981038868222E-3</v>
          </cell>
          <cell r="W24">
            <v>2</v>
          </cell>
          <cell r="X24">
            <v>2.8169014084507043E-2</v>
          </cell>
          <cell r="Y24">
            <v>1.5</v>
          </cell>
          <cell r="Z24">
            <v>1.9867549668874173E-2</v>
          </cell>
          <cell r="AA24">
            <v>3</v>
          </cell>
          <cell r="AB24">
            <v>6.25E-2</v>
          </cell>
          <cell r="AC24">
            <v>1.9109938816964558E-2</v>
          </cell>
          <cell r="AD24">
            <v>60321.017405244806</v>
          </cell>
          <cell r="AE24">
            <v>1600000</v>
          </cell>
          <cell r="AF24">
            <v>150000</v>
          </cell>
          <cell r="AG24">
            <v>150000</v>
          </cell>
          <cell r="AH24">
            <v>192500</v>
          </cell>
          <cell r="AI24">
            <v>163625</v>
          </cell>
          <cell r="AJ24">
            <v>60321.017405244806</v>
          </cell>
        </row>
        <row r="25">
          <cell r="A25">
            <v>1001550374</v>
          </cell>
          <cell r="B25" t="str">
            <v>אתגרים</v>
          </cell>
          <cell r="C25">
            <v>1</v>
          </cell>
          <cell r="D25">
            <v>3</v>
          </cell>
          <cell r="E25">
            <v>120</v>
          </cell>
          <cell r="F25">
            <v>124</v>
          </cell>
          <cell r="G25">
            <v>4</v>
          </cell>
          <cell r="H25">
            <v>6</v>
          </cell>
          <cell r="I25">
            <v>120</v>
          </cell>
          <cell r="J25">
            <v>1</v>
          </cell>
          <cell r="K25">
            <v>130</v>
          </cell>
          <cell r="L25">
            <v>6.8082428540222853E-2</v>
          </cell>
          <cell r="M25">
            <v>1382</v>
          </cell>
          <cell r="N25">
            <v>3</v>
          </cell>
          <cell r="O25">
            <v>3</v>
          </cell>
          <cell r="P25">
            <v>6</v>
          </cell>
          <cell r="Q25">
            <v>7.5949367088607597E-2</v>
          </cell>
          <cell r="R25">
            <v>0</v>
          </cell>
          <cell r="S25">
            <v>0</v>
          </cell>
          <cell r="T25">
            <v>1720</v>
          </cell>
          <cell r="U25">
            <v>1720</v>
          </cell>
          <cell r="V25">
            <v>1.8078240945113618E-2</v>
          </cell>
          <cell r="W25">
            <v>3</v>
          </cell>
          <cell r="X25">
            <v>4.2253521126760563E-2</v>
          </cell>
          <cell r="Y25">
            <v>2</v>
          </cell>
          <cell r="Z25">
            <v>2.6490066225165563E-2</v>
          </cell>
          <cell r="AA25">
            <v>3</v>
          </cell>
          <cell r="AB25">
            <v>6.25E-2</v>
          </cell>
          <cell r="AC25">
            <v>4.6146905025651719E-2</v>
          </cell>
          <cell r="AD25">
            <v>145663.9023239254</v>
          </cell>
          <cell r="AE25">
            <v>12400000</v>
          </cell>
          <cell r="AF25">
            <v>786000</v>
          </cell>
          <cell r="AG25">
            <v>786000</v>
          </cell>
          <cell r="AH25">
            <v>1572373</v>
          </cell>
          <cell r="AI25">
            <v>1336517.05</v>
          </cell>
          <cell r="AJ25">
            <v>145663.9023239254</v>
          </cell>
        </row>
        <row r="26">
          <cell r="A26">
            <v>1001550769</v>
          </cell>
          <cell r="B26" t="str">
            <v>מוסדות תורה, חינוך וסיוע בית שמש (ע</v>
          </cell>
          <cell r="C26">
            <v>0</v>
          </cell>
          <cell r="D26">
            <v>3</v>
          </cell>
          <cell r="E26">
            <v>4</v>
          </cell>
          <cell r="F26">
            <v>7</v>
          </cell>
          <cell r="G26">
            <v>0</v>
          </cell>
          <cell r="H26">
            <v>6</v>
          </cell>
          <cell r="I26">
            <v>4</v>
          </cell>
          <cell r="J26">
            <v>1</v>
          </cell>
          <cell r="K26">
            <v>10</v>
          </cell>
          <cell r="L26">
            <v>5.2371098877094504E-3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1</v>
          </cell>
          <cell r="X26">
            <v>1.4084507042253521E-2</v>
          </cell>
          <cell r="Y26">
            <v>2</v>
          </cell>
          <cell r="Z26">
            <v>2.6490066225165563E-2</v>
          </cell>
          <cell r="AA26">
            <v>0</v>
          </cell>
          <cell r="AB26">
            <v>0</v>
          </cell>
          <cell r="AC26">
            <v>4.3040869817964657E-3</v>
          </cell>
          <cell r="AD26">
            <v>13585.962164994078</v>
          </cell>
          <cell r="AE26">
            <v>700000</v>
          </cell>
          <cell r="AF26">
            <v>200000</v>
          </cell>
          <cell r="AG26">
            <v>200000</v>
          </cell>
          <cell r="AH26">
            <v>500000</v>
          </cell>
          <cell r="AI26">
            <v>425000</v>
          </cell>
          <cell r="AJ26">
            <v>13585.962164994078</v>
          </cell>
        </row>
        <row r="27">
          <cell r="A27">
            <v>1001551379</v>
          </cell>
          <cell r="B27" t="str">
            <v>עמותת על - עמותה לקידום תוכניות ייח</v>
          </cell>
          <cell r="C27">
            <v>50</v>
          </cell>
          <cell r="D27">
            <v>2</v>
          </cell>
          <cell r="E27">
            <v>4</v>
          </cell>
          <cell r="F27">
            <v>56</v>
          </cell>
          <cell r="G27">
            <v>200</v>
          </cell>
          <cell r="H27">
            <v>4</v>
          </cell>
          <cell r="I27">
            <v>4</v>
          </cell>
          <cell r="J27">
            <v>1</v>
          </cell>
          <cell r="K27">
            <v>208</v>
          </cell>
          <cell r="L27">
            <v>0.10893188566435658</v>
          </cell>
          <cell r="M27">
            <v>50</v>
          </cell>
          <cell r="N27">
            <v>1</v>
          </cell>
          <cell r="O27">
            <v>0</v>
          </cell>
          <cell r="P27">
            <v>1</v>
          </cell>
          <cell r="Q27">
            <v>1.2658227848101266E-2</v>
          </cell>
          <cell r="R27">
            <v>5</v>
          </cell>
          <cell r="S27">
            <v>6</v>
          </cell>
          <cell r="T27">
            <v>305</v>
          </cell>
          <cell r="U27">
            <v>316</v>
          </cell>
          <cell r="V27">
            <v>3.3213512434045953E-3</v>
          </cell>
          <cell r="W27">
            <v>1</v>
          </cell>
          <cell r="X27">
            <v>1.4084507042253521E-2</v>
          </cell>
          <cell r="Y27">
            <v>1</v>
          </cell>
          <cell r="Z27">
            <v>1.3245033112582781E-2</v>
          </cell>
          <cell r="AA27">
            <v>0</v>
          </cell>
          <cell r="AB27">
            <v>0</v>
          </cell>
          <cell r="AC27">
            <v>3.7178563779163197E-2</v>
          </cell>
          <cell r="AD27">
            <v>117355.10062617416</v>
          </cell>
          <cell r="AE27">
            <v>5600000</v>
          </cell>
          <cell r="AF27">
            <v>200000</v>
          </cell>
          <cell r="AG27">
            <v>200000</v>
          </cell>
          <cell r="AH27">
            <v>250000</v>
          </cell>
          <cell r="AI27">
            <v>212500</v>
          </cell>
          <cell r="AJ27">
            <v>117355.10062617416</v>
          </cell>
        </row>
        <row r="28">
          <cell r="A28">
            <v>1001551390</v>
          </cell>
          <cell r="B28" t="str">
            <v>האגודה הישראלית לטרשת נפוצה (ע"ר)</v>
          </cell>
          <cell r="C28">
            <v>0.5</v>
          </cell>
          <cell r="D28">
            <v>0.3</v>
          </cell>
          <cell r="E28">
            <v>0.3</v>
          </cell>
          <cell r="F28">
            <v>1.1000000000000001</v>
          </cell>
          <cell r="G28">
            <v>2</v>
          </cell>
          <cell r="H28">
            <v>0.6</v>
          </cell>
          <cell r="I28">
            <v>0.3</v>
          </cell>
          <cell r="J28">
            <v>0.40119760479041916</v>
          </cell>
          <cell r="K28">
            <v>1.1634730538922156</v>
          </cell>
          <cell r="L28">
            <v>6.0932362346224325E-4</v>
          </cell>
          <cell r="M28">
            <v>40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216</v>
          </cell>
          <cell r="T28">
            <v>74</v>
          </cell>
          <cell r="U28">
            <v>290</v>
          </cell>
          <cell r="V28">
            <v>3.0480755081877613E-3</v>
          </cell>
          <cell r="W28">
            <v>3</v>
          </cell>
          <cell r="X28">
            <v>4.2253521126760563E-2</v>
          </cell>
          <cell r="Y28">
            <v>1</v>
          </cell>
          <cell r="Z28">
            <v>1.3245033112582781E-2</v>
          </cell>
          <cell r="AA28">
            <v>0</v>
          </cell>
          <cell r="AB28">
            <v>0</v>
          </cell>
          <cell r="AC28">
            <v>6.1372272832095846E-3</v>
          </cell>
          <cell r="AD28">
            <v>19372.317060575089</v>
          </cell>
          <cell r="AE28">
            <v>110000.00000000001</v>
          </cell>
          <cell r="AF28">
            <v>91650</v>
          </cell>
          <cell r="AG28">
            <v>91650</v>
          </cell>
          <cell r="AH28">
            <v>100000</v>
          </cell>
          <cell r="AI28">
            <v>85000</v>
          </cell>
          <cell r="AJ28">
            <v>19372.317060575089</v>
          </cell>
        </row>
        <row r="29">
          <cell r="A29">
            <v>1001551399</v>
          </cell>
          <cell r="B29" t="str">
            <v>האגודה למען העוור ולמניעת העוורון ח</v>
          </cell>
          <cell r="C29">
            <v>1.23</v>
          </cell>
          <cell r="D29">
            <v>0</v>
          </cell>
          <cell r="E29">
            <v>0</v>
          </cell>
          <cell r="F29">
            <v>1.23</v>
          </cell>
          <cell r="G29">
            <v>4.92</v>
          </cell>
          <cell r="H29">
            <v>0</v>
          </cell>
          <cell r="I29">
            <v>0</v>
          </cell>
          <cell r="J29">
            <v>1</v>
          </cell>
          <cell r="K29">
            <v>4.92</v>
          </cell>
          <cell r="L29">
            <v>2.5766580647530496E-3</v>
          </cell>
          <cell r="M29">
            <v>200</v>
          </cell>
          <cell r="N29">
            <v>2</v>
          </cell>
          <cell r="O29">
            <v>3</v>
          </cell>
          <cell r="P29">
            <v>5</v>
          </cell>
          <cell r="Q29">
            <v>6.3291139240506333E-2</v>
          </cell>
          <cell r="R29">
            <v>12</v>
          </cell>
          <cell r="S29">
            <v>405</v>
          </cell>
          <cell r="T29">
            <v>860</v>
          </cell>
          <cell r="U29">
            <v>1277</v>
          </cell>
          <cell r="V29">
            <v>1.3422042841226799E-2</v>
          </cell>
          <cell r="W29">
            <v>1</v>
          </cell>
          <cell r="X29">
            <v>1.4084507042253521E-2</v>
          </cell>
          <cell r="Y29">
            <v>1</v>
          </cell>
          <cell r="Z29">
            <v>1.3245033112582781E-2</v>
          </cell>
          <cell r="AA29">
            <v>3</v>
          </cell>
          <cell r="AB29">
            <v>6.25E-2</v>
          </cell>
          <cell r="AC29">
            <v>2.0120528697760418E-2</v>
          </cell>
          <cell r="AD29">
            <v>63510.970569036996</v>
          </cell>
          <cell r="AE29">
            <v>123000</v>
          </cell>
          <cell r="AF29">
            <v>350000</v>
          </cell>
          <cell r="AG29">
            <v>123000</v>
          </cell>
          <cell r="AH29">
            <v>500000</v>
          </cell>
          <cell r="AI29">
            <v>425000</v>
          </cell>
          <cell r="AJ29">
            <v>63510.970569036996</v>
          </cell>
        </row>
        <row r="30">
          <cell r="A30">
            <v>1001551445</v>
          </cell>
          <cell r="B30" t="str">
            <v>חיים וחסד ריסורסז (ע"ר)</v>
          </cell>
          <cell r="C30">
            <v>0</v>
          </cell>
          <cell r="D30">
            <v>3</v>
          </cell>
          <cell r="E30">
            <v>1</v>
          </cell>
          <cell r="F30">
            <v>4</v>
          </cell>
          <cell r="G30">
            <v>0</v>
          </cell>
          <cell r="H30">
            <v>6</v>
          </cell>
          <cell r="I30">
            <v>1</v>
          </cell>
          <cell r="J30">
            <v>0.42857142857142855</v>
          </cell>
          <cell r="K30">
            <v>3</v>
          </cell>
          <cell r="L30">
            <v>1.5711329663128351E-3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1</v>
          </cell>
          <cell r="X30">
            <v>1.4084507042253521E-2</v>
          </cell>
          <cell r="Y30">
            <v>1</v>
          </cell>
          <cell r="Z30">
            <v>1.3245033112582781E-2</v>
          </cell>
          <cell r="AA30">
            <v>0</v>
          </cell>
          <cell r="AB30">
            <v>0</v>
          </cell>
          <cell r="AC30">
            <v>2.5420422497483418E-3</v>
          </cell>
          <cell r="AD30">
            <v>8024.0222776544624</v>
          </cell>
          <cell r="AE30">
            <v>400000</v>
          </cell>
          <cell r="AF30">
            <v>80000</v>
          </cell>
          <cell r="AG30">
            <v>80000</v>
          </cell>
          <cell r="AH30">
            <v>250000</v>
          </cell>
          <cell r="AI30">
            <v>212500</v>
          </cell>
          <cell r="AJ30">
            <v>8024.0222776544624</v>
          </cell>
        </row>
        <row r="31">
          <cell r="A31">
            <v>1001551452</v>
          </cell>
          <cell r="B31" t="str">
            <v>המרכז להנצחת זכרו של אייל שמעוני ז"</v>
          </cell>
          <cell r="C31">
            <v>1</v>
          </cell>
          <cell r="D31">
            <v>25</v>
          </cell>
          <cell r="E31">
            <v>15</v>
          </cell>
          <cell r="F31">
            <v>41</v>
          </cell>
          <cell r="G31">
            <v>4</v>
          </cell>
          <cell r="H31">
            <v>50</v>
          </cell>
          <cell r="I31">
            <v>15</v>
          </cell>
          <cell r="J31">
            <v>0.44444444444444442</v>
          </cell>
          <cell r="K31">
            <v>30.666666666666664</v>
          </cell>
          <cell r="L31">
            <v>1.6060470322308982E-2</v>
          </cell>
          <cell r="M31">
            <v>0</v>
          </cell>
          <cell r="N31">
            <v>0</v>
          </cell>
          <cell r="O31">
            <v>3</v>
          </cell>
          <cell r="P31">
            <v>3</v>
          </cell>
          <cell r="Q31">
            <v>3.7974683544303799E-2</v>
          </cell>
          <cell r="R31">
            <v>5</v>
          </cell>
          <cell r="S31">
            <v>0</v>
          </cell>
          <cell r="T31">
            <v>0</v>
          </cell>
          <cell r="U31">
            <v>5</v>
          </cell>
          <cell r="V31">
            <v>5.2553026003237266E-5</v>
          </cell>
          <cell r="W31">
            <v>2</v>
          </cell>
          <cell r="X31">
            <v>2.8169014084507043E-2</v>
          </cell>
          <cell r="Y31">
            <v>1.5</v>
          </cell>
          <cell r="Z31">
            <v>1.9867549668874173E-2</v>
          </cell>
          <cell r="AA31">
            <v>3</v>
          </cell>
          <cell r="AB31">
            <v>6.25E-2</v>
          </cell>
          <cell r="AC31">
            <v>1.8694281902118623E-2</v>
          </cell>
          <cell r="AD31">
            <v>59008.985575358776</v>
          </cell>
          <cell r="AE31">
            <v>4100000</v>
          </cell>
          <cell r="AF31">
            <v>398646</v>
          </cell>
          <cell r="AG31">
            <v>398646</v>
          </cell>
          <cell r="AH31">
            <v>468996</v>
          </cell>
          <cell r="AI31">
            <v>398646.6</v>
          </cell>
          <cell r="AJ31">
            <v>59008.985575358776</v>
          </cell>
        </row>
        <row r="32">
          <cell r="A32">
            <v>1001551458</v>
          </cell>
          <cell r="B32" t="str">
            <v>לטם - טבע נגיש לכולם (ע"ר)</v>
          </cell>
          <cell r="C32">
            <v>1.5</v>
          </cell>
          <cell r="D32">
            <v>1</v>
          </cell>
          <cell r="E32">
            <v>12</v>
          </cell>
          <cell r="F32">
            <v>14.5</v>
          </cell>
          <cell r="G32">
            <v>6</v>
          </cell>
          <cell r="H32">
            <v>2</v>
          </cell>
          <cell r="I32">
            <v>12</v>
          </cell>
          <cell r="J32">
            <v>1</v>
          </cell>
          <cell r="K32">
            <v>20</v>
          </cell>
          <cell r="L32">
            <v>1.0474219775418901E-2</v>
          </cell>
          <cell r="M32">
            <v>11</v>
          </cell>
          <cell r="N32">
            <v>0</v>
          </cell>
          <cell r="O32">
            <v>3</v>
          </cell>
          <cell r="P32">
            <v>3</v>
          </cell>
          <cell r="Q32">
            <v>3.7974683544303799E-2</v>
          </cell>
          <cell r="R32">
            <v>0</v>
          </cell>
          <cell r="S32">
            <v>3300</v>
          </cell>
          <cell r="T32">
            <v>5775</v>
          </cell>
          <cell r="U32">
            <v>9075</v>
          </cell>
          <cell r="V32">
            <v>9.5383742195875643E-2</v>
          </cell>
          <cell r="W32">
            <v>3</v>
          </cell>
          <cell r="X32">
            <v>4.2253521126760563E-2</v>
          </cell>
          <cell r="Y32">
            <v>2</v>
          </cell>
          <cell r="Z32">
            <v>2.6490066225165563E-2</v>
          </cell>
          <cell r="AA32">
            <v>3</v>
          </cell>
          <cell r="AB32">
            <v>6.25E-2</v>
          </cell>
          <cell r="AC32">
            <v>5.2123899479546855E-2</v>
          </cell>
          <cell r="AD32">
            <v>164530.44030385854</v>
          </cell>
          <cell r="AE32">
            <v>1450000</v>
          </cell>
          <cell r="AF32">
            <v>600000</v>
          </cell>
          <cell r="AG32">
            <v>600000</v>
          </cell>
          <cell r="AH32">
            <v>750000</v>
          </cell>
          <cell r="AI32">
            <v>637500</v>
          </cell>
          <cell r="AJ32">
            <v>164530.44030385854</v>
          </cell>
        </row>
        <row r="33">
          <cell r="A33">
            <v>1001551526</v>
          </cell>
          <cell r="B33" t="str">
            <v>בית הגלגלים (ע"ר)</v>
          </cell>
          <cell r="C33">
            <v>7</v>
          </cell>
          <cell r="D33">
            <v>9</v>
          </cell>
          <cell r="E33">
            <v>13</v>
          </cell>
          <cell r="F33">
            <v>29</v>
          </cell>
          <cell r="G33">
            <v>28</v>
          </cell>
          <cell r="H33">
            <v>18</v>
          </cell>
          <cell r="I33">
            <v>13</v>
          </cell>
          <cell r="J33">
            <v>1</v>
          </cell>
          <cell r="K33">
            <v>59</v>
          </cell>
          <cell r="L33">
            <v>3.0898948337485761E-2</v>
          </cell>
          <cell r="M33">
            <v>492</v>
          </cell>
          <cell r="N33">
            <v>3</v>
          </cell>
          <cell r="O33">
            <v>3</v>
          </cell>
          <cell r="P33">
            <v>6</v>
          </cell>
          <cell r="Q33">
            <v>7.5949367088607597E-2</v>
          </cell>
          <cell r="R33">
            <v>115</v>
          </cell>
          <cell r="S33">
            <v>0</v>
          </cell>
          <cell r="T33">
            <v>1355</v>
          </cell>
          <cell r="U33">
            <v>1470</v>
          </cell>
          <cell r="V33">
            <v>1.5450589644951756E-2</v>
          </cell>
          <cell r="W33">
            <v>2</v>
          </cell>
          <cell r="X33">
            <v>2.8169014084507043E-2</v>
          </cell>
          <cell r="Y33">
            <v>2</v>
          </cell>
          <cell r="Z33">
            <v>2.6490066225165563E-2</v>
          </cell>
          <cell r="AA33">
            <v>3</v>
          </cell>
          <cell r="AB33">
            <v>6.25E-2</v>
          </cell>
          <cell r="AC33">
            <v>3.266373230554858E-2</v>
          </cell>
          <cell r="AD33">
            <v>103103.91800805455</v>
          </cell>
          <cell r="AE33">
            <v>2900000</v>
          </cell>
          <cell r="AF33">
            <v>450000</v>
          </cell>
          <cell r="AG33">
            <v>450000</v>
          </cell>
          <cell r="AH33">
            <v>1800000</v>
          </cell>
          <cell r="AI33">
            <v>1530000</v>
          </cell>
          <cell r="AJ33">
            <v>103103.91800805455</v>
          </cell>
        </row>
        <row r="34">
          <cell r="A34">
            <v>1001551882</v>
          </cell>
          <cell r="B34" t="str">
            <v>מכון "מסילות" אשדוד (ע"ר)</v>
          </cell>
          <cell r="C34">
            <v>6</v>
          </cell>
          <cell r="D34">
            <v>48</v>
          </cell>
          <cell r="E34">
            <v>5</v>
          </cell>
          <cell r="F34">
            <v>59</v>
          </cell>
          <cell r="G34">
            <v>24</v>
          </cell>
          <cell r="H34">
            <v>96</v>
          </cell>
          <cell r="I34">
            <v>5</v>
          </cell>
          <cell r="J34">
            <v>0.64</v>
          </cell>
          <cell r="K34">
            <v>80</v>
          </cell>
          <cell r="L34">
            <v>4.1896879101675603E-2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360</v>
          </cell>
          <cell r="S34">
            <v>45</v>
          </cell>
          <cell r="T34">
            <v>79</v>
          </cell>
          <cell r="U34">
            <v>484</v>
          </cell>
          <cell r="V34">
            <v>5.0871329171133673E-3</v>
          </cell>
          <cell r="W34">
            <v>1</v>
          </cell>
          <cell r="X34">
            <v>1.4084507042253521E-2</v>
          </cell>
          <cell r="Y34">
            <v>1</v>
          </cell>
          <cell r="Z34">
            <v>1.3245033112582781E-2</v>
          </cell>
          <cell r="AA34">
            <v>0</v>
          </cell>
          <cell r="AB34">
            <v>0</v>
          </cell>
          <cell r="AC34">
            <v>1.6420262611346853E-2</v>
          </cell>
          <cell r="AD34">
            <v>51830.984717672371</v>
          </cell>
          <cell r="AE34">
            <v>5900000</v>
          </cell>
          <cell r="AF34">
            <v>150000</v>
          </cell>
          <cell r="AG34">
            <v>150000</v>
          </cell>
          <cell r="AH34">
            <v>200000</v>
          </cell>
          <cell r="AI34">
            <v>170000</v>
          </cell>
          <cell r="AJ34">
            <v>51830.984717672371</v>
          </cell>
        </row>
        <row r="35">
          <cell r="A35">
            <v>1001551888</v>
          </cell>
          <cell r="B35" t="str">
            <v>קרן מלכי - לזכרה של מלכי רוט הי"ד</v>
          </cell>
          <cell r="C35">
            <v>0</v>
          </cell>
          <cell r="D35">
            <v>1</v>
          </cell>
          <cell r="E35">
            <v>0</v>
          </cell>
          <cell r="F35">
            <v>1</v>
          </cell>
          <cell r="G35">
            <v>0</v>
          </cell>
          <cell r="H35">
            <v>2</v>
          </cell>
          <cell r="I35">
            <v>0</v>
          </cell>
          <cell r="J35">
            <v>1</v>
          </cell>
          <cell r="K35">
            <v>2</v>
          </cell>
          <cell r="L35">
            <v>1.0474219775418901E-3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3</v>
          </cell>
          <cell r="X35">
            <v>4.2253521126760563E-2</v>
          </cell>
          <cell r="Y35">
            <v>3</v>
          </cell>
          <cell r="Z35">
            <v>3.9735099337748346E-2</v>
          </cell>
          <cell r="AA35">
            <v>0</v>
          </cell>
          <cell r="AB35">
            <v>0</v>
          </cell>
          <cell r="AC35">
            <v>6.5263336728260419E-3</v>
          </cell>
          <cell r="AD35">
            <v>20600.541469106945</v>
          </cell>
          <cell r="AE35">
            <v>100000</v>
          </cell>
          <cell r="AF35">
            <v>100000</v>
          </cell>
          <cell r="AG35">
            <v>100000</v>
          </cell>
          <cell r="AH35">
            <v>300000</v>
          </cell>
          <cell r="AI35">
            <v>255000</v>
          </cell>
          <cell r="AJ35">
            <v>20600.541469106945</v>
          </cell>
        </row>
        <row r="36">
          <cell r="A36">
            <v>1001552411</v>
          </cell>
          <cell r="B36" t="str">
            <v>יעדים לצפון מיסודה של קרן רש"י (ע"ר</v>
          </cell>
          <cell r="C36">
            <v>4</v>
          </cell>
          <cell r="D36">
            <v>3</v>
          </cell>
          <cell r="E36">
            <v>0</v>
          </cell>
          <cell r="F36">
            <v>7</v>
          </cell>
          <cell r="G36">
            <v>16</v>
          </cell>
          <cell r="H36">
            <v>6</v>
          </cell>
          <cell r="I36">
            <v>0</v>
          </cell>
          <cell r="J36">
            <v>1</v>
          </cell>
          <cell r="K36">
            <v>22</v>
          </cell>
          <cell r="L36">
            <v>1.1521641752960792E-2</v>
          </cell>
          <cell r="M36">
            <v>180</v>
          </cell>
          <cell r="N36">
            <v>2</v>
          </cell>
          <cell r="O36">
            <v>0</v>
          </cell>
          <cell r="P36">
            <v>2</v>
          </cell>
          <cell r="Q36">
            <v>2.5316455696202531E-2</v>
          </cell>
          <cell r="R36">
            <v>210</v>
          </cell>
          <cell r="S36">
            <v>438</v>
          </cell>
          <cell r="T36">
            <v>211</v>
          </cell>
          <cell r="U36">
            <v>859</v>
          </cell>
          <cell r="V36">
            <v>9.0286098673561625E-3</v>
          </cell>
          <cell r="W36">
            <v>1</v>
          </cell>
          <cell r="X36">
            <v>1.4084507042253521E-2</v>
          </cell>
          <cell r="Y36">
            <v>3</v>
          </cell>
          <cell r="Z36">
            <v>3.9735099337748346E-2</v>
          </cell>
          <cell r="AA36">
            <v>0</v>
          </cell>
          <cell r="AB36">
            <v>0</v>
          </cell>
          <cell r="AC36">
            <v>1.2543357220195917E-2</v>
          </cell>
          <cell r="AD36">
            <v>39593.432320565873</v>
          </cell>
          <cell r="AE36">
            <v>700000</v>
          </cell>
          <cell r="AF36">
            <v>100800</v>
          </cell>
          <cell r="AG36">
            <v>100800</v>
          </cell>
          <cell r="AH36">
            <v>223344</v>
          </cell>
          <cell r="AI36">
            <v>189842.4</v>
          </cell>
          <cell r="AJ36">
            <v>39593.432320565873</v>
          </cell>
        </row>
        <row r="37">
          <cell r="A37">
            <v>1001552453</v>
          </cell>
          <cell r="B37" t="str">
            <v>בדרך אל- בית ספר בטב"ע (בדרך טבעית</v>
          </cell>
          <cell r="C37">
            <v>0.5</v>
          </cell>
          <cell r="D37">
            <v>2</v>
          </cell>
          <cell r="E37">
            <v>2</v>
          </cell>
          <cell r="F37">
            <v>4.5</v>
          </cell>
          <cell r="G37">
            <v>2</v>
          </cell>
          <cell r="H37">
            <v>4</v>
          </cell>
          <cell r="I37">
            <v>2</v>
          </cell>
          <cell r="J37">
            <v>0.94339622641509435</v>
          </cell>
          <cell r="K37">
            <v>7.5471698113207548</v>
          </cell>
          <cell r="L37">
            <v>3.9525357643090198E-3</v>
          </cell>
          <cell r="M37">
            <v>0</v>
          </cell>
          <cell r="N37">
            <v>0</v>
          </cell>
          <cell r="O37">
            <v>3</v>
          </cell>
          <cell r="P37">
            <v>3</v>
          </cell>
          <cell r="Q37">
            <v>3.7974683544303799E-2</v>
          </cell>
          <cell r="R37">
            <v>0</v>
          </cell>
          <cell r="S37">
            <v>0</v>
          </cell>
          <cell r="T37">
            <v>103</v>
          </cell>
          <cell r="U37">
            <v>103</v>
          </cell>
          <cell r="V37">
            <v>1.0825923356666876E-3</v>
          </cell>
          <cell r="W37">
            <v>1</v>
          </cell>
          <cell r="X37">
            <v>1.4084507042253521E-2</v>
          </cell>
          <cell r="Y37">
            <v>1</v>
          </cell>
          <cell r="Z37">
            <v>1.3245033112582781E-2</v>
          </cell>
          <cell r="AA37">
            <v>3</v>
          </cell>
          <cell r="AB37">
            <v>6.25E-2</v>
          </cell>
          <cell r="AC37">
            <v>1.3682838761060918E-2</v>
          </cell>
          <cell r="AD37">
            <v>43190.2353515863</v>
          </cell>
          <cell r="AE37">
            <v>450000</v>
          </cell>
          <cell r="AF37">
            <v>50000</v>
          </cell>
          <cell r="AG37">
            <v>50000</v>
          </cell>
          <cell r="AH37">
            <v>100000</v>
          </cell>
          <cell r="AI37">
            <v>85000</v>
          </cell>
          <cell r="AJ37">
            <v>43190.2353515863</v>
          </cell>
        </row>
        <row r="38">
          <cell r="A38">
            <v>1001552723</v>
          </cell>
          <cell r="B38" t="str">
            <v>המכון הלאומי לשיקום נוירופסיכולוגי</v>
          </cell>
          <cell r="C38">
            <v>2.56</v>
          </cell>
          <cell r="D38">
            <v>58</v>
          </cell>
          <cell r="E38">
            <v>21.14</v>
          </cell>
          <cell r="F38">
            <v>81.7</v>
          </cell>
          <cell r="G38">
            <v>10.24</v>
          </cell>
          <cell r="H38">
            <v>116</v>
          </cell>
          <cell r="I38">
            <v>21.14</v>
          </cell>
          <cell r="J38">
            <v>0.8571428571428571</v>
          </cell>
          <cell r="K38">
            <v>126.32571428571427</v>
          </cell>
          <cell r="L38">
            <v>6.6158164735767327E-2</v>
          </cell>
          <cell r="M38">
            <v>5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40</v>
          </cell>
          <cell r="S38">
            <v>516</v>
          </cell>
          <cell r="T38">
            <v>351</v>
          </cell>
          <cell r="U38">
            <v>907</v>
          </cell>
          <cell r="V38">
            <v>9.5331189169872398E-3</v>
          </cell>
          <cell r="W38">
            <v>1</v>
          </cell>
          <cell r="X38">
            <v>1.4084507042253521E-2</v>
          </cell>
          <cell r="Y38">
            <v>2</v>
          </cell>
          <cell r="Z38">
            <v>2.6490066225165563E-2</v>
          </cell>
          <cell r="AA38">
            <v>0</v>
          </cell>
          <cell r="AB38">
            <v>0</v>
          </cell>
          <cell r="AC38">
            <v>2.5916995057159362E-2</v>
          </cell>
          <cell r="AD38">
            <v>81807.666937516435</v>
          </cell>
          <cell r="AE38">
            <v>8170000</v>
          </cell>
          <cell r="AF38">
            <v>929490</v>
          </cell>
          <cell r="AG38">
            <v>929490</v>
          </cell>
          <cell r="AH38">
            <v>1093517</v>
          </cell>
          <cell r="AI38">
            <v>929489.45</v>
          </cell>
          <cell r="AJ38">
            <v>81807.666937516435</v>
          </cell>
        </row>
        <row r="39">
          <cell r="A39">
            <v>1001553333</v>
          </cell>
          <cell r="B39" t="str">
            <v>כישורית (חל"צ)</v>
          </cell>
          <cell r="C39">
            <v>0</v>
          </cell>
          <cell r="D39">
            <v>4.24</v>
          </cell>
          <cell r="E39">
            <v>0</v>
          </cell>
          <cell r="F39">
            <v>4.24</v>
          </cell>
          <cell r="G39">
            <v>0</v>
          </cell>
          <cell r="H39">
            <v>8.48</v>
          </cell>
          <cell r="I39">
            <v>0</v>
          </cell>
          <cell r="J39">
            <v>1</v>
          </cell>
          <cell r="K39">
            <v>8.48</v>
          </cell>
          <cell r="L39">
            <v>4.4410691847776148E-3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1.4084507042253521E-2</v>
          </cell>
          <cell r="Y39">
            <v>1.5</v>
          </cell>
          <cell r="Z39">
            <v>1.9867549668874173E-2</v>
          </cell>
          <cell r="AA39">
            <v>0</v>
          </cell>
          <cell r="AB39">
            <v>0</v>
          </cell>
          <cell r="AC39">
            <v>3.734148943102345E-3</v>
          </cell>
          <cell r="AD39">
            <v>11786.937967100806</v>
          </cell>
          <cell r="AE39">
            <v>424000</v>
          </cell>
          <cell r="AF39">
            <v>1031612</v>
          </cell>
          <cell r="AG39">
            <v>424000</v>
          </cell>
          <cell r="AH39">
            <v>1213662</v>
          </cell>
          <cell r="AI39">
            <v>1031612.7</v>
          </cell>
          <cell r="AJ39">
            <v>11786.937967100806</v>
          </cell>
        </row>
        <row r="40">
          <cell r="A40">
            <v>1001553346</v>
          </cell>
          <cell r="B40" t="str">
            <v>העמותה הישראלית לדיסאוטונומיה משפחת</v>
          </cell>
          <cell r="C40">
            <v>0.3</v>
          </cell>
          <cell r="D40">
            <v>0.5</v>
          </cell>
          <cell r="E40">
            <v>0.15</v>
          </cell>
          <cell r="F40">
            <v>0.95000000000000007</v>
          </cell>
          <cell r="G40">
            <v>1.2</v>
          </cell>
          <cell r="H40">
            <v>1</v>
          </cell>
          <cell r="I40">
            <v>0.15</v>
          </cell>
          <cell r="J40">
            <v>1</v>
          </cell>
          <cell r="K40">
            <v>2.35</v>
          </cell>
          <cell r="L40">
            <v>1.230720823611721E-3</v>
          </cell>
          <cell r="M40">
            <v>5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432</v>
          </cell>
          <cell r="T40">
            <v>66</v>
          </cell>
          <cell r="U40">
            <v>498</v>
          </cell>
          <cell r="V40">
            <v>5.2342813899224315E-3</v>
          </cell>
          <cell r="W40">
            <v>2</v>
          </cell>
          <cell r="X40">
            <v>2.8169014084507043E-2</v>
          </cell>
          <cell r="Y40">
            <v>2</v>
          </cell>
          <cell r="Z40">
            <v>2.6490066225165563E-2</v>
          </cell>
          <cell r="AA40">
            <v>0</v>
          </cell>
          <cell r="AB40">
            <v>0</v>
          </cell>
          <cell r="AC40">
            <v>6.3426194532653496E-3</v>
          </cell>
          <cell r="AD40">
            <v>20020.642771269475</v>
          </cell>
          <cell r="AE40">
            <v>95000</v>
          </cell>
          <cell r="AF40">
            <v>219721</v>
          </cell>
          <cell r="AG40">
            <v>95000</v>
          </cell>
          <cell r="AH40">
            <v>258496</v>
          </cell>
          <cell r="AI40">
            <v>219721.60000000001</v>
          </cell>
          <cell r="AJ40">
            <v>20020.642771269475</v>
          </cell>
        </row>
        <row r="41">
          <cell r="A41">
            <v>1001553418</v>
          </cell>
          <cell r="B41" t="str">
            <v>מגן - מרכז גוף ונפש (ע"ר)</v>
          </cell>
          <cell r="C41">
            <v>0.83</v>
          </cell>
          <cell r="D41">
            <v>1.29</v>
          </cell>
          <cell r="E41">
            <v>0.25</v>
          </cell>
          <cell r="F41">
            <v>2.37</v>
          </cell>
          <cell r="G41">
            <v>3.32</v>
          </cell>
          <cell r="H41">
            <v>2.58</v>
          </cell>
          <cell r="I41">
            <v>0.25</v>
          </cell>
          <cell r="J41">
            <v>1</v>
          </cell>
          <cell r="K41">
            <v>6.15</v>
          </cell>
          <cell r="L41">
            <v>3.2208225809413123E-3</v>
          </cell>
          <cell r="M41">
            <v>10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50</v>
          </cell>
          <cell r="S41">
            <v>45</v>
          </cell>
          <cell r="T41">
            <v>0</v>
          </cell>
          <cell r="U41">
            <v>95</v>
          </cell>
          <cell r="V41">
            <v>9.9850749406150811E-4</v>
          </cell>
          <cell r="W41">
            <v>1</v>
          </cell>
          <cell r="X41">
            <v>1.4084507042253521E-2</v>
          </cell>
          <cell r="Y41">
            <v>2</v>
          </cell>
          <cell r="Z41">
            <v>2.6490066225165563E-2</v>
          </cell>
          <cell r="AA41">
            <v>0</v>
          </cell>
          <cell r="AB41">
            <v>0</v>
          </cell>
          <cell r="AC41">
            <v>4.0486784126875517E-3</v>
          </cell>
          <cell r="AD41">
            <v>12779.758393740212</v>
          </cell>
          <cell r="AE41">
            <v>237000</v>
          </cell>
          <cell r="AF41">
            <v>670000</v>
          </cell>
          <cell r="AG41">
            <v>237000</v>
          </cell>
          <cell r="AH41">
            <v>790000</v>
          </cell>
          <cell r="AI41">
            <v>671500</v>
          </cell>
          <cell r="AJ41">
            <v>12779.758393740212</v>
          </cell>
        </row>
        <row r="42">
          <cell r="A42">
            <v>1001553637</v>
          </cell>
          <cell r="B42" t="str">
            <v>ס.ו.ל.ם. - סיוע ועידוד לילדים מוגבל</v>
          </cell>
          <cell r="C42">
            <v>0</v>
          </cell>
          <cell r="D42">
            <v>1.5</v>
          </cell>
          <cell r="E42">
            <v>20</v>
          </cell>
          <cell r="F42">
            <v>21.5</v>
          </cell>
          <cell r="G42">
            <v>0</v>
          </cell>
          <cell r="H42">
            <v>3</v>
          </cell>
          <cell r="I42">
            <v>20</v>
          </cell>
          <cell r="J42">
            <v>1</v>
          </cell>
          <cell r="K42">
            <v>23</v>
          </cell>
          <cell r="L42">
            <v>1.2045352741731737E-2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125</v>
          </cell>
          <cell r="S42">
            <v>120</v>
          </cell>
          <cell r="T42">
            <v>0</v>
          </cell>
          <cell r="U42">
            <v>245</v>
          </cell>
          <cell r="V42">
            <v>2.575098274158626E-3</v>
          </cell>
          <cell r="W42">
            <v>1</v>
          </cell>
          <cell r="X42">
            <v>1.4084507042253521E-2</v>
          </cell>
          <cell r="Y42">
            <v>2</v>
          </cell>
          <cell r="Z42">
            <v>2.6490066225165563E-2</v>
          </cell>
          <cell r="AA42">
            <v>0</v>
          </cell>
          <cell r="AB42">
            <v>0</v>
          </cell>
          <cell r="AC42">
            <v>7.24784423395867E-3</v>
          </cell>
          <cell r="AD42">
            <v>22878.008264422533</v>
          </cell>
          <cell r="AE42">
            <v>2150000</v>
          </cell>
          <cell r="AF42">
            <v>850000</v>
          </cell>
          <cell r="AG42">
            <v>850000</v>
          </cell>
          <cell r="AH42">
            <v>1000000</v>
          </cell>
          <cell r="AI42">
            <v>850000</v>
          </cell>
          <cell r="AJ42">
            <v>22878.008264422533</v>
          </cell>
        </row>
        <row r="43">
          <cell r="A43">
            <v>1001553650</v>
          </cell>
          <cell r="B43" t="str">
            <v>קרן עזרה לזולת קרית גת (ע"ר)</v>
          </cell>
          <cell r="C43">
            <v>1</v>
          </cell>
          <cell r="D43">
            <v>2.75</v>
          </cell>
          <cell r="E43">
            <v>17</v>
          </cell>
          <cell r="F43">
            <v>20.75</v>
          </cell>
          <cell r="G43">
            <v>4</v>
          </cell>
          <cell r="H43">
            <v>5.5</v>
          </cell>
          <cell r="I43">
            <v>17</v>
          </cell>
          <cell r="J43">
            <v>1</v>
          </cell>
          <cell r="K43">
            <v>26.5</v>
          </cell>
          <cell r="L43">
            <v>1.3878341202430044E-2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65</v>
          </cell>
          <cell r="S43">
            <v>30</v>
          </cell>
          <cell r="T43">
            <v>69</v>
          </cell>
          <cell r="U43">
            <v>164</v>
          </cell>
          <cell r="V43">
            <v>1.7237392529061823E-3</v>
          </cell>
          <cell r="W43">
            <v>1</v>
          </cell>
          <cell r="X43">
            <v>1.4084507042253521E-2</v>
          </cell>
          <cell r="Y43">
            <v>1.5</v>
          </cell>
          <cell r="Z43">
            <v>1.9867549668874173E-2</v>
          </cell>
          <cell r="AA43">
            <v>0</v>
          </cell>
          <cell r="AB43">
            <v>0</v>
          </cell>
          <cell r="AC43">
            <v>7.1686392869152373E-3</v>
          </cell>
          <cell r="AD43">
            <v>22627.995795259259</v>
          </cell>
          <cell r="AE43">
            <v>2075000</v>
          </cell>
          <cell r="AF43">
            <v>85000</v>
          </cell>
          <cell r="AG43">
            <v>85000</v>
          </cell>
          <cell r="AH43">
            <v>110000</v>
          </cell>
          <cell r="AI43">
            <v>93500</v>
          </cell>
          <cell r="AJ43">
            <v>22627.995795259259</v>
          </cell>
        </row>
        <row r="44">
          <cell r="A44">
            <v>1001553658</v>
          </cell>
          <cell r="B44" t="str">
            <v>שיח סוד- מרכז חינוכי שיקומי לבעלי צ</v>
          </cell>
          <cell r="C44">
            <v>1.6</v>
          </cell>
          <cell r="D44">
            <v>3.2</v>
          </cell>
          <cell r="E44">
            <v>1</v>
          </cell>
          <cell r="F44">
            <v>5.8000000000000007</v>
          </cell>
          <cell r="G44">
            <v>6.4</v>
          </cell>
          <cell r="H44">
            <v>6.4</v>
          </cell>
          <cell r="I44">
            <v>1</v>
          </cell>
          <cell r="J44">
            <v>1</v>
          </cell>
          <cell r="K44">
            <v>13.8</v>
          </cell>
          <cell r="L44">
            <v>7.227211645039042E-3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320</v>
          </cell>
          <cell r="S44">
            <v>360</v>
          </cell>
          <cell r="T44">
            <v>0</v>
          </cell>
          <cell r="U44">
            <v>680</v>
          </cell>
          <cell r="V44">
            <v>7.1472115364402686E-3</v>
          </cell>
          <cell r="W44">
            <v>1</v>
          </cell>
          <cell r="X44">
            <v>1.4084507042253521E-2</v>
          </cell>
          <cell r="Y44">
            <v>2</v>
          </cell>
          <cell r="Z44">
            <v>2.6490066225165563E-2</v>
          </cell>
          <cell r="AA44">
            <v>0</v>
          </cell>
          <cell r="AB44">
            <v>0</v>
          </cell>
          <cell r="AC44">
            <v>7.4026415467494363E-3</v>
          </cell>
          <cell r="AD44">
            <v>23366.62999621205</v>
          </cell>
          <cell r="AE44">
            <v>580000.00000000012</v>
          </cell>
          <cell r="AF44">
            <v>1044000</v>
          </cell>
          <cell r="AG44">
            <v>580000.00000000012</v>
          </cell>
          <cell r="AH44">
            <v>1160000</v>
          </cell>
          <cell r="AI44">
            <v>986000</v>
          </cell>
          <cell r="AJ44">
            <v>23366.62999621205</v>
          </cell>
        </row>
        <row r="45">
          <cell r="A45">
            <v>1001553780</v>
          </cell>
          <cell r="B45" t="str">
            <v>מגן הלב</v>
          </cell>
          <cell r="C45">
            <v>4</v>
          </cell>
          <cell r="D45">
            <v>12.5</v>
          </cell>
          <cell r="E45">
            <v>22</v>
          </cell>
          <cell r="F45">
            <v>38.5</v>
          </cell>
          <cell r="G45">
            <v>16</v>
          </cell>
          <cell r="H45">
            <v>25</v>
          </cell>
          <cell r="I45">
            <v>22</v>
          </cell>
          <cell r="J45">
            <v>1</v>
          </cell>
          <cell r="K45">
            <v>63</v>
          </cell>
          <cell r="L45">
            <v>3.2993792292569539E-2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470</v>
          </cell>
          <cell r="S45">
            <v>90</v>
          </cell>
          <cell r="T45">
            <v>93</v>
          </cell>
          <cell r="U45">
            <v>653</v>
          </cell>
          <cell r="V45">
            <v>6.8634251960227868E-3</v>
          </cell>
          <cell r="W45">
            <v>0</v>
          </cell>
          <cell r="X45">
            <v>0</v>
          </cell>
          <cell r="Y45">
            <v>3</v>
          </cell>
          <cell r="Z45">
            <v>3.9735099337748346E-2</v>
          </cell>
          <cell r="AA45">
            <v>0</v>
          </cell>
          <cell r="AB45">
            <v>0</v>
          </cell>
          <cell r="AC45">
            <v>1.4287091473266254E-2</v>
          </cell>
          <cell r="AD45">
            <v>45097.574706212974</v>
          </cell>
          <cell r="AE45">
            <v>3850000</v>
          </cell>
          <cell r="AF45">
            <v>170000</v>
          </cell>
          <cell r="AG45">
            <v>170000</v>
          </cell>
          <cell r="AH45">
            <v>210000</v>
          </cell>
          <cell r="AI45">
            <v>178500</v>
          </cell>
          <cell r="AJ45">
            <v>45097.574706212974</v>
          </cell>
        </row>
        <row r="46">
          <cell r="A46">
            <v>1001553798</v>
          </cell>
          <cell r="B46" t="str">
            <v>לבב חברתי (ע"ר)</v>
          </cell>
          <cell r="C46">
            <v>1</v>
          </cell>
          <cell r="D46">
            <v>0</v>
          </cell>
          <cell r="E46">
            <v>1.5</v>
          </cell>
          <cell r="F46">
            <v>2.5</v>
          </cell>
          <cell r="G46">
            <v>4</v>
          </cell>
          <cell r="H46">
            <v>0</v>
          </cell>
          <cell r="I46">
            <v>1.5</v>
          </cell>
          <cell r="J46">
            <v>1</v>
          </cell>
          <cell r="K46">
            <v>5.5</v>
          </cell>
          <cell r="L46">
            <v>2.880410438240198E-3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287</v>
          </cell>
          <cell r="U46">
            <v>287</v>
          </cell>
          <cell r="V46">
            <v>3.016543692585819E-3</v>
          </cell>
          <cell r="W46">
            <v>2</v>
          </cell>
          <cell r="X46">
            <v>2.8169014084507043E-2</v>
          </cell>
          <cell r="Y46">
            <v>2</v>
          </cell>
          <cell r="Z46">
            <v>2.6490066225165563E-2</v>
          </cell>
          <cell r="AA46">
            <v>0</v>
          </cell>
          <cell r="AB46">
            <v>0</v>
          </cell>
          <cell r="AC46">
            <v>6.0613181435860784E-3</v>
          </cell>
          <cell r="AD46">
            <v>19132.707892994615</v>
          </cell>
          <cell r="AE46">
            <v>250000</v>
          </cell>
          <cell r="AF46">
            <v>150000</v>
          </cell>
          <cell r="AG46">
            <v>150000</v>
          </cell>
          <cell r="AH46">
            <v>400000</v>
          </cell>
          <cell r="AI46">
            <v>340000</v>
          </cell>
          <cell r="AJ46">
            <v>19132.707892994615</v>
          </cell>
        </row>
        <row r="47">
          <cell r="A47">
            <v>1001553914</v>
          </cell>
          <cell r="B47" t="str">
            <v>מסגרת שמעיה (ע"ר)</v>
          </cell>
          <cell r="C47">
            <v>0</v>
          </cell>
          <cell r="D47">
            <v>5.3</v>
          </cell>
          <cell r="E47">
            <v>6.2</v>
          </cell>
          <cell r="F47">
            <v>11.5</v>
          </cell>
          <cell r="G47">
            <v>0</v>
          </cell>
          <cell r="H47">
            <v>10.6</v>
          </cell>
          <cell r="I47">
            <v>6.2</v>
          </cell>
          <cell r="J47">
            <v>0.83139534883720934</v>
          </cell>
          <cell r="K47">
            <v>13.967441860465117</v>
          </cell>
          <cell r="L47">
            <v>7.3149027873448749E-3</v>
          </cell>
          <cell r="M47">
            <v>0</v>
          </cell>
          <cell r="N47">
            <v>0</v>
          </cell>
          <cell r="O47">
            <v>3</v>
          </cell>
          <cell r="P47">
            <v>3</v>
          </cell>
          <cell r="Q47">
            <v>3.7974683544303799E-2</v>
          </cell>
          <cell r="R47">
            <v>613</v>
          </cell>
          <cell r="S47">
            <v>45</v>
          </cell>
          <cell r="T47">
            <v>149</v>
          </cell>
          <cell r="U47">
            <v>807</v>
          </cell>
          <cell r="V47">
            <v>8.4820583969224955E-3</v>
          </cell>
          <cell r="W47">
            <v>1</v>
          </cell>
          <cell r="X47">
            <v>1.4084507042253521E-2</v>
          </cell>
          <cell r="Y47">
            <v>2</v>
          </cell>
          <cell r="Z47">
            <v>2.6490066225165563E-2</v>
          </cell>
          <cell r="AA47">
            <v>3</v>
          </cell>
          <cell r="AB47">
            <v>6.25E-2</v>
          </cell>
          <cell r="AC47">
            <v>1.7943613645040345E-2</v>
          </cell>
          <cell r="AD47">
            <v>56639.481756718291</v>
          </cell>
          <cell r="AE47">
            <v>1150000</v>
          </cell>
          <cell r="AF47">
            <v>300000</v>
          </cell>
          <cell r="AG47">
            <v>300000</v>
          </cell>
          <cell r="AH47">
            <v>355000</v>
          </cell>
          <cell r="AI47">
            <v>301750</v>
          </cell>
          <cell r="AJ47">
            <v>56639.481756718291</v>
          </cell>
          <cell r="AK47">
            <v>0</v>
          </cell>
        </row>
        <row r="48">
          <cell r="A48">
            <v>1001553922</v>
          </cell>
          <cell r="B48" t="str">
            <v>צהר לטהר</v>
          </cell>
          <cell r="C48">
            <v>1.5</v>
          </cell>
          <cell r="D48">
            <v>8</v>
          </cell>
          <cell r="E48">
            <v>17.5</v>
          </cell>
          <cell r="F48">
            <v>27</v>
          </cell>
          <cell r="G48">
            <v>6</v>
          </cell>
          <cell r="H48">
            <v>16</v>
          </cell>
          <cell r="I48">
            <v>17.5</v>
          </cell>
          <cell r="J48">
            <v>1</v>
          </cell>
          <cell r="K48">
            <v>39.5</v>
          </cell>
          <cell r="L48">
            <v>2.068658405645233E-2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110</v>
          </cell>
          <cell r="S48">
            <v>120</v>
          </cell>
          <cell r="T48">
            <v>334</v>
          </cell>
          <cell r="U48">
            <v>564</v>
          </cell>
          <cell r="V48">
            <v>5.9279813331651636E-3</v>
          </cell>
          <cell r="W48">
            <v>1</v>
          </cell>
          <cell r="X48">
            <v>1.4084507042253521E-2</v>
          </cell>
          <cell r="Y48">
            <v>2</v>
          </cell>
          <cell r="Z48">
            <v>2.6490066225165563E-2</v>
          </cell>
          <cell r="AA48">
            <v>0</v>
          </cell>
          <cell r="AB48">
            <v>0</v>
          </cell>
          <cell r="AC48">
            <v>1.1013722699027135E-2</v>
          </cell>
          <cell r="AD48">
            <v>34765.101290370483</v>
          </cell>
          <cell r="AE48">
            <v>2700000</v>
          </cell>
          <cell r="AF48">
            <v>140000</v>
          </cell>
          <cell r="AG48">
            <v>140000</v>
          </cell>
          <cell r="AH48">
            <v>170000</v>
          </cell>
          <cell r="AI48">
            <v>144500</v>
          </cell>
          <cell r="AJ48">
            <v>34765.101290370483</v>
          </cell>
        </row>
        <row r="49">
          <cell r="A49">
            <v>1001553966</v>
          </cell>
          <cell r="B49" t="str">
            <v>תרבות מאן דהוא (ע"ר)</v>
          </cell>
          <cell r="C49">
            <v>0.5</v>
          </cell>
          <cell r="D49">
            <v>0.5</v>
          </cell>
          <cell r="E49">
            <v>2.5</v>
          </cell>
          <cell r="F49">
            <v>3.5</v>
          </cell>
          <cell r="G49">
            <v>2</v>
          </cell>
          <cell r="H49">
            <v>1</v>
          </cell>
          <cell r="I49">
            <v>2.5</v>
          </cell>
          <cell r="J49">
            <v>0.89217758985200846</v>
          </cell>
          <cell r="K49">
            <v>4.9069767441860463</v>
          </cell>
          <cell r="L49">
            <v>2.5698376425737071E-3</v>
          </cell>
          <cell r="M49">
            <v>5</v>
          </cell>
          <cell r="N49">
            <v>0</v>
          </cell>
          <cell r="O49">
            <v>3</v>
          </cell>
          <cell r="P49">
            <v>3</v>
          </cell>
          <cell r="Q49">
            <v>3.7974683544303799E-2</v>
          </cell>
          <cell r="R49">
            <v>0</v>
          </cell>
          <cell r="S49">
            <v>420</v>
          </cell>
          <cell r="T49">
            <v>384</v>
          </cell>
          <cell r="U49">
            <v>804</v>
          </cell>
          <cell r="V49">
            <v>8.4505265813205523E-3</v>
          </cell>
          <cell r="W49">
            <v>2</v>
          </cell>
          <cell r="X49">
            <v>2.8169014084507043E-2</v>
          </cell>
          <cell r="Y49">
            <v>2</v>
          </cell>
          <cell r="Z49">
            <v>2.6490066225165563E-2</v>
          </cell>
          <cell r="AA49">
            <v>3</v>
          </cell>
          <cell r="AB49">
            <v>6.25E-2</v>
          </cell>
          <cell r="AC49">
            <v>1.7917508670373665E-2</v>
          </cell>
          <cell r="AD49">
            <v>56557.080727268927</v>
          </cell>
          <cell r="AE49">
            <v>350000</v>
          </cell>
          <cell r="AF49">
            <v>190000</v>
          </cell>
          <cell r="AG49">
            <v>190000</v>
          </cell>
          <cell r="AH49">
            <v>260000</v>
          </cell>
          <cell r="AI49">
            <v>221000</v>
          </cell>
          <cell r="AJ49">
            <v>56557.080727268927</v>
          </cell>
        </row>
        <row r="50">
          <cell r="A50">
            <v>1001553996</v>
          </cell>
          <cell r="B50" t="str">
            <v>אלין- בית נועם (ע"ר)</v>
          </cell>
          <cell r="C50">
            <v>1.0900000000000001</v>
          </cell>
          <cell r="D50">
            <v>6.7571428571428562</v>
          </cell>
          <cell r="E50">
            <v>12.9</v>
          </cell>
          <cell r="F50">
            <v>20.747142857142855</v>
          </cell>
          <cell r="G50">
            <v>4.3600000000000003</v>
          </cell>
          <cell r="H50">
            <v>13.514285714285712</v>
          </cell>
          <cell r="I50">
            <v>12.9</v>
          </cell>
          <cell r="J50">
            <v>1</v>
          </cell>
          <cell r="K50">
            <v>30.77428571428571</v>
          </cell>
          <cell r="L50">
            <v>1.6116831600148138E-2</v>
          </cell>
          <cell r="M50">
            <v>52</v>
          </cell>
          <cell r="N50">
            <v>1</v>
          </cell>
          <cell r="O50">
            <v>0</v>
          </cell>
          <cell r="P50">
            <v>1</v>
          </cell>
          <cell r="Q50">
            <v>1.2658227848101266E-2</v>
          </cell>
          <cell r="R50">
            <v>72</v>
          </cell>
          <cell r="S50">
            <v>66</v>
          </cell>
          <cell r="T50">
            <v>371</v>
          </cell>
          <cell r="U50">
            <v>509</v>
          </cell>
          <cell r="V50">
            <v>5.3498980471295534E-3</v>
          </cell>
          <cell r="W50">
            <v>1</v>
          </cell>
          <cell r="X50">
            <v>1.4084507042253521E-2</v>
          </cell>
          <cell r="Y50">
            <v>1</v>
          </cell>
          <cell r="Z50">
            <v>1.3245033112582781E-2</v>
          </cell>
          <cell r="AA50">
            <v>0</v>
          </cell>
          <cell r="AB50">
            <v>0</v>
          </cell>
          <cell r="AC50">
            <v>1.0044038941204401E-2</v>
          </cell>
          <cell r="AD50">
            <v>31704.26936445753</v>
          </cell>
          <cell r="AE50">
            <v>2074714.2857142854</v>
          </cell>
          <cell r="AF50">
            <v>270000</v>
          </cell>
          <cell r="AG50">
            <v>270000</v>
          </cell>
          <cell r="AH50">
            <v>620000</v>
          </cell>
          <cell r="AI50">
            <v>527000</v>
          </cell>
          <cell r="AJ50">
            <v>31704.26936445753</v>
          </cell>
        </row>
        <row r="51">
          <cell r="A51">
            <v>1001554250</v>
          </cell>
          <cell r="B51" t="str">
            <v>חזון דב - העמותה לשיקום ותמיכה באנש</v>
          </cell>
          <cell r="C51">
            <v>2</v>
          </cell>
          <cell r="D51">
            <v>2</v>
          </cell>
          <cell r="E51">
            <v>15</v>
          </cell>
          <cell r="F51">
            <v>19</v>
          </cell>
          <cell r="G51">
            <v>8</v>
          </cell>
          <cell r="H51">
            <v>4</v>
          </cell>
          <cell r="I51">
            <v>15</v>
          </cell>
          <cell r="J51">
            <v>1</v>
          </cell>
          <cell r="K51">
            <v>27</v>
          </cell>
          <cell r="L51">
            <v>1.4140196696815517E-2</v>
          </cell>
          <cell r="M51">
            <v>50</v>
          </cell>
          <cell r="N51">
            <v>1</v>
          </cell>
          <cell r="O51">
            <v>0</v>
          </cell>
          <cell r="P51">
            <v>1</v>
          </cell>
          <cell r="Q51">
            <v>1.2658227848101266E-2</v>
          </cell>
          <cell r="R51">
            <v>12076</v>
          </cell>
          <cell r="S51">
            <v>72</v>
          </cell>
          <cell r="T51">
            <v>201</v>
          </cell>
          <cell r="U51">
            <v>12349</v>
          </cell>
          <cell r="V51">
            <v>0.1297954636227954</v>
          </cell>
          <cell r="W51">
            <v>1</v>
          </cell>
          <cell r="X51">
            <v>1.4084507042253521E-2</v>
          </cell>
          <cell r="Y51">
            <v>2</v>
          </cell>
          <cell r="Z51">
            <v>2.6490066225165563E-2</v>
          </cell>
          <cell r="AA51">
            <v>0</v>
          </cell>
          <cell r="AB51">
            <v>0</v>
          </cell>
          <cell r="AC51">
            <v>5.3669248077316795E-2</v>
          </cell>
          <cell r="AD51">
            <v>169408.37322431873</v>
          </cell>
          <cell r="AE51">
            <v>1900000</v>
          </cell>
          <cell r="AF51">
            <v>360000</v>
          </cell>
          <cell r="AG51">
            <v>360000</v>
          </cell>
          <cell r="AH51">
            <v>400000</v>
          </cell>
          <cell r="AI51">
            <v>340000</v>
          </cell>
          <cell r="AJ51">
            <v>169408.37322431873</v>
          </cell>
        </row>
        <row r="52">
          <cell r="A52" t="str">
            <v>1001573017</v>
          </cell>
        </row>
      </sheetData>
      <sheetData sheetId="1"/>
      <sheetData sheetId="2"/>
      <sheetData sheetId="3">
        <row r="4">
          <cell r="B4" t="str">
            <v>שם עמותה</v>
          </cell>
          <cell r="C4" t="str">
            <v>יחודיות ונחיצות</v>
          </cell>
          <cell r="D4" t="str">
            <v>הסברים</v>
          </cell>
        </row>
        <row r="5">
          <cell r="B5" t="str">
            <v>העמותה לרכיבה וכלבנות טיפולית (ע"ר)</v>
          </cell>
          <cell r="C5">
            <v>1</v>
          </cell>
          <cell r="D5" t="str">
            <v>עמותה קטנה שעוסקת בתמיכה בתחום ספציפי למגוון קטן של אנשים עם מוגבלויות</v>
          </cell>
        </row>
        <row r="6">
          <cell r="B6" t="str">
            <v>שותף - לקידום ולשילוב ילדים עם צרכי</v>
          </cell>
          <cell r="C6">
            <v>3</v>
          </cell>
          <cell r="D6" t="str">
            <v>עמותה שמעניקה שירות ייחודי לילדים עם מוגבלויות ללא שיפוטיות ובצורה מקורית</v>
          </cell>
        </row>
        <row r="7">
          <cell r="B7" t="str">
            <v>משעולים (ע"ר)</v>
          </cell>
          <cell r="C7">
            <v>1</v>
          </cell>
          <cell r="D7" t="str">
            <v>לא מוכרת ואין בה טיפולים מקוריים</v>
          </cell>
        </row>
        <row r="8">
          <cell r="B8" t="str">
            <v>חינוך ועתיד (ע"ר)</v>
          </cell>
          <cell r="C8">
            <v>1</v>
          </cell>
          <cell r="D8" t="str">
            <v>לא מוכרת ואין בה טיפולים מקוריים</v>
          </cell>
        </row>
        <row r="9">
          <cell r="B9" t="str">
            <v>סבא ג'ק - מרכז לטיפול חוויתי משולב</v>
          </cell>
          <cell r="C9">
            <v>1</v>
          </cell>
          <cell r="D9" t="str">
            <v>פרויקט של רכיבה טיפולים לילדים עם מוגבלות</v>
          </cell>
        </row>
        <row r="10">
          <cell r="B10" t="str">
            <v>צעד קדימה - עמותה לחינוך ושיקום באמ</v>
          </cell>
          <cell r="C10">
            <v>2</v>
          </cell>
          <cell r="D10" t="str">
            <v>מדובר בתוכנית אחת שנמשכת כבר כמה שנים ובה מקבלים מספר קטן של צעירים טיפול בצורה של דירות אימון</v>
          </cell>
        </row>
        <row r="11">
          <cell r="B11" t="str">
            <v>עלה - עמותה לקידום הסטודנטים העוורי</v>
          </cell>
          <cell r="C11">
            <v>3</v>
          </cell>
          <cell r="D11" t="str">
            <v>עמותה גדולה וייחודית מאוד בכך שמעניקה שירות להשתלבות של סטודנטים עיוורים באוניברסיטה ובתחומים רבים נוספים</v>
          </cell>
        </row>
        <row r="12">
          <cell r="B12" t="str">
            <v>עמותת לסת - וחדק לתמיכה ושילוב אנשי</v>
          </cell>
          <cell r="C12">
            <v>1</v>
          </cell>
          <cell r="D12" t="str">
            <v>עמותה קטנה שאינה מוכרת לנו ובתחום צר מאוד וללא השפעה</v>
          </cell>
        </row>
        <row r="13">
          <cell r="B13" t="str">
            <v>אופק לילדינו (ע"ר)</v>
          </cell>
          <cell r="C13">
            <v>2</v>
          </cell>
          <cell r="D13" t="str">
            <v>העמותה מתמקדת במספר לא גדול של ילדים עיוורים, העמותה עוסקת גם בסינגור</v>
          </cell>
        </row>
        <row r="14">
          <cell r="B14" t="str">
            <v>תקוה לפרקינסון (ע''ר)</v>
          </cell>
          <cell r="C14">
            <v>1</v>
          </cell>
          <cell r="D14" t="str">
            <v>טיפול במחלה שאינה קשורה ממש למינהל מוגבלויות</v>
          </cell>
        </row>
        <row r="15">
          <cell r="B15" t="str">
            <v>פתחיה - מוסדות לחינוך מיוחד (ע"ר)</v>
          </cell>
          <cell r="C15">
            <v>1</v>
          </cell>
          <cell r="D15" t="str">
            <v>העמותה גדולה אך היא מקבלת תקציבים רבים מהמדינה והפרויקט שלה אינו ייחודי</v>
          </cell>
        </row>
        <row r="16">
          <cell r="B16" t="str">
            <v>בית לחינוך (ע''ר)</v>
          </cell>
          <cell r="C16">
            <v>1</v>
          </cell>
          <cell r="D16" t="str">
            <v>עמותה מקומית ללא השפעה ממשית</v>
          </cell>
        </row>
        <row r="17">
          <cell r="B17" t="str">
            <v>קשר-הבית של המשפחות המיוחדות ????-</v>
          </cell>
          <cell r="C17">
            <v>3</v>
          </cell>
          <cell r="D17" t="str">
            <v xml:space="preserve">עמותת סינגור ארצית מוכרת מאוד ומשפיעה מאוד על חייהם של אנשים רבים עם מוגבלות וכן על בני משפחות. מחזיקה צוות שעוסק בתמיכה וכן אתר אינטרנט וקו חם מאוד פעילים </v>
          </cell>
        </row>
        <row r="18">
          <cell r="B18" t="str">
            <v>אהבת חינ"מ לכולם (ע"ר)</v>
          </cell>
          <cell r="C18">
            <v>1</v>
          </cell>
          <cell r="D18" t="str">
            <v>עמותה חדשה שאינה מוכרת לנו</v>
          </cell>
        </row>
        <row r="19">
          <cell r="B19" t="str">
            <v>שמחת הלב- איגוד הליצנים הרפואים - ט</v>
          </cell>
          <cell r="C19">
            <v>2</v>
          </cell>
          <cell r="D19" t="str">
            <v>פעילות העמותה ייחודית מאוד, הפעילות ארצית ורוב האנשים הם מתנדבים. היא מסייעת בעיקר בבתי חולים ולא דווקא לאנשים עם מוגבלות</v>
          </cell>
        </row>
        <row r="20">
          <cell r="B20" t="str">
            <v>אגודת עזרה למרפא שע"י אברכי חסידי ב</v>
          </cell>
          <cell r="C20">
            <v>2</v>
          </cell>
          <cell r="D20" t="str">
            <v>עמותה מתרכזת בסיוע לכל אדם חולה ולאו דווקא לאנשים עם מוגבלויות. סיוע לכל דורש, לא ממש במינהל מוגבלויות</v>
          </cell>
        </row>
        <row r="21">
          <cell r="B21" t="str">
            <v>לב בנימין (ע"ר)</v>
          </cell>
          <cell r="C21">
            <v>2</v>
          </cell>
          <cell r="D21" t="str">
            <v>פעילות חשובה מאוד עם אנשים עם מוגלבויות, אך הפעילות מוגדרת לאיזור אחד וכמו כן היא מקבלת תקציבים כנותנת שרותים למדינה</v>
          </cell>
        </row>
        <row r="22">
          <cell r="B22" t="str">
            <v>בית איזי שפירא - עמותת אבי</v>
          </cell>
          <cell r="C22">
            <v>3</v>
          </cell>
          <cell r="D22" t="str">
            <v>פעילות האירגון מאוד חשובה וקריטית להתפתחותם של פעוטות וילדים עם מוגבלויות. כמו כן האירגון נותן תמיכה הדרכה וידע למשפחות ופועל למען שינוי עמדות</v>
          </cell>
        </row>
        <row r="23">
          <cell r="B23" t="str">
            <v>אלמנארה - עמותה לקידום אנשים עם מוג</v>
          </cell>
          <cell r="C23">
            <v>2</v>
          </cell>
          <cell r="D23" t="str">
            <v>עמותה קטנה, אך בעלת משמעות במגזר הערבי, מבצעת פעילות מאוד ייחודית במגזר זה עבור אנשים עם מוגבלויות שונות. זכו לפרסים על פעילותם</v>
          </cell>
        </row>
        <row r="24">
          <cell r="B24" t="str">
            <v>אתגרים</v>
          </cell>
          <cell r="C24">
            <v>3</v>
          </cell>
          <cell r="D24" t="str">
            <v>פעילות ייחודית מאוד ומאפשרת לילדים ע מוגבלות להשתתף בארועי ספורט אתגרי</v>
          </cell>
        </row>
        <row r="25">
          <cell r="B25" t="str">
            <v>מוסדות תורה, חינוך וסיוע בית שמש (ע</v>
          </cell>
          <cell r="C25">
            <v>1</v>
          </cell>
          <cell r="D25" t="str">
            <v xml:space="preserve">גוף מקומי קטן ופעילות שאינה מספיק ייחודית </v>
          </cell>
        </row>
        <row r="26">
          <cell r="B26" t="str">
            <v>עמותת על - עמותה לקידום תוכניות ייח</v>
          </cell>
          <cell r="C26">
            <v>1</v>
          </cell>
          <cell r="D26" t="str">
            <v xml:space="preserve">מועדון מקומי ללא ייחודיות </v>
          </cell>
        </row>
        <row r="27">
          <cell r="B27" t="str">
            <v>האגודה הישראלית לטרשת נפוצה (ע"ר)</v>
          </cell>
          <cell r="C27">
            <v>3</v>
          </cell>
          <cell r="D27" t="str">
            <v>עוסקים בטיפול באנשים שחלו במחלה שלא תמיד מוגדרת כמוגבלות ויש קושי לקבל שירותים ממינהל מוגבלות בעבורה. ייחודית מאוד בתחום ומעניקה שירות בכל הארץ</v>
          </cell>
        </row>
        <row r="28">
          <cell r="B28" t="str">
            <v>האגודה למען העוור ולמניעת העוורון ח</v>
          </cell>
          <cell r="C28">
            <v>1</v>
          </cell>
          <cell r="D28" t="str">
            <v xml:space="preserve">אגודה מקומית שמטפלת בעיוורים בלבד. </v>
          </cell>
        </row>
        <row r="29">
          <cell r="B29" t="str">
            <v>חיים וחסד ריסורסז (ע"ר)</v>
          </cell>
          <cell r="C29">
            <v>1</v>
          </cell>
          <cell r="D29" t="str">
            <v>איננו מוכר ונראה שאינו עוסק בתחום</v>
          </cell>
        </row>
        <row r="30">
          <cell r="B30" t="str">
            <v>המרכז להנצחת זכרו של אייל שמעוני ז"</v>
          </cell>
          <cell r="C30">
            <v>2</v>
          </cell>
          <cell r="D30" t="str">
            <v>עמותה מאוד יחודית שמעניקה שירות לכל אדם עם מוגבלות שזקוק לטיפולים מיוחדים אלה, בעלת מתקן טיפולי ייחודי</v>
          </cell>
        </row>
        <row r="31">
          <cell r="B31" t="str">
            <v>לטם - טבע נגיש לכולם (ע"ר)</v>
          </cell>
          <cell r="C31">
            <v>3</v>
          </cell>
          <cell r="D31" t="str">
            <v xml:space="preserve">שירות ייחודי מאוד שניתן בכל רחבי הארץ ולכל סוגי המוגבלויות. בזכות עמותה זו, אלפי אנשים עם מוגבלויות זוכים לטייל ברחבי הארץ וליהנות. </v>
          </cell>
        </row>
        <row r="32">
          <cell r="B32" t="str">
            <v>בית הגלגלים (ע"ר)</v>
          </cell>
          <cell r="C32">
            <v>2</v>
          </cell>
          <cell r="D32" t="str">
            <v>העמותה מטפלת רק בנכויות פיסיות, יש לה ארבעה סניפים, אך יש לה גם הסכמים עם המדינה. פעילויות חברתיות וטיפוליות ייחודיות</v>
          </cell>
        </row>
        <row r="33">
          <cell r="B33" t="str">
            <v>מכון "מסילות" אשדוד (ע"ר)</v>
          </cell>
          <cell r="C33">
            <v>1</v>
          </cell>
          <cell r="D33" t="str">
            <v xml:space="preserve">מרכז למידה לילדים רק באיזור אשדוד ולא בליבת העשיה השיקומית </v>
          </cell>
        </row>
        <row r="34">
          <cell r="B34" t="str">
            <v>קרן מלכי - לזכרה של מלכי רוט הי"ד</v>
          </cell>
          <cell r="C34">
            <v>3</v>
          </cell>
          <cell r="D34" t="str">
            <v>שירות ייחודי של מקצועות הבריאות שניתן בכל רחבי הארץ ולכל דורש ללא הבחנה. זכו להוקרה על פעילותם המבורכת</v>
          </cell>
        </row>
        <row r="35">
          <cell r="B35" t="str">
            <v>יעדים לצפון מיסודה של קרן רש"י (ע"ר</v>
          </cell>
          <cell r="C35">
            <v>1</v>
          </cell>
          <cell r="D35" t="str">
            <v>העמותה משרתת רק עיוורים במחוז הצפון. פעילויות רגילות, לא ממש ייחודיות</v>
          </cell>
        </row>
        <row r="36">
          <cell r="B36" t="str">
            <v>בדרך אל- בית ספר בטב"ע (בדרך טבעית</v>
          </cell>
          <cell r="C36">
            <v>1</v>
          </cell>
          <cell r="D36" t="str">
            <v>הפרוייקט נמשך כבר שנים והוא חלק מהשירות שבית הספר אמור לתת במסגרת משרד החינוך</v>
          </cell>
        </row>
        <row r="37">
          <cell r="B37" t="str">
            <v>המכון הלאומי לשיקום נוירופסיכולוגי</v>
          </cell>
          <cell r="C37">
            <v>1</v>
          </cell>
          <cell r="D37" t="str">
            <v xml:space="preserve">עוסקים בטיפול באנשים שנפגעו וזקוקים לשיקום, לא ממש באוכלוסיית היעד של מינהל מוגבלויות, מדובר בפעילות שעיקרה הוא באחריות משרד הבריאות </v>
          </cell>
        </row>
        <row r="38">
          <cell r="B38" t="str">
            <v>כישורית (חל"צ)</v>
          </cell>
          <cell r="C38">
            <v>1</v>
          </cell>
          <cell r="D38" t="str">
            <v>פעילות נוספת על פעילות ממונת ע"י המדינה</v>
          </cell>
        </row>
        <row r="39">
          <cell r="B39" t="str">
            <v>העמותה הישראלית לדיסאוטונומיה משפחת</v>
          </cell>
          <cell r="C39">
            <v>2</v>
          </cell>
          <cell r="D39" t="str">
            <v>מתמקדים בטיפול בנפגעי דיסאוטונומיה משפחתית. מציעים תוכנית ייחודית לקבוצת מנהיגות ולהגברת המודעות למחלה.</v>
          </cell>
        </row>
        <row r="40">
          <cell r="B40" t="str">
            <v>מגן - מרכז גוף ונפש (ע"ר)</v>
          </cell>
          <cell r="C40">
            <v>1</v>
          </cell>
          <cell r="D40" t="str">
            <v>מעניקה טיפולים במקצועות הבריאות שאינם ממומנים ע"י קופות החולים</v>
          </cell>
        </row>
        <row r="41">
          <cell r="B41" t="str">
            <v>ס.ו.ל.ם. - סיוע ועידוד לילדים מוגבל</v>
          </cell>
          <cell r="C41">
            <v>1</v>
          </cell>
          <cell r="D41" t="str">
            <v>מטפלים רק בילדים שהם תלמידים של בתי הספר שהעמותה מפעילה. מדובר בעיבוי הדרכה ואייפדים.</v>
          </cell>
        </row>
        <row r="42">
          <cell r="B42" t="str">
            <v>קרן עזרה לזולת קרית גת (ע"ר)</v>
          </cell>
          <cell r="C42">
            <v>1</v>
          </cell>
          <cell r="D42" t="str">
            <v>עמותה מקומית בלבד שמבקשת תמיכה לשם ביצוע תוכנית של גמילה לילדים אשר העמותה מטפלת ומתוקצבת עבורם</v>
          </cell>
        </row>
        <row r="43">
          <cell r="B43" t="str">
            <v>שיח סוד- מרכז חינוכי שיקומי לבעלי צ</v>
          </cell>
          <cell r="C43">
            <v>1</v>
          </cell>
          <cell r="D43" t="str">
            <v>עמותה גדולה שמעניקה מגוון שירותים לאנשים עם מוגבלות בירושלים ובבית שמש בלבד ומשכך מקבלת תקציבים מהמשרד. מבקשת תמיכה להפעלת קבותצות תמיכה בהורים, דבר חשוב שחלקו כן ממומן ע"י המדינה.</v>
          </cell>
        </row>
        <row r="44">
          <cell r="B44" t="str">
            <v>מגן הלב</v>
          </cell>
          <cell r="C44">
            <v>0</v>
          </cell>
          <cell r="D44" t="str">
            <v>עמותה שמקבלת תקציבים מהמדינה, מבקשת באמצעות התמיכה להפעיל מרכז הדרכה והשתלמויות לצוותים ולא לאנשים עם מוגבלויות</v>
          </cell>
        </row>
        <row r="45">
          <cell r="B45" t="str">
            <v>לבב חברתי (ע"ר)</v>
          </cell>
          <cell r="C45">
            <v>2</v>
          </cell>
          <cell r="D45" t="str">
            <v>העמותה אינה מוכרת לנו. התוכנית ייחודית לקבוצות להפגת בדידות של אנשים עם מוגבלות, נושא חשוב וייחודי.</v>
          </cell>
        </row>
        <row r="46">
          <cell r="B46" t="str">
            <v>מסגרת שמעיה (ע"ר)</v>
          </cell>
          <cell r="C46">
            <v>1</v>
          </cell>
          <cell r="D46" t="str">
            <v xml:space="preserve">העמותה גדולה מתמחה בטיפול בחרשים. מבקשת תמיכה לסיוע למשפחות וליחידים הזקוקים לכך ושאינם מקבלים במסגרות אחרות. לא ייחודי. </v>
          </cell>
        </row>
        <row r="47">
          <cell r="B47" t="str">
            <v>צהר לטהר</v>
          </cell>
          <cell r="C47">
            <v>1</v>
          </cell>
          <cell r="D47" t="str">
            <v>עמותה שמקבלת תקציבים מהמדינה, מבקשת באמצעות התמיכה להפעיל איש צוות לידע וחדשנות ולא לטיפול באנשים עם מוגבלויות</v>
          </cell>
        </row>
        <row r="48">
          <cell r="B48" t="str">
            <v>תרבות מאן דהוא (ע"ר)</v>
          </cell>
          <cell r="C48">
            <v>2</v>
          </cell>
          <cell r="D48" t="str">
            <v xml:space="preserve">העמותה אינה מוכרת לנו. מציעה תוכניות יחודיות באמצעות תנועה. </v>
          </cell>
        </row>
        <row r="49">
          <cell r="B49" t="str">
            <v>אלין- בית נועם (ע"ר)</v>
          </cell>
          <cell r="C49">
            <v>1</v>
          </cell>
          <cell r="D49" t="str">
            <v xml:space="preserve">עמותה חשובה ממומנת על פעילותה מהמדינה ומבקשת תגבור לצורך העמקה וטיפול מיטבי </v>
          </cell>
        </row>
        <row r="50">
          <cell r="B50" t="str">
            <v>חזון דב - העמותה לשיקום ותמיכה באנש</v>
          </cell>
          <cell r="C50">
            <v>1</v>
          </cell>
          <cell r="D50" t="str">
            <v xml:space="preserve">מיזם יחודי לתקשוב לאנשים עם מוגבלות, מיזם חדשני אך העמותה מקבלת תקציב עבור המטופלים ומדובר בתגבור בלבד. </v>
          </cell>
        </row>
      </sheetData>
      <sheetData sheetId="4">
        <row r="3">
          <cell r="A3" t="str">
            <v>מס' בקשה</v>
          </cell>
          <cell r="B3" t="str">
            <v>מס' עמותה</v>
          </cell>
          <cell r="C3" t="str">
            <v>שם עמותה</v>
          </cell>
          <cell r="D3" t="str">
            <v>מס עמותה מהקובץ</v>
          </cell>
          <cell r="E3" t="str">
            <v>סך היקפי ההעסקה במשרות של העובדים המועסקים במוסד ואשר העסקתם אינה ממומנת מתקציב מדינה או מקופת חולים  כולל עובדים מינהליים. עובדים שעתיים בחשבונית יש לתרגם להיקפי משרה</v>
          </cell>
          <cell r="F3" t="str">
            <v>היקף העסקת עו"סים במשרות חודשיות ואשר העסקתם אינה ממומנת מתקציב מדינה או מקופת חולים  עובדים שעתיים בחשבונית יש לתרגם להיקפי משרה</v>
          </cell>
          <cell r="G3" t="str">
            <v>היקף העסקת מטפלים מקצועיים (פסיכולוגיים, מורים, הדרכה שיקומית ומקצועות הבריאות) במשרות חודשיות ואשר העסקתם אינה ממומנת מתקציב מדינה או מקופת חולים  עובדים שעתיים בחשבונית יש לתרגם להיקפי משרה</v>
          </cell>
          <cell r="H3" t="str">
            <v>היקף העסקת מדריכים לשיקום תפקודי, חברתי וטיפולי שסיימו 12 שנות לימוד ועברו הדרכה של 36 שעות לפחות בידי המוסד ואשר העסקתם אינה ממומנת מתקציב מדינה או מקופת חולים</v>
          </cell>
          <cell r="I3" t="str">
            <v>מספר המטופלים כהגדרתם בסעיף 2 "אנשים עם מוגבלות" שהמוסד מספק להם שירותים טיפוליים מקצועיים לשיקומם או למניעת החמרה במצבם</v>
          </cell>
          <cell r="J3" t="str">
            <v xml:space="preserve">מספר המטופלים שאינם  "אנשים עם מוגבלות" שעובדים אלה מספקים להם להם שירותים </v>
          </cell>
          <cell r="K3" t="str">
            <v xml:space="preserve">אחוז מטופלים </v>
          </cell>
          <cell r="L3" t="str">
            <v>מס' המתנדבים במוסד בהיקף של 50 שעות בשנה לפחות (יש לצרף אישור רו"ח)</v>
          </cell>
          <cell r="M3" t="str">
            <v xml:space="preserve">כמה מטופלים עם מוגבלות ובני משפחותיהם מקבלים טיפול סוציאלי פרטני שבועי </v>
          </cell>
          <cell r="N3" t="str">
            <v>כמה מפגשים קבוצתיים התקיימו ל שירות סוציאלי קבוצתי  ?</v>
          </cell>
          <cell r="O3" t="str">
            <v>ניקוד עבור שירות סוציאלי קבוצתי</v>
          </cell>
          <cell r="P3" t="str">
            <v>האם מתקיימים פעילות פנאי שבועית, יש למלא את הטבלה "רשימת משתתפים פנאי שבועי"</v>
          </cell>
          <cell r="Q3" t="str">
            <v>האם מקיימים פעילות פנאי שמשכה לפחות 4 שעות ? יש למלא את הטבלה "בלתי שגרתית"</v>
          </cell>
          <cell r="R3" t="str">
            <v>ניקוד עבור פנאי</v>
          </cell>
          <cell r="S3" t="str">
            <v>סניפים במחוז תל אביב והמרכז של המשרד. אם המוסד פעיל במחוז זה נא לציין שמות הרשויות במחוז שבהן יש סניף של העמותה</v>
          </cell>
          <cell r="T3" t="str">
            <v>סניפים במחוז ירושלים של המשרד. אם המוסד פעיל במחוז זה נא לציין שמות הרשויות במחוז שבהן יש סניף של העמותה</v>
          </cell>
          <cell r="U3" t="str">
            <v>סניפים במחוז חיפה והצפון של המשרד. אם המוסד פעיל במחוז זה נא לציין שמות הרשויות במחוז שבהן יש סניף של העמותה</v>
          </cell>
          <cell r="V3" t="str">
            <v>סניפים במחוז דרום של המשרד. אם המוסד פעיל במחוז זה נא לציין שמות הרשויות במחוז שבהן יש סניף של העמותה</v>
          </cell>
          <cell r="W3" t="str">
            <v>ניקוד מקומי אזורי</v>
          </cell>
          <cell r="X3" t="str">
            <v>אם עיקר פעילות המוסד היא ברשות מקומית אחת או יותר הנמצאת במדרג 1 עד 5 למדרג הפריפריה לפי החלטת ממשלה- יש לציין את  שם הרשות בפריפריה</v>
          </cell>
          <cell r="Y3" t="str">
            <v>ניקוד פריפריה</v>
          </cell>
          <cell r="Z3" t="str">
            <v xml:space="preserve">מרחב גאגרפי </v>
          </cell>
          <cell r="AA3" t="str">
            <v xml:space="preserve">כמה עובדים בארגון הם אנשים עם מוגבלות? </v>
          </cell>
          <cell r="AB3" t="str">
            <v>אחוז עובדים עם מוגבלות</v>
          </cell>
          <cell r="AD3" t="str">
            <v>אחוז מתנדבים</v>
          </cell>
          <cell r="AE3" t="str">
            <v>ניקוד נוסף מתנדבים</v>
          </cell>
        </row>
        <row r="4">
          <cell r="A4">
            <v>1001546645</v>
          </cell>
          <cell r="B4">
            <v>580145746</v>
          </cell>
          <cell r="C4" t="str">
            <v>העמותה לרכיבה וכלבנות טיפולית (ע"ר)</v>
          </cell>
          <cell r="D4">
            <v>580145746</v>
          </cell>
          <cell r="E4">
            <v>23</v>
          </cell>
          <cell r="F4">
            <v>1</v>
          </cell>
          <cell r="G4">
            <v>2</v>
          </cell>
          <cell r="H4">
            <v>4.5</v>
          </cell>
          <cell r="I4">
            <v>300</v>
          </cell>
          <cell r="J4">
            <v>150</v>
          </cell>
          <cell r="K4">
            <v>0.66666666666666663</v>
          </cell>
          <cell r="L4">
            <v>20</v>
          </cell>
          <cell r="M4">
            <v>0</v>
          </cell>
          <cell r="N4">
            <v>100</v>
          </cell>
          <cell r="O4">
            <v>300</v>
          </cell>
          <cell r="P4">
            <v>0</v>
          </cell>
          <cell r="Q4">
            <v>0</v>
          </cell>
          <cell r="R4">
            <v>0</v>
          </cell>
          <cell r="S4" t="str">
            <v>לא</v>
          </cell>
          <cell r="T4" t="str">
            <v>לא</v>
          </cell>
          <cell r="U4" t="str">
            <v>כן</v>
          </cell>
          <cell r="V4">
            <v>0</v>
          </cell>
          <cell r="W4">
            <v>1</v>
          </cell>
          <cell r="X4">
            <v>0</v>
          </cell>
          <cell r="Y4">
            <v>1</v>
          </cell>
          <cell r="Z4">
            <v>1</v>
          </cell>
          <cell r="AA4">
            <v>0</v>
          </cell>
          <cell r="AB4">
            <v>0</v>
          </cell>
          <cell r="AC4">
            <v>0</v>
          </cell>
          <cell r="AD4">
            <v>0.86956521739130432</v>
          </cell>
          <cell r="AE4">
            <v>1</v>
          </cell>
        </row>
        <row r="5">
          <cell r="A5">
            <v>1001546689</v>
          </cell>
          <cell r="B5">
            <v>580504249</v>
          </cell>
          <cell r="C5" t="str">
            <v>שותף - לקידום ולשילוב ילדים עם צרכי</v>
          </cell>
          <cell r="D5">
            <v>580504249</v>
          </cell>
          <cell r="E5">
            <v>8</v>
          </cell>
          <cell r="F5">
            <v>1</v>
          </cell>
          <cell r="G5">
            <v>1</v>
          </cell>
          <cell r="H5">
            <v>50</v>
          </cell>
          <cell r="I5">
            <v>150</v>
          </cell>
          <cell r="J5">
            <v>25</v>
          </cell>
          <cell r="K5">
            <v>0.8571428571428571</v>
          </cell>
          <cell r="L5">
            <v>4</v>
          </cell>
          <cell r="M5">
            <v>5</v>
          </cell>
          <cell r="N5">
            <v>25</v>
          </cell>
          <cell r="O5">
            <v>75</v>
          </cell>
          <cell r="P5">
            <v>0</v>
          </cell>
          <cell r="Q5">
            <v>0</v>
          </cell>
          <cell r="R5">
            <v>0</v>
          </cell>
          <cell r="S5" t="str">
            <v>לא</v>
          </cell>
          <cell r="T5" t="str">
            <v>כן</v>
          </cell>
          <cell r="U5" t="str">
            <v>לא</v>
          </cell>
          <cell r="V5" t="str">
            <v>לא</v>
          </cell>
          <cell r="W5">
            <v>1</v>
          </cell>
          <cell r="X5" t="str">
            <v>ירושלים</v>
          </cell>
          <cell r="Y5">
            <v>1</v>
          </cell>
          <cell r="Z5">
            <v>1</v>
          </cell>
          <cell r="AA5">
            <v>15</v>
          </cell>
          <cell r="AB5">
            <v>1.875</v>
          </cell>
          <cell r="AC5">
            <v>3</v>
          </cell>
          <cell r="AD5">
            <v>0.5</v>
          </cell>
          <cell r="AE5">
            <v>1</v>
          </cell>
        </row>
        <row r="6">
          <cell r="A6">
            <v>1001546703</v>
          </cell>
          <cell r="B6">
            <v>580000073</v>
          </cell>
          <cell r="C6" t="str">
            <v>משעולים (ע"ר)</v>
          </cell>
          <cell r="D6">
            <v>580000073</v>
          </cell>
          <cell r="E6">
            <v>7</v>
          </cell>
          <cell r="F6">
            <v>3</v>
          </cell>
          <cell r="G6">
            <v>2</v>
          </cell>
          <cell r="H6">
            <v>5</v>
          </cell>
          <cell r="I6">
            <v>90</v>
          </cell>
          <cell r="J6">
            <v>180</v>
          </cell>
          <cell r="K6">
            <v>0.33333333333333331</v>
          </cell>
          <cell r="L6">
            <v>4</v>
          </cell>
          <cell r="M6">
            <v>36</v>
          </cell>
          <cell r="N6">
            <v>378</v>
          </cell>
          <cell r="O6">
            <v>1134</v>
          </cell>
          <cell r="P6">
            <v>0</v>
          </cell>
          <cell r="Q6">
            <v>0</v>
          </cell>
          <cell r="R6">
            <v>0</v>
          </cell>
          <cell r="S6" t="str">
            <v>אין</v>
          </cell>
          <cell r="T6" t="str">
            <v>כן</v>
          </cell>
          <cell r="U6" t="str">
            <v>אין</v>
          </cell>
          <cell r="V6" t="str">
            <v>אין</v>
          </cell>
          <cell r="W6">
            <v>1</v>
          </cell>
          <cell r="X6" t="str">
            <v>אין</v>
          </cell>
          <cell r="Y6">
            <v>1</v>
          </cell>
          <cell r="Z6">
            <v>1</v>
          </cell>
          <cell r="AA6">
            <v>0</v>
          </cell>
          <cell r="AB6">
            <v>0</v>
          </cell>
          <cell r="AC6">
            <v>0</v>
          </cell>
          <cell r="AD6">
            <v>0.5714285714285714</v>
          </cell>
          <cell r="AE6">
            <v>1</v>
          </cell>
        </row>
        <row r="7">
          <cell r="A7">
            <v>1001546704</v>
          </cell>
          <cell r="B7">
            <v>580554533</v>
          </cell>
          <cell r="C7" t="str">
            <v>חינוך ועתיד (ע"ר)</v>
          </cell>
          <cell r="D7">
            <v>580554533</v>
          </cell>
          <cell r="E7">
            <v>2</v>
          </cell>
          <cell r="F7">
            <v>0</v>
          </cell>
          <cell r="G7">
            <v>1</v>
          </cell>
          <cell r="H7">
            <v>1</v>
          </cell>
          <cell r="I7">
            <v>55</v>
          </cell>
          <cell r="J7">
            <v>0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>ביתר עילית</v>
          </cell>
          <cell r="U7">
            <v>0</v>
          </cell>
          <cell r="V7">
            <v>0</v>
          </cell>
          <cell r="W7">
            <v>1</v>
          </cell>
          <cell r="X7" t="str">
            <v>ביתר עילית</v>
          </cell>
          <cell r="Y7">
            <v>1</v>
          </cell>
          <cell r="Z7">
            <v>1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>
            <v>1001546705</v>
          </cell>
          <cell r="B8">
            <v>580366912</v>
          </cell>
          <cell r="C8" t="str">
            <v>סבא ג'ק - מרכז לטיפול חוויתי משולב</v>
          </cell>
          <cell r="D8">
            <v>580366912</v>
          </cell>
          <cell r="E8">
            <v>23</v>
          </cell>
          <cell r="F8">
            <v>1</v>
          </cell>
          <cell r="G8">
            <v>14</v>
          </cell>
          <cell r="H8">
            <v>14</v>
          </cell>
          <cell r="I8">
            <v>500</v>
          </cell>
          <cell r="J8">
            <v>50</v>
          </cell>
          <cell r="K8">
            <v>0.90909090909090906</v>
          </cell>
          <cell r="L8">
            <v>40</v>
          </cell>
          <cell r="M8">
            <v>6</v>
          </cell>
          <cell r="N8">
            <v>12</v>
          </cell>
          <cell r="O8">
            <v>36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1</v>
          </cell>
          <cell r="U8">
            <v>0</v>
          </cell>
          <cell r="V8">
            <v>0</v>
          </cell>
          <cell r="W8">
            <v>1</v>
          </cell>
          <cell r="Y8">
            <v>1</v>
          </cell>
          <cell r="Z8">
            <v>1</v>
          </cell>
          <cell r="AA8">
            <v>3</v>
          </cell>
          <cell r="AB8">
            <v>0.13043478260869565</v>
          </cell>
          <cell r="AC8">
            <v>0</v>
          </cell>
          <cell r="AD8">
            <v>1.7391304347826086</v>
          </cell>
          <cell r="AE8">
            <v>1</v>
          </cell>
        </row>
        <row r="9">
          <cell r="A9">
            <v>1001546862</v>
          </cell>
          <cell r="B9">
            <v>580115319</v>
          </cell>
          <cell r="C9" t="str">
            <v>צעד קדימה - עמותה לחינוך ושיקום באמ</v>
          </cell>
          <cell r="D9">
            <v>580115319</v>
          </cell>
          <cell r="E9">
            <v>8.5</v>
          </cell>
          <cell r="F9">
            <v>0.25</v>
          </cell>
          <cell r="G9">
            <v>0.39</v>
          </cell>
          <cell r="H9">
            <v>1.4</v>
          </cell>
          <cell r="I9">
            <v>40</v>
          </cell>
          <cell r="J9">
            <v>0</v>
          </cell>
          <cell r="K9">
            <v>1</v>
          </cell>
          <cell r="L9">
            <v>60</v>
          </cell>
          <cell r="M9">
            <v>18</v>
          </cell>
          <cell r="N9">
            <v>6</v>
          </cell>
          <cell r="O9">
            <v>18</v>
          </cell>
          <cell r="P9">
            <v>39</v>
          </cell>
          <cell r="Q9">
            <v>34</v>
          </cell>
          <cell r="R9">
            <v>73</v>
          </cell>
          <cell r="S9" t="str">
            <v>ראשון לציון</v>
          </cell>
          <cell r="T9" t="str">
            <v>ירושלים</v>
          </cell>
          <cell r="U9" t="str">
            <v>אור עקיבא</v>
          </cell>
          <cell r="V9" t="str">
            <v>באר שבע / אילת</v>
          </cell>
          <cell r="W9">
            <v>2</v>
          </cell>
          <cell r="X9" t="str">
            <v>אור עקיבא</v>
          </cell>
          <cell r="Y9">
            <v>1</v>
          </cell>
          <cell r="Z9">
            <v>2</v>
          </cell>
          <cell r="AA9">
            <v>5</v>
          </cell>
          <cell r="AB9">
            <v>0.58823529411764708</v>
          </cell>
          <cell r="AC9">
            <v>0</v>
          </cell>
          <cell r="AD9">
            <v>2.1176470588235294</v>
          </cell>
          <cell r="AE9">
            <v>1</v>
          </cell>
        </row>
        <row r="10">
          <cell r="A10">
            <v>1001547450</v>
          </cell>
          <cell r="B10">
            <v>580176444</v>
          </cell>
          <cell r="C10" t="str">
            <v>עלה - עמותה לקידום הסטודנטים העוורי</v>
          </cell>
          <cell r="D10">
            <v>580176444</v>
          </cell>
          <cell r="E10">
            <v>89</v>
          </cell>
          <cell r="F10">
            <v>4</v>
          </cell>
          <cell r="G10">
            <v>47</v>
          </cell>
          <cell r="H10">
            <v>38</v>
          </cell>
          <cell r="I10">
            <v>5700</v>
          </cell>
          <cell r="J10">
            <v>0</v>
          </cell>
          <cell r="K10">
            <v>1</v>
          </cell>
          <cell r="L10">
            <v>500</v>
          </cell>
          <cell r="M10">
            <v>4500</v>
          </cell>
          <cell r="N10">
            <v>70</v>
          </cell>
          <cell r="O10">
            <v>210</v>
          </cell>
          <cell r="P10">
            <v>0</v>
          </cell>
          <cell r="Q10">
            <v>0</v>
          </cell>
          <cell r="R10">
            <v>0</v>
          </cell>
          <cell r="S10" t="str">
            <v>תל אביב והמרכז</v>
          </cell>
          <cell r="T10" t="str">
            <v>ירושלים ודרום</v>
          </cell>
          <cell r="U10" t="str">
            <v>חיפה וצפון</v>
          </cell>
          <cell r="V10" t="str">
            <v>באר שבע ודרום</v>
          </cell>
          <cell r="W10">
            <v>2</v>
          </cell>
          <cell r="X10" t="str">
            <v>ירושלים</v>
          </cell>
          <cell r="Y10">
            <v>1</v>
          </cell>
          <cell r="Z10">
            <v>2</v>
          </cell>
          <cell r="AA10">
            <v>58</v>
          </cell>
          <cell r="AB10">
            <v>0.651685393258427</v>
          </cell>
          <cell r="AC10">
            <v>3</v>
          </cell>
          <cell r="AD10">
            <v>5.617977528089888</v>
          </cell>
          <cell r="AE10">
            <v>1</v>
          </cell>
        </row>
        <row r="11">
          <cell r="A11">
            <v>1001547735</v>
          </cell>
          <cell r="B11">
            <v>580582187</v>
          </cell>
          <cell r="C11" t="str">
            <v>עמותת לסת - וחדק לתמיכה ושילוב אנשי</v>
          </cell>
          <cell r="D11">
            <v>580582187</v>
          </cell>
          <cell r="E11">
            <v>11.91</v>
          </cell>
          <cell r="G11">
            <v>3.7</v>
          </cell>
          <cell r="H11">
            <v>8.2100000000000009</v>
          </cell>
          <cell r="I11">
            <v>129</v>
          </cell>
          <cell r="J11">
            <v>0</v>
          </cell>
          <cell r="K11">
            <v>1</v>
          </cell>
          <cell r="L11">
            <v>74</v>
          </cell>
          <cell r="M11">
            <v>25</v>
          </cell>
          <cell r="N11">
            <v>3</v>
          </cell>
          <cell r="O11">
            <v>9</v>
          </cell>
          <cell r="P11">
            <v>125</v>
          </cell>
          <cell r="Q11">
            <v>232</v>
          </cell>
          <cell r="R11">
            <v>357</v>
          </cell>
          <cell r="S11" t="str">
            <v>כפר קאסם</v>
          </cell>
          <cell r="T11">
            <v>0</v>
          </cell>
          <cell r="U11">
            <v>0</v>
          </cell>
          <cell r="V11">
            <v>0</v>
          </cell>
          <cell r="W11">
            <v>1</v>
          </cell>
          <cell r="X11" t="str">
            <v>כפר קאסם</v>
          </cell>
          <cell r="Y11">
            <v>1.5</v>
          </cell>
          <cell r="Z11">
            <v>1.5</v>
          </cell>
          <cell r="AA11">
            <v>4</v>
          </cell>
          <cell r="AB11">
            <v>0.33585222502099077</v>
          </cell>
          <cell r="AC11">
            <v>3</v>
          </cell>
          <cell r="AD11">
            <v>6.2132661628883294</v>
          </cell>
          <cell r="AE11">
            <v>1</v>
          </cell>
        </row>
        <row r="12">
          <cell r="A12">
            <v>1001548067</v>
          </cell>
          <cell r="B12">
            <v>580297406</v>
          </cell>
          <cell r="C12" t="str">
            <v>אופק לילדינו (ע"ר)</v>
          </cell>
          <cell r="D12">
            <v>580297406</v>
          </cell>
          <cell r="E12">
            <v>1</v>
          </cell>
          <cell r="F12">
            <v>2.1</v>
          </cell>
          <cell r="G12">
            <v>0.12</v>
          </cell>
          <cell r="H12">
            <v>0</v>
          </cell>
          <cell r="I12">
            <v>3000</v>
          </cell>
          <cell r="J12">
            <v>0</v>
          </cell>
          <cell r="K12">
            <v>1</v>
          </cell>
          <cell r="L12">
            <v>67</v>
          </cell>
          <cell r="M12">
            <v>35</v>
          </cell>
          <cell r="N12">
            <v>40</v>
          </cell>
          <cell r="O12">
            <v>120</v>
          </cell>
          <cell r="P12">
            <v>60</v>
          </cell>
          <cell r="Q12">
            <v>402</v>
          </cell>
          <cell r="R12">
            <v>462</v>
          </cell>
          <cell r="S12" t="str">
            <v>לא</v>
          </cell>
          <cell r="T12" t="str">
            <v>לא</v>
          </cell>
          <cell r="U12" t="str">
            <v>לא</v>
          </cell>
          <cell r="V12" t="str">
            <v>לא</v>
          </cell>
          <cell r="W12">
            <v>1</v>
          </cell>
          <cell r="X12" t="str">
            <v>לא</v>
          </cell>
          <cell r="Y12">
            <v>1</v>
          </cell>
          <cell r="Z12">
            <v>1</v>
          </cell>
          <cell r="AA12">
            <v>2</v>
          </cell>
          <cell r="AB12">
            <v>2</v>
          </cell>
          <cell r="AC12">
            <v>3</v>
          </cell>
          <cell r="AD12">
            <v>67</v>
          </cell>
          <cell r="AE12">
            <v>1</v>
          </cell>
        </row>
        <row r="13">
          <cell r="A13">
            <v>1001548120</v>
          </cell>
          <cell r="B13">
            <v>580641959</v>
          </cell>
          <cell r="C13" t="str">
            <v>תקוה לפרקינסון (ע''ר)</v>
          </cell>
          <cell r="D13">
            <v>580641959</v>
          </cell>
          <cell r="E13">
            <v>3</v>
          </cell>
          <cell r="F13">
            <v>0.23</v>
          </cell>
          <cell r="G13">
            <v>0.5</v>
          </cell>
          <cell r="H13">
            <v>0.35</v>
          </cell>
          <cell r="I13">
            <v>616</v>
          </cell>
          <cell r="J13">
            <v>0</v>
          </cell>
          <cell r="K13">
            <v>1</v>
          </cell>
          <cell r="L13">
            <v>6</v>
          </cell>
          <cell r="M13">
            <v>616</v>
          </cell>
          <cell r="N13">
            <v>20</v>
          </cell>
          <cell r="O13">
            <v>60</v>
          </cell>
          <cell r="P13">
            <v>0</v>
          </cell>
          <cell r="Q13">
            <v>279</v>
          </cell>
          <cell r="R13">
            <v>279</v>
          </cell>
          <cell r="S13" t="str">
            <v>אין</v>
          </cell>
          <cell r="T13" t="str">
            <v>ירושלים</v>
          </cell>
          <cell r="U13" t="str">
            <v>אין</v>
          </cell>
          <cell r="V13" t="str">
            <v>אין</v>
          </cell>
          <cell r="W13">
            <v>1</v>
          </cell>
          <cell r="X13" t="str">
            <v>לא רלוונטי</v>
          </cell>
          <cell r="Y13">
            <v>1</v>
          </cell>
          <cell r="Z13">
            <v>1</v>
          </cell>
          <cell r="AA13">
            <v>4</v>
          </cell>
          <cell r="AB13">
            <v>1.3333333333333333</v>
          </cell>
          <cell r="AC13">
            <v>0</v>
          </cell>
          <cell r="AD13">
            <v>2</v>
          </cell>
          <cell r="AE13">
            <v>1</v>
          </cell>
        </row>
        <row r="14">
          <cell r="A14">
            <v>1001548321</v>
          </cell>
          <cell r="B14">
            <v>580266971</v>
          </cell>
          <cell r="C14" t="str">
            <v>פתחיה - מוסדות לחינוך מיוחד (ע"ר)</v>
          </cell>
          <cell r="D14">
            <v>580266971</v>
          </cell>
          <cell r="E14">
            <v>517</v>
          </cell>
          <cell r="F14">
            <v>15</v>
          </cell>
          <cell r="G14">
            <v>125</v>
          </cell>
          <cell r="H14">
            <v>2</v>
          </cell>
          <cell r="I14">
            <v>1189</v>
          </cell>
          <cell r="J14">
            <v>58</v>
          </cell>
          <cell r="K14">
            <v>0.95348837209302328</v>
          </cell>
          <cell r="L14">
            <v>4</v>
          </cell>
          <cell r="M14">
            <v>357</v>
          </cell>
          <cell r="N14">
            <v>90</v>
          </cell>
          <cell r="O14">
            <v>270</v>
          </cell>
          <cell r="P14">
            <v>165</v>
          </cell>
          <cell r="Q14">
            <v>231</v>
          </cell>
          <cell r="R14">
            <v>396</v>
          </cell>
          <cell r="S14">
            <v>40</v>
          </cell>
          <cell r="T14">
            <v>67</v>
          </cell>
          <cell r="U14">
            <v>0</v>
          </cell>
          <cell r="V14">
            <v>4</v>
          </cell>
          <cell r="W14">
            <v>2</v>
          </cell>
          <cell r="X14" t="str">
            <v>כן</v>
          </cell>
          <cell r="Y14">
            <v>1</v>
          </cell>
          <cell r="Z14">
            <v>2</v>
          </cell>
          <cell r="AA14">
            <v>0</v>
          </cell>
          <cell r="AB14">
            <v>0</v>
          </cell>
          <cell r="AC14">
            <v>0</v>
          </cell>
          <cell r="AD14">
            <v>7.7369439071566732E-3</v>
          </cell>
          <cell r="AE14">
            <v>0</v>
          </cell>
        </row>
        <row r="15">
          <cell r="A15">
            <v>1001548441</v>
          </cell>
          <cell r="B15">
            <v>580630556</v>
          </cell>
          <cell r="C15" t="str">
            <v>בית לחינוך (ע''ר)</v>
          </cell>
          <cell r="D15">
            <v>580630556</v>
          </cell>
          <cell r="E15">
            <v>11</v>
          </cell>
          <cell r="F15">
            <v>0.1</v>
          </cell>
          <cell r="G15">
            <v>0.68</v>
          </cell>
          <cell r="H15">
            <v>6.31</v>
          </cell>
          <cell r="I15">
            <v>52</v>
          </cell>
          <cell r="J15">
            <v>0</v>
          </cell>
          <cell r="K15">
            <v>1</v>
          </cell>
          <cell r="L15">
            <v>15</v>
          </cell>
          <cell r="M15">
            <v>26</v>
          </cell>
          <cell r="N15">
            <v>48</v>
          </cell>
          <cell r="O15">
            <v>144</v>
          </cell>
          <cell r="P15">
            <v>15</v>
          </cell>
          <cell r="Q15">
            <v>483</v>
          </cell>
          <cell r="R15">
            <v>498</v>
          </cell>
          <cell r="S15">
            <v>0</v>
          </cell>
          <cell r="T15" t="str">
            <v>ביתר עילית</v>
          </cell>
          <cell r="U15">
            <v>0</v>
          </cell>
          <cell r="V15">
            <v>0</v>
          </cell>
          <cell r="W15">
            <v>1</v>
          </cell>
          <cell r="Y15">
            <v>1</v>
          </cell>
          <cell r="Z15">
            <v>1</v>
          </cell>
          <cell r="AA15">
            <v>2</v>
          </cell>
          <cell r="AB15">
            <v>0.18181818181818182</v>
          </cell>
          <cell r="AC15">
            <v>0</v>
          </cell>
          <cell r="AD15">
            <v>1.3636363636363635</v>
          </cell>
          <cell r="AE15">
            <v>1</v>
          </cell>
        </row>
        <row r="16">
          <cell r="A16">
            <v>1001548503</v>
          </cell>
          <cell r="B16">
            <v>580235125</v>
          </cell>
          <cell r="C16" t="str">
            <v>קשר-הבית של המשפחות המיוחדות ????-</v>
          </cell>
          <cell r="D16">
            <v>580235125</v>
          </cell>
          <cell r="E16">
            <v>15</v>
          </cell>
          <cell r="F16">
            <v>1</v>
          </cell>
          <cell r="G16">
            <v>2</v>
          </cell>
          <cell r="H16">
            <v>1</v>
          </cell>
          <cell r="I16">
            <v>1000</v>
          </cell>
          <cell r="J16">
            <v>0</v>
          </cell>
          <cell r="K16">
            <v>1</v>
          </cell>
          <cell r="L16">
            <v>135</v>
          </cell>
          <cell r="M16">
            <v>110</v>
          </cell>
          <cell r="N16">
            <v>120</v>
          </cell>
          <cell r="O16">
            <v>360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1</v>
          </cell>
          <cell r="U16">
            <v>0</v>
          </cell>
          <cell r="V16">
            <v>0</v>
          </cell>
          <cell r="W16">
            <v>2</v>
          </cell>
          <cell r="X16" t="str">
            <v>קרית גת, קרית מלאכי, אופקים, נתיבות, באר שבע, רהט, חורה, נשר, עכו, נהריה, רמלה, לוד, אור יהודה, שומרון, פרדס חנה, כרכור, צפת, בני שמעון</v>
          </cell>
          <cell r="Y16">
            <v>1.5</v>
          </cell>
          <cell r="Z16">
            <v>3</v>
          </cell>
          <cell r="AA16">
            <v>3</v>
          </cell>
          <cell r="AB16">
            <v>0.2</v>
          </cell>
          <cell r="AC16">
            <v>3</v>
          </cell>
          <cell r="AD16">
            <v>9</v>
          </cell>
          <cell r="AE16">
            <v>1</v>
          </cell>
        </row>
        <row r="17">
          <cell r="A17">
            <v>1001548925</v>
          </cell>
          <cell r="B17">
            <v>580388585</v>
          </cell>
          <cell r="C17" t="str">
            <v>שמחת הלב- איגוד הליצנים הרפואים - ט</v>
          </cell>
          <cell r="D17">
            <v>580388585</v>
          </cell>
          <cell r="E17">
            <v>20</v>
          </cell>
          <cell r="F17">
            <v>1</v>
          </cell>
          <cell r="G17">
            <v>10</v>
          </cell>
          <cell r="H17">
            <v>9</v>
          </cell>
          <cell r="I17">
            <v>21600</v>
          </cell>
          <cell r="J17">
            <v>0</v>
          </cell>
          <cell r="K17">
            <v>1</v>
          </cell>
          <cell r="L17">
            <v>607</v>
          </cell>
          <cell r="M17">
            <v>0</v>
          </cell>
          <cell r="N17">
            <v>11520</v>
          </cell>
          <cell r="O17">
            <v>34560</v>
          </cell>
          <cell r="P17">
            <v>0</v>
          </cell>
          <cell r="Q17">
            <v>6420</v>
          </cell>
          <cell r="R17">
            <v>6420</v>
          </cell>
          <cell r="S17" t="str">
            <v>תל אביב, פתח תקווה, רמת גן,חולון, ראשון לציון רעננה, כפר סבא, בני ברק</v>
          </cell>
          <cell r="T17" t="str">
            <v xml:space="preserve">ירושלים, מודיעין, בית שמש </v>
          </cell>
          <cell r="U17" t="str">
            <v>נהריה, טבריה, חיפה, בנימינה, חדרה,</v>
          </cell>
          <cell r="V17" t="str">
            <v>רחובות, גדרה, באר שבע, אילת, אשדוד, אשקלון</v>
          </cell>
          <cell r="W17">
            <v>2</v>
          </cell>
          <cell r="Y17">
            <v>1</v>
          </cell>
          <cell r="Z17">
            <v>2</v>
          </cell>
          <cell r="AA17">
            <v>0</v>
          </cell>
          <cell r="AB17">
            <v>0</v>
          </cell>
          <cell r="AC17">
            <v>3</v>
          </cell>
          <cell r="AD17">
            <v>30.35</v>
          </cell>
          <cell r="AE17">
            <v>1</v>
          </cell>
        </row>
        <row r="18">
          <cell r="A18">
            <v>1001548959</v>
          </cell>
          <cell r="B18">
            <v>580012318</v>
          </cell>
          <cell r="C18" t="str">
            <v>אגודת עזרה למרפא שע"י אברכי חסידי ב</v>
          </cell>
          <cell r="D18">
            <v>580012318</v>
          </cell>
          <cell r="E18">
            <v>159</v>
          </cell>
          <cell r="F18">
            <v>2.7</v>
          </cell>
          <cell r="G18">
            <v>19.7</v>
          </cell>
          <cell r="H18">
            <v>13.5</v>
          </cell>
          <cell r="I18">
            <v>3548</v>
          </cell>
          <cell r="J18">
            <v>0</v>
          </cell>
          <cell r="K18">
            <v>1</v>
          </cell>
          <cell r="L18">
            <v>435</v>
          </cell>
          <cell r="M18">
            <v>3548</v>
          </cell>
          <cell r="N18">
            <v>999</v>
          </cell>
          <cell r="O18">
            <v>2997</v>
          </cell>
          <cell r="P18">
            <v>399</v>
          </cell>
          <cell r="Q18">
            <v>0</v>
          </cell>
          <cell r="R18">
            <v>399</v>
          </cell>
          <cell r="S18" t="str">
            <v>בני ברק
יד בנימין
רעננה</v>
          </cell>
          <cell r="T18" t="str">
            <v>יהודה ושומרון</v>
          </cell>
          <cell r="U18" t="str">
            <v>קרית שמונה</v>
          </cell>
          <cell r="V18" t="str">
            <v>שדרות</v>
          </cell>
          <cell r="W18">
            <v>2</v>
          </cell>
          <cell r="X18" t="str">
            <v xml:space="preserve">שדרות 
</v>
          </cell>
          <cell r="Y18">
            <v>1.5</v>
          </cell>
          <cell r="Z18">
            <v>3</v>
          </cell>
          <cell r="AA18">
            <v>0</v>
          </cell>
          <cell r="AB18">
            <v>0</v>
          </cell>
          <cell r="AC18">
            <v>0</v>
          </cell>
          <cell r="AD18">
            <v>2.7358490566037736</v>
          </cell>
          <cell r="AE18">
            <v>1</v>
          </cell>
        </row>
        <row r="19">
          <cell r="A19">
            <v>1001549381</v>
          </cell>
          <cell r="B19">
            <v>580333011</v>
          </cell>
          <cell r="C19" t="str">
            <v>לב בנימין (ע"ר)</v>
          </cell>
          <cell r="D19">
            <v>580333011</v>
          </cell>
          <cell r="E19">
            <v>19</v>
          </cell>
          <cell r="F19">
            <v>1.5</v>
          </cell>
          <cell r="G19">
            <v>1</v>
          </cell>
          <cell r="H19">
            <v>8</v>
          </cell>
          <cell r="I19">
            <v>272</v>
          </cell>
          <cell r="J19">
            <v>0</v>
          </cell>
          <cell r="K19">
            <v>1</v>
          </cell>
          <cell r="L19">
            <v>223</v>
          </cell>
          <cell r="M19">
            <v>60</v>
          </cell>
          <cell r="N19">
            <v>54</v>
          </cell>
          <cell r="O19">
            <v>162</v>
          </cell>
          <cell r="P19">
            <v>38</v>
          </cell>
          <cell r="Q19">
            <v>1475</v>
          </cell>
          <cell r="R19">
            <v>1513</v>
          </cell>
          <cell r="T19" t="str">
            <v>מטה בנימין</v>
          </cell>
          <cell r="W19">
            <v>1</v>
          </cell>
          <cell r="X19" t="str">
            <v>מטה בנימין</v>
          </cell>
          <cell r="Y19">
            <v>1</v>
          </cell>
          <cell r="Z19">
            <v>1</v>
          </cell>
          <cell r="AB19">
            <v>0</v>
          </cell>
          <cell r="AC19">
            <v>0</v>
          </cell>
          <cell r="AD19">
            <v>11.736842105263158</v>
          </cell>
          <cell r="AE19">
            <v>1</v>
          </cell>
        </row>
        <row r="20">
          <cell r="A20">
            <v>1001549588</v>
          </cell>
          <cell r="B20">
            <v>580071850</v>
          </cell>
          <cell r="C20" t="str">
            <v>בית איזי שפירא - עמותת אבי</v>
          </cell>
          <cell r="D20">
            <v>580071850</v>
          </cell>
          <cell r="E20">
            <v>104.91000000000003</v>
          </cell>
          <cell r="F20">
            <v>8.4599999999999991</v>
          </cell>
          <cell r="G20">
            <v>11</v>
          </cell>
          <cell r="H20">
            <v>9.6</v>
          </cell>
          <cell r="I20">
            <v>2357</v>
          </cell>
          <cell r="J20">
            <v>0</v>
          </cell>
          <cell r="K20">
            <v>1</v>
          </cell>
          <cell r="L20">
            <v>43</v>
          </cell>
          <cell r="M20">
            <v>158</v>
          </cell>
          <cell r="N20">
            <v>62</v>
          </cell>
          <cell r="O20">
            <v>186</v>
          </cell>
          <cell r="P20">
            <v>0</v>
          </cell>
          <cell r="Q20">
            <v>0</v>
          </cell>
          <cell r="R20">
            <v>0</v>
          </cell>
          <cell r="S20" t="str">
            <v>רעננה וקלנסווה</v>
          </cell>
          <cell r="T20">
            <v>0</v>
          </cell>
          <cell r="U20">
            <v>0</v>
          </cell>
          <cell r="V20">
            <v>0</v>
          </cell>
          <cell r="W20">
            <v>1</v>
          </cell>
          <cell r="X20" t="str">
            <v>-</v>
          </cell>
          <cell r="Y20">
            <v>1</v>
          </cell>
          <cell r="Z20">
            <v>1</v>
          </cell>
          <cell r="AA20">
            <v>16</v>
          </cell>
          <cell r="AB20">
            <v>0.1525116766752454</v>
          </cell>
          <cell r="AC20">
            <v>3</v>
          </cell>
          <cell r="AD20">
            <v>0.40987513106472206</v>
          </cell>
          <cell r="AE20">
            <v>0</v>
          </cell>
        </row>
        <row r="21">
          <cell r="A21">
            <v>1001549989</v>
          </cell>
          <cell r="B21">
            <v>580442697</v>
          </cell>
          <cell r="C21" t="str">
            <v>אלמנארה - עמותה לקידום אנשים עם מוג</v>
          </cell>
          <cell r="D21">
            <v>580442697</v>
          </cell>
          <cell r="E21">
            <v>12</v>
          </cell>
          <cell r="F21">
            <v>2</v>
          </cell>
          <cell r="G21">
            <v>2</v>
          </cell>
          <cell r="H21">
            <v>12</v>
          </cell>
          <cell r="I21">
            <v>500</v>
          </cell>
          <cell r="J21">
            <v>300</v>
          </cell>
          <cell r="K21">
            <v>0.625</v>
          </cell>
          <cell r="L21">
            <v>50</v>
          </cell>
          <cell r="M21">
            <v>45</v>
          </cell>
          <cell r="N21">
            <v>45</v>
          </cell>
          <cell r="O21">
            <v>135</v>
          </cell>
          <cell r="P21">
            <v>49</v>
          </cell>
          <cell r="Q21">
            <v>214</v>
          </cell>
          <cell r="R21">
            <v>263</v>
          </cell>
          <cell r="S21">
            <v>0</v>
          </cell>
          <cell r="T21">
            <v>0</v>
          </cell>
          <cell r="U21">
            <v>1</v>
          </cell>
          <cell r="V21">
            <v>0</v>
          </cell>
          <cell r="W21">
            <v>1</v>
          </cell>
          <cell r="X21" t="str">
            <v xml:space="preserve">נצרת והסביבה, אום אלפחם והסביבה </v>
          </cell>
          <cell r="Y21">
            <v>1.5</v>
          </cell>
          <cell r="Z21">
            <v>1.5</v>
          </cell>
          <cell r="AA21">
            <v>12</v>
          </cell>
          <cell r="AB21">
            <v>1</v>
          </cell>
          <cell r="AC21">
            <v>3</v>
          </cell>
          <cell r="AD21">
            <v>4.166666666666667</v>
          </cell>
          <cell r="AE21">
            <v>1</v>
          </cell>
        </row>
        <row r="22">
          <cell r="A22">
            <v>1001550374</v>
          </cell>
          <cell r="B22">
            <v>580258242</v>
          </cell>
          <cell r="C22" t="str">
            <v>אתגרים</v>
          </cell>
          <cell r="D22">
            <v>580258242</v>
          </cell>
          <cell r="E22">
            <v>160</v>
          </cell>
          <cell r="F22">
            <v>1</v>
          </cell>
          <cell r="G22">
            <v>3</v>
          </cell>
          <cell r="H22">
            <v>120</v>
          </cell>
          <cell r="I22">
            <v>6000</v>
          </cell>
          <cell r="J22">
            <v>0</v>
          </cell>
          <cell r="K22">
            <v>1</v>
          </cell>
          <cell r="L22">
            <v>1382</v>
          </cell>
          <cell r="M22">
            <v>0</v>
          </cell>
          <cell r="N22">
            <v>0</v>
          </cell>
          <cell r="O22">
            <v>0</v>
          </cell>
          <cell r="P22">
            <v>470</v>
          </cell>
          <cell r="Q22">
            <v>1250</v>
          </cell>
          <cell r="R22">
            <v>1720</v>
          </cell>
          <cell r="S22">
            <v>7</v>
          </cell>
          <cell r="T22">
            <v>1</v>
          </cell>
          <cell r="U22">
            <v>7</v>
          </cell>
          <cell r="V22">
            <v>2</v>
          </cell>
          <cell r="W22">
            <v>2</v>
          </cell>
          <cell r="Y22">
            <v>1</v>
          </cell>
          <cell r="Z22">
            <v>2</v>
          </cell>
          <cell r="AA22">
            <v>15</v>
          </cell>
          <cell r="AB22">
            <v>9.375E-2</v>
          </cell>
          <cell r="AC22">
            <v>3</v>
          </cell>
          <cell r="AD22">
            <v>8.6374999999999993</v>
          </cell>
          <cell r="AE22">
            <v>1</v>
          </cell>
        </row>
        <row r="23">
          <cell r="A23">
            <v>1001550769</v>
          </cell>
          <cell r="B23">
            <v>580590875</v>
          </cell>
          <cell r="C23" t="str">
            <v>מוסדות תורה, חינוך וסיוע בית שמש (ע</v>
          </cell>
          <cell r="D23">
            <v>580590875</v>
          </cell>
          <cell r="E23">
            <v>7</v>
          </cell>
          <cell r="G23">
            <v>3</v>
          </cell>
          <cell r="H23">
            <v>4</v>
          </cell>
          <cell r="I23">
            <v>277</v>
          </cell>
          <cell r="J23">
            <v>0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 t="str">
            <v>נתניה</v>
          </cell>
          <cell r="T23" t="str">
            <v>ירושלים</v>
          </cell>
          <cell r="V23" t="str">
            <v>אשדוד בית שמש</v>
          </cell>
          <cell r="W23">
            <v>2</v>
          </cell>
          <cell r="X23" t="str">
            <v>כן, ראשי - בית שמש</v>
          </cell>
          <cell r="Y23">
            <v>1</v>
          </cell>
          <cell r="Z23">
            <v>2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A24">
            <v>1001551379</v>
          </cell>
          <cell r="B24">
            <v>580309896</v>
          </cell>
          <cell r="C24" t="str">
            <v>עמותת על - עמותה לקידום תוכניות ייח</v>
          </cell>
          <cell r="D24">
            <v>580309896</v>
          </cell>
          <cell r="E24">
            <v>57</v>
          </cell>
          <cell r="F24">
            <v>50</v>
          </cell>
          <cell r="G24">
            <v>2</v>
          </cell>
          <cell r="H24">
            <v>4</v>
          </cell>
          <cell r="I24">
            <v>65</v>
          </cell>
          <cell r="J24">
            <v>0</v>
          </cell>
          <cell r="K24">
            <v>1</v>
          </cell>
          <cell r="L24">
            <v>50</v>
          </cell>
          <cell r="M24">
            <v>5</v>
          </cell>
          <cell r="N24">
            <v>2</v>
          </cell>
          <cell r="O24">
            <v>6</v>
          </cell>
          <cell r="P24">
            <v>60</v>
          </cell>
          <cell r="Q24">
            <v>245</v>
          </cell>
          <cell r="R24">
            <v>305</v>
          </cell>
          <cell r="S24" t="str">
            <v>אין</v>
          </cell>
          <cell r="T24" t="str">
            <v>אין</v>
          </cell>
          <cell r="U24" t="str">
            <v>אין</v>
          </cell>
          <cell r="V24" t="str">
            <v>באר שבע</v>
          </cell>
          <cell r="W24">
            <v>1</v>
          </cell>
          <cell r="Y24">
            <v>1</v>
          </cell>
          <cell r="Z24">
            <v>1</v>
          </cell>
          <cell r="AA24">
            <v>0</v>
          </cell>
          <cell r="AB24">
            <v>0</v>
          </cell>
          <cell r="AC24">
            <v>0</v>
          </cell>
          <cell r="AD24">
            <v>0.8771929824561403</v>
          </cell>
          <cell r="AE24">
            <v>1</v>
          </cell>
        </row>
        <row r="25">
          <cell r="A25">
            <v>1001551390</v>
          </cell>
          <cell r="B25">
            <v>580005890</v>
          </cell>
          <cell r="C25" t="str">
            <v>האגודה הישראלית לטרשת נפוצה (ע"ר)</v>
          </cell>
          <cell r="D25" t="str">
            <v>58-000-5890</v>
          </cell>
          <cell r="E25">
            <v>4</v>
          </cell>
          <cell r="F25">
            <v>0.5</v>
          </cell>
          <cell r="G25">
            <v>0.3</v>
          </cell>
          <cell r="H25">
            <v>0.3</v>
          </cell>
          <cell r="I25">
            <v>6700</v>
          </cell>
          <cell r="J25">
            <v>10000</v>
          </cell>
          <cell r="K25">
            <v>0.40119760479041916</v>
          </cell>
          <cell r="L25">
            <v>40</v>
          </cell>
          <cell r="M25">
            <v>0</v>
          </cell>
          <cell r="N25">
            <v>72</v>
          </cell>
          <cell r="O25">
            <v>216</v>
          </cell>
          <cell r="P25">
            <v>74</v>
          </cell>
          <cell r="Q25">
            <v>0</v>
          </cell>
          <cell r="R25">
            <v>74</v>
          </cell>
          <cell r="S25" t="str">
            <v>כן</v>
          </cell>
          <cell r="T25" t="str">
            <v>לא</v>
          </cell>
          <cell r="U25" t="str">
            <v>לא</v>
          </cell>
          <cell r="V25" t="str">
            <v>לא</v>
          </cell>
          <cell r="W25">
            <v>1</v>
          </cell>
          <cell r="X25" t="str">
            <v>לא</v>
          </cell>
          <cell r="Y25">
            <v>1</v>
          </cell>
          <cell r="Z25">
            <v>1</v>
          </cell>
          <cell r="AA25">
            <v>0</v>
          </cell>
          <cell r="AB25">
            <v>0</v>
          </cell>
          <cell r="AC25">
            <v>0</v>
          </cell>
          <cell r="AD25">
            <v>10</v>
          </cell>
          <cell r="AE25">
            <v>1</v>
          </cell>
        </row>
        <row r="26">
          <cell r="A26">
            <v>1001551399</v>
          </cell>
          <cell r="B26">
            <v>580028173</v>
          </cell>
          <cell r="C26" t="str">
            <v>האגודה למען העוור ולמניעת העוורון ח</v>
          </cell>
          <cell r="D26">
            <v>580028173</v>
          </cell>
          <cell r="E26">
            <v>3.02</v>
          </cell>
          <cell r="F26">
            <v>1.23</v>
          </cell>
          <cell r="I26">
            <v>362</v>
          </cell>
          <cell r="J26">
            <v>0</v>
          </cell>
          <cell r="K26">
            <v>1</v>
          </cell>
          <cell r="L26">
            <v>200</v>
          </cell>
          <cell r="M26">
            <v>12</v>
          </cell>
          <cell r="N26">
            <v>135</v>
          </cell>
          <cell r="O26">
            <v>405</v>
          </cell>
          <cell r="P26">
            <v>0</v>
          </cell>
          <cell r="Q26">
            <v>860</v>
          </cell>
          <cell r="R26">
            <v>860</v>
          </cell>
          <cell r="S26">
            <v>0</v>
          </cell>
          <cell r="T26">
            <v>0</v>
          </cell>
          <cell r="U26">
            <v>1</v>
          </cell>
          <cell r="V26">
            <v>0</v>
          </cell>
          <cell r="W26">
            <v>1</v>
          </cell>
          <cell r="X26" t="str">
            <v xml:space="preserve">חיפה </v>
          </cell>
          <cell r="Y26">
            <v>1</v>
          </cell>
          <cell r="Z26">
            <v>1</v>
          </cell>
          <cell r="AA26">
            <v>5</v>
          </cell>
          <cell r="AB26">
            <v>1.6556291390728477</v>
          </cell>
          <cell r="AC26">
            <v>3</v>
          </cell>
          <cell r="AD26">
            <v>66.225165562913901</v>
          </cell>
          <cell r="AE26">
            <v>1</v>
          </cell>
        </row>
        <row r="27">
          <cell r="A27">
            <v>1001551445</v>
          </cell>
          <cell r="B27">
            <v>580604908</v>
          </cell>
          <cell r="C27" t="str">
            <v>חיים וחסד ריסורסז (ע"ר)</v>
          </cell>
          <cell r="D27">
            <v>580604908</v>
          </cell>
          <cell r="E27">
            <v>19</v>
          </cell>
          <cell r="G27">
            <v>3</v>
          </cell>
          <cell r="H27">
            <v>1</v>
          </cell>
          <cell r="I27">
            <v>1500</v>
          </cell>
          <cell r="J27">
            <v>2000</v>
          </cell>
          <cell r="K27">
            <v>0.42857142857142855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T27" t="str">
            <v>ירושלים</v>
          </cell>
          <cell r="W27">
            <v>1</v>
          </cell>
          <cell r="Y27">
            <v>1</v>
          </cell>
          <cell r="Z27">
            <v>1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A28">
            <v>1001551452</v>
          </cell>
          <cell r="B28">
            <v>580313039</v>
          </cell>
          <cell r="C28" t="str">
            <v>המרכז להנצחת זכרו של אייל שמעוני ז"</v>
          </cell>
          <cell r="D28">
            <v>580313039</v>
          </cell>
          <cell r="E28">
            <v>50</v>
          </cell>
          <cell r="F28">
            <v>1</v>
          </cell>
          <cell r="G28">
            <v>25</v>
          </cell>
          <cell r="H28">
            <v>15</v>
          </cell>
          <cell r="I28">
            <v>800</v>
          </cell>
          <cell r="J28">
            <v>1000</v>
          </cell>
          <cell r="K28">
            <v>0.44444444444444442</v>
          </cell>
          <cell r="M28">
            <v>5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U28" t="str">
            <v>עמק הירדן אשכול כנרת עמקים</v>
          </cell>
          <cell r="W28">
            <v>1</v>
          </cell>
          <cell r="X28" t="str">
            <v>עמק הירדן</v>
          </cell>
          <cell r="Y28">
            <v>1.5</v>
          </cell>
          <cell r="Z28">
            <v>1.5</v>
          </cell>
          <cell r="AA28">
            <v>3</v>
          </cell>
          <cell r="AB28">
            <v>0.06</v>
          </cell>
          <cell r="AC28">
            <v>3</v>
          </cell>
          <cell r="AD28">
            <v>0</v>
          </cell>
          <cell r="AE28">
            <v>0</v>
          </cell>
        </row>
        <row r="29">
          <cell r="A29">
            <v>1001551458</v>
          </cell>
          <cell r="B29">
            <v>580228161</v>
          </cell>
          <cell r="C29" t="str">
            <v>לטם - טבע נגיש לכולם (ע"ר)</v>
          </cell>
          <cell r="D29">
            <v>580228161</v>
          </cell>
          <cell r="E29">
            <v>25</v>
          </cell>
          <cell r="F29">
            <v>1.5</v>
          </cell>
          <cell r="G29">
            <v>1</v>
          </cell>
          <cell r="H29">
            <v>12</v>
          </cell>
          <cell r="I29">
            <v>8295</v>
          </cell>
          <cell r="K29">
            <v>1</v>
          </cell>
          <cell r="L29">
            <v>11</v>
          </cell>
          <cell r="N29">
            <v>1100</v>
          </cell>
          <cell r="O29">
            <v>3300</v>
          </cell>
          <cell r="P29">
            <v>295</v>
          </cell>
          <cell r="Q29">
            <v>5480</v>
          </cell>
          <cell r="R29">
            <v>5775</v>
          </cell>
          <cell r="T29" t="str">
            <v>ירושלים</v>
          </cell>
          <cell r="U29" t="str">
            <v>מגידו</v>
          </cell>
          <cell r="V29" t="str">
            <v>באר שבע</v>
          </cell>
          <cell r="W29">
            <v>2</v>
          </cell>
          <cell r="Y29">
            <v>1</v>
          </cell>
          <cell r="Z29">
            <v>2</v>
          </cell>
          <cell r="AA29">
            <v>6</v>
          </cell>
          <cell r="AB29">
            <v>0.24</v>
          </cell>
          <cell r="AC29">
            <v>3</v>
          </cell>
          <cell r="AD29">
            <v>0.44</v>
          </cell>
          <cell r="AE29">
            <v>0</v>
          </cell>
        </row>
        <row r="30">
          <cell r="A30">
            <v>1001551526</v>
          </cell>
          <cell r="B30">
            <v>580023992</v>
          </cell>
          <cell r="C30" t="str">
            <v>בית הגלגלים (ע"ר)</v>
          </cell>
          <cell r="D30">
            <v>580023992</v>
          </cell>
          <cell r="E30">
            <v>41</v>
          </cell>
          <cell r="F30">
            <v>7</v>
          </cell>
          <cell r="G30">
            <v>9</v>
          </cell>
          <cell r="H30">
            <v>13</v>
          </cell>
          <cell r="I30">
            <v>350</v>
          </cell>
          <cell r="J30">
            <v>0</v>
          </cell>
          <cell r="K30">
            <v>1</v>
          </cell>
          <cell r="L30">
            <v>492</v>
          </cell>
          <cell r="M30">
            <v>115</v>
          </cell>
          <cell r="O30">
            <v>0</v>
          </cell>
          <cell r="P30">
            <v>92</v>
          </cell>
          <cell r="Q30">
            <v>1263</v>
          </cell>
          <cell r="R30">
            <v>1355</v>
          </cell>
          <cell r="S30" t="str">
            <v>הרצליה</v>
          </cell>
          <cell r="T30" t="str">
            <v>מטה יהודה</v>
          </cell>
          <cell r="U30" t="str">
            <v>מטה אשר+</v>
          </cell>
          <cell r="V30" t="str">
            <v>אשכול+</v>
          </cell>
          <cell r="W30">
            <v>2</v>
          </cell>
          <cell r="Y30">
            <v>1</v>
          </cell>
          <cell r="Z30">
            <v>2</v>
          </cell>
          <cell r="AA30">
            <v>15</v>
          </cell>
          <cell r="AB30">
            <v>0.36585365853658536</v>
          </cell>
          <cell r="AC30">
            <v>3</v>
          </cell>
          <cell r="AD30">
            <v>12</v>
          </cell>
          <cell r="AE30">
            <v>1</v>
          </cell>
        </row>
        <row r="31">
          <cell r="A31">
            <v>1001551882</v>
          </cell>
          <cell r="B31">
            <v>580382414</v>
          </cell>
          <cell r="C31" t="str">
            <v>מכון "מסילות" אשדוד (ע"ר)</v>
          </cell>
          <cell r="D31">
            <v>580382414</v>
          </cell>
          <cell r="E31">
            <v>62</v>
          </cell>
          <cell r="F31">
            <v>6</v>
          </cell>
          <cell r="G31">
            <v>48</v>
          </cell>
          <cell r="H31">
            <v>5</v>
          </cell>
          <cell r="I31">
            <v>3200</v>
          </cell>
          <cell r="J31">
            <v>1800</v>
          </cell>
          <cell r="K31">
            <v>0.64</v>
          </cell>
          <cell r="M31">
            <v>360</v>
          </cell>
          <cell r="N31">
            <v>15</v>
          </cell>
          <cell r="O31">
            <v>45</v>
          </cell>
          <cell r="P31">
            <v>0</v>
          </cell>
          <cell r="Q31">
            <v>79</v>
          </cell>
          <cell r="R31">
            <v>79</v>
          </cell>
          <cell r="S31" t="str">
            <v>לא</v>
          </cell>
          <cell r="T31" t="str">
            <v>לא</v>
          </cell>
          <cell r="U31" t="str">
            <v>לא</v>
          </cell>
          <cell r="V31" t="str">
            <v>כן</v>
          </cell>
          <cell r="W31">
            <v>1</v>
          </cell>
          <cell r="X31" t="str">
            <v>אשדוד והסביבה</v>
          </cell>
          <cell r="Y31">
            <v>1</v>
          </cell>
          <cell r="Z31">
            <v>1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A32">
            <v>1001551888</v>
          </cell>
          <cell r="B32">
            <v>580381655</v>
          </cell>
          <cell r="C32" t="str">
            <v>קרן מלכי - לזכרה של מלכי רוט הי"ד</v>
          </cell>
          <cell r="D32">
            <v>580381655</v>
          </cell>
          <cell r="E32">
            <v>2</v>
          </cell>
          <cell r="G32">
            <v>1</v>
          </cell>
          <cell r="I32">
            <v>71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 t="str">
            <v xml:space="preserve"> 19 ילדים מהמחוז מטופלים על ידינו</v>
          </cell>
          <cell r="T32" t="str">
            <v xml:space="preserve"> 10 ילדים מהמחוז מטופלים על ידינו</v>
          </cell>
          <cell r="U32" t="str">
            <v xml:space="preserve"> 4 ילדים מהמחוז מטופלים על ידינו</v>
          </cell>
          <cell r="W32">
            <v>2</v>
          </cell>
          <cell r="X32" t="str">
            <v xml:space="preserve"> 38 ילדים מהפריפריה מטופלים על ידינו</v>
          </cell>
          <cell r="Y32">
            <v>1.5</v>
          </cell>
          <cell r="Z32">
            <v>3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A33">
            <v>1001552411</v>
          </cell>
          <cell r="B33">
            <v>580421626</v>
          </cell>
          <cell r="C33" t="str">
            <v>יעדים לצפון מיסודה של קרן רש"י (ע"ר</v>
          </cell>
          <cell r="D33">
            <v>580421626</v>
          </cell>
          <cell r="E33">
            <v>7</v>
          </cell>
          <cell r="F33">
            <v>4</v>
          </cell>
          <cell r="G33">
            <v>3</v>
          </cell>
          <cell r="I33">
            <v>5844</v>
          </cell>
          <cell r="K33">
            <v>1</v>
          </cell>
          <cell r="L33">
            <v>180</v>
          </cell>
          <cell r="M33">
            <v>210</v>
          </cell>
          <cell r="N33">
            <v>146</v>
          </cell>
          <cell r="O33">
            <v>438</v>
          </cell>
          <cell r="P33">
            <v>146</v>
          </cell>
          <cell r="Q33">
            <v>65</v>
          </cell>
          <cell r="R33">
            <v>211</v>
          </cell>
          <cell r="S33" t="str">
            <v>תל אביב</v>
          </cell>
          <cell r="T33" t="str">
            <v>ירושלים</v>
          </cell>
          <cell r="U33" t="str">
            <v>קרית חיים (חיפה)</v>
          </cell>
          <cell r="V33" t="str">
            <v>באר שבע</v>
          </cell>
          <cell r="W33">
            <v>2</v>
          </cell>
          <cell r="X33" t="str">
            <v xml:space="preserve">רוב הרשויות בהם אנחנו פעילים הם בפריפריה, השירותים ניתנים מתוך בחירה ביישובים החלשים יותר. </v>
          </cell>
          <cell r="Y33">
            <v>1.5</v>
          </cell>
          <cell r="Z33">
            <v>3</v>
          </cell>
          <cell r="AA33">
            <v>25</v>
          </cell>
          <cell r="AB33">
            <v>3.5714285714285716</v>
          </cell>
          <cell r="AC33">
            <v>0</v>
          </cell>
          <cell r="AD33">
            <v>25.714285714285715</v>
          </cell>
          <cell r="AE33">
            <v>1</v>
          </cell>
        </row>
        <row r="34">
          <cell r="A34">
            <v>1001552453</v>
          </cell>
          <cell r="B34">
            <v>580507234</v>
          </cell>
          <cell r="C34" t="str">
            <v>בדרך אל- בית ספר בטב"ע (בדרך טבעית</v>
          </cell>
          <cell r="D34">
            <v>580507234</v>
          </cell>
          <cell r="E34">
            <v>2</v>
          </cell>
          <cell r="F34">
            <v>0.5</v>
          </cell>
          <cell r="G34">
            <v>2</v>
          </cell>
          <cell r="H34">
            <v>2</v>
          </cell>
          <cell r="I34">
            <v>50</v>
          </cell>
          <cell r="J34">
            <v>3</v>
          </cell>
          <cell r="K34">
            <v>0.94339622641509435</v>
          </cell>
          <cell r="L34">
            <v>0</v>
          </cell>
          <cell r="O34">
            <v>0</v>
          </cell>
          <cell r="P34">
            <v>33</v>
          </cell>
          <cell r="Q34">
            <v>70</v>
          </cell>
          <cell r="R34">
            <v>103</v>
          </cell>
          <cell r="S34" t="str">
            <v>בית עובד</v>
          </cell>
          <cell r="W34">
            <v>1</v>
          </cell>
          <cell r="Y34">
            <v>1</v>
          </cell>
          <cell r="Z34">
            <v>1</v>
          </cell>
          <cell r="AA34">
            <v>50</v>
          </cell>
          <cell r="AB34">
            <v>25</v>
          </cell>
          <cell r="AC34">
            <v>3</v>
          </cell>
          <cell r="AD34">
            <v>0</v>
          </cell>
          <cell r="AE34">
            <v>0</v>
          </cell>
        </row>
        <row r="35">
          <cell r="A35">
            <v>1001552723</v>
          </cell>
          <cell r="B35">
            <v>580077089</v>
          </cell>
          <cell r="C35" t="str">
            <v>המכון הלאומי לשיקום נוירופסיכולוגי</v>
          </cell>
          <cell r="D35">
            <v>580077089</v>
          </cell>
          <cell r="E35">
            <v>90</v>
          </cell>
          <cell r="F35">
            <v>2.56</v>
          </cell>
          <cell r="G35">
            <v>58</v>
          </cell>
          <cell r="H35">
            <v>21.14</v>
          </cell>
          <cell r="I35">
            <v>600</v>
          </cell>
          <cell r="J35">
            <v>100</v>
          </cell>
          <cell r="K35">
            <v>0.8571428571428571</v>
          </cell>
          <cell r="L35">
            <v>5</v>
          </cell>
          <cell r="M35">
            <v>40</v>
          </cell>
          <cell r="N35">
            <v>172</v>
          </cell>
          <cell r="O35">
            <v>516</v>
          </cell>
          <cell r="P35">
            <v>0</v>
          </cell>
          <cell r="Q35">
            <v>351</v>
          </cell>
          <cell r="R35">
            <v>351</v>
          </cell>
          <cell r="S35" t="str">
            <v>עיריית תל אביב</v>
          </cell>
          <cell r="T35" t="str">
            <v>עיריית ירושלים</v>
          </cell>
          <cell r="U35" t="str">
            <v>עיריית חיפה, מועצה מקומית מגדל תפן</v>
          </cell>
          <cell r="V35" t="str">
            <v>אין</v>
          </cell>
          <cell r="W35">
            <v>2</v>
          </cell>
          <cell r="X35" t="str">
            <v>לא</v>
          </cell>
          <cell r="Y35">
            <v>1</v>
          </cell>
          <cell r="Z35">
            <v>2</v>
          </cell>
          <cell r="AA35">
            <v>4</v>
          </cell>
          <cell r="AB35">
            <v>4.4444444444444446E-2</v>
          </cell>
          <cell r="AC35">
            <v>0</v>
          </cell>
          <cell r="AD35">
            <v>5.5555555555555552E-2</v>
          </cell>
          <cell r="AE35">
            <v>0</v>
          </cell>
        </row>
        <row r="36">
          <cell r="A36">
            <v>1001553333</v>
          </cell>
          <cell r="B36">
            <v>512014192</v>
          </cell>
          <cell r="C36" t="str">
            <v>כישורית (חל"צ)</v>
          </cell>
          <cell r="D36">
            <v>512014192</v>
          </cell>
          <cell r="E36">
            <v>8</v>
          </cell>
          <cell r="G36">
            <v>4.24</v>
          </cell>
          <cell r="I36">
            <v>139</v>
          </cell>
          <cell r="J36">
            <v>0</v>
          </cell>
          <cell r="K36">
            <v>1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U36" t="str">
            <v>מועצה איזורית משגב</v>
          </cell>
          <cell r="W36">
            <v>1</v>
          </cell>
          <cell r="X36" t="str">
            <v>מועצה איזורית משגב</v>
          </cell>
          <cell r="Y36">
            <v>1.5</v>
          </cell>
          <cell r="Z36">
            <v>1.5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A37">
            <v>1001553346</v>
          </cell>
          <cell r="B37">
            <v>580047835</v>
          </cell>
          <cell r="C37" t="str">
            <v>העמותה הישראלית לדיסאוטונומיה משפחת</v>
          </cell>
          <cell r="D37">
            <v>580047835</v>
          </cell>
          <cell r="E37">
            <v>1.45</v>
          </cell>
          <cell r="F37">
            <v>0.3</v>
          </cell>
          <cell r="G37">
            <v>0.5</v>
          </cell>
          <cell r="H37">
            <v>0.15</v>
          </cell>
          <cell r="I37">
            <v>50</v>
          </cell>
          <cell r="J37">
            <v>0</v>
          </cell>
          <cell r="K37">
            <v>1</v>
          </cell>
          <cell r="L37">
            <v>5</v>
          </cell>
          <cell r="N37">
            <v>144</v>
          </cell>
          <cell r="O37">
            <v>432</v>
          </cell>
          <cell r="P37">
            <v>19</v>
          </cell>
          <cell r="Q37">
            <v>47</v>
          </cell>
          <cell r="R37">
            <v>66</v>
          </cell>
          <cell r="S37">
            <v>2</v>
          </cell>
          <cell r="T37">
            <v>1</v>
          </cell>
          <cell r="U37">
            <v>1</v>
          </cell>
          <cell r="W37">
            <v>2</v>
          </cell>
          <cell r="Y37">
            <v>1</v>
          </cell>
          <cell r="Z37">
            <v>2</v>
          </cell>
          <cell r="AA37">
            <v>5</v>
          </cell>
          <cell r="AB37">
            <v>3.4482758620689657</v>
          </cell>
          <cell r="AC37">
            <v>0</v>
          </cell>
          <cell r="AD37">
            <v>3.4482758620689657</v>
          </cell>
          <cell r="AE37">
            <v>1</v>
          </cell>
        </row>
        <row r="38">
          <cell r="A38">
            <v>1001553418</v>
          </cell>
          <cell r="B38">
            <v>580299683</v>
          </cell>
          <cell r="C38" t="str">
            <v>מגן - מרכז גוף ונפש (ע"ר)</v>
          </cell>
          <cell r="D38">
            <v>580299683</v>
          </cell>
          <cell r="E38">
            <v>13</v>
          </cell>
          <cell r="F38">
            <v>0.83</v>
          </cell>
          <cell r="G38">
            <v>1.29</v>
          </cell>
          <cell r="H38">
            <v>0.25</v>
          </cell>
          <cell r="I38">
            <v>50</v>
          </cell>
          <cell r="J38">
            <v>0</v>
          </cell>
          <cell r="K38">
            <v>1</v>
          </cell>
          <cell r="L38">
            <v>10</v>
          </cell>
          <cell r="M38">
            <v>50</v>
          </cell>
          <cell r="N38">
            <v>15</v>
          </cell>
          <cell r="O38">
            <v>45</v>
          </cell>
          <cell r="P38">
            <v>0</v>
          </cell>
          <cell r="Q38">
            <v>0</v>
          </cell>
          <cell r="R38">
            <v>0</v>
          </cell>
          <cell r="S38" t="str">
            <v>בני ברק</v>
          </cell>
          <cell r="T38" t="str">
            <v>ירושלים, בית שמש, ביתר עילית</v>
          </cell>
          <cell r="U38" t="str">
            <v>חיפה</v>
          </cell>
          <cell r="V38" t="str">
            <v>אשדוד</v>
          </cell>
          <cell r="W38">
            <v>2</v>
          </cell>
          <cell r="X38" t="str">
            <v>ביתר עילית</v>
          </cell>
          <cell r="Y38">
            <v>1</v>
          </cell>
          <cell r="Z38">
            <v>2</v>
          </cell>
          <cell r="AA38">
            <v>0</v>
          </cell>
          <cell r="AB38">
            <v>0</v>
          </cell>
          <cell r="AC38">
            <v>0</v>
          </cell>
          <cell r="AD38">
            <v>0.76923076923076927</v>
          </cell>
          <cell r="AE38">
            <v>1</v>
          </cell>
        </row>
        <row r="39">
          <cell r="A39">
            <v>1001553637</v>
          </cell>
          <cell r="B39">
            <v>580165249</v>
          </cell>
          <cell r="C39" t="str">
            <v>ס.ו.ל.ם. - סיוע ועידוד לילדים מוגבל</v>
          </cell>
          <cell r="D39">
            <v>580165249</v>
          </cell>
          <cell r="E39">
            <v>36</v>
          </cell>
          <cell r="G39">
            <v>1.5</v>
          </cell>
          <cell r="H39">
            <v>20</v>
          </cell>
          <cell r="I39">
            <v>1018</v>
          </cell>
          <cell r="J39">
            <v>0</v>
          </cell>
          <cell r="K39">
            <v>1</v>
          </cell>
          <cell r="L39">
            <v>0</v>
          </cell>
          <cell r="M39">
            <v>125</v>
          </cell>
          <cell r="N39">
            <v>40</v>
          </cell>
          <cell r="O39">
            <v>120</v>
          </cell>
          <cell r="P39">
            <v>0</v>
          </cell>
          <cell r="Q39">
            <v>0</v>
          </cell>
          <cell r="R39">
            <v>0</v>
          </cell>
          <cell r="S39" t="str">
            <v>לוד, בני ברק, מודיעין עילית, בת ים</v>
          </cell>
          <cell r="T39" t="str">
            <v>ירושלים, בית שמש, קרית יערים</v>
          </cell>
          <cell r="W39">
            <v>2</v>
          </cell>
          <cell r="X39" t="str">
            <v>ירושלים, לוד, בית שמש, מודיעין עילית, בני ברק, קרית יערים</v>
          </cell>
          <cell r="Y39">
            <v>1</v>
          </cell>
          <cell r="Z39">
            <v>2</v>
          </cell>
          <cell r="AA39">
            <v>5</v>
          </cell>
          <cell r="AB39">
            <v>0.1388888888888889</v>
          </cell>
          <cell r="AC39">
            <v>0</v>
          </cell>
          <cell r="AD39">
            <v>0</v>
          </cell>
          <cell r="AE39">
            <v>0</v>
          </cell>
        </row>
        <row r="40">
          <cell r="A40">
            <v>1001553650</v>
          </cell>
          <cell r="B40">
            <v>580426062</v>
          </cell>
          <cell r="C40" t="str">
            <v>קרן עזרה לזולת קרית גת (ע"ר)</v>
          </cell>
          <cell r="D40">
            <v>580426062</v>
          </cell>
          <cell r="E40">
            <v>26</v>
          </cell>
          <cell r="F40">
            <v>1</v>
          </cell>
          <cell r="G40">
            <v>2.75</v>
          </cell>
          <cell r="H40">
            <v>17</v>
          </cell>
          <cell r="I40">
            <v>152</v>
          </cell>
          <cell r="J40">
            <v>0</v>
          </cell>
          <cell r="K40">
            <v>1</v>
          </cell>
          <cell r="L40">
            <v>0</v>
          </cell>
          <cell r="M40">
            <v>65</v>
          </cell>
          <cell r="N40">
            <v>10</v>
          </cell>
          <cell r="O40">
            <v>30</v>
          </cell>
          <cell r="P40">
            <v>69</v>
          </cell>
          <cell r="Q40">
            <v>0</v>
          </cell>
          <cell r="R40">
            <v>69</v>
          </cell>
          <cell r="V40" t="str">
            <v>קרית גת</v>
          </cell>
          <cell r="W40">
            <v>1</v>
          </cell>
          <cell r="X40" t="str">
            <v xml:space="preserve">קרית גת </v>
          </cell>
          <cell r="Y40">
            <v>1.5</v>
          </cell>
          <cell r="Z40">
            <v>1.5</v>
          </cell>
          <cell r="AA40">
            <v>3</v>
          </cell>
          <cell r="AB40">
            <v>0.11538461538461539</v>
          </cell>
          <cell r="AC40">
            <v>0</v>
          </cell>
          <cell r="AD40">
            <v>0</v>
          </cell>
          <cell r="AE40">
            <v>0</v>
          </cell>
        </row>
        <row r="41">
          <cell r="A41">
            <v>1001553658</v>
          </cell>
          <cell r="B41">
            <v>580014322</v>
          </cell>
          <cell r="C41" t="str">
            <v>שיח סוד- מרכז חינוכי שיקומי לבעלי צ</v>
          </cell>
          <cell r="D41">
            <v>580014322</v>
          </cell>
          <cell r="E41">
            <v>38</v>
          </cell>
          <cell r="F41">
            <v>1.6</v>
          </cell>
          <cell r="G41">
            <v>3.2</v>
          </cell>
          <cell r="H41">
            <v>1</v>
          </cell>
          <cell r="I41">
            <v>1350</v>
          </cell>
          <cell r="J41">
            <v>0</v>
          </cell>
          <cell r="K41">
            <v>1</v>
          </cell>
          <cell r="L41">
            <v>0</v>
          </cell>
          <cell r="M41">
            <v>320</v>
          </cell>
          <cell r="N41">
            <v>120</v>
          </cell>
          <cell r="O41">
            <v>360</v>
          </cell>
          <cell r="P41">
            <v>0</v>
          </cell>
          <cell r="Q41">
            <v>0</v>
          </cell>
          <cell r="R41">
            <v>0</v>
          </cell>
          <cell r="S41">
            <v>1</v>
          </cell>
          <cell r="T41">
            <v>2</v>
          </cell>
          <cell r="U41">
            <v>1</v>
          </cell>
          <cell r="V41">
            <v>0</v>
          </cell>
          <cell r="W41">
            <v>2</v>
          </cell>
          <cell r="X41" t="str">
            <v>ירושלים, בני ברק, בית שמש וצפת</v>
          </cell>
          <cell r="Y41">
            <v>1</v>
          </cell>
          <cell r="Z41">
            <v>2</v>
          </cell>
          <cell r="AA41">
            <v>6</v>
          </cell>
          <cell r="AB41">
            <v>0.15789473684210525</v>
          </cell>
          <cell r="AC41">
            <v>0</v>
          </cell>
          <cell r="AD41">
            <v>0</v>
          </cell>
          <cell r="AE41">
            <v>0</v>
          </cell>
        </row>
        <row r="42">
          <cell r="A42">
            <v>1001553780</v>
          </cell>
          <cell r="B42">
            <v>580263614</v>
          </cell>
          <cell r="C42" t="str">
            <v>מגן הלב</v>
          </cell>
          <cell r="D42">
            <v>580263614</v>
          </cell>
          <cell r="E42">
            <v>70</v>
          </cell>
          <cell r="F42">
            <v>4</v>
          </cell>
          <cell r="G42">
            <v>12.5</v>
          </cell>
          <cell r="H42">
            <v>22</v>
          </cell>
          <cell r="I42">
            <v>820</v>
          </cell>
          <cell r="J42">
            <v>0</v>
          </cell>
          <cell r="K42">
            <v>1</v>
          </cell>
          <cell r="L42">
            <v>0</v>
          </cell>
          <cell r="M42">
            <v>470</v>
          </cell>
          <cell r="N42">
            <v>30</v>
          </cell>
          <cell r="O42">
            <v>90</v>
          </cell>
          <cell r="P42">
            <v>93</v>
          </cell>
          <cell r="Q42">
            <v>0</v>
          </cell>
          <cell r="R42">
            <v>93</v>
          </cell>
          <cell r="S42" t="str">
            <v>בני ברק, לוד, קרית עקרון בני עייש</v>
          </cell>
          <cell r="T42" t="str">
            <v xml:space="preserve">בית שמש, אשדוד,  </v>
          </cell>
          <cell r="U42" t="str">
            <v>רכסים</v>
          </cell>
          <cell r="V42" t="str">
            <v>נתיבות , אופקים</v>
          </cell>
          <cell r="W42">
            <v>2</v>
          </cell>
          <cell r="X42" t="str">
            <v>בני ברק, בית שמש, רכסים , נתיבות, אשדוד</v>
          </cell>
          <cell r="Y42">
            <v>1.5</v>
          </cell>
          <cell r="Z42">
            <v>3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</row>
        <row r="43">
          <cell r="A43">
            <v>1001553798</v>
          </cell>
          <cell r="B43">
            <v>580684538</v>
          </cell>
          <cell r="C43" t="str">
            <v>לבב חברתי (ע"ר)</v>
          </cell>
          <cell r="D43">
            <v>580684538</v>
          </cell>
          <cell r="E43">
            <v>4</v>
          </cell>
          <cell r="F43">
            <v>1</v>
          </cell>
          <cell r="H43">
            <v>1.5</v>
          </cell>
          <cell r="I43">
            <v>150</v>
          </cell>
          <cell r="K43">
            <v>1</v>
          </cell>
          <cell r="O43">
            <v>0</v>
          </cell>
          <cell r="P43">
            <v>150</v>
          </cell>
          <cell r="Q43">
            <v>137</v>
          </cell>
          <cell r="R43">
            <v>287</v>
          </cell>
          <cell r="S43" t="str">
            <v>ת"א, ראש"לצ</v>
          </cell>
          <cell r="V43" t="str">
            <v>שדרות</v>
          </cell>
          <cell r="W43">
            <v>2</v>
          </cell>
          <cell r="Y43">
            <v>1</v>
          </cell>
          <cell r="Z43">
            <v>2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</row>
        <row r="44">
          <cell r="A44">
            <v>1001553914</v>
          </cell>
          <cell r="B44">
            <v>580003739</v>
          </cell>
          <cell r="C44" t="str">
            <v>מסגרת שמעיה (ע"ר)</v>
          </cell>
          <cell r="D44">
            <v>580003739</v>
          </cell>
          <cell r="E44">
            <v>11.5</v>
          </cell>
          <cell r="G44">
            <v>5.3</v>
          </cell>
          <cell r="H44">
            <v>6.2</v>
          </cell>
          <cell r="I44">
            <v>1573</v>
          </cell>
          <cell r="J44">
            <v>319</v>
          </cell>
          <cell r="K44">
            <v>0.83139534883720934</v>
          </cell>
          <cell r="M44">
            <v>613</v>
          </cell>
          <cell r="N44">
            <v>15</v>
          </cell>
          <cell r="O44">
            <v>45</v>
          </cell>
          <cell r="P44">
            <v>52</v>
          </cell>
          <cell r="Q44">
            <v>97</v>
          </cell>
          <cell r="R44">
            <v>149</v>
          </cell>
          <cell r="S44">
            <v>3</v>
          </cell>
          <cell r="T44">
            <v>1</v>
          </cell>
          <cell r="U44">
            <v>3</v>
          </cell>
          <cell r="V44">
            <v>2</v>
          </cell>
          <cell r="W44">
            <v>2</v>
          </cell>
          <cell r="X44" t="str">
            <v xml:space="preserve">בני ברק </v>
          </cell>
          <cell r="Y44">
            <v>1</v>
          </cell>
          <cell r="Z44">
            <v>2</v>
          </cell>
          <cell r="AA44" t="str">
            <v>באחוזים 5.7</v>
          </cell>
          <cell r="AB44">
            <v>0.05</v>
          </cell>
          <cell r="AC44">
            <v>3</v>
          </cell>
          <cell r="AD44">
            <v>0</v>
          </cell>
          <cell r="AE44">
            <v>0</v>
          </cell>
        </row>
        <row r="45">
          <cell r="A45">
            <v>1001553922</v>
          </cell>
          <cell r="B45">
            <v>580107787</v>
          </cell>
          <cell r="C45" t="str">
            <v>צהר לטהר</v>
          </cell>
          <cell r="D45">
            <v>580107787</v>
          </cell>
          <cell r="E45">
            <v>45</v>
          </cell>
          <cell r="F45">
            <v>1.5</v>
          </cell>
          <cell r="G45">
            <v>8</v>
          </cell>
          <cell r="H45">
            <v>17.5</v>
          </cell>
          <cell r="I45">
            <v>478</v>
          </cell>
          <cell r="J45">
            <v>0</v>
          </cell>
          <cell r="K45">
            <v>1</v>
          </cell>
          <cell r="L45">
            <v>0</v>
          </cell>
          <cell r="M45">
            <v>110</v>
          </cell>
          <cell r="N45">
            <v>40</v>
          </cell>
          <cell r="O45">
            <v>120</v>
          </cell>
          <cell r="P45">
            <v>194</v>
          </cell>
          <cell r="Q45">
            <v>140</v>
          </cell>
          <cell r="R45">
            <v>334</v>
          </cell>
          <cell r="S45" t="str">
            <v>גן יבנה</v>
          </cell>
          <cell r="T45" t="str">
            <v>ביתר עלית אשדוד</v>
          </cell>
          <cell r="U45" t="str">
            <v>רכסים צפת חיפה</v>
          </cell>
          <cell r="W45">
            <v>2</v>
          </cell>
          <cell r="X45" t="str">
            <v>רכסים ביתר עלית אשדוד</v>
          </cell>
          <cell r="Y45">
            <v>1</v>
          </cell>
          <cell r="Z45">
            <v>2</v>
          </cell>
          <cell r="AA45">
            <v>12</v>
          </cell>
          <cell r="AB45">
            <v>0.26666666666666666</v>
          </cell>
          <cell r="AC45">
            <v>0</v>
          </cell>
          <cell r="AD45">
            <v>0</v>
          </cell>
          <cell r="AE45">
            <v>0</v>
          </cell>
        </row>
        <row r="46">
          <cell r="A46">
            <v>1001553966</v>
          </cell>
          <cell r="B46">
            <v>580649739</v>
          </cell>
          <cell r="C46" t="str">
            <v>תרבות מאן דהוא (ע"ר)</v>
          </cell>
          <cell r="D46">
            <v>580649739</v>
          </cell>
          <cell r="E46">
            <v>4</v>
          </cell>
          <cell r="F46">
            <v>0.5</v>
          </cell>
          <cell r="G46">
            <v>0.5</v>
          </cell>
          <cell r="H46">
            <v>2.5</v>
          </cell>
          <cell r="I46">
            <v>422</v>
          </cell>
          <cell r="J46">
            <v>51</v>
          </cell>
          <cell r="K46">
            <v>0.89217758985200846</v>
          </cell>
          <cell r="L46">
            <v>5</v>
          </cell>
          <cell r="N46">
            <v>140</v>
          </cell>
          <cell r="O46">
            <v>420</v>
          </cell>
          <cell r="P46">
            <v>384</v>
          </cell>
          <cell r="Q46">
            <v>0</v>
          </cell>
          <cell r="R46">
            <v>384</v>
          </cell>
          <cell r="W46">
            <v>2</v>
          </cell>
          <cell r="Y46">
            <v>1</v>
          </cell>
          <cell r="Z46">
            <v>2</v>
          </cell>
          <cell r="AA46">
            <v>1</v>
          </cell>
          <cell r="AB46">
            <v>0.25</v>
          </cell>
          <cell r="AC46">
            <v>3</v>
          </cell>
          <cell r="AD46">
            <v>1.25</v>
          </cell>
          <cell r="AE46">
            <v>1</v>
          </cell>
        </row>
        <row r="47">
          <cell r="A47">
            <v>1001553996</v>
          </cell>
          <cell r="B47">
            <v>580024057</v>
          </cell>
          <cell r="C47" t="str">
            <v>אלין- בית נועם (ע"ר)</v>
          </cell>
          <cell r="D47">
            <v>580476851</v>
          </cell>
          <cell r="E47">
            <v>26</v>
          </cell>
          <cell r="F47">
            <v>1.0900000000000001</v>
          </cell>
          <cell r="G47">
            <v>6.7571428571428562</v>
          </cell>
          <cell r="H47">
            <v>12.9</v>
          </cell>
          <cell r="I47">
            <v>72</v>
          </cell>
          <cell r="J47">
            <v>0</v>
          </cell>
          <cell r="K47">
            <v>1</v>
          </cell>
          <cell r="L47">
            <v>52</v>
          </cell>
          <cell r="M47">
            <v>72</v>
          </cell>
          <cell r="N47">
            <v>22</v>
          </cell>
          <cell r="O47">
            <v>66</v>
          </cell>
          <cell r="P47">
            <v>73</v>
          </cell>
          <cell r="Q47">
            <v>298</v>
          </cell>
          <cell r="R47">
            <v>371</v>
          </cell>
          <cell r="S47" t="str">
            <v>קרית אונו</v>
          </cell>
          <cell r="W47">
            <v>1</v>
          </cell>
          <cell r="Y47">
            <v>1</v>
          </cell>
          <cell r="Z47">
            <v>1</v>
          </cell>
          <cell r="AA47">
            <v>3</v>
          </cell>
          <cell r="AB47">
            <v>0.11538461538461539</v>
          </cell>
          <cell r="AC47">
            <v>0</v>
          </cell>
          <cell r="AD47">
            <v>2</v>
          </cell>
          <cell r="AE47">
            <v>1</v>
          </cell>
        </row>
        <row r="48">
          <cell r="A48">
            <v>1001554250</v>
          </cell>
          <cell r="B48">
            <v>580476851</v>
          </cell>
          <cell r="C48" t="str">
            <v>חזון דב - העמותה לשיקום ותמיכה באנש</v>
          </cell>
          <cell r="D48">
            <v>580476851</v>
          </cell>
          <cell r="E48">
            <v>21</v>
          </cell>
          <cell r="F48">
            <v>2</v>
          </cell>
          <cell r="G48">
            <v>2</v>
          </cell>
          <cell r="H48">
            <v>15</v>
          </cell>
          <cell r="I48">
            <v>310</v>
          </cell>
          <cell r="J48">
            <v>0</v>
          </cell>
          <cell r="K48">
            <v>1</v>
          </cell>
          <cell r="L48">
            <v>50</v>
          </cell>
          <cell r="M48">
            <v>60</v>
          </cell>
          <cell r="N48">
            <v>24</v>
          </cell>
          <cell r="O48">
            <v>72</v>
          </cell>
          <cell r="P48">
            <v>43</v>
          </cell>
          <cell r="Q48">
            <v>158</v>
          </cell>
          <cell r="R48">
            <v>201</v>
          </cell>
          <cell r="S48" t="str">
            <v>בני ברק</v>
          </cell>
          <cell r="U48" t="str">
            <v>צפת</v>
          </cell>
          <cell r="W48">
            <v>2</v>
          </cell>
          <cell r="Y48">
            <v>1</v>
          </cell>
          <cell r="Z48">
            <v>2</v>
          </cell>
          <cell r="AA48">
            <v>3</v>
          </cell>
          <cell r="AB48">
            <v>0.14285714285714285</v>
          </cell>
          <cell r="AC48">
            <v>0</v>
          </cell>
          <cell r="AD48">
            <v>2.3809523809523809</v>
          </cell>
          <cell r="AE48">
            <v>1</v>
          </cell>
        </row>
        <row r="49">
          <cell r="A49" t="str">
            <v>1001573017</v>
          </cell>
          <cell r="B49">
            <v>590321016</v>
          </cell>
          <cell r="C49" t="str">
            <v>עמותת ורטיגו למחול - ירושלים (ע"ר)</v>
          </cell>
          <cell r="D49">
            <v>590321016</v>
          </cell>
          <cell r="E49">
            <v>19</v>
          </cell>
          <cell r="H49">
            <v>3</v>
          </cell>
          <cell r="I49">
            <v>206</v>
          </cell>
          <cell r="J49">
            <v>617</v>
          </cell>
          <cell r="K49">
            <v>0.25030376670716892</v>
          </cell>
          <cell r="L49">
            <v>0</v>
          </cell>
          <cell r="P49" t="str">
            <v>לא</v>
          </cell>
          <cell r="Q49" t="str">
            <v>לא</v>
          </cell>
          <cell r="T49" t="str">
            <v>ירושלים , מטה יהודה</v>
          </cell>
          <cell r="X49" t="str">
            <v>ירושלים, מטה יהודה</v>
          </cell>
          <cell r="Y49">
            <v>1</v>
          </cell>
          <cell r="AA49">
            <v>7</v>
          </cell>
          <cell r="AB49">
            <v>0.36842105263157893</v>
          </cell>
          <cell r="AC49">
            <v>0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3">
          <cell r="A3">
            <v>1001546645</v>
          </cell>
          <cell r="B3" t="str">
            <v>אנשים עם מוגבלויות 2022</v>
          </cell>
          <cell r="C3" t="str">
            <v>העמותה לרכיבה וכלבנות טיפולית (ע"ר)</v>
          </cell>
          <cell r="D3">
            <v>3000000</v>
          </cell>
          <cell r="E3">
            <v>2400000</v>
          </cell>
        </row>
        <row r="4">
          <cell r="A4">
            <v>1001546689</v>
          </cell>
          <cell r="B4" t="str">
            <v>עמותת שותף תמשיך להעסיק בשנת 2022 עובדי</v>
          </cell>
          <cell r="C4" t="str">
            <v>שותף - לקידום ולשילוב ילדים עם צרכי</v>
          </cell>
          <cell r="D4">
            <v>350000</v>
          </cell>
          <cell r="E4">
            <v>100000</v>
          </cell>
        </row>
        <row r="5">
          <cell r="A5">
            <v>1001546703</v>
          </cell>
          <cell r="B5" t="str">
            <v>עמותת משעולים תסייע בשנת 2022 לילדים עם</v>
          </cell>
          <cell r="C5" t="str">
            <v>משעולים (ע"ר)</v>
          </cell>
          <cell r="D5">
            <v>250000</v>
          </cell>
          <cell r="E5">
            <v>70000</v>
          </cell>
        </row>
        <row r="6">
          <cell r="A6">
            <v>1001546704</v>
          </cell>
          <cell r="B6" t="str">
            <v>טיפול בבני נוער עם מוגבלויות ושיקומם</v>
          </cell>
          <cell r="C6" t="str">
            <v>חינוך ועתיד (ע"ר)</v>
          </cell>
          <cell r="D6">
            <v>236295</v>
          </cell>
          <cell r="E6">
            <v>200850</v>
          </cell>
        </row>
        <row r="7">
          <cell r="A7">
            <v>1001546705</v>
          </cell>
          <cell r="B7" t="str">
            <v>עמותת סבא ג'ק תמשיך בשנת 2022 להעסיק עוב</v>
          </cell>
          <cell r="C7" t="str">
            <v>סבא ג'ק - מרכז לטיפול חוויתי משולב</v>
          </cell>
          <cell r="D7">
            <v>450000</v>
          </cell>
          <cell r="E7">
            <v>100000</v>
          </cell>
        </row>
        <row r="8">
          <cell r="A8">
            <v>1001546862</v>
          </cell>
          <cell r="B8" t="str">
            <v>תמיכה בדירות אימון לאנשים עם מוגבלות</v>
          </cell>
          <cell r="C8" t="str">
            <v>צעד קדימה - עמותה לחינוך ושיקום באמ</v>
          </cell>
          <cell r="D8">
            <v>708000</v>
          </cell>
          <cell r="E8">
            <v>150000</v>
          </cell>
        </row>
        <row r="9">
          <cell r="A9">
            <v>1001547450</v>
          </cell>
          <cell r="B9" t="str">
            <v>סיוע במימון שלושה עובדים עפ"י מטרת התמיכ</v>
          </cell>
          <cell r="C9" t="str">
            <v>עלה - עמותה לקידום הסטודנטים העוורי</v>
          </cell>
          <cell r="D9">
            <v>434446</v>
          </cell>
          <cell r="E9">
            <v>240000</v>
          </cell>
        </row>
        <row r="10">
          <cell r="A10">
            <v>1001547735</v>
          </cell>
          <cell r="B10" t="str">
            <v>אנשים עם מוגבלוות 2022</v>
          </cell>
          <cell r="C10" t="str">
            <v>עמותת לסת - וחדק לתמיכה ושילוב אנשי</v>
          </cell>
          <cell r="D10">
            <v>250000</v>
          </cell>
          <cell r="E10">
            <v>200000</v>
          </cell>
        </row>
        <row r="11">
          <cell r="A11">
            <v>1001548067</v>
          </cell>
          <cell r="B11" t="str">
            <v>טיפול בילדים עם מוגבלות ראייה ועיוורון</v>
          </cell>
          <cell r="C11" t="str">
            <v>אופק לילדינו (ע"ר)</v>
          </cell>
          <cell r="D11">
            <v>100000</v>
          </cell>
          <cell r="E11">
            <v>80000</v>
          </cell>
        </row>
        <row r="12">
          <cell r="A12">
            <v>1001548120</v>
          </cell>
          <cell r="B12" t="str">
            <v>תמיכה באנשים בעלי מוגבלויות/2022</v>
          </cell>
          <cell r="C12" t="str">
            <v>תקוה לפרקינסון (ע''ר)</v>
          </cell>
          <cell r="D12">
            <v>400000</v>
          </cell>
          <cell r="E12">
            <v>250000</v>
          </cell>
        </row>
        <row r="13">
          <cell r="A13">
            <v>1001548321</v>
          </cell>
          <cell r="B13" t="str">
            <v>בקשת תמיכה לטיפול באנשים עם מוגבלות</v>
          </cell>
          <cell r="C13" t="str">
            <v>פתחיה - מוסדות לחינוך מיוחד (ע"ר)</v>
          </cell>
          <cell r="D13">
            <v>2863014</v>
          </cell>
          <cell r="E13">
            <v>2433562</v>
          </cell>
        </row>
        <row r="14">
          <cell r="A14">
            <v>1001548441</v>
          </cell>
          <cell r="B14" t="str">
            <v>אנשים עם מוגבלות 2022</v>
          </cell>
          <cell r="C14" t="str">
            <v>בית לחינוך (ע''ר)</v>
          </cell>
          <cell r="D14">
            <v>750000</v>
          </cell>
          <cell r="E14">
            <v>250000</v>
          </cell>
        </row>
        <row r="15">
          <cell r="A15">
            <v>1001548503</v>
          </cell>
          <cell r="B15" t="str">
            <v>הפעלת השירות הסוציאלי בקשר</v>
          </cell>
          <cell r="C15" t="str">
            <v>קשר-הבית של המשפחות המיוחדות ????-</v>
          </cell>
          <cell r="D15">
            <v>400000</v>
          </cell>
          <cell r="E15">
            <v>200000</v>
          </cell>
        </row>
        <row r="16">
          <cell r="A16">
            <v>1001548703</v>
          </cell>
          <cell r="B16" t="str">
            <v>אנשים עם מוגבלות 2022</v>
          </cell>
          <cell r="C16" t="str">
            <v>אהבת חינ"מ לכולם (ע"ר)</v>
          </cell>
          <cell r="D16">
            <v>250000</v>
          </cell>
          <cell r="E16">
            <v>150000</v>
          </cell>
        </row>
        <row r="17">
          <cell r="A17">
            <v>1001548925</v>
          </cell>
          <cell r="B17" t="str">
            <v>מימון העסקת עובדים להדרכה שיקומית</v>
          </cell>
          <cell r="C17" t="str">
            <v>שמחת הלב- איגוד הליצנים הרפואים - ט</v>
          </cell>
          <cell r="D17">
            <v>1500000</v>
          </cell>
          <cell r="E17">
            <v>250000</v>
          </cell>
        </row>
        <row r="18">
          <cell r="A18">
            <v>1001548959</v>
          </cell>
          <cell r="B18" t="str">
            <v>תמיכה לאנשים עם מוגבלויות 2022</v>
          </cell>
          <cell r="C18" t="str">
            <v>אגודת עזרה למרפא שע"י אברכי חסידי ב</v>
          </cell>
          <cell r="D18">
            <v>2500000</v>
          </cell>
          <cell r="E18">
            <v>1800000</v>
          </cell>
        </row>
        <row r="19">
          <cell r="A19">
            <v>1001549381</v>
          </cell>
          <cell r="B19" t="str">
            <v>העסקת עובדים סוציאליים</v>
          </cell>
          <cell r="C19" t="str">
            <v>לב בנימין (ע"ר)</v>
          </cell>
          <cell r="D19">
            <v>450000</v>
          </cell>
          <cell r="E19">
            <v>360000</v>
          </cell>
        </row>
        <row r="20">
          <cell r="A20">
            <v>1001549588</v>
          </cell>
          <cell r="B20" t="str">
            <v>בית איזי שפירא-טיפול באנשים עם מוגבלות</v>
          </cell>
          <cell r="C20" t="str">
            <v>בית איזי שפירא - עמותת אבי</v>
          </cell>
          <cell r="D20">
            <v>760000</v>
          </cell>
          <cell r="E20">
            <v>500000</v>
          </cell>
        </row>
        <row r="21">
          <cell r="A21">
            <v>1001549989</v>
          </cell>
          <cell r="B21" t="str">
            <v>פרויקט מרכז הנגישות וההעצמה</v>
          </cell>
          <cell r="C21" t="str">
            <v>אלמנארה - עמותה לקידום אנשים עם מוג</v>
          </cell>
          <cell r="D21">
            <v>192500</v>
          </cell>
          <cell r="E21">
            <v>150000</v>
          </cell>
        </row>
        <row r="22">
          <cell r="A22">
            <v>1001550035</v>
          </cell>
          <cell r="B22" t="str">
            <v>תמיכה בבעלי מוגבלויות 2022</v>
          </cell>
          <cell r="C22" t="str">
            <v>יד לילד המיוחד (ע"ר)</v>
          </cell>
          <cell r="D22">
            <v>300000</v>
          </cell>
          <cell r="E22">
            <v>200000</v>
          </cell>
        </row>
        <row r="23">
          <cell r="A23">
            <v>1001550374</v>
          </cell>
          <cell r="B23" t="str">
            <v>תמיכה בפעילויות ספורט לאנשים עם מוגבלות</v>
          </cell>
          <cell r="C23" t="str">
            <v>אתגרים</v>
          </cell>
          <cell r="D23">
            <v>1572373</v>
          </cell>
          <cell r="E23">
            <v>786000</v>
          </cell>
        </row>
        <row r="24">
          <cell r="A24">
            <v>1001550769</v>
          </cell>
          <cell r="B24" t="str">
            <v>מוסדות תורה חינוך - 2022- מוגבלויות</v>
          </cell>
          <cell r="C24" t="str">
            <v>מוסדות תורה, חינוך וסיוע בית שמש (ע</v>
          </cell>
          <cell r="D24">
            <v>500000</v>
          </cell>
          <cell r="E24">
            <v>200000</v>
          </cell>
        </row>
        <row r="25">
          <cell r="A25">
            <v>1001551379</v>
          </cell>
          <cell r="B25" t="str">
            <v>מועדון צוותא לצעירים ונוער בנגב</v>
          </cell>
          <cell r="C25" t="str">
            <v>עמותת על - עמותה לקידום תוכניות ייח</v>
          </cell>
          <cell r="D25">
            <v>250000</v>
          </cell>
          <cell r="E25">
            <v>200000</v>
          </cell>
        </row>
        <row r="26">
          <cell r="A26">
            <v>1001551390</v>
          </cell>
          <cell r="B26" t="str">
            <v>קבוצות תמיכה</v>
          </cell>
          <cell r="C26" t="str">
            <v>האגודה הישראלית לטרשת נפוצה (ע"ר)</v>
          </cell>
          <cell r="D26">
            <v>100000</v>
          </cell>
          <cell r="E26">
            <v>91650</v>
          </cell>
        </row>
        <row r="27">
          <cell r="A27">
            <v>1001551399</v>
          </cell>
          <cell r="B27" t="str">
            <v>בעלי מוגבלויות 2022</v>
          </cell>
          <cell r="C27" t="str">
            <v>האגודה למען העוור ולמניעת העוורון ח</v>
          </cell>
          <cell r="D27">
            <v>500000</v>
          </cell>
          <cell r="E27">
            <v>350000</v>
          </cell>
        </row>
        <row r="28">
          <cell r="A28">
            <v>1001551445</v>
          </cell>
          <cell r="B28" t="str">
            <v>סיוע למיזמים מיוחדים בשיקום</v>
          </cell>
          <cell r="C28" t="str">
            <v>חיים וחסד ריסורסז (ע"ר)</v>
          </cell>
          <cell r="D28">
            <v>250000</v>
          </cell>
          <cell r="E28">
            <v>80000</v>
          </cell>
        </row>
        <row r="29">
          <cell r="A29">
            <v>1001551452</v>
          </cell>
          <cell r="B29" t="str">
            <v>תמיכה ב 85% משכ"ע של 3 מטפלים שיקומים</v>
          </cell>
          <cell r="C29" t="str">
            <v>המרכז להנצחת זכרו של אייל שמעוני ז"</v>
          </cell>
          <cell r="D29">
            <v>468996</v>
          </cell>
          <cell r="E29">
            <v>398646</v>
          </cell>
        </row>
        <row r="30">
          <cell r="A30">
            <v>1001551458</v>
          </cell>
          <cell r="B30" t="str">
            <v>פעילות טבע לאנשים עם מוגבלויות</v>
          </cell>
          <cell r="C30" t="str">
            <v>לטם - טבע נגיש לכולם (ע"ר)</v>
          </cell>
          <cell r="D30">
            <v>750000</v>
          </cell>
          <cell r="E30">
            <v>600000</v>
          </cell>
        </row>
        <row r="31">
          <cell r="A31">
            <v>1001551526</v>
          </cell>
          <cell r="B31" t="str">
            <v>טיפול באנשים ם מוגבלויות ושיקומם</v>
          </cell>
          <cell r="C31" t="str">
            <v>בית הגלגלים (ע"ר)</v>
          </cell>
          <cell r="D31">
            <v>1800000</v>
          </cell>
          <cell r="E31">
            <v>450000</v>
          </cell>
        </row>
        <row r="32">
          <cell r="A32">
            <v>1001551882</v>
          </cell>
          <cell r="B32" t="str">
            <v>תמיכה עם אנשים עם מוגבלויות ושיקומם</v>
          </cell>
          <cell r="C32" t="str">
            <v>מכון "מסילות" אשדוד (ע"ר)</v>
          </cell>
          <cell r="D32">
            <v>200000</v>
          </cell>
          <cell r="E32">
            <v>150000</v>
          </cell>
        </row>
        <row r="33">
          <cell r="A33">
            <v>1001551888</v>
          </cell>
          <cell r="B33" t="str">
            <v>טיפולים פרא-רפואיים לילדים עם מוגבלויות</v>
          </cell>
          <cell r="C33" t="str">
            <v>קרן מלכי - לזכרה של מלכי רוט הי"ד</v>
          </cell>
          <cell r="D33">
            <v>300000</v>
          </cell>
          <cell r="E33">
            <v>100000</v>
          </cell>
        </row>
        <row r="34">
          <cell r="A34">
            <v>1001552411</v>
          </cell>
          <cell r="B34" t="str">
            <v>טיפול ריגשי לאנשים עם עיוורון- 2022</v>
          </cell>
          <cell r="C34" t="str">
            <v>יעדים לצפון מיסודה של קרן רש"י (ע"ר</v>
          </cell>
          <cell r="D34">
            <v>223344</v>
          </cell>
          <cell r="E34">
            <v>100800</v>
          </cell>
        </row>
        <row r="35">
          <cell r="A35">
            <v>1001552453</v>
          </cell>
          <cell r="B35" t="str">
            <v>טיפול אנשים עם מוגבלויות ושיקומם</v>
          </cell>
          <cell r="C35" t="str">
            <v>בדרך אל- בית ספר בטב"ע (בדרך טבעית</v>
          </cell>
          <cell r="D35">
            <v>100000</v>
          </cell>
          <cell r="E35">
            <v>50000</v>
          </cell>
        </row>
        <row r="36">
          <cell r="A36">
            <v>1001552723</v>
          </cell>
          <cell r="B36" t="str">
            <v>שיקום בקהילה לאנשים עם פגיעה מוחית</v>
          </cell>
          <cell r="C36" t="str">
            <v>המכון הלאומי לשיקום נוירופסיכולוגי</v>
          </cell>
          <cell r="D36">
            <v>1093517</v>
          </cell>
          <cell r="E36">
            <v>929490</v>
          </cell>
        </row>
        <row r="37">
          <cell r="A37">
            <v>1001553333</v>
          </cell>
          <cell r="B37" t="str">
            <v>תמיכה בתשלום שכר העסקתם של הצוות הרפואי</v>
          </cell>
          <cell r="C37" t="str">
            <v>כישורית (חל"צ)</v>
          </cell>
          <cell r="D37">
            <v>1213662</v>
          </cell>
          <cell r="E37">
            <v>1031612</v>
          </cell>
        </row>
        <row r="38">
          <cell r="A38">
            <v>1001553346</v>
          </cell>
          <cell r="B38" t="str">
            <v>תמיכה ולווי סוציאלי לאנשים עם מוגבלות</v>
          </cell>
          <cell r="C38" t="str">
            <v>העמותה הישראלית לדיסאוטונומיה משפחת</v>
          </cell>
          <cell r="D38">
            <v>258496</v>
          </cell>
          <cell r="E38">
            <v>219721</v>
          </cell>
        </row>
        <row r="39">
          <cell r="A39">
            <v>1001553417</v>
          </cell>
          <cell r="B39" t="str">
            <v>רכיבה טיפולית לילדים עם מוגבלויות</v>
          </cell>
          <cell r="C39" t="str">
            <v>חוות פינוקי - חוות רכיבה טיפולית לז</v>
          </cell>
          <cell r="D39">
            <v>220000</v>
          </cell>
          <cell r="E39">
            <v>220000</v>
          </cell>
        </row>
        <row r="40">
          <cell r="A40">
            <v>1001553418</v>
          </cell>
          <cell r="B40" t="str">
            <v>בעלי מוגבלויות 2022</v>
          </cell>
          <cell r="C40" t="str">
            <v>מגן - מרכז גוף ונפש (ע"ר)</v>
          </cell>
          <cell r="D40">
            <v>790000</v>
          </cell>
          <cell r="E40">
            <v>670000</v>
          </cell>
        </row>
        <row r="41">
          <cell r="A41">
            <v>1001553637</v>
          </cell>
          <cell r="B41" t="str">
            <v>טיפול בילדים בעלי צרכים מיוחדים ושיקומם</v>
          </cell>
          <cell r="C41" t="str">
            <v>ס.ו.ל.ם. - סיוע ועידוד לילדים מוגבל</v>
          </cell>
          <cell r="D41">
            <v>1000000</v>
          </cell>
          <cell r="E41">
            <v>850000</v>
          </cell>
        </row>
        <row r="42">
          <cell r="A42">
            <v>1001553650</v>
          </cell>
          <cell r="B42" t="str">
            <v>תמיכה וטיפול באנשים עם מוגבלויות ושיקומם</v>
          </cell>
          <cell r="C42" t="str">
            <v>קרן עזרה לזולת קרית גת (ע"ר)</v>
          </cell>
          <cell r="D42">
            <v>110000</v>
          </cell>
          <cell r="E42">
            <v>85000</v>
          </cell>
        </row>
        <row r="43">
          <cell r="A43">
            <v>1001553658</v>
          </cell>
          <cell r="B43" t="str">
            <v>טיפול באנשים עם מוגבלות ושיקומם</v>
          </cell>
          <cell r="C43" t="str">
            <v>שיח סוד- מרכז חינוכי שיקומי לבעלי צ</v>
          </cell>
          <cell r="D43">
            <v>1160000</v>
          </cell>
          <cell r="E43">
            <v>1044000</v>
          </cell>
        </row>
        <row r="44">
          <cell r="A44">
            <v>1001553780</v>
          </cell>
          <cell r="B44" t="str">
            <v>תמיכה באנשים עם מוגבלויות ושיקומם 2022</v>
          </cell>
          <cell r="C44" t="str">
            <v>מגן הלב</v>
          </cell>
          <cell r="D44">
            <v>210000</v>
          </cell>
          <cell r="E44">
            <v>170000</v>
          </cell>
        </row>
        <row r="45">
          <cell r="A45">
            <v>1001553798</v>
          </cell>
          <cell r="B45" t="str">
            <v>תמיכה לפעילות חברתית</v>
          </cell>
          <cell r="C45" t="str">
            <v>לבב חברתי (ע"ר)</v>
          </cell>
          <cell r="D45">
            <v>400000</v>
          </cell>
          <cell r="E45">
            <v>150000</v>
          </cell>
        </row>
        <row r="46">
          <cell r="A46">
            <v>1001553838</v>
          </cell>
          <cell r="B46" t="str">
            <v>רכב נכים 2022</v>
          </cell>
          <cell r="C46" t="str">
            <v>מכון בית דוד</v>
          </cell>
          <cell r="D46">
            <v>400000</v>
          </cell>
          <cell r="E46">
            <v>360000</v>
          </cell>
        </row>
        <row r="47">
          <cell r="A47">
            <v>1001553914</v>
          </cell>
          <cell r="B47" t="str">
            <v>תמיכה בשכר מטפלים באנשים בעלי מוגבלויות</v>
          </cell>
          <cell r="C47" t="str">
            <v>מסגרת שמעיה (ע"ר)</v>
          </cell>
          <cell r="D47">
            <v>355000</v>
          </cell>
          <cell r="E47">
            <v>300000</v>
          </cell>
        </row>
        <row r="48">
          <cell r="A48">
            <v>1001553922</v>
          </cell>
          <cell r="B48" t="str">
            <v>תמיכה וטיפול במוגבלויות ושיקומם 2022</v>
          </cell>
          <cell r="C48" t="str">
            <v>צהר לטהר</v>
          </cell>
          <cell r="D48">
            <v>170000</v>
          </cell>
          <cell r="E48">
            <v>140000</v>
          </cell>
        </row>
        <row r="49">
          <cell r="A49">
            <v>1001553966</v>
          </cell>
          <cell r="B49" t="str">
            <v>טיפול באנשים עם מוגבלויות ובשיקומם</v>
          </cell>
          <cell r="C49" t="str">
            <v>תרבות מאן דהוא (ע"ר)</v>
          </cell>
          <cell r="D49">
            <v>260000</v>
          </cell>
          <cell r="E49">
            <v>190000</v>
          </cell>
        </row>
        <row r="50">
          <cell r="A50">
            <v>1001553996</v>
          </cell>
          <cell r="B50" t="str">
            <v>טיפול באנשים עם מוגבלויות</v>
          </cell>
          <cell r="C50" t="str">
            <v>אלין- בית נועם (ע"ר)</v>
          </cell>
          <cell r="D50">
            <v>620000</v>
          </cell>
          <cell r="E50">
            <v>270000</v>
          </cell>
        </row>
        <row r="51">
          <cell r="A51">
            <v>1001554250</v>
          </cell>
          <cell r="B51" t="str">
            <v>פעילות לבעלי מוגבלויות</v>
          </cell>
          <cell r="C51" t="str">
            <v>חזון דב - העמותה לשיקום ותמיכה באנש</v>
          </cell>
          <cell r="D51">
            <v>400000</v>
          </cell>
          <cell r="E51">
            <v>360000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rightToLeft="1" workbookViewId="0">
      <selection activeCell="C1" sqref="C1:D1"/>
    </sheetView>
  </sheetViews>
  <sheetFormatPr defaultRowHeight="14.25" x14ac:dyDescent="0.2"/>
  <cols>
    <col min="2" max="2" width="31.875" bestFit="1" customWidth="1"/>
    <col min="3" max="3" width="30.5" customWidth="1"/>
  </cols>
  <sheetData>
    <row r="1" spans="1:4" ht="18" x14ac:dyDescent="0.25">
      <c r="A1" s="1" t="s">
        <v>0</v>
      </c>
      <c r="B1" s="1"/>
      <c r="C1" s="2"/>
      <c r="D1" s="3"/>
    </row>
    <row r="2" spans="1:4" x14ac:dyDescent="0.2">
      <c r="A2" s="2"/>
      <c r="B2" s="4"/>
      <c r="C2" s="2"/>
      <c r="D2" s="3"/>
    </row>
    <row r="3" spans="1:4" ht="25.5" x14ac:dyDescent="0.2">
      <c r="A3" s="5" t="s">
        <v>1</v>
      </c>
      <c r="B3" s="6" t="s">
        <v>2</v>
      </c>
      <c r="C3" s="5" t="s">
        <v>3</v>
      </c>
      <c r="D3" s="7" t="s">
        <v>4</v>
      </c>
    </row>
    <row r="4" spans="1:4" ht="15" x14ac:dyDescent="0.2">
      <c r="A4" s="8">
        <v>1001593629</v>
      </c>
      <c r="B4" s="9" t="s">
        <v>5</v>
      </c>
      <c r="C4" s="10">
        <f>VLOOKUP(A4,'[1]קריטריונים וניקוד'!$A$7:$AK$48,36,FALSE)</f>
        <v>23572.329756828032</v>
      </c>
      <c r="D4" s="11"/>
    </row>
    <row r="5" spans="1:4" ht="15" x14ac:dyDescent="0.2">
      <c r="A5" s="8">
        <v>1001593670</v>
      </c>
      <c r="B5" s="9" t="s">
        <v>6</v>
      </c>
      <c r="C5" s="10">
        <f>VLOOKUP(A5,'[1]קריטריונים וניקוד'!$A$7:$AK$48,36,FALSE)</f>
        <v>31940.608989690092</v>
      </c>
      <c r="D5" s="11"/>
    </row>
    <row r="6" spans="1:4" ht="15" x14ac:dyDescent="0.2">
      <c r="A6" s="8">
        <v>1001593676</v>
      </c>
      <c r="B6" s="9" t="s">
        <v>7</v>
      </c>
      <c r="C6" s="10">
        <f>VLOOKUP(A6,'[1]קריטריונים וניקוד'!$A$7:$AK$48,36,FALSE)</f>
        <v>24806.804563936126</v>
      </c>
      <c r="D6" s="11"/>
    </row>
    <row r="7" spans="1:4" ht="15" x14ac:dyDescent="0.2">
      <c r="A7" s="8">
        <v>1001593968</v>
      </c>
      <c r="B7" s="9" t="s">
        <v>8</v>
      </c>
      <c r="C7" s="10">
        <f>VLOOKUP(A7,'[1]קריטריונים וניקוד'!$A$7:$AK$48,36,FALSE)</f>
        <v>39077.59931981167</v>
      </c>
      <c r="D7" s="11"/>
    </row>
    <row r="8" spans="1:4" ht="15" x14ac:dyDescent="0.2">
      <c r="A8" s="8">
        <v>1001595221</v>
      </c>
      <c r="B8" s="9" t="s">
        <v>9</v>
      </c>
      <c r="C8" s="10">
        <f>VLOOKUP(A8,'[1]קריטריונים וניקוד'!$A$7:$AK$48,36,FALSE)</f>
        <v>22040.257487358926</v>
      </c>
      <c r="D8" s="11"/>
    </row>
    <row r="9" spans="1:4" ht="15" x14ac:dyDescent="0.2">
      <c r="A9" s="8">
        <v>1001595279</v>
      </c>
      <c r="B9" s="9" t="s">
        <v>10</v>
      </c>
      <c r="C9" s="10">
        <f>VLOOKUP(A9,'[1]קריטריונים וניקוד'!$A$7:$AK$48,36,FALSE)</f>
        <v>250000</v>
      </c>
      <c r="D9" s="11"/>
    </row>
    <row r="10" spans="1:4" ht="15" x14ac:dyDescent="0.2">
      <c r="A10" s="8">
        <v>1001596057</v>
      </c>
      <c r="B10" s="9" t="s">
        <v>11</v>
      </c>
      <c r="C10" s="10">
        <f>VLOOKUP(A10,'[1]קריטריונים וניקוד'!$A$7:$AK$48,36,FALSE)</f>
        <v>42473.573072863815</v>
      </c>
      <c r="D10" s="11"/>
    </row>
    <row r="11" spans="1:4" ht="15" x14ac:dyDescent="0.2">
      <c r="A11" s="8">
        <v>1001598154</v>
      </c>
      <c r="B11" s="9" t="s">
        <v>12</v>
      </c>
      <c r="C11" s="10">
        <f>VLOOKUP(A11,'[1]קריטריונים וניקוד'!$A$7:$AK$48,36,FALSE)</f>
        <v>280422.82821319171</v>
      </c>
      <c r="D11" s="11"/>
    </row>
    <row r="12" spans="1:4" ht="15" x14ac:dyDescent="0.2">
      <c r="A12" s="8">
        <v>1001598157</v>
      </c>
      <c r="B12" s="9" t="s">
        <v>13</v>
      </c>
      <c r="C12" s="10">
        <f>VLOOKUP(A12,'[1]קריטריונים וניקוד'!$A$7:$AK$48,36,FALSE)</f>
        <v>41908.334533312685</v>
      </c>
      <c r="D12" s="11"/>
    </row>
    <row r="13" spans="1:4" ht="15" x14ac:dyDescent="0.2">
      <c r="A13" s="8">
        <v>1001618503</v>
      </c>
      <c r="B13" s="9" t="s">
        <v>14</v>
      </c>
      <c r="C13" s="10">
        <f>VLOOKUP(A13,'[1]קריטריונים וניקוד'!$A$7:$AK$48,36,FALSE)</f>
        <v>32399.518714638918</v>
      </c>
      <c r="D13" s="11"/>
    </row>
    <row r="14" spans="1:4" ht="15" x14ac:dyDescent="0.2">
      <c r="A14" s="8">
        <v>1001618504</v>
      </c>
      <c r="B14" s="9" t="s">
        <v>15</v>
      </c>
      <c r="C14" s="10">
        <f>VLOOKUP(A14,'[1]קריטריונים וניקוד'!$A$7:$AK$48,36,FALSE)</f>
        <v>54187.372319888331</v>
      </c>
      <c r="D14" s="11"/>
    </row>
    <row r="15" spans="1:4" ht="15" x14ac:dyDescent="0.2">
      <c r="A15" s="8">
        <v>1001618505</v>
      </c>
      <c r="B15" s="9" t="s">
        <v>16</v>
      </c>
      <c r="C15" s="10">
        <f>VLOOKUP(A15,'[1]קריטריונים וניקוד'!$A$7:$AK$48,36,FALSE)</f>
        <v>155173.95642667412</v>
      </c>
      <c r="D15" s="11"/>
    </row>
    <row r="16" spans="1:4" ht="15" x14ac:dyDescent="0.2">
      <c r="A16" s="8">
        <v>1001625711</v>
      </c>
      <c r="B16" s="9" t="s">
        <v>17</v>
      </c>
      <c r="C16" s="10">
        <f>VLOOKUP(A16,'[1]קריטריונים וניקוד'!$A$7:$AK$48,36,FALSE)</f>
        <v>67808.571303728939</v>
      </c>
      <c r="D16" s="11"/>
    </row>
    <row r="17" spans="1:4" ht="15" x14ac:dyDescent="0.2">
      <c r="A17" s="8">
        <v>1001625713</v>
      </c>
      <c r="B17" s="9" t="s">
        <v>18</v>
      </c>
      <c r="C17" s="10">
        <f>VLOOKUP(A17,'[1]קריטריונים וניקוד'!$A$7:$AK$48,36,FALSE)</f>
        <v>76371.639841843469</v>
      </c>
      <c r="D17" s="11"/>
    </row>
    <row r="18" spans="1:4" ht="15" x14ac:dyDescent="0.2">
      <c r="A18" s="8">
        <v>1001625894</v>
      </c>
      <c r="B18" s="9" t="s">
        <v>19</v>
      </c>
      <c r="C18" s="10">
        <f>VLOOKUP(A18,'[1]קריטריונים וניקוד'!$A$7:$AK$48,36,FALSE)</f>
        <v>32153.480920099992</v>
      </c>
      <c r="D18" s="12"/>
    </row>
    <row r="19" spans="1:4" ht="15" x14ac:dyDescent="0.2">
      <c r="A19" s="8">
        <v>1001627525</v>
      </c>
      <c r="B19" s="9" t="s">
        <v>20</v>
      </c>
      <c r="C19" s="10">
        <f>VLOOKUP(A19,'[1]קריטריונים וניקוד'!$A$7:$AK$48,36,FALSE)</f>
        <v>41556.918928560808</v>
      </c>
      <c r="D19" s="12"/>
    </row>
    <row r="20" spans="1:4" ht="15" x14ac:dyDescent="0.2">
      <c r="A20" s="8">
        <v>1001627840</v>
      </c>
      <c r="B20" s="9" t="s">
        <v>21</v>
      </c>
      <c r="C20" s="10">
        <f>VLOOKUP(A20,'[1]קריטריונים וניקוד'!$A$7:$AK$48,36,FALSE)</f>
        <v>57530.443236303719</v>
      </c>
      <c r="D20" s="12"/>
    </row>
    <row r="21" spans="1:4" ht="15" x14ac:dyDescent="0.2">
      <c r="A21" s="8">
        <v>1001627886</v>
      </c>
      <c r="B21" s="9" t="s">
        <v>22</v>
      </c>
      <c r="C21" s="10">
        <f>VLOOKUP(A21,'[1]קריטריונים וניקוד'!$A$7:$AK$48,36,FALSE)</f>
        <v>111006.73542297886</v>
      </c>
      <c r="D21" s="12"/>
    </row>
    <row r="22" spans="1:4" ht="15" x14ac:dyDescent="0.2">
      <c r="A22" s="8">
        <v>1001627887</v>
      </c>
      <c r="B22" s="9" t="s">
        <v>23</v>
      </c>
      <c r="C22" s="10">
        <f>VLOOKUP(A22,'[1]קריטריונים וניקוד'!$A$7:$AK$48,36,FALSE)</f>
        <v>26111.827421544243</v>
      </c>
      <c r="D22" s="12"/>
    </row>
    <row r="23" spans="1:4" ht="15" x14ac:dyDescent="0.2">
      <c r="A23" s="8">
        <v>1001627933</v>
      </c>
      <c r="B23" s="9" t="s">
        <v>24</v>
      </c>
      <c r="C23" s="10">
        <f>VLOOKUP(A23,'[1]קריטריונים וניקוד'!$A$7:$AK$48,36,FALSE)</f>
        <v>21885.219847959459</v>
      </c>
      <c r="D23" s="12"/>
    </row>
    <row r="24" spans="1:4" ht="15" x14ac:dyDescent="0.2">
      <c r="A24" s="8">
        <v>1001628580</v>
      </c>
      <c r="B24" s="9" t="s">
        <v>25</v>
      </c>
      <c r="C24" s="10">
        <f>VLOOKUP(A24,'[1]קריטריונים וניקוד'!$A$7:$AK$48,36,FALSE)</f>
        <v>49022.728735148063</v>
      </c>
      <c r="D24" s="12"/>
    </row>
    <row r="25" spans="1:4" ht="15" x14ac:dyDescent="0.2">
      <c r="A25" s="8">
        <v>1001628701</v>
      </c>
      <c r="B25" s="9" t="s">
        <v>26</v>
      </c>
      <c r="C25" s="10">
        <f>VLOOKUP(A25,'[1]קריטריונים וניקוד'!$A$7:$AK$48,36,FALSE)</f>
        <v>38351.2380851282</v>
      </c>
      <c r="D25" s="12"/>
    </row>
    <row r="26" spans="1:4" ht="15" x14ac:dyDescent="0.2">
      <c r="A26" s="8">
        <v>1001628706</v>
      </c>
      <c r="B26" s="9" t="s">
        <v>27</v>
      </c>
      <c r="C26" s="10">
        <f>VLOOKUP(A26,'[1]קריטריונים וניקוד'!$A$7:$AK$48,36,FALSE)</f>
        <v>43938.252486211291</v>
      </c>
      <c r="D26" s="11"/>
    </row>
    <row r="27" spans="1:4" ht="15" x14ac:dyDescent="0.2">
      <c r="A27" s="8">
        <v>1001629302</v>
      </c>
      <c r="B27" s="9" t="s">
        <v>28</v>
      </c>
      <c r="C27" s="10">
        <f>VLOOKUP(A27,'[1]קריטריונים וניקוד'!$A$7:$AK$48,36,FALSE)</f>
        <v>18631.480947192646</v>
      </c>
      <c r="D27" s="11"/>
    </row>
    <row r="28" spans="1:4" ht="15" x14ac:dyDescent="0.2">
      <c r="A28" s="8">
        <v>1001629431</v>
      </c>
      <c r="B28" s="9" t="s">
        <v>29</v>
      </c>
      <c r="C28" s="10">
        <f>VLOOKUP(A28,'[1]קריטריונים וניקוד'!$A$7:$AK$48,36,FALSE)</f>
        <v>108032.54786255269</v>
      </c>
      <c r="D28" s="11"/>
    </row>
    <row r="29" spans="1:4" ht="15" x14ac:dyDescent="0.2">
      <c r="A29" s="8">
        <v>1001629553</v>
      </c>
      <c r="B29" s="9" t="s">
        <v>30</v>
      </c>
      <c r="C29" s="10">
        <f>VLOOKUP(A29,'[1]קריטריונים וניקוד'!$A$7:$AK$48,36,FALSE)</f>
        <v>30853.250041321484</v>
      </c>
      <c r="D29" s="11"/>
    </row>
    <row r="30" spans="1:4" ht="15" x14ac:dyDescent="0.2">
      <c r="A30" s="8">
        <v>1001631595</v>
      </c>
      <c r="B30" s="13" t="s">
        <v>31</v>
      </c>
      <c r="C30" s="10">
        <f>VLOOKUP(A30,'[1]קריטריונים וניקוד'!$A$7:$AK$48,36,FALSE)</f>
        <v>33817.535250101399</v>
      </c>
      <c r="D30" s="11"/>
    </row>
    <row r="31" spans="1:4" ht="15" x14ac:dyDescent="0.2">
      <c r="A31" s="8">
        <v>1001631600</v>
      </c>
      <c r="B31" s="9" t="s">
        <v>32</v>
      </c>
      <c r="C31" s="10">
        <f>VLOOKUP(A31,'[1]קריטריונים וניקוד'!$A$7:$AK$48,36,FALSE)</f>
        <v>28803.130840279384</v>
      </c>
      <c r="D31" s="11"/>
    </row>
    <row r="32" spans="1:4" ht="15" x14ac:dyDescent="0.2">
      <c r="A32" s="8">
        <v>1001632006</v>
      </c>
      <c r="B32" s="9" t="s">
        <v>33</v>
      </c>
      <c r="C32" s="10">
        <f>VLOOKUP(A32,'[1]קריטריונים וניקוד'!$A$7:$AK$48,36,FALSE)</f>
        <v>27100.870922961822</v>
      </c>
      <c r="D32" s="11"/>
    </row>
    <row r="33" spans="1:4" ht="15" x14ac:dyDescent="0.2">
      <c r="A33" s="8">
        <v>1001632013</v>
      </c>
      <c r="B33" s="9" t="s">
        <v>34</v>
      </c>
      <c r="C33" s="10">
        <f>VLOOKUP(A33,'[1]קריטריונים וניקוד'!$A$7:$AK$48,36,FALSE)</f>
        <v>223012.52208321533</v>
      </c>
      <c r="D33" s="14"/>
    </row>
    <row r="34" spans="1:4" ht="15" x14ac:dyDescent="0.2">
      <c r="A34" s="8">
        <v>1001632042</v>
      </c>
      <c r="B34" s="9" t="s">
        <v>35</v>
      </c>
      <c r="C34" s="10">
        <f>VLOOKUP(A34,'[1]קריטריונים וניקוד'!$A$7:$AK$48,36,FALSE)</f>
        <v>30473.847817407175</v>
      </c>
      <c r="D34" s="12"/>
    </row>
    <row r="35" spans="1:4" ht="15" x14ac:dyDescent="0.2">
      <c r="A35" s="8">
        <v>1001632055</v>
      </c>
      <c r="B35" s="9" t="s">
        <v>36</v>
      </c>
      <c r="C35" s="10">
        <f>VLOOKUP(A35,'[1]קריטריונים וניקוד'!$A$7:$AK$48,36,FALSE)</f>
        <v>14921.506813390684</v>
      </c>
      <c r="D35" s="12"/>
    </row>
    <row r="36" spans="1:4" ht="15" x14ac:dyDescent="0.2">
      <c r="A36" s="8">
        <v>1001632067</v>
      </c>
      <c r="B36" s="9" t="s">
        <v>37</v>
      </c>
      <c r="C36" s="10">
        <f>VLOOKUP(A36,'[1]קריטריונים וניקוד'!$A$7:$AK$48,36,FALSE)</f>
        <v>81815.281174183896</v>
      </c>
      <c r="D36" s="12"/>
    </row>
    <row r="37" spans="1:4" ht="15" x14ac:dyDescent="0.2">
      <c r="A37" s="8">
        <v>1001632289</v>
      </c>
      <c r="B37" s="9" t="s">
        <v>38</v>
      </c>
      <c r="C37" s="10">
        <f>VLOOKUP(A37,'[1]קריטריונים וניקוד'!$A$7:$AK$48,36,FALSE)</f>
        <v>33955.745168074216</v>
      </c>
      <c r="D37" s="14"/>
    </row>
    <row r="38" spans="1:4" ht="15" x14ac:dyDescent="0.2">
      <c r="A38" s="8">
        <v>1001653064</v>
      </c>
      <c r="B38" s="9" t="s">
        <v>39</v>
      </c>
      <c r="C38" s="10">
        <f>VLOOKUP(A38,'[1]קריטריונים וניקוד'!$A$7:$AK$48,36,FALSE)</f>
        <v>38993.659784875548</v>
      </c>
      <c r="D38" s="12"/>
    </row>
    <row r="39" spans="1:4" ht="15" x14ac:dyDescent="0.2">
      <c r="A39" s="8">
        <v>1001653065</v>
      </c>
      <c r="B39" s="9" t="s">
        <v>40</v>
      </c>
      <c r="C39" s="10">
        <f>VLOOKUP(A39,'[1]קריטריונים וניקוד'!$A$7:$AK$48,36,FALSE)</f>
        <v>24955.000087482764</v>
      </c>
      <c r="D39" s="14"/>
    </row>
    <row r="40" spans="1:4" ht="15" x14ac:dyDescent="0.2">
      <c r="A40" s="8">
        <v>1001653069</v>
      </c>
      <c r="B40" s="9" t="s">
        <v>41</v>
      </c>
      <c r="C40" s="10">
        <f>VLOOKUP(A40,'[1]קריטריונים וניקוד'!$A$7:$AK$48,36,FALSE)</f>
        <v>44087.98460820195</v>
      </c>
      <c r="D40" s="12"/>
    </row>
    <row r="41" spans="1:4" ht="15" x14ac:dyDescent="0.2">
      <c r="A41" s="8">
        <v>1001653173</v>
      </c>
      <c r="B41" s="9" t="s">
        <v>42</v>
      </c>
      <c r="C41" s="10">
        <f>VLOOKUP(A41,'[1]קריטריונים וניקוד'!$A$7:$AK$48,36,FALSE)</f>
        <v>37574.570639811427</v>
      </c>
      <c r="D41" s="11"/>
    </row>
    <row r="42" spans="1:4" ht="15" x14ac:dyDescent="0.2">
      <c r="A42" s="8">
        <v>1001653175</v>
      </c>
      <c r="B42" s="9" t="s">
        <v>43</v>
      </c>
      <c r="C42" s="10">
        <f>VLOOKUP(A42,'[1]קריטריונים וניקוד'!$A$7:$AK$48,36,FALSE)</f>
        <v>143490.89559280252</v>
      </c>
      <c r="D42" s="15"/>
    </row>
    <row r="43" spans="1:4" ht="15" x14ac:dyDescent="0.2">
      <c r="A43" s="8">
        <v>1001653206</v>
      </c>
      <c r="B43" s="9" t="s">
        <v>44</v>
      </c>
      <c r="C43" s="10">
        <f>VLOOKUP(A43,'[1]קריטריונים וניקוד'!$A$7:$AK$48,36,FALSE)</f>
        <v>28247.009614035105</v>
      </c>
      <c r="D43" s="3"/>
    </row>
    <row r="44" spans="1:4" ht="15" x14ac:dyDescent="0.2">
      <c r="A44" s="8">
        <v>1001653207</v>
      </c>
      <c r="B44" s="9" t="s">
        <v>45</v>
      </c>
      <c r="C44" s="10">
        <f>VLOOKUP(A44,'[1]קריטריונים וניקוד'!$A$7:$AK$48,36,FALSE)</f>
        <v>100000</v>
      </c>
      <c r="D44" s="3"/>
    </row>
    <row r="45" spans="1:4" ht="15" x14ac:dyDescent="0.2">
      <c r="A45" s="8">
        <v>1001653226</v>
      </c>
      <c r="B45" s="9" t="s">
        <v>46</v>
      </c>
      <c r="C45" s="10">
        <f>VLOOKUP(A45,'[1]קריטריונים וניקוד'!$A$7:$AK$48,36,FALSE)</f>
        <v>55288.486326147438</v>
      </c>
      <c r="D45" s="3"/>
    </row>
    <row r="46" spans="1:4" ht="15" x14ac:dyDescent="0.2">
      <c r="A46" s="8">
        <v>1001653365</v>
      </c>
      <c r="B46" s="9" t="s">
        <v>47</v>
      </c>
      <c r="C46" s="10">
        <f>VLOOKUP(A46,'[1]קריטריונים וניקוד'!$A$7:$AK$55,36,FALSE)</f>
        <v>30150.307980863483</v>
      </c>
      <c r="D46" s="3"/>
    </row>
    <row r="47" spans="1:4" ht="15" x14ac:dyDescent="0.2">
      <c r="A47" s="8">
        <v>1001653366</v>
      </c>
      <c r="B47" s="9" t="s">
        <v>48</v>
      </c>
      <c r="C47" s="10">
        <f>VLOOKUP(A47,'[1]קריטריונים וניקוד'!$A$7:$AK$55,36,FALSE)</f>
        <v>23735.588752939286</v>
      </c>
      <c r="D47" s="3"/>
    </row>
    <row r="48" spans="1:4" ht="15" x14ac:dyDescent="0.2">
      <c r="A48" s="8">
        <v>1001653626</v>
      </c>
      <c r="B48" s="9" t="s">
        <v>49</v>
      </c>
      <c r="C48" s="10">
        <f>VLOOKUP(A48,'[1]קריטריונים וניקוד'!$A$7:$AK$55,36,FALSE)</f>
        <v>9029.9774699337813</v>
      </c>
      <c r="D48" s="3"/>
    </row>
    <row r="49" spans="1:4" ht="15" x14ac:dyDescent="0.2">
      <c r="A49" s="8">
        <v>1001653690</v>
      </c>
      <c r="B49" s="9" t="s">
        <v>50</v>
      </c>
      <c r="C49" s="10">
        <f>VLOOKUP(A49,'[1]קריטריונים וניקוד'!$A$7:$AK$55,36,FALSE)</f>
        <v>9795.970503166378</v>
      </c>
      <c r="D49" s="3"/>
    </row>
    <row r="50" spans="1:4" ht="15" x14ac:dyDescent="0.2">
      <c r="A50" s="8">
        <v>1001653735</v>
      </c>
      <c r="B50" s="9" t="s">
        <v>51</v>
      </c>
      <c r="C50" s="10">
        <f>VLOOKUP(A50,'[1]קריטריונים וניקוד'!$A$7:$AK$55,36,FALSE)</f>
        <v>38891.433498582133</v>
      </c>
      <c r="D50" s="3"/>
    </row>
    <row r="51" spans="1:4" ht="15" x14ac:dyDescent="0.2">
      <c r="A51" s="8">
        <v>1001653738</v>
      </c>
      <c r="B51" s="9" t="s">
        <v>52</v>
      </c>
      <c r="C51" s="10">
        <f>VLOOKUP(A51,'[1]קריטריונים וניקוד'!$A$7:$AK$55,36,FALSE)</f>
        <v>9170.2842688007731</v>
      </c>
      <c r="D51" s="3"/>
    </row>
    <row r="52" spans="1:4" ht="15" x14ac:dyDescent="0.2">
      <c r="A52" s="16" t="s">
        <v>53</v>
      </c>
      <c r="B52" s="17" t="s">
        <v>54</v>
      </c>
      <c r="C52" s="10">
        <f>VLOOKUP(A52,'[1]קריטריונים וניקוד'!$A$7:$AK$55,36,FALSE)</f>
        <v>11393.872323977512</v>
      </c>
      <c r="D52" s="3"/>
    </row>
    <row r="53" spans="1:4" ht="15" x14ac:dyDescent="0.2">
      <c r="A53" s="16"/>
      <c r="B53" s="17"/>
      <c r="C53" s="18">
        <f>SUM(C4:C52)</f>
        <v>2799963.0000000014</v>
      </c>
      <c r="D53" s="3"/>
    </row>
    <row r="54" spans="1:4" x14ac:dyDescent="0.2">
      <c r="A54" s="2"/>
      <c r="B54" s="4"/>
      <c r="C54" s="2"/>
      <c r="D54" s="3"/>
    </row>
    <row r="55" spans="1:4" ht="15" x14ac:dyDescent="0.2">
      <c r="A55" s="8">
        <v>1001632819</v>
      </c>
      <c r="B55" s="9" t="s">
        <v>55</v>
      </c>
      <c r="C55" s="10">
        <f>+'[1]קריטריונים וניקוד'!AJ58</f>
        <v>200000</v>
      </c>
      <c r="D55" s="12"/>
    </row>
    <row r="56" spans="1:4" x14ac:dyDescent="0.2">
      <c r="A56" s="2"/>
      <c r="B56" s="4"/>
      <c r="C56" s="2"/>
      <c r="D56" s="3"/>
    </row>
    <row r="57" spans="1:4" x14ac:dyDescent="0.2">
      <c r="A57" s="2"/>
      <c r="B57" s="4" t="s">
        <v>56</v>
      </c>
      <c r="C57" s="19">
        <f>+C55+C53</f>
        <v>2999963.0000000014</v>
      </c>
      <c r="D57" s="3"/>
    </row>
    <row r="58" spans="1:4" x14ac:dyDescent="0.2">
      <c r="A58" s="2"/>
      <c r="B58" s="4"/>
      <c r="C58" s="2"/>
      <c r="D58" s="3"/>
    </row>
  </sheetData>
  <conditionalFormatting sqref="C54 C56:C58 C2 B3">
    <cfRule type="expression" dxfId="4" priority="2" stopIfTrue="1">
      <formula>AND(COUNTIF($C$48:$C$49, B2)+COUNTIF($C$2:$C$2, B2)+COUNTIF($B$3:$B$3, B2)+COUNTIF($C$51:$C$65536, B2)&gt;1,NOT(ISBLANK(B2)))</formula>
    </cfRule>
  </conditionalFormatting>
  <conditionalFormatting sqref="D42">
    <cfRule type="duplicateValues" dxfId="3" priority="1" stopIfTrue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56"/>
  <sheetViews>
    <sheetView rightToLeft="1" workbookViewId="0">
      <selection sqref="A1:AM56"/>
    </sheetView>
  </sheetViews>
  <sheetFormatPr defaultRowHeight="14.25" x14ac:dyDescent="0.2"/>
  <cols>
    <col min="2" max="2" width="31.875" bestFit="1" customWidth="1"/>
  </cols>
  <sheetData>
    <row r="1" spans="1:39" x14ac:dyDescent="0.2">
      <c r="A1" s="20"/>
      <c r="B1" s="21"/>
      <c r="C1" s="22"/>
      <c r="D1" s="22"/>
      <c r="E1" s="22" t="s">
        <v>57</v>
      </c>
      <c r="F1" s="22"/>
      <c r="G1" s="23"/>
      <c r="H1" s="23"/>
      <c r="I1" s="23"/>
      <c r="J1" s="24"/>
      <c r="K1" s="23"/>
      <c r="L1" s="23"/>
      <c r="M1" s="22"/>
      <c r="N1" s="22"/>
      <c r="O1" s="22"/>
      <c r="P1" s="22"/>
      <c r="Q1" s="22"/>
      <c r="R1" s="22"/>
      <c r="S1" s="25" t="s">
        <v>58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6"/>
      <c r="AE1" s="27">
        <v>0.9</v>
      </c>
      <c r="AF1" s="28"/>
      <c r="AG1" s="29">
        <v>0.1</v>
      </c>
      <c r="AH1" s="29"/>
      <c r="AI1" s="30">
        <v>2631318.3982602232</v>
      </c>
      <c r="AJ1" s="31">
        <f>AI2*0.9</f>
        <v>2345400</v>
      </c>
      <c r="AK1" s="32"/>
      <c r="AL1" s="33"/>
      <c r="AM1" s="20"/>
    </row>
    <row r="2" spans="1:39" x14ac:dyDescent="0.2">
      <c r="A2" s="25" t="s">
        <v>59</v>
      </c>
      <c r="B2" s="7" t="s">
        <v>58</v>
      </c>
      <c r="C2" s="34"/>
      <c r="D2" s="34"/>
      <c r="E2" s="20"/>
      <c r="F2" s="34"/>
      <c r="G2" s="23"/>
      <c r="H2" s="23"/>
      <c r="I2" s="23"/>
      <c r="J2" s="35"/>
      <c r="K2" s="23"/>
      <c r="L2" s="23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6"/>
      <c r="AE2" s="37">
        <v>2893029.5668010884</v>
      </c>
      <c r="AF2" s="38"/>
      <c r="AG2" s="37">
        <v>200000</v>
      </c>
      <c r="AH2" s="37"/>
      <c r="AI2" s="30">
        <v>2606000</v>
      </c>
      <c r="AJ2" s="39"/>
      <c r="AK2" s="32"/>
      <c r="AL2" s="33"/>
      <c r="AM2" s="20"/>
    </row>
    <row r="3" spans="1:39" x14ac:dyDescent="0.2">
      <c r="A3" s="25"/>
      <c r="B3" s="40" t="s">
        <v>60</v>
      </c>
      <c r="C3" s="41"/>
      <c r="D3" s="42"/>
      <c r="E3" s="42"/>
      <c r="F3" s="43"/>
      <c r="G3" s="44" t="s">
        <v>61</v>
      </c>
      <c r="H3" s="44"/>
      <c r="I3" s="44"/>
      <c r="J3" s="45" t="s">
        <v>62</v>
      </c>
      <c r="K3" s="46">
        <v>1</v>
      </c>
      <c r="L3" s="46"/>
      <c r="M3" s="47"/>
      <c r="N3" s="47">
        <v>2</v>
      </c>
      <c r="O3" s="47" t="s">
        <v>63</v>
      </c>
      <c r="P3" s="47"/>
      <c r="Q3" s="47"/>
      <c r="R3" s="48" t="s">
        <v>64</v>
      </c>
      <c r="S3" s="47"/>
      <c r="T3" s="47"/>
      <c r="U3" s="47"/>
      <c r="V3" s="47"/>
      <c r="W3" s="41">
        <v>4</v>
      </c>
      <c r="X3" s="49"/>
      <c r="Y3" s="41">
        <v>5</v>
      </c>
      <c r="Z3" s="49"/>
      <c r="AA3" s="41">
        <v>6</v>
      </c>
      <c r="AB3" s="49"/>
      <c r="AC3" s="50"/>
      <c r="AD3" s="50"/>
      <c r="AE3" s="50"/>
      <c r="AF3" s="51"/>
      <c r="AG3" s="50"/>
      <c r="AH3" s="50"/>
      <c r="AI3" s="50"/>
      <c r="AJ3" s="52"/>
      <c r="AK3" s="50"/>
      <c r="AL3" s="33"/>
      <c r="AM3" s="53"/>
    </row>
    <row r="4" spans="1:39" ht="15" thickBot="1" x14ac:dyDescent="0.25">
      <c r="A4" s="25"/>
      <c r="B4" s="40" t="s">
        <v>65</v>
      </c>
      <c r="C4" s="54">
        <v>0.3</v>
      </c>
      <c r="D4" s="55"/>
      <c r="E4" s="55"/>
      <c r="F4" s="55"/>
      <c r="G4" s="55"/>
      <c r="H4" s="55"/>
      <c r="I4" s="55"/>
      <c r="J4" s="55"/>
      <c r="K4" s="55"/>
      <c r="L4" s="56"/>
      <c r="M4" s="57">
        <v>0.1</v>
      </c>
      <c r="N4" s="58"/>
      <c r="O4" s="58"/>
      <c r="P4" s="58"/>
      <c r="Q4" s="59"/>
      <c r="R4" s="57">
        <v>0.35</v>
      </c>
      <c r="S4" s="58"/>
      <c r="T4" s="58"/>
      <c r="U4" s="58"/>
      <c r="V4" s="59"/>
      <c r="W4" s="57">
        <v>0.1</v>
      </c>
      <c r="X4" s="59"/>
      <c r="Y4" s="57">
        <v>0.05</v>
      </c>
      <c r="Z4" s="59"/>
      <c r="AA4" s="57">
        <v>0.1</v>
      </c>
      <c r="AB4" s="59"/>
      <c r="AC4" s="50"/>
      <c r="AD4" s="50"/>
      <c r="AE4" s="50"/>
      <c r="AF4" s="51"/>
      <c r="AG4" s="50"/>
      <c r="AH4" s="50"/>
      <c r="AI4" s="50"/>
      <c r="AJ4" s="52"/>
      <c r="AK4" s="50"/>
      <c r="AL4" s="60" t="s">
        <v>66</v>
      </c>
      <c r="AM4" s="53"/>
    </row>
    <row r="5" spans="1:39" ht="149.25" x14ac:dyDescent="0.2">
      <c r="A5" s="61" t="s">
        <v>1</v>
      </c>
      <c r="B5" s="62" t="s">
        <v>2</v>
      </c>
      <c r="C5" s="63" t="s">
        <v>67</v>
      </c>
      <c r="D5" s="63"/>
      <c r="E5" s="63"/>
      <c r="F5" s="64" t="s">
        <v>68</v>
      </c>
      <c r="G5" s="65"/>
      <c r="H5" s="65"/>
      <c r="I5" s="65"/>
      <c r="J5" s="66" t="s">
        <v>69</v>
      </c>
      <c r="K5" s="67" t="s">
        <v>70</v>
      </c>
      <c r="L5" s="67" t="s">
        <v>71</v>
      </c>
      <c r="M5" s="68" t="s">
        <v>72</v>
      </c>
      <c r="N5" s="64" t="s">
        <v>73</v>
      </c>
      <c r="O5" s="67" t="s">
        <v>74</v>
      </c>
      <c r="P5" s="64" t="s">
        <v>75</v>
      </c>
      <c r="Q5" s="64" t="s">
        <v>76</v>
      </c>
      <c r="R5" s="69" t="s">
        <v>77</v>
      </c>
      <c r="S5" s="70" t="s">
        <v>78</v>
      </c>
      <c r="T5" s="64" t="s">
        <v>79</v>
      </c>
      <c r="U5" s="64" t="s">
        <v>80</v>
      </c>
      <c r="V5" s="64" t="s">
        <v>81</v>
      </c>
      <c r="W5" s="69" t="s">
        <v>82</v>
      </c>
      <c r="X5" s="69" t="s">
        <v>83</v>
      </c>
      <c r="Y5" s="64" t="s">
        <v>84</v>
      </c>
      <c r="Z5" s="64" t="s">
        <v>85</v>
      </c>
      <c r="AA5" s="64" t="s">
        <v>86</v>
      </c>
      <c r="AB5" s="70" t="s">
        <v>87</v>
      </c>
      <c r="AC5" s="70" t="s">
        <v>87</v>
      </c>
      <c r="AD5" s="71" t="s">
        <v>88</v>
      </c>
      <c r="AE5" s="64" t="s">
        <v>89</v>
      </c>
      <c r="AF5" s="72" t="s">
        <v>90</v>
      </c>
      <c r="AG5" s="64" t="s">
        <v>91</v>
      </c>
      <c r="AH5" s="70" t="s">
        <v>92</v>
      </c>
      <c r="AI5" s="73" t="s">
        <v>93</v>
      </c>
      <c r="AJ5" s="74" t="s">
        <v>94</v>
      </c>
      <c r="AK5" s="71" t="s">
        <v>95</v>
      </c>
      <c r="AL5" s="75"/>
      <c r="AM5" s="76"/>
    </row>
    <row r="6" spans="1:39" ht="26.25" thickBot="1" x14ac:dyDescent="0.25">
      <c r="A6" s="77"/>
      <c r="B6" s="78"/>
      <c r="C6" s="77" t="s">
        <v>96</v>
      </c>
      <c r="D6" s="77" t="s">
        <v>97</v>
      </c>
      <c r="E6" s="79" t="s">
        <v>98</v>
      </c>
      <c r="F6" s="79"/>
      <c r="G6" s="80" t="s">
        <v>99</v>
      </c>
      <c r="H6" s="80" t="s">
        <v>100</v>
      </c>
      <c r="I6" s="80" t="s">
        <v>101</v>
      </c>
      <c r="J6" s="81"/>
      <c r="K6" s="82"/>
      <c r="L6" s="82"/>
      <c r="M6" s="83"/>
      <c r="N6" s="84"/>
      <c r="O6" s="84"/>
      <c r="P6" s="84"/>
      <c r="Q6" s="84"/>
      <c r="R6" s="77"/>
      <c r="S6" s="77"/>
      <c r="T6" s="77"/>
      <c r="U6" s="77"/>
      <c r="V6" s="77"/>
      <c r="W6" s="77"/>
      <c r="X6" s="77"/>
      <c r="Y6" s="64"/>
      <c r="Z6" s="77"/>
      <c r="AA6" s="77"/>
      <c r="AB6" s="77"/>
      <c r="AC6" s="85"/>
      <c r="AD6" s="86"/>
      <c r="AE6" s="77"/>
      <c r="AF6" s="87"/>
      <c r="AG6" s="88"/>
      <c r="AH6" s="89"/>
      <c r="AI6" s="89"/>
      <c r="AJ6" s="90"/>
      <c r="AK6" s="91"/>
      <c r="AL6" s="92"/>
      <c r="AM6" s="93"/>
    </row>
    <row r="7" spans="1:39" x14ac:dyDescent="0.2">
      <c r="A7" s="8">
        <v>1001593629</v>
      </c>
      <c r="B7" s="9" t="s">
        <v>5</v>
      </c>
      <c r="C7" s="94">
        <f>VLOOKUP($A7,'[1]נתונים מהעמותות'!$A$1:$AA$65536,6,FALSE)</f>
        <v>3</v>
      </c>
      <c r="D7" s="94">
        <f>VLOOKUP($A7,'[1]נתונים מהעמותות'!$A$1:$AA$65536,7,FALSE)</f>
        <v>1</v>
      </c>
      <c r="E7" s="94">
        <f>VLOOKUP($A7,'[1]נתונים מהעמותות'!$A$1:$AA$65536,8,FALSE)</f>
        <v>2</v>
      </c>
      <c r="F7" s="95">
        <f t="shared" ref="F7:F54" si="0">SUM(C7:E7)</f>
        <v>6</v>
      </c>
      <c r="G7" s="96">
        <f t="shared" ref="G7:G54" si="1">C7*4</f>
        <v>12</v>
      </c>
      <c r="H7" s="96">
        <f t="shared" ref="H7:H19" si="2">D7*2</f>
        <v>2</v>
      </c>
      <c r="I7" s="96">
        <f t="shared" ref="I7:I19" si="3">E7</f>
        <v>2</v>
      </c>
      <c r="J7" s="94">
        <f>VLOOKUP($A7,'[1]נתונים מהעמותות'!$A$1:$AA$65536,11,FALSE)</f>
        <v>0.84615384615384615</v>
      </c>
      <c r="K7" s="97">
        <f t="shared" ref="K7:K15" si="4">SUM(G7:I7)</f>
        <v>16</v>
      </c>
      <c r="L7" s="98">
        <f t="shared" ref="L7:L55" si="5">K7/$K$56</f>
        <v>6.4304869157671175E-3</v>
      </c>
      <c r="M7" s="99">
        <f>VLOOKUP($A7,'[1]נתונים מהעמותות'!$A$1:$AA$65536,12,FALSE)</f>
        <v>6</v>
      </c>
      <c r="N7" s="99">
        <f t="shared" ref="N7:N54" si="6">IF(M7&lt;50,0,IF(M7&lt;=100,1,IF(M7&lt;=200,2,IF(M7&gt;200,3,FALSE))))</f>
        <v>0</v>
      </c>
      <c r="O7" s="99">
        <f>VLOOKUP(A7,'[1]נתונים מהעמותות'!$A$1:$AE$65536,31,FALSE)</f>
        <v>1</v>
      </c>
      <c r="P7" s="99">
        <f t="shared" ref="P7:P54" si="7">N7+O7</f>
        <v>1</v>
      </c>
      <c r="Q7" s="100">
        <f t="shared" ref="Q7:Q55" si="8">P7/$P$56</f>
        <v>1.3698630136986301E-2</v>
      </c>
      <c r="R7" s="99">
        <f>VLOOKUP($A7,'[1]נתונים מהעמותות'!$A$1:$AA$65536,13,FALSE)</f>
        <v>16</v>
      </c>
      <c r="S7" s="99">
        <f>VLOOKUP($A7,'[1]נתונים מהעמותות'!$A$1:$AA$65536,15,FALSE)</f>
        <v>432</v>
      </c>
      <c r="T7" s="99">
        <f>VLOOKUP($A7,'[1]נתונים מהעמותות'!$A$1:$AA$65536,18,FALSE)*3</f>
        <v>975</v>
      </c>
      <c r="U7" s="99">
        <f t="shared" ref="U7:U54" si="9">R7+S7+T7</f>
        <v>1423</v>
      </c>
      <c r="V7" s="100">
        <f t="shared" ref="V7:V55" si="10">U7/$U$56</f>
        <v>8.9800709318322378E-3</v>
      </c>
      <c r="W7" s="62">
        <f>VLOOKUP(B7,'[1]ייחודיות ונחיצות'!$B$1:$D$65536,2,FALSE)</f>
        <v>1</v>
      </c>
      <c r="X7" s="100">
        <f t="shared" ref="X7:X55" si="11">W7/$W$56</f>
        <v>1.1904761904761904E-2</v>
      </c>
      <c r="Y7" s="94">
        <f>VLOOKUP('[1]קריטריונים וניקוד'!A7,'[1]נתונים מהעמותות'!$A$1:$AE$65536,26,FALSE)</f>
        <v>1</v>
      </c>
      <c r="Z7" s="100">
        <f t="shared" ref="Z7:Z55" si="12">Y7/$Y$56</f>
        <v>1.0309278350515464E-2</v>
      </c>
      <c r="AA7" s="94">
        <f>VLOOKUP('[1]קריטריונים וניקוד'!A7,'[1]נתונים מהעמותות'!$A$1:$AE$65536,29,FALSE)</f>
        <v>0</v>
      </c>
      <c r="AB7" s="100">
        <f t="shared" ref="AB7:AB55" si="13">AA7/$AA$56</f>
        <v>0</v>
      </c>
      <c r="AC7" s="101">
        <f t="shared" ref="AC7:AC54" si="14">(L7*$C$4)+(Q7*$M$4)+(V7*$R$4)+(X7*$W$4)+(Z7*$Y$4)+(AB7*$AA$4)</f>
        <v>8.1479740225720125E-3</v>
      </c>
      <c r="AD7" s="102">
        <f t="shared" ref="AD7:AD54" si="15">AC7*$AE$2</f>
        <v>23572.329756828032</v>
      </c>
      <c r="AE7" s="103">
        <f t="shared" ref="AE7:AE54" si="16">F7*100000</f>
        <v>600000</v>
      </c>
      <c r="AF7" s="87">
        <f>VLOOKUP(A7,'[1]סכומי בקשה'!$A$2:$G$52,7,FALSE)</f>
        <v>250000</v>
      </c>
      <c r="AG7" s="103">
        <f t="shared" ref="AG7:AG54" si="17">IF(AF7&gt;AE7,AE7,AF7)</f>
        <v>250000</v>
      </c>
      <c r="AH7" s="87">
        <f>VLOOKUP(A7,'[1]סכומי בקשה'!$A$2:$G$52,6,FALSE)</f>
        <v>300000</v>
      </c>
      <c r="AI7" s="104">
        <f t="shared" ref="AI7:AI54" si="18">0.85*AH7</f>
        <v>255000</v>
      </c>
      <c r="AJ7" s="105">
        <f t="shared" ref="AJ7:AJ54" si="19">MIN(AD7,AE7,AG7,AI7)</f>
        <v>23572.329756828032</v>
      </c>
      <c r="AK7" s="106"/>
      <c r="AL7" s="107"/>
      <c r="AM7" s="20"/>
    </row>
    <row r="8" spans="1:39" x14ac:dyDescent="0.2">
      <c r="A8" s="8">
        <v>1001593670</v>
      </c>
      <c r="B8" s="9" t="s">
        <v>6</v>
      </c>
      <c r="C8" s="94">
        <f>VLOOKUP($A8,'[1]נתונים מהעמותות'!$A$1:$AA$65536,6,FALSE)</f>
        <v>0</v>
      </c>
      <c r="D8" s="94">
        <f>VLOOKUP($A8,'[1]נתונים מהעמותות'!$A$1:$AA$65536,7,FALSE)</f>
        <v>0.4</v>
      </c>
      <c r="E8" s="94">
        <f>VLOOKUP($A8,'[1]נתונים מהעמותות'!$A$1:$AA$65536,8,FALSE)</f>
        <v>7</v>
      </c>
      <c r="F8" s="95">
        <f t="shared" si="0"/>
        <v>7.4</v>
      </c>
      <c r="G8" s="96">
        <f t="shared" si="1"/>
        <v>0</v>
      </c>
      <c r="H8" s="96">
        <f t="shared" si="2"/>
        <v>0.8</v>
      </c>
      <c r="I8" s="96">
        <f t="shared" si="3"/>
        <v>7</v>
      </c>
      <c r="J8" s="94">
        <f>VLOOKUP($A8,'[1]נתונים מהעמותות'!$A$1:$AA$65536,11,FALSE)</f>
        <v>1</v>
      </c>
      <c r="K8" s="97">
        <f t="shared" si="4"/>
        <v>7.8</v>
      </c>
      <c r="L8" s="98">
        <f t="shared" si="5"/>
        <v>3.1348623714364697E-3</v>
      </c>
      <c r="M8" s="99">
        <f>VLOOKUP($A8,'[1]נתונים מהעמותות'!$A$1:$AA$65536,12,FALSE)</f>
        <v>70</v>
      </c>
      <c r="N8" s="99">
        <f t="shared" si="6"/>
        <v>1</v>
      </c>
      <c r="O8" s="99">
        <f>VLOOKUP(A8,'[1]נתונים מהעמותות'!$A$1:$AE$65536,31,FALSE)</f>
        <v>1</v>
      </c>
      <c r="P8" s="99">
        <f t="shared" si="7"/>
        <v>2</v>
      </c>
      <c r="Q8" s="100">
        <f t="shared" si="8"/>
        <v>2.7397260273972601E-2</v>
      </c>
      <c r="R8" s="99">
        <f>VLOOKUP($A8,'[1]נתונים מהעמותות'!$A$1:$AA$65536,13,FALSE)</f>
        <v>30</v>
      </c>
      <c r="S8" s="99">
        <f>VLOOKUP($A8,'[1]נתונים מהעמותות'!$A$1:$AA$65536,15,FALSE)</f>
        <v>75</v>
      </c>
      <c r="T8" s="99">
        <f>VLOOKUP($A8,'[1]נתונים מהעמותות'!$A$1:$AA$65536,18,FALSE)*3</f>
        <v>597</v>
      </c>
      <c r="U8" s="99">
        <f t="shared" si="9"/>
        <v>702</v>
      </c>
      <c r="V8" s="100">
        <f t="shared" si="10"/>
        <v>4.4300841842208226E-3</v>
      </c>
      <c r="W8" s="62">
        <f>VLOOKUP(B8,'[1]ייחודיות ונחיצות'!$B$1:$D$65536,2,FALSE)</f>
        <v>1</v>
      </c>
      <c r="X8" s="100">
        <f t="shared" si="11"/>
        <v>1.1904761904761904E-2</v>
      </c>
      <c r="Y8" s="94">
        <f>VLOOKUP('[1]קריטריונים וניקוד'!A8,'[1]נתונים מהעמותות'!$A$1:$AE$65536,26,FALSE)</f>
        <v>1.5</v>
      </c>
      <c r="Z8" s="100">
        <f t="shared" si="12"/>
        <v>1.5463917525773196E-2</v>
      </c>
      <c r="AA8" s="94">
        <f>VLOOKUP('[1]קריטריונים וניקוד'!A8,'[1]נתונים מהעמותות'!$A$1:$AE$65536,29,FALSE)</f>
        <v>3</v>
      </c>
      <c r="AB8" s="100">
        <f t="shared" si="13"/>
        <v>3.8461538461538464E-2</v>
      </c>
      <c r="AC8" s="101">
        <f t="shared" si="14"/>
        <v>1.1040540116224185E-2</v>
      </c>
      <c r="AD8" s="102">
        <f t="shared" si="15"/>
        <v>31940.608989690092</v>
      </c>
      <c r="AE8" s="103">
        <f t="shared" si="16"/>
        <v>740000</v>
      </c>
      <c r="AF8" s="87">
        <f>VLOOKUP(A8,'[1]סכומי בקשה'!$A$2:$G$52,7,FALSE)</f>
        <v>150000</v>
      </c>
      <c r="AG8" s="103">
        <f t="shared" si="17"/>
        <v>150000</v>
      </c>
      <c r="AH8" s="87">
        <f>VLOOKUP(A8,'[1]סכומי בקשה'!$A$2:$G$52,6,FALSE)</f>
        <v>600000</v>
      </c>
      <c r="AI8" s="104">
        <f t="shared" si="18"/>
        <v>510000</v>
      </c>
      <c r="AJ8" s="105">
        <f t="shared" si="19"/>
        <v>31940.608989690092</v>
      </c>
      <c r="AK8" s="106"/>
      <c r="AL8" s="107"/>
      <c r="AM8" s="20"/>
    </row>
    <row r="9" spans="1:39" x14ac:dyDescent="0.2">
      <c r="A9" s="8">
        <v>1001593676</v>
      </c>
      <c r="B9" s="9" t="s">
        <v>7</v>
      </c>
      <c r="C9" s="94">
        <f>VLOOKUP($A9,'[1]נתונים מהעמותות'!$A$1:$AA$65536,6,FALSE)</f>
        <v>0</v>
      </c>
      <c r="D9" s="94">
        <f>VLOOKUP($A9,'[1]נתונים מהעמותות'!$A$1:$AA$65536,7,FALSE)</f>
        <v>5.0999999999999996</v>
      </c>
      <c r="E9" s="94">
        <f>VLOOKUP($A9,'[1]נתונים מהעמותות'!$A$1:$AA$65536,8,FALSE)</f>
        <v>3.4</v>
      </c>
      <c r="F9" s="95">
        <f t="shared" si="0"/>
        <v>8.5</v>
      </c>
      <c r="G9" s="96">
        <f t="shared" si="1"/>
        <v>0</v>
      </c>
      <c r="H9" s="96">
        <f t="shared" si="2"/>
        <v>10.199999999999999</v>
      </c>
      <c r="I9" s="96">
        <f t="shared" si="3"/>
        <v>3.4</v>
      </c>
      <c r="J9" s="94">
        <f>VLOOKUP($A9,'[1]נתונים מהעמותות'!$A$1:$AA$65536,11,FALSE)</f>
        <v>1</v>
      </c>
      <c r="K9" s="97">
        <f t="shared" si="4"/>
        <v>13.6</v>
      </c>
      <c r="L9" s="98">
        <f t="shared" si="5"/>
        <v>5.4659138784020492E-3</v>
      </c>
      <c r="M9" s="99">
        <f>VLOOKUP($A9,'[1]נתונים מהעמותות'!$A$1:$AA$65536,12,FALSE)</f>
        <v>74</v>
      </c>
      <c r="N9" s="99">
        <f t="shared" si="6"/>
        <v>1</v>
      </c>
      <c r="O9" s="99">
        <f>VLOOKUP(A9,'[1]נתונים מהעמותות'!$A$1:$AE$65536,31,FALSE)</f>
        <v>1</v>
      </c>
      <c r="P9" s="99">
        <f t="shared" si="7"/>
        <v>2</v>
      </c>
      <c r="Q9" s="100">
        <f t="shared" si="8"/>
        <v>2.7397260273972601E-2</v>
      </c>
      <c r="R9" s="99">
        <f>VLOOKUP($A9,'[1]נתונים מהעמותות'!$A$1:$AA$65536,13,FALSE)</f>
        <v>35</v>
      </c>
      <c r="S9" s="99">
        <f>VLOOKUP($A9,'[1]נתונים מהעמותות'!$A$1:$AA$65536,15,FALSE)</f>
        <v>21</v>
      </c>
      <c r="T9" s="99">
        <f>VLOOKUP($A9,'[1]נתונים מהעמותות'!$A$1:$AA$65536,18,FALSE)*3</f>
        <v>1071</v>
      </c>
      <c r="U9" s="99">
        <f t="shared" si="9"/>
        <v>1127</v>
      </c>
      <c r="V9" s="100">
        <f t="shared" si="10"/>
        <v>7.1121152074314345E-3</v>
      </c>
      <c r="W9" s="62">
        <f>VLOOKUP(B9,'[1]ייחודיות ונחיצות'!$B$1:$D$65536,2,FALSE)</f>
        <v>1</v>
      </c>
      <c r="X9" s="100">
        <f t="shared" si="11"/>
        <v>1.1904761904761904E-2</v>
      </c>
      <c r="Y9" s="94">
        <f>VLOOKUP('[1]קריטריונים וניקוד'!A9,'[1]נתונים מהעמותות'!$A$1:$AE$65536,26,FALSE)</f>
        <v>1</v>
      </c>
      <c r="Z9" s="100">
        <f t="shared" si="12"/>
        <v>1.0309278350515464E-2</v>
      </c>
      <c r="AA9" s="94">
        <f>VLOOKUP('[1]קריטריונים וניקוד'!A9,'[1]נתונים מהעמותות'!$A$1:$AE$65536,29,FALSE)</f>
        <v>0</v>
      </c>
      <c r="AB9" s="100">
        <f t="shared" si="13"/>
        <v>0</v>
      </c>
      <c r="AC9" s="101">
        <f t="shared" si="14"/>
        <v>8.5746806215208412E-3</v>
      </c>
      <c r="AD9" s="102">
        <f t="shared" si="15"/>
        <v>24806.804563936126</v>
      </c>
      <c r="AE9" s="103">
        <f t="shared" si="16"/>
        <v>850000</v>
      </c>
      <c r="AF9" s="87">
        <f>VLOOKUP(A9,'[1]סכומי בקשה'!$A$2:$G$52,7,FALSE)</f>
        <v>200000</v>
      </c>
      <c r="AG9" s="103">
        <f t="shared" si="17"/>
        <v>200000</v>
      </c>
      <c r="AH9" s="87">
        <f>VLOOKUP(A9,'[1]סכומי בקשה'!$A$2:$G$52,6,FALSE)</f>
        <v>300000</v>
      </c>
      <c r="AI9" s="104">
        <f t="shared" si="18"/>
        <v>255000</v>
      </c>
      <c r="AJ9" s="105">
        <f t="shared" si="19"/>
        <v>24806.804563936126</v>
      </c>
      <c r="AK9" s="106"/>
      <c r="AL9" s="107"/>
      <c r="AM9" s="20"/>
    </row>
    <row r="10" spans="1:39" x14ac:dyDescent="0.2">
      <c r="A10" s="8">
        <v>1001593968</v>
      </c>
      <c r="B10" s="9" t="s">
        <v>8</v>
      </c>
      <c r="C10" s="94">
        <f>VLOOKUP($A10,'[1]נתונים מהעמותות'!$A$1:$AA$65536,6,FALSE)</f>
        <v>1</v>
      </c>
      <c r="D10" s="94">
        <f>VLOOKUP($A10,'[1]נתונים מהעמותות'!$A$1:$AA$65536,7,FALSE)</f>
        <v>1</v>
      </c>
      <c r="E10" s="94">
        <f>VLOOKUP($A10,'[1]נתונים מהעמותות'!$A$1:$AA$65536,8,FALSE)</f>
        <v>50</v>
      </c>
      <c r="F10" s="95">
        <f t="shared" si="0"/>
        <v>52</v>
      </c>
      <c r="G10" s="96">
        <f t="shared" si="1"/>
        <v>4</v>
      </c>
      <c r="H10" s="96">
        <f t="shared" si="2"/>
        <v>2</v>
      </c>
      <c r="I10" s="96">
        <f t="shared" si="3"/>
        <v>50</v>
      </c>
      <c r="J10" s="94">
        <f>VLOOKUP($A10,'[1]נתונים מהעמותות'!$A$1:$AA$65536,11,FALSE)</f>
        <v>0.8571428571428571</v>
      </c>
      <c r="K10" s="97">
        <f t="shared" si="4"/>
        <v>56</v>
      </c>
      <c r="L10" s="98">
        <f t="shared" si="5"/>
        <v>2.250670420518491E-2</v>
      </c>
      <c r="M10" s="99">
        <f>VLOOKUP($A10,'[1]נתונים מהעמותות'!$A$1:$AA$65536,12,FALSE)</f>
        <v>4</v>
      </c>
      <c r="N10" s="99">
        <f t="shared" si="6"/>
        <v>0</v>
      </c>
      <c r="O10" s="99">
        <f>VLOOKUP(A10,'[1]נתונים מהעמותות'!$A$1:$AE$65536,31,FALSE)</f>
        <v>1</v>
      </c>
      <c r="P10" s="99">
        <f t="shared" si="7"/>
        <v>1</v>
      </c>
      <c r="Q10" s="100">
        <f t="shared" si="8"/>
        <v>1.3698630136986301E-2</v>
      </c>
      <c r="R10" s="99">
        <f>VLOOKUP($A10,'[1]נתונים מהעמותות'!$A$1:$AA$65536,13,FALSE)</f>
        <v>0</v>
      </c>
      <c r="S10" s="99">
        <f>VLOOKUP($A10,'[1]נתונים מהעמותות'!$A$1:$AA$65536,15,FALSE)</f>
        <v>0</v>
      </c>
      <c r="T10" s="99">
        <f>VLOOKUP($A10,'[1]נתונים מהעמותות'!$A$1:$AA$65536,18,FALSE)*3</f>
        <v>588</v>
      </c>
      <c r="U10" s="99">
        <f t="shared" si="9"/>
        <v>588</v>
      </c>
      <c r="V10" s="100">
        <f t="shared" si="10"/>
        <v>3.7106688038772702E-3</v>
      </c>
      <c r="W10" s="62">
        <f>VLOOKUP(B10,'[1]ייחודיות ונחיצות'!$B$1:$D$65536,2,FALSE)</f>
        <v>3</v>
      </c>
      <c r="X10" s="100">
        <f t="shared" si="11"/>
        <v>3.5714285714285712E-2</v>
      </c>
      <c r="Y10" s="94">
        <f>VLOOKUP('[1]קריטריונים וניקוד'!A10,'[1]נתונים מהעמותות'!$A$1:$AE$65536,26,FALSE)</f>
        <v>1</v>
      </c>
      <c r="Z10" s="100">
        <f t="shared" si="12"/>
        <v>1.0309278350515464E-2</v>
      </c>
      <c r="AA10" s="94">
        <f>VLOOKUP('[1]קריטריונים וניקוד'!A10,'[1]נתונים מהעמותות'!$A$1:$AE$65536,29,FALSE)</f>
        <v>0</v>
      </c>
      <c r="AB10" s="100">
        <f t="shared" si="13"/>
        <v>0</v>
      </c>
      <c r="AC10" s="101">
        <f t="shared" si="14"/>
        <v>1.3507500845565491E-2</v>
      </c>
      <c r="AD10" s="102">
        <f t="shared" si="15"/>
        <v>39077.59931981167</v>
      </c>
      <c r="AE10" s="103">
        <f t="shared" si="16"/>
        <v>5200000</v>
      </c>
      <c r="AF10" s="87">
        <f>VLOOKUP(A10,'[1]סכומי בקשה'!$A$2:$G$52,7,FALSE)</f>
        <v>200000</v>
      </c>
      <c r="AG10" s="103">
        <f t="shared" si="17"/>
        <v>200000</v>
      </c>
      <c r="AH10" s="87">
        <f>VLOOKUP(A10,'[1]סכומי בקשה'!$A$2:$G$52,6,FALSE)</f>
        <v>1000000</v>
      </c>
      <c r="AI10" s="104">
        <f t="shared" si="18"/>
        <v>850000</v>
      </c>
      <c r="AJ10" s="105">
        <f t="shared" si="19"/>
        <v>39077.59931981167</v>
      </c>
      <c r="AK10" s="106"/>
      <c r="AL10" s="107"/>
      <c r="AM10" s="20"/>
    </row>
    <row r="11" spans="1:39" x14ac:dyDescent="0.2">
      <c r="A11" s="8">
        <v>1001595221</v>
      </c>
      <c r="B11" s="9" t="s">
        <v>9</v>
      </c>
      <c r="C11" s="94">
        <f>VLOOKUP($A11,'[1]נתונים מהעמותות'!$A$1:$AA$65536,6,FALSE)</f>
        <v>0</v>
      </c>
      <c r="D11" s="94">
        <f>VLOOKUP($A11,'[1]נתונים מהעמותות'!$A$1:$AA$65536,7,FALSE)</f>
        <v>1</v>
      </c>
      <c r="E11" s="94">
        <f>VLOOKUP($A11,'[1]נתונים מהעמותות'!$A$1:$AA$65536,8,FALSE)</f>
        <v>13</v>
      </c>
      <c r="F11" s="95">
        <f t="shared" si="0"/>
        <v>14</v>
      </c>
      <c r="G11" s="96">
        <f t="shared" si="1"/>
        <v>0</v>
      </c>
      <c r="H11" s="96">
        <f t="shared" si="2"/>
        <v>2</v>
      </c>
      <c r="I11" s="96">
        <f t="shared" si="3"/>
        <v>13</v>
      </c>
      <c r="J11" s="94">
        <f>VLOOKUP($A11,'[1]נתונים מהעמותות'!$A$1:$AA$65536,11,FALSE)</f>
        <v>1</v>
      </c>
      <c r="K11" s="97">
        <f t="shared" si="4"/>
        <v>15</v>
      </c>
      <c r="L11" s="98">
        <f t="shared" si="5"/>
        <v>6.0285814835316729E-3</v>
      </c>
      <c r="M11" s="99">
        <f>VLOOKUP($A11,'[1]נתונים מהעמותות'!$A$1:$AA$65536,12,FALSE)</f>
        <v>0</v>
      </c>
      <c r="N11" s="99">
        <f t="shared" si="6"/>
        <v>0</v>
      </c>
      <c r="O11" s="99">
        <f>VLOOKUP(A11,'[1]נתונים מהעמותות'!$A$1:$AE$65536,31,FALSE)</f>
        <v>0</v>
      </c>
      <c r="P11" s="99">
        <f t="shared" si="7"/>
        <v>0</v>
      </c>
      <c r="Q11" s="100">
        <f t="shared" si="8"/>
        <v>0</v>
      </c>
      <c r="R11" s="99">
        <f>VLOOKUP($A11,'[1]נתונים מהעמותות'!$A$1:$AA$65536,13,FALSE)</f>
        <v>0</v>
      </c>
      <c r="S11" s="99">
        <f>VLOOKUP($A11,'[1]נתונים מהעמותות'!$A$1:$AA$65536,15,FALSE)</f>
        <v>0</v>
      </c>
      <c r="T11" s="99">
        <f>VLOOKUP($A11,'[1]נתונים מהעמותות'!$A$1:$AA$65536,18,FALSE)*3</f>
        <v>0</v>
      </c>
      <c r="U11" s="99">
        <f t="shared" si="9"/>
        <v>0</v>
      </c>
      <c r="V11" s="100">
        <f t="shared" si="10"/>
        <v>0</v>
      </c>
      <c r="W11" s="62">
        <f>VLOOKUP(B11,'[1]ייחודיות ונחיצות'!$B$1:$D$65536,2,FALSE)</f>
        <v>1</v>
      </c>
      <c r="X11" s="100">
        <f t="shared" si="11"/>
        <v>1.1904761904761904E-2</v>
      </c>
      <c r="Y11" s="94">
        <f>VLOOKUP('[1]קריטריונים וניקוד'!A11,'[1]נתונים מהעמותות'!$A$1:$AE$65536,26,FALSE)</f>
        <v>1.5</v>
      </c>
      <c r="Z11" s="100">
        <f t="shared" si="12"/>
        <v>1.5463917525773196E-2</v>
      </c>
      <c r="AA11" s="94">
        <f>VLOOKUP('[1]קריטריונים וניקוד'!A11,'[1]נתונים מהעמותות'!$A$1:$AE$65536,29,FALSE)</f>
        <v>3</v>
      </c>
      <c r="AB11" s="100">
        <f t="shared" si="13"/>
        <v>3.8461538461538464E-2</v>
      </c>
      <c r="AC11" s="101">
        <f t="shared" si="14"/>
        <v>7.6184003579781983E-3</v>
      </c>
      <c r="AD11" s="102">
        <f t="shared" si="15"/>
        <v>22040.257487358926</v>
      </c>
      <c r="AE11" s="103">
        <f t="shared" si="16"/>
        <v>1400000</v>
      </c>
      <c r="AF11" s="87">
        <f>VLOOKUP(A11,'[1]סכומי בקשה'!$A$2:$G$52,7,FALSE)</f>
        <v>250000</v>
      </c>
      <c r="AG11" s="103">
        <f t="shared" si="17"/>
        <v>250000</v>
      </c>
      <c r="AH11" s="87">
        <f>VLOOKUP(A11,'[1]סכומי בקשה'!$A$2:$G$52,6,FALSE)</f>
        <v>300000</v>
      </c>
      <c r="AI11" s="104">
        <f t="shared" si="18"/>
        <v>255000</v>
      </c>
      <c r="AJ11" s="105">
        <f t="shared" si="19"/>
        <v>22040.257487358926</v>
      </c>
      <c r="AK11" s="106"/>
      <c r="AL11" s="107"/>
      <c r="AM11" s="20"/>
    </row>
    <row r="12" spans="1:39" x14ac:dyDescent="0.2">
      <c r="A12" s="8">
        <v>1001595279</v>
      </c>
      <c r="B12" s="9" t="s">
        <v>10</v>
      </c>
      <c r="C12" s="94">
        <f>VLOOKUP($A12,'[1]נתונים מהעמותות'!$A$1:$AA$65536,6,FALSE)</f>
        <v>0</v>
      </c>
      <c r="D12" s="94">
        <f>VLOOKUP($A12,'[1]נתונים מהעמותות'!$A$1:$AA$65536,7,FALSE)</f>
        <v>15</v>
      </c>
      <c r="E12" s="94">
        <f>VLOOKUP($A12,'[1]נתונים מהעמותות'!$A$1:$AA$65536,8,FALSE)</f>
        <v>38</v>
      </c>
      <c r="F12" s="95">
        <f t="shared" si="0"/>
        <v>53</v>
      </c>
      <c r="G12" s="96">
        <f t="shared" si="1"/>
        <v>0</v>
      </c>
      <c r="H12" s="96">
        <f t="shared" si="2"/>
        <v>30</v>
      </c>
      <c r="I12" s="96">
        <f t="shared" si="3"/>
        <v>38</v>
      </c>
      <c r="J12" s="94">
        <f>VLOOKUP($A12,'[1]נתונים מהעמותות'!$A$1:$AA$65536,11,FALSE)</f>
        <v>1</v>
      </c>
      <c r="K12" s="97">
        <f t="shared" si="4"/>
        <v>68</v>
      </c>
      <c r="L12" s="98">
        <f t="shared" si="5"/>
        <v>2.7329569392010249E-2</v>
      </c>
      <c r="M12" s="99">
        <f>VLOOKUP($A12,'[1]נתונים מהעמותות'!$A$1:$AA$65536,12,FALSE)</f>
        <v>607</v>
      </c>
      <c r="N12" s="99">
        <f t="shared" si="6"/>
        <v>3</v>
      </c>
      <c r="O12" s="99">
        <f>VLOOKUP(A12,'[1]נתונים מהעמותות'!$A$1:$AE$65536,31,FALSE)</f>
        <v>0</v>
      </c>
      <c r="P12" s="99">
        <f t="shared" si="7"/>
        <v>3</v>
      </c>
      <c r="Q12" s="100">
        <f t="shared" si="8"/>
        <v>4.1095890410958902E-2</v>
      </c>
      <c r="R12" s="99">
        <f>VLOOKUP($A12,'[1]נתונים מהעמותות'!$A$1:$AA$65536,13,FALSE)</f>
        <v>0</v>
      </c>
      <c r="S12" s="99">
        <f>VLOOKUP($A12,'[1]נתונים מהעמותות'!$A$1:$AA$65536,15,FALSE)</f>
        <v>0</v>
      </c>
      <c r="T12" s="99">
        <f>VLOOKUP($A12,'[1]נתונים מהעמותות'!$A$1:$AA$65536,18,FALSE)*3</f>
        <v>38565</v>
      </c>
      <c r="U12" s="99">
        <f t="shared" si="9"/>
        <v>38565</v>
      </c>
      <c r="V12" s="100">
        <f t="shared" si="10"/>
        <v>0.24337065037674649</v>
      </c>
      <c r="W12" s="62">
        <f>VLOOKUP(B12,'[1]ייחודיות ונחיצות'!$B$1:$D$65536,2,FALSE)</f>
        <v>1</v>
      </c>
      <c r="X12" s="100">
        <f t="shared" si="11"/>
        <v>1.1904761904761904E-2</v>
      </c>
      <c r="Y12" s="94">
        <f>VLOOKUP('[1]קריטריונים וניקוד'!A12,'[1]נתונים מהעמותות'!$A$1:$AE$65536,26,FALSE)</f>
        <v>3</v>
      </c>
      <c r="Z12" s="100">
        <f t="shared" si="12"/>
        <v>3.0927835051546393E-2</v>
      </c>
      <c r="AA12" s="94">
        <f>VLOOKUP('[1]קריטריונים וניקוד'!A12,'[1]נתונים מהעמותות'!$A$1:$AE$65536,29,FALSE)</f>
        <v>3</v>
      </c>
      <c r="AB12" s="100">
        <f t="shared" si="13"/>
        <v>3.8461538461538464E-2</v>
      </c>
      <c r="AC12" s="101">
        <f t="shared" si="14"/>
        <v>0.10407120927976758</v>
      </c>
      <c r="AD12" s="102">
        <f t="shared" si="15"/>
        <v>301081.08549911145</v>
      </c>
      <c r="AE12" s="103">
        <f t="shared" si="16"/>
        <v>5300000</v>
      </c>
      <c r="AF12" s="87">
        <f>VLOOKUP(A12,'[1]סכומי בקשה'!$A$2:$G$52,7,FALSE)</f>
        <v>250000</v>
      </c>
      <c r="AG12" s="103">
        <f t="shared" si="17"/>
        <v>250000</v>
      </c>
      <c r="AH12" s="87">
        <f>VLOOKUP(A12,'[1]סכומי בקשה'!$A$2:$G$52,6,FALSE)</f>
        <v>1500000</v>
      </c>
      <c r="AI12" s="104">
        <f t="shared" si="18"/>
        <v>1275000</v>
      </c>
      <c r="AJ12" s="105">
        <f t="shared" si="19"/>
        <v>250000</v>
      </c>
      <c r="AK12" s="106"/>
      <c r="AL12" s="107"/>
      <c r="AM12" s="20"/>
    </row>
    <row r="13" spans="1:39" x14ac:dyDescent="0.2">
      <c r="A13" s="8">
        <v>1001596057</v>
      </c>
      <c r="B13" s="9" t="s">
        <v>102</v>
      </c>
      <c r="C13" s="94">
        <f>VLOOKUP($A13,'[1]נתונים מהעמותות'!$A$1:$AA$65536,6,FALSE)</f>
        <v>1</v>
      </c>
      <c r="D13" s="94">
        <f>VLOOKUP($A13,'[1]נתונים מהעמותות'!$A$1:$AA$65536,7,FALSE)</f>
        <v>2</v>
      </c>
      <c r="E13" s="94">
        <f>VLOOKUP($A13,'[1]נתונים מהעמותות'!$A$1:$AA$65536,8,FALSE)</f>
        <v>1</v>
      </c>
      <c r="F13" s="95">
        <f t="shared" si="0"/>
        <v>4</v>
      </c>
      <c r="G13" s="96">
        <f t="shared" si="1"/>
        <v>4</v>
      </c>
      <c r="H13" s="96">
        <f t="shared" si="2"/>
        <v>4</v>
      </c>
      <c r="I13" s="96">
        <f t="shared" si="3"/>
        <v>1</v>
      </c>
      <c r="J13" s="94">
        <f>VLOOKUP($A13,'[1]נתונים מהעמותות'!$A$1:$AA$65536,11,FALSE)</f>
        <v>1</v>
      </c>
      <c r="K13" s="97">
        <f t="shared" si="4"/>
        <v>9</v>
      </c>
      <c r="L13" s="98">
        <f t="shared" si="5"/>
        <v>3.6171488901190034E-3</v>
      </c>
      <c r="M13" s="99">
        <f>VLOOKUP($A13,'[1]נתונים מהעמותות'!$A$1:$AA$65536,12,FALSE)</f>
        <v>135</v>
      </c>
      <c r="N13" s="99">
        <f t="shared" si="6"/>
        <v>2</v>
      </c>
      <c r="O13" s="99">
        <f>VLOOKUP(A13,'[1]נתונים מהעמותות'!$A$1:$AE$65536,31,FALSE)</f>
        <v>1</v>
      </c>
      <c r="P13" s="99">
        <f t="shared" si="7"/>
        <v>3</v>
      </c>
      <c r="Q13" s="100">
        <f t="shared" si="8"/>
        <v>4.1095890410958902E-2</v>
      </c>
      <c r="R13" s="99">
        <f>VLOOKUP($A13,'[1]נתונים מהעמותות'!$A$1:$AA$65536,13,FALSE)</f>
        <v>110</v>
      </c>
      <c r="S13" s="99">
        <f>VLOOKUP($A13,'[1]נתונים מהעמותות'!$A$1:$AA$65536,15,FALSE)</f>
        <v>360</v>
      </c>
      <c r="T13" s="99">
        <f>VLOOKUP($A13,'[1]נתונים מהעמותות'!$A$1:$AA$65536,18,FALSE)*3</f>
        <v>0</v>
      </c>
      <c r="U13" s="99">
        <f t="shared" si="9"/>
        <v>470</v>
      </c>
      <c r="V13" s="100">
        <f t="shared" si="10"/>
        <v>2.9660107786093825E-3</v>
      </c>
      <c r="W13" s="62">
        <f>VLOOKUP(B13,'[1]ייחודיות ונחיצות'!$B$1:$D$65536,2,FALSE)</f>
        <v>3</v>
      </c>
      <c r="X13" s="100">
        <f t="shared" si="11"/>
        <v>3.5714285714285712E-2</v>
      </c>
      <c r="Y13" s="94">
        <f>VLOOKUP('[1]קריטריונים וניקוד'!A13,'[1]נתונים מהעמותות'!$A$1:$AE$65536,26,FALSE)</f>
        <v>2</v>
      </c>
      <c r="Z13" s="100">
        <f t="shared" si="12"/>
        <v>2.0618556701030927E-2</v>
      </c>
      <c r="AA13" s="94">
        <f>VLOOKUP('[1]קריטריונים וניקוד'!A13,'[1]נתונים מהעמותות'!$A$1:$AE$65536,29,FALSE)</f>
        <v>3</v>
      </c>
      <c r="AB13" s="100">
        <f t="shared" si="13"/>
        <v>3.8461538461538464E-2</v>
      </c>
      <c r="AC13" s="101">
        <f t="shared" si="14"/>
        <v>1.4681347733278838E-2</v>
      </c>
      <c r="AD13" s="102">
        <f t="shared" si="15"/>
        <v>42473.573072863815</v>
      </c>
      <c r="AE13" s="103">
        <f t="shared" si="16"/>
        <v>400000</v>
      </c>
      <c r="AF13" s="87">
        <f>VLOOKUP(A13,'[1]סכומי בקשה'!$A$2:$G$52,7,FALSE)</f>
        <v>200000</v>
      </c>
      <c r="AG13" s="103">
        <f t="shared" si="17"/>
        <v>200000</v>
      </c>
      <c r="AH13" s="87">
        <f>VLOOKUP(A13,'[1]סכומי בקשה'!$A$2:$G$52,6,FALSE)</f>
        <v>400000</v>
      </c>
      <c r="AI13" s="104">
        <f t="shared" si="18"/>
        <v>340000</v>
      </c>
      <c r="AJ13" s="105">
        <f t="shared" si="19"/>
        <v>42473.573072863815</v>
      </c>
      <c r="AK13" s="106"/>
      <c r="AL13" s="107"/>
      <c r="AM13" s="20"/>
    </row>
    <row r="14" spans="1:39" x14ac:dyDescent="0.2">
      <c r="A14" s="8">
        <v>1001598154</v>
      </c>
      <c r="B14" s="9" t="s">
        <v>12</v>
      </c>
      <c r="C14" s="94">
        <f>VLOOKUP($A14,'[1]נתונים מהעמותות'!$A$1:$AA$65536,6,FALSE)</f>
        <v>1.5</v>
      </c>
      <c r="D14" s="94">
        <f>VLOOKUP($A14,'[1]נתונים מהעמותות'!$A$1:$AA$65536,7,FALSE)</f>
        <v>1</v>
      </c>
      <c r="E14" s="94">
        <f>VLOOKUP($A14,'[1]נתונים מהעמותות'!$A$1:$AA$65536,8,FALSE)</f>
        <v>12</v>
      </c>
      <c r="F14" s="95">
        <f t="shared" si="0"/>
        <v>14.5</v>
      </c>
      <c r="G14" s="96">
        <f t="shared" si="1"/>
        <v>6</v>
      </c>
      <c r="H14" s="96">
        <f t="shared" si="2"/>
        <v>2</v>
      </c>
      <c r="I14" s="96">
        <f t="shared" si="3"/>
        <v>12</v>
      </c>
      <c r="J14" s="94">
        <f>VLOOKUP($A14,'[1]נתונים מהעמותות'!$A$1:$AA$65536,11,FALSE)</f>
        <v>1</v>
      </c>
      <c r="K14" s="97">
        <f t="shared" si="4"/>
        <v>20</v>
      </c>
      <c r="L14" s="98">
        <f t="shared" si="5"/>
        <v>8.0381086447088961E-3</v>
      </c>
      <c r="M14" s="99">
        <f>VLOOKUP($A14,'[1]נתונים מהעמותות'!$A$1:$AA$65536,12,FALSE)</f>
        <v>10</v>
      </c>
      <c r="N14" s="99">
        <f t="shared" si="6"/>
        <v>0</v>
      </c>
      <c r="O14" s="99">
        <f>VLOOKUP(A14,'[1]נתונים מהעמותות'!$A$1:$AE$65536,31,FALSE)</f>
        <v>0</v>
      </c>
      <c r="P14" s="99">
        <f t="shared" si="7"/>
        <v>0</v>
      </c>
      <c r="Q14" s="100">
        <f t="shared" si="8"/>
        <v>0</v>
      </c>
      <c r="R14" s="99">
        <f>VLOOKUP($A14,'[1]נתונים מהעמותות'!$A$1:$AA$65536,13,FALSE)</f>
        <v>0</v>
      </c>
      <c r="S14" s="99">
        <f>VLOOKUP($A14,'[1]נתונים מהעמותות'!$A$1:$AA$65536,15,FALSE)</f>
        <v>0</v>
      </c>
      <c r="T14" s="99">
        <f>VLOOKUP($A14,'[1]נתונים מהעמותות'!$A$1:$AA$65536,18,FALSE)*3</f>
        <v>39624</v>
      </c>
      <c r="U14" s="99">
        <f t="shared" si="9"/>
        <v>39624</v>
      </c>
      <c r="V14" s="100">
        <f t="shared" si="10"/>
        <v>0.2500536406204642</v>
      </c>
      <c r="W14" s="62">
        <f>VLOOKUP(B14,'[1]ייחודיות ונחיצות'!$B$1:$D$65536,2,FALSE)</f>
        <v>2</v>
      </c>
      <c r="X14" s="100">
        <f t="shared" si="11"/>
        <v>2.3809523809523808E-2</v>
      </c>
      <c r="Y14" s="94">
        <f>VLOOKUP('[1]קריטריונים וניקוד'!A14,'[1]נתונים מהעמותות'!$A$1:$AE$65536,26,FALSE)</f>
        <v>1.5</v>
      </c>
      <c r="Z14" s="100">
        <f t="shared" si="12"/>
        <v>1.5463917525773196E-2</v>
      </c>
      <c r="AA14" s="94">
        <f>VLOOKUP('[1]קריטריונים וניקוד'!A14,'[1]נתונים מהעמותות'!$A$1:$AE$65536,29,FALSE)</f>
        <v>3</v>
      </c>
      <c r="AB14" s="100">
        <f t="shared" si="13"/>
        <v>3.8461538461538464E-2</v>
      </c>
      <c r="AC14" s="101">
        <f t="shared" si="14"/>
        <v>9.6930508913970023E-2</v>
      </c>
      <c r="AD14" s="102">
        <f t="shared" si="15"/>
        <v>280422.82821319171</v>
      </c>
      <c r="AE14" s="103">
        <f t="shared" si="16"/>
        <v>1450000</v>
      </c>
      <c r="AF14" s="87">
        <f>VLOOKUP(A14,'[1]סכומי בקשה'!$A$2:$G$52,7,FALSE)</f>
        <v>600000</v>
      </c>
      <c r="AG14" s="103">
        <f t="shared" si="17"/>
        <v>600000</v>
      </c>
      <c r="AH14" s="87">
        <f>VLOOKUP(A14,'[1]סכומי בקשה'!$A$2:$G$52,6,FALSE)</f>
        <v>750000</v>
      </c>
      <c r="AI14" s="104">
        <f t="shared" si="18"/>
        <v>637500</v>
      </c>
      <c r="AJ14" s="105">
        <f t="shared" si="19"/>
        <v>280422.82821319171</v>
      </c>
      <c r="AK14" s="106"/>
      <c r="AL14" s="107"/>
      <c r="AM14" s="20"/>
    </row>
    <row r="15" spans="1:39" x14ac:dyDescent="0.2">
      <c r="A15" s="8">
        <v>1001598157</v>
      </c>
      <c r="B15" s="9" t="s">
        <v>13</v>
      </c>
      <c r="C15" s="94">
        <f>VLOOKUP($A15,'[1]נתונים מהעמותות'!$A$1:$AA$65536,6,FALSE)</f>
        <v>1</v>
      </c>
      <c r="D15" s="94">
        <f>VLOOKUP($A15,'[1]נתונים מהעמותות'!$A$1:$AA$65536,7,FALSE)</f>
        <v>16</v>
      </c>
      <c r="E15" s="94">
        <f>VLOOKUP($A15,'[1]נתונים מהעמותות'!$A$1:$AA$65536,8,FALSE)</f>
        <v>16</v>
      </c>
      <c r="F15" s="95">
        <f t="shared" si="0"/>
        <v>33</v>
      </c>
      <c r="G15" s="96">
        <f t="shared" si="1"/>
        <v>4</v>
      </c>
      <c r="H15" s="96">
        <f t="shared" si="2"/>
        <v>32</v>
      </c>
      <c r="I15" s="96">
        <f t="shared" si="3"/>
        <v>16</v>
      </c>
      <c r="J15" s="94">
        <f>VLOOKUP($A15,'[1]נתונים מהעמותות'!$A$1:$AA$65536,11,FALSE)</f>
        <v>0.8571428571428571</v>
      </c>
      <c r="K15" s="97">
        <f t="shared" si="4"/>
        <v>52</v>
      </c>
      <c r="L15" s="98">
        <f t="shared" si="5"/>
        <v>2.0899082476243131E-2</v>
      </c>
      <c r="M15" s="99">
        <f>VLOOKUP($A15,'[1]נתונים מהעמותות'!$A$1:$AA$65536,12,FALSE)</f>
        <v>40</v>
      </c>
      <c r="N15" s="99">
        <f t="shared" si="6"/>
        <v>0</v>
      </c>
      <c r="O15" s="99">
        <f>VLOOKUP(A15,'[1]נתונים מהעמותות'!$A$1:$AE$65536,31,FALSE)</f>
        <v>1</v>
      </c>
      <c r="P15" s="99">
        <f t="shared" si="7"/>
        <v>1</v>
      </c>
      <c r="Q15" s="100">
        <f t="shared" si="8"/>
        <v>1.3698630136986301E-2</v>
      </c>
      <c r="R15" s="99">
        <f>VLOOKUP($A15,'[1]נתונים מהעמותות'!$A$1:$AA$65536,13,FALSE)</f>
        <v>5</v>
      </c>
      <c r="S15" s="99">
        <f>VLOOKUP($A15,'[1]נתונים מהעמותות'!$A$1:$AA$65536,15,FALSE)</f>
        <v>42</v>
      </c>
      <c r="T15" s="99">
        <f>VLOOKUP($A15,'[1]נתונים מהעמותות'!$A$1:$AA$65536,18,FALSE)*3</f>
        <v>0</v>
      </c>
      <c r="U15" s="99">
        <f t="shared" si="9"/>
        <v>47</v>
      </c>
      <c r="V15" s="100">
        <f t="shared" si="10"/>
        <v>2.9660107786093825E-4</v>
      </c>
      <c r="W15" s="62">
        <f>VLOOKUP(B15,'[1]ייחודיות ונחיצות'!$B$1:$D$65536,2,FALSE)</f>
        <v>2</v>
      </c>
      <c r="X15" s="100">
        <f t="shared" si="11"/>
        <v>2.3809523809523808E-2</v>
      </c>
      <c r="Y15" s="94">
        <f>VLOOKUP('[1]קריטריונים וניקוד'!A15,'[1]נתונים מהעמותות'!$A$1:$AE$65536,26,FALSE)</f>
        <v>1</v>
      </c>
      <c r="Z15" s="100">
        <f t="shared" si="12"/>
        <v>1.0309278350515464E-2</v>
      </c>
      <c r="AA15" s="94">
        <f>VLOOKUP('[1]קריטריונים וניקוד'!A15,'[1]נתונים מהעמותות'!$A$1:$AE$65536,29,FALSE)</f>
        <v>3</v>
      </c>
      <c r="AB15" s="100">
        <f t="shared" si="13"/>
        <v>3.8461538461538464E-2</v>
      </c>
      <c r="AC15" s="101">
        <f t="shared" si="14"/>
        <v>1.4485968278454898E-2</v>
      </c>
      <c r="AD15" s="102">
        <f t="shared" si="15"/>
        <v>41908.334533312685</v>
      </c>
      <c r="AE15" s="103">
        <f t="shared" si="16"/>
        <v>3300000</v>
      </c>
      <c r="AF15" s="87">
        <f>VLOOKUP(A15,'[1]סכומי בקשה'!$A$2:$G$52,7,FALSE)</f>
        <v>100000</v>
      </c>
      <c r="AG15" s="103">
        <f t="shared" si="17"/>
        <v>100000</v>
      </c>
      <c r="AH15" s="87">
        <f>VLOOKUP(A15,'[1]סכומי בקשה'!$A$2:$G$52,6,FALSE)</f>
        <v>400000</v>
      </c>
      <c r="AI15" s="104">
        <f t="shared" si="18"/>
        <v>340000</v>
      </c>
      <c r="AJ15" s="105">
        <f t="shared" si="19"/>
        <v>41908.334533312685</v>
      </c>
      <c r="AK15" s="106"/>
      <c r="AL15" s="107"/>
      <c r="AM15" s="20"/>
    </row>
    <row r="16" spans="1:39" x14ac:dyDescent="0.2">
      <c r="A16" s="8">
        <v>1001618503</v>
      </c>
      <c r="B16" s="9" t="s">
        <v>14</v>
      </c>
      <c r="C16" s="94">
        <f>VLOOKUP($A16,'[1]נתונים מהעמותות'!$A$1:$AA$65536,6,FALSE)</f>
        <v>2.1</v>
      </c>
      <c r="D16" s="94">
        <f>VLOOKUP($A16,'[1]נתונים מהעמותות'!$A$1:$AA$65536,7,FALSE)</f>
        <v>1.5</v>
      </c>
      <c r="E16" s="94">
        <f>VLOOKUP($A16,'[1]נתונים מהעמותות'!$A$1:$AA$65536,8,FALSE)</f>
        <v>0</v>
      </c>
      <c r="F16" s="95">
        <f t="shared" si="0"/>
        <v>3.6</v>
      </c>
      <c r="G16" s="96">
        <f t="shared" si="1"/>
        <v>8.4</v>
      </c>
      <c r="H16" s="96">
        <f t="shared" si="2"/>
        <v>3</v>
      </c>
      <c r="I16" s="96">
        <f t="shared" si="3"/>
        <v>0</v>
      </c>
      <c r="J16" s="94">
        <f>VLOOKUP($A16,'[1]נתונים מהעמותות'!$A$1:$AA$65536,11,FALSE)</f>
        <v>1</v>
      </c>
      <c r="K16" s="97">
        <f t="shared" ref="K16:K54" si="20">SUM(G16:I16)*J16</f>
        <v>11.4</v>
      </c>
      <c r="L16" s="98">
        <f t="shared" si="5"/>
        <v>4.5817219274840709E-3</v>
      </c>
      <c r="M16" s="99">
        <f>VLOOKUP($A16,'[1]נתונים מהעמותות'!$A$1:$AA$65536,12,FALSE)</f>
        <v>67</v>
      </c>
      <c r="N16" s="99">
        <f t="shared" si="6"/>
        <v>1</v>
      </c>
      <c r="O16" s="99">
        <f>VLOOKUP(A16,'[1]נתונים מהעמותות'!$A$1:$AE$65536,31,FALSE)</f>
        <v>1</v>
      </c>
      <c r="P16" s="99">
        <f t="shared" si="7"/>
        <v>2</v>
      </c>
      <c r="Q16" s="100">
        <f t="shared" si="8"/>
        <v>2.7397260273972601E-2</v>
      </c>
      <c r="R16" s="99">
        <f>VLOOKUP($A16,'[1]נתונים מהעמותות'!$A$1:$AA$65536,13,FALSE)</f>
        <v>35</v>
      </c>
      <c r="S16" s="99">
        <f>VLOOKUP($A16,'[1]נתונים מהעמותות'!$A$1:$AA$65536,15,FALSE)</f>
        <v>120</v>
      </c>
      <c r="T16" s="99">
        <f>VLOOKUP($A16,'[1]נתונים מהעמותות'!$A$1:$AA$65536,18,FALSE)*3</f>
        <v>0</v>
      </c>
      <c r="U16" s="99">
        <f t="shared" si="9"/>
        <v>155</v>
      </c>
      <c r="V16" s="100">
        <f t="shared" si="10"/>
        <v>9.7815249081798796E-4</v>
      </c>
      <c r="W16" s="62">
        <f>VLOOKUP(B16,'[1]ייחודיות ונחיצות'!$B$1:$D$65536,2,FALSE)</f>
        <v>2</v>
      </c>
      <c r="X16" s="100">
        <f t="shared" si="11"/>
        <v>2.3809523809523808E-2</v>
      </c>
      <c r="Y16" s="94">
        <f>VLOOKUP('[1]קריטריונים וניקוד'!A16,'[1]נתונים מהעמותות'!$A$1:$AE$65536,26,FALSE)</f>
        <v>1</v>
      </c>
      <c r="Z16" s="100">
        <f t="shared" si="12"/>
        <v>1.0309278350515464E-2</v>
      </c>
      <c r="AA16" s="94">
        <f>VLOOKUP('[1]קריטריונים וניקוד'!A16,'[1]נתונים מהעמותות'!$A$1:$AE$65536,29,FALSE)</f>
        <v>3</v>
      </c>
      <c r="AB16" s="100">
        <f t="shared" si="13"/>
        <v>3.8461538461538464E-2</v>
      </c>
      <c r="AC16" s="101">
        <f t="shared" si="14"/>
        <v>1.1199166122060778E-2</v>
      </c>
      <c r="AD16" s="102">
        <f t="shared" si="15"/>
        <v>32399.518714638918</v>
      </c>
      <c r="AE16" s="103">
        <f t="shared" si="16"/>
        <v>360000</v>
      </c>
      <c r="AF16" s="87">
        <f>VLOOKUP(A16,'[1]סכומי בקשה'!$A$2:$G$52,7,FALSE)</f>
        <v>100000</v>
      </c>
      <c r="AG16" s="103">
        <f t="shared" si="17"/>
        <v>100000</v>
      </c>
      <c r="AH16" s="87">
        <f>VLOOKUP(A16,'[1]סכומי בקשה'!$A$2:$G$52,6,FALSE)</f>
        <v>150000</v>
      </c>
      <c r="AI16" s="104">
        <f t="shared" si="18"/>
        <v>127500</v>
      </c>
      <c r="AJ16" s="105">
        <f t="shared" si="19"/>
        <v>32399.518714638918</v>
      </c>
      <c r="AK16" s="106"/>
      <c r="AL16" s="107"/>
      <c r="AM16" s="20"/>
    </row>
    <row r="17" spans="1:39" x14ac:dyDescent="0.2">
      <c r="A17" s="8">
        <v>1001618504</v>
      </c>
      <c r="B17" s="9" t="s">
        <v>15</v>
      </c>
      <c r="C17" s="94">
        <f>VLOOKUP($A17,'[1]נתונים מהעמותות'!$A$1:$AA$65536,6,FALSE)</f>
        <v>1</v>
      </c>
      <c r="D17" s="94">
        <f>VLOOKUP($A17,'[1]נתונים מהעמותות'!$A$1:$AA$65536,7,FALSE)</f>
        <v>25</v>
      </c>
      <c r="E17" s="94">
        <f>VLOOKUP($A17,'[1]נתונים מהעמותות'!$A$1:$AA$65536,8,FALSE)</f>
        <v>28</v>
      </c>
      <c r="F17" s="95">
        <f t="shared" si="0"/>
        <v>54</v>
      </c>
      <c r="G17" s="96">
        <f t="shared" si="1"/>
        <v>4</v>
      </c>
      <c r="H17" s="96">
        <f t="shared" si="2"/>
        <v>50</v>
      </c>
      <c r="I17" s="96">
        <f t="shared" si="3"/>
        <v>28</v>
      </c>
      <c r="J17" s="94">
        <f>VLOOKUP($A17,'[1]נתונים מהעמותות'!$A$1:$AA$65536,11,FALSE)</f>
        <v>0.91290997906489879</v>
      </c>
      <c r="K17" s="97">
        <f t="shared" si="20"/>
        <v>74.858618283321704</v>
      </c>
      <c r="L17" s="98">
        <f t="shared" si="5"/>
        <v>3.0086085337706583E-2</v>
      </c>
      <c r="M17" s="99">
        <f>VLOOKUP($A17,'[1]נתונים מהעמותות'!$A$1:$AA$65536,12,FALSE)</f>
        <v>819</v>
      </c>
      <c r="N17" s="99">
        <f t="shared" si="6"/>
        <v>3</v>
      </c>
      <c r="O17" s="108">
        <v>0</v>
      </c>
      <c r="P17" s="99">
        <f t="shared" si="7"/>
        <v>3</v>
      </c>
      <c r="Q17" s="100">
        <f t="shared" si="8"/>
        <v>4.1095890410958902E-2</v>
      </c>
      <c r="R17" s="99">
        <f>VLOOKUP($A17,'[1]נתונים מהעמותות'!$A$1:$AA$65536,13,FALSE)</f>
        <v>0</v>
      </c>
      <c r="S17" s="99">
        <f>VLOOKUP($A17,'[1]נתונים מהעמותות'!$A$1:$AA$65536,15,FALSE)</f>
        <v>216</v>
      </c>
      <c r="T17" s="99">
        <f>VLOOKUP($A17,'[1]נתונים מהעמותות'!$A$1:$AA$65536,18,FALSE)*3</f>
        <v>0</v>
      </c>
      <c r="U17" s="99">
        <f t="shared" si="9"/>
        <v>216</v>
      </c>
      <c r="V17" s="100">
        <f t="shared" si="10"/>
        <v>1.3631028259140992E-3</v>
      </c>
      <c r="W17" s="62">
        <f>VLOOKUP(B17,'[1]ייחודיות ונחיצות'!$B$1:$D$65536,2,FALSE)</f>
        <v>3</v>
      </c>
      <c r="X17" s="100">
        <f t="shared" si="11"/>
        <v>3.5714285714285712E-2</v>
      </c>
      <c r="Y17" s="94">
        <f>VLOOKUP('[1]קריטריונים וניקוד'!A17,'[1]נתונים מהעמותות'!$A$1:$AE$65536,26,FALSE)</f>
        <v>3</v>
      </c>
      <c r="Z17" s="100">
        <f t="shared" si="12"/>
        <v>3.0927835051546393E-2</v>
      </c>
      <c r="AA17" s="94">
        <f>VLOOKUP('[1]קריטריונים וניקוד'!A17,'[1]נתונים מהעמותות'!$A$1:$AE$65536,29,FALSE)</f>
        <v>0</v>
      </c>
      <c r="AB17" s="100">
        <f t="shared" si="13"/>
        <v>0</v>
      </c>
      <c r="AC17" s="101">
        <f t="shared" si="14"/>
        <v>1.873032095548369E-2</v>
      </c>
      <c r="AD17" s="102">
        <f t="shared" si="15"/>
        <v>54187.372319888331</v>
      </c>
      <c r="AE17" s="103">
        <f t="shared" si="16"/>
        <v>5400000</v>
      </c>
      <c r="AF17" s="87">
        <f>VLOOKUP(A17,'[1]סכומי בקשה'!$A$2:$G$52,7,FALSE)</f>
        <v>140000</v>
      </c>
      <c r="AG17" s="103">
        <f t="shared" si="17"/>
        <v>140000</v>
      </c>
      <c r="AH17" s="87">
        <f>VLOOKUP(A17,'[1]סכומי בקשה'!$A$2:$G$52,6,FALSE)</f>
        <v>176000</v>
      </c>
      <c r="AI17" s="104">
        <f t="shared" si="18"/>
        <v>149600</v>
      </c>
      <c r="AJ17" s="105">
        <f t="shared" si="19"/>
        <v>54187.372319888331</v>
      </c>
      <c r="AK17" s="106"/>
      <c r="AL17" s="107"/>
      <c r="AM17" s="20"/>
    </row>
    <row r="18" spans="1:39" x14ac:dyDescent="0.2">
      <c r="A18" s="8">
        <v>1001618505</v>
      </c>
      <c r="B18" s="9" t="s">
        <v>16</v>
      </c>
      <c r="C18" s="94">
        <f>VLOOKUP($A18,'[1]נתונים מהעמותות'!$A$1:$AA$65536,6,FALSE)</f>
        <v>4</v>
      </c>
      <c r="D18" s="94">
        <f>VLOOKUP($A18,'[1]נתונים מהעמותות'!$A$1:$AA$65536,7,FALSE)</f>
        <v>64</v>
      </c>
      <c r="E18" s="94">
        <f>VLOOKUP($A18,'[1]נתונים מהעמותות'!$A$1:$AA$65536,8,FALSE)</f>
        <v>92</v>
      </c>
      <c r="F18" s="95">
        <f t="shared" si="0"/>
        <v>160</v>
      </c>
      <c r="G18" s="96">
        <f t="shared" si="1"/>
        <v>16</v>
      </c>
      <c r="H18" s="96">
        <f t="shared" si="2"/>
        <v>128</v>
      </c>
      <c r="I18" s="96">
        <f t="shared" si="3"/>
        <v>92</v>
      </c>
      <c r="J18" s="94">
        <f>VLOOKUP($A18,'[1]נתונים מהעמותות'!$A$1:$AA$65536,11,FALSE)</f>
        <v>1</v>
      </c>
      <c r="K18" s="97">
        <f t="shared" si="20"/>
        <v>236</v>
      </c>
      <c r="L18" s="98">
        <f t="shared" si="5"/>
        <v>9.4849682007564981E-2</v>
      </c>
      <c r="M18" s="99">
        <f>VLOOKUP($A18,'[1]נתונים מהעמותות'!$A$1:$AA$65536,12,FALSE)</f>
        <v>510</v>
      </c>
      <c r="N18" s="99">
        <f t="shared" si="6"/>
        <v>3</v>
      </c>
      <c r="O18" s="99">
        <f>VLOOKUP(A18,'[1]נתונים מהעמותות'!$A$1:$AE$65536,31,FALSE)</f>
        <v>1</v>
      </c>
      <c r="P18" s="99">
        <f t="shared" si="7"/>
        <v>4</v>
      </c>
      <c r="Q18" s="100">
        <f t="shared" si="8"/>
        <v>5.4794520547945202E-2</v>
      </c>
      <c r="R18" s="99">
        <f>VLOOKUP($A18,'[1]נתונים מהעמותות'!$A$1:$AA$65536,13,FALSE)</f>
        <v>4772</v>
      </c>
      <c r="S18" s="99">
        <f>VLOOKUP($A18,'[1]נתונים מהעמותות'!$A$1:$AA$65536,15,FALSE)</f>
        <v>90</v>
      </c>
      <c r="T18" s="99">
        <f>VLOOKUP($A18,'[1]נתונים מהעמותות'!$A$1:$AA$65536,18,FALSE)*3</f>
        <v>0</v>
      </c>
      <c r="U18" s="99">
        <f t="shared" si="9"/>
        <v>4862</v>
      </c>
      <c r="V18" s="100">
        <f t="shared" si="10"/>
        <v>3.0682434905529403E-2</v>
      </c>
      <c r="W18" s="62">
        <f>VLOOKUP(B18,'[1]ייחודיות ונחיצות'!$B$1:$D$65536,2,FALSE)</f>
        <v>3</v>
      </c>
      <c r="X18" s="100">
        <f t="shared" si="11"/>
        <v>3.5714285714285712E-2</v>
      </c>
      <c r="Y18" s="94">
        <f>VLOOKUP('[1]קריטריונים וניקוד'!A18,'[1]נתונים מהעמותות'!$A$1:$AE$65536,26,FALSE)</f>
        <v>3</v>
      </c>
      <c r="Z18" s="100">
        <f t="shared" si="12"/>
        <v>3.0927835051546393E-2</v>
      </c>
      <c r="AA18" s="94">
        <f>VLOOKUP('[1]קריטריונים וניקוד'!A18,'[1]נתונים מהעמותות'!$A$1:$AE$65536,29,FALSE)</f>
        <v>3</v>
      </c>
      <c r="AB18" s="100">
        <f t="shared" si="13"/>
        <v>3.8461538461538464E-2</v>
      </c>
      <c r="AC18" s="101">
        <f t="shared" si="14"/>
        <v>5.3637183044159042E-2</v>
      </c>
      <c r="AD18" s="102">
        <f t="shared" si="15"/>
        <v>155173.95642667412</v>
      </c>
      <c r="AE18" s="103">
        <f t="shared" si="16"/>
        <v>16000000</v>
      </c>
      <c r="AF18" s="87">
        <f>VLOOKUP(A18,'[1]סכומי בקשה'!$A$2:$G$52,7,FALSE)</f>
        <v>240000</v>
      </c>
      <c r="AG18" s="103">
        <f t="shared" si="17"/>
        <v>240000</v>
      </c>
      <c r="AH18" s="87">
        <f>VLOOKUP(A18,'[1]סכומי בקשה'!$A$2:$G$52,6,FALSE)</f>
        <v>378443</v>
      </c>
      <c r="AI18" s="104">
        <f t="shared" si="18"/>
        <v>321676.55</v>
      </c>
      <c r="AJ18" s="105">
        <f t="shared" si="19"/>
        <v>155173.95642667412</v>
      </c>
      <c r="AK18" s="106"/>
      <c r="AL18" s="107"/>
      <c r="AM18" s="20"/>
    </row>
    <row r="19" spans="1:39" x14ac:dyDescent="0.2">
      <c r="A19" s="8">
        <v>1001625711</v>
      </c>
      <c r="B19" s="9" t="s">
        <v>17</v>
      </c>
      <c r="C19" s="94">
        <f>VLOOKUP($A19,'[1]נתונים מהעמותות'!$A$1:$AA$65536,6,FALSE)</f>
        <v>3.54</v>
      </c>
      <c r="D19" s="94">
        <f>VLOOKUP($A19,'[1]נתונים מהעמותות'!$A$1:$AA$65536,7,FALSE)</f>
        <v>54.5</v>
      </c>
      <c r="E19" s="94">
        <f>VLOOKUP($A19,'[1]נתונים מהעמותות'!$A$1:$AA$65536,8,FALSE)</f>
        <v>23</v>
      </c>
      <c r="F19" s="95">
        <f t="shared" si="0"/>
        <v>81.039999999999992</v>
      </c>
      <c r="G19" s="96">
        <f t="shared" si="1"/>
        <v>14.16</v>
      </c>
      <c r="H19" s="96">
        <f t="shared" si="2"/>
        <v>109</v>
      </c>
      <c r="I19" s="96">
        <f t="shared" si="3"/>
        <v>23</v>
      </c>
      <c r="J19" s="94">
        <f>VLOOKUP($A19,'[1]נתונים מהעמותות'!$A$1:$AA$65536,11,FALSE)</f>
        <v>0.875</v>
      </c>
      <c r="K19" s="97">
        <f t="shared" si="20"/>
        <v>127.89</v>
      </c>
      <c r="L19" s="98">
        <f t="shared" si="5"/>
        <v>5.1399685728591042E-2</v>
      </c>
      <c r="M19" s="99">
        <f>VLOOKUP($A19,'[1]נתונים מהעמותות'!$A$1:$AA$65536,12,FALSE)</f>
        <v>3</v>
      </c>
      <c r="N19" s="99">
        <f t="shared" si="6"/>
        <v>0</v>
      </c>
      <c r="O19" s="99">
        <f>VLOOKUP(A19,'[1]נתונים מהעמותות'!$A$1:$AE$65536,31,FALSE)</f>
        <v>0</v>
      </c>
      <c r="P19" s="99">
        <f t="shared" si="7"/>
        <v>0</v>
      </c>
      <c r="Q19" s="100">
        <f t="shared" si="8"/>
        <v>0</v>
      </c>
      <c r="R19" s="99">
        <f>VLOOKUP($A19,'[1]נתונים מהעמותות'!$A$1:$AA$65536,13,FALSE)</f>
        <v>50</v>
      </c>
      <c r="S19" s="99">
        <f>VLOOKUP($A19,'[1]נתונים מהעמותות'!$A$1:$AA$65536,15,FALSE)</f>
        <v>600</v>
      </c>
      <c r="T19" s="99">
        <f>VLOOKUP($A19,'[1]נתונים מהעמותות'!$A$1:$AA$65536,18,FALSE)*3</f>
        <v>0</v>
      </c>
      <c r="U19" s="99">
        <f t="shared" si="9"/>
        <v>650</v>
      </c>
      <c r="V19" s="100">
        <f t="shared" si="10"/>
        <v>4.101929800204465E-3</v>
      </c>
      <c r="W19" s="62">
        <f>VLOOKUP(B19,'[1]ייחודיות ונחיצות'!$B$1:$D$65536,2,FALSE)</f>
        <v>1</v>
      </c>
      <c r="X19" s="100">
        <f t="shared" si="11"/>
        <v>1.1904761904761904E-2</v>
      </c>
      <c r="Y19" s="94">
        <f>VLOOKUP('[1]קריטריונים וניקוד'!A19,'[1]נתונים מהעמותות'!$A$1:$AE$65536,26,FALSE)</f>
        <v>3</v>
      </c>
      <c r="Z19" s="100">
        <f t="shared" si="12"/>
        <v>3.0927835051546393E-2</v>
      </c>
      <c r="AA19" s="94">
        <f>VLOOKUP('[1]קריטריונים וניקוד'!A19,'[1]נתונים מהעמותות'!$A$1:$AE$65536,29,FALSE)</f>
        <v>3</v>
      </c>
      <c r="AB19" s="100">
        <f t="shared" si="13"/>
        <v>3.8461538461538464E-2</v>
      </c>
      <c r="AC19" s="101">
        <f t="shared" si="14"/>
        <v>2.3438602937856233E-2</v>
      </c>
      <c r="AD19" s="102">
        <f t="shared" si="15"/>
        <v>67808.571303728939</v>
      </c>
      <c r="AE19" s="103">
        <f t="shared" si="16"/>
        <v>8103999.9999999991</v>
      </c>
      <c r="AF19" s="87">
        <f>VLOOKUP(A19,'[1]סכומי בקשה'!$A$2:$G$52,7,FALSE)</f>
        <v>550000</v>
      </c>
      <c r="AG19" s="103">
        <f t="shared" si="17"/>
        <v>550000</v>
      </c>
      <c r="AH19" s="87">
        <f>VLOOKUP(A19,'[1]סכומי בקשה'!$A$2:$G$52,6,FALSE)</f>
        <v>550000</v>
      </c>
      <c r="AI19" s="104">
        <f t="shared" si="18"/>
        <v>467500</v>
      </c>
      <c r="AJ19" s="105">
        <f t="shared" si="19"/>
        <v>67808.571303728939</v>
      </c>
      <c r="AK19" s="106"/>
      <c r="AL19" s="107"/>
      <c r="AM19" s="20"/>
    </row>
    <row r="20" spans="1:39" x14ac:dyDescent="0.2">
      <c r="A20" s="8">
        <v>1001625713</v>
      </c>
      <c r="B20" s="9" t="s">
        <v>18</v>
      </c>
      <c r="C20" s="94">
        <f>VLOOKUP($A20,'[1]נתונים מהעמותות'!$A$1:$AA$65536,6,FALSE)</f>
        <v>4</v>
      </c>
      <c r="D20" s="94">
        <f>VLOOKUP($A20,'[1]נתונים מהעמותות'!$A$1:$AA$65536,7,FALSE)</f>
        <v>11</v>
      </c>
      <c r="E20" s="94">
        <f>VLOOKUP($A20,'[1]נתונים מהעמותות'!$A$1:$AA$65536,8,FALSE)</f>
        <v>28</v>
      </c>
      <c r="F20" s="95">
        <f t="shared" si="0"/>
        <v>43</v>
      </c>
      <c r="G20" s="96">
        <f t="shared" si="1"/>
        <v>16</v>
      </c>
      <c r="H20" s="96">
        <v>15</v>
      </c>
      <c r="I20" s="96">
        <v>130</v>
      </c>
      <c r="J20" s="94">
        <f>VLOOKUP($A20,'[1]נתונים מהעמותות'!$A$1:$AA$65536,11,FALSE)</f>
        <v>1</v>
      </c>
      <c r="K20" s="97">
        <f t="shared" si="20"/>
        <v>161</v>
      </c>
      <c r="L20" s="98">
        <f t="shared" si="5"/>
        <v>6.4706774589906618E-2</v>
      </c>
      <c r="M20" s="99">
        <f>VLOOKUP($A20,'[1]נתונים מהעמותות'!$A$1:$AA$65536,12,FALSE)</f>
        <v>0</v>
      </c>
      <c r="N20" s="99">
        <f t="shared" si="6"/>
        <v>0</v>
      </c>
      <c r="O20" s="99">
        <f>VLOOKUP(A20,'[1]נתונים מהעמותות'!$A$1:$AE$65536,31,FALSE)</f>
        <v>0</v>
      </c>
      <c r="P20" s="99">
        <f t="shared" si="7"/>
        <v>0</v>
      </c>
      <c r="Q20" s="100">
        <f t="shared" si="8"/>
        <v>0</v>
      </c>
      <c r="R20" s="99">
        <f>VLOOKUP($A20,'[1]נתונים מהעמותות'!$A$1:$AA$65536,13,FALSE)</f>
        <v>520</v>
      </c>
      <c r="S20" s="99">
        <f>VLOOKUP($A20,'[1]נתונים מהעמותות'!$A$1:$AA$65536,15,FALSE)</f>
        <v>135</v>
      </c>
      <c r="T20" s="99">
        <f>VLOOKUP($A20,'[1]נתונים מהעמותות'!$A$1:$AA$65536,18,FALSE)*3</f>
        <v>1269</v>
      </c>
      <c r="U20" s="99">
        <f t="shared" si="9"/>
        <v>1924</v>
      </c>
      <c r="V20" s="100">
        <f t="shared" si="10"/>
        <v>1.2141712208605217E-2</v>
      </c>
      <c r="W20" s="62">
        <f>VLOOKUP(B20,'[1]ייחודיות ונחיצות'!$B$1:$D$65536,2,FALSE)</f>
        <v>1</v>
      </c>
      <c r="X20" s="100">
        <f t="shared" si="11"/>
        <v>1.1904761904761904E-2</v>
      </c>
      <c r="Y20" s="94">
        <f>VLOOKUP('[1]קריטריונים וניקוד'!A20,'[1]נתונים מהעמותות'!$A$1:$AE$65536,26,FALSE)</f>
        <v>3</v>
      </c>
      <c r="Z20" s="100">
        <f t="shared" si="12"/>
        <v>3.0927835051546393E-2</v>
      </c>
      <c r="AA20" s="94">
        <f>VLOOKUP('[1]קריטריונים וניקוד'!A20,'[1]נתונים מהעמותות'!$A$1:$AE$65536,29,FALSE)</f>
        <v>0</v>
      </c>
      <c r="AB20" s="100">
        <f t="shared" si="13"/>
        <v>0</v>
      </c>
      <c r="AC20" s="101">
        <f t="shared" si="14"/>
        <v>2.639849959303732E-2</v>
      </c>
      <c r="AD20" s="102">
        <f t="shared" si="15"/>
        <v>76371.639841843469</v>
      </c>
      <c r="AE20" s="103">
        <f t="shared" si="16"/>
        <v>4300000</v>
      </c>
      <c r="AF20" s="87">
        <f>VLOOKUP(A20,'[1]סכומי בקשה'!$A$2:$G$52,7,FALSE)</f>
        <v>170000</v>
      </c>
      <c r="AG20" s="103">
        <f t="shared" si="17"/>
        <v>170000</v>
      </c>
      <c r="AH20" s="87">
        <f>VLOOKUP(A20,'[1]סכומי בקשה'!$A$2:$G$52,6,FALSE)</f>
        <v>200000</v>
      </c>
      <c r="AI20" s="104">
        <f t="shared" si="18"/>
        <v>170000</v>
      </c>
      <c r="AJ20" s="105">
        <f t="shared" si="19"/>
        <v>76371.639841843469</v>
      </c>
      <c r="AK20" s="106"/>
      <c r="AL20" s="107"/>
      <c r="AM20" s="20"/>
    </row>
    <row r="21" spans="1:39" x14ac:dyDescent="0.2">
      <c r="A21" s="8">
        <v>1001625894</v>
      </c>
      <c r="B21" s="9" t="s">
        <v>19</v>
      </c>
      <c r="C21" s="94">
        <f>VLOOKUP($A21,'[1]נתונים מהעמותות'!$A$1:$AA$65536,6,FALSE)</f>
        <v>0.75</v>
      </c>
      <c r="D21" s="94">
        <f>VLOOKUP($A21,'[1]נתונים מהעמותות'!$A$1:$AA$65536,7,FALSE)</f>
        <v>0</v>
      </c>
      <c r="E21" s="94">
        <f>VLOOKUP($A21,'[1]נתונים מהעמותות'!$A$1:$AA$65536,8,FALSE)</f>
        <v>11</v>
      </c>
      <c r="F21" s="95">
        <f t="shared" si="0"/>
        <v>11.75</v>
      </c>
      <c r="G21" s="96">
        <f t="shared" si="1"/>
        <v>3</v>
      </c>
      <c r="H21" s="96">
        <f t="shared" ref="H21:H54" si="21">D21*2</f>
        <v>0</v>
      </c>
      <c r="I21" s="96">
        <f t="shared" ref="I21:I54" si="22">E21</f>
        <v>11</v>
      </c>
      <c r="J21" s="94">
        <f>VLOOKUP($A21,'[1]נתונים מהעמותות'!$A$1:$AA$65536,11,FALSE)</f>
        <v>0.77777777777777779</v>
      </c>
      <c r="K21" s="97">
        <f t="shared" si="20"/>
        <v>10.888888888888889</v>
      </c>
      <c r="L21" s="98">
        <f t="shared" si="5"/>
        <v>4.3763035954526219E-3</v>
      </c>
      <c r="M21" s="99">
        <f>VLOOKUP($A21,'[1]נתונים מהעמותות'!$A$1:$AA$65536,12,FALSE)</f>
        <v>60</v>
      </c>
      <c r="N21" s="99">
        <f t="shared" si="6"/>
        <v>1</v>
      </c>
      <c r="O21" s="99">
        <f>VLOOKUP(A21,'[1]נתונים מהעמותות'!$A$1:$AE$65536,31,FALSE)</f>
        <v>1</v>
      </c>
      <c r="P21" s="99">
        <f t="shared" si="7"/>
        <v>2</v>
      </c>
      <c r="Q21" s="100">
        <f t="shared" si="8"/>
        <v>2.7397260273972601E-2</v>
      </c>
      <c r="R21" s="99">
        <f>VLOOKUP($A21,'[1]נתונים מהעמותות'!$A$1:$AA$65536,13,FALSE)</f>
        <v>250</v>
      </c>
      <c r="S21" s="99">
        <f>VLOOKUP($A21,'[1]נתונים מהעמותות'!$A$1:$AA$65536,15,FALSE)</f>
        <v>630</v>
      </c>
      <c r="T21" s="99">
        <f>VLOOKUP($A21,'[1]נתונים מהעמותות'!$A$1:$AA$65536,18,FALSE)*3</f>
        <v>0</v>
      </c>
      <c r="U21" s="99">
        <f t="shared" si="9"/>
        <v>880</v>
      </c>
      <c r="V21" s="100">
        <f t="shared" si="10"/>
        <v>5.5533818833537378E-3</v>
      </c>
      <c r="W21" s="62">
        <f>VLOOKUP(B21,'[1]ייחודיות ונחיצות'!$B$1:$D$65536,2,FALSE)</f>
        <v>3</v>
      </c>
      <c r="X21" s="100">
        <f t="shared" si="11"/>
        <v>3.5714285714285712E-2</v>
      </c>
      <c r="Y21" s="94">
        <f>VLOOKUP('[1]קריטריונים וניקוד'!A21,'[1]נתונים מהעמותות'!$A$1:$AE$65536,26,FALSE)</f>
        <v>3</v>
      </c>
      <c r="Z21" s="100">
        <f t="shared" si="12"/>
        <v>3.0927835051546393E-2</v>
      </c>
      <c r="AA21" s="94">
        <f>VLOOKUP('[1]קריטריונים וניקוד'!A21,'[1]נתונים מהעמותות'!$A$1:$AE$65536,29,FALSE)</f>
        <v>0</v>
      </c>
      <c r="AB21" s="100">
        <f t="shared" si="13"/>
        <v>0</v>
      </c>
      <c r="AC21" s="101">
        <f t="shared" si="14"/>
        <v>1.1114121089212746E-2</v>
      </c>
      <c r="AD21" s="102">
        <f t="shared" si="15"/>
        <v>32153.480920099992</v>
      </c>
      <c r="AE21" s="103">
        <f t="shared" si="16"/>
        <v>1175000</v>
      </c>
      <c r="AF21" s="87">
        <f>VLOOKUP(A21,'[1]סכומי בקשה'!$A$2:$G$52,7,FALSE)</f>
        <v>300000</v>
      </c>
      <c r="AG21" s="103">
        <f t="shared" si="17"/>
        <v>300000</v>
      </c>
      <c r="AH21" s="87">
        <f>VLOOKUP(A21,'[1]סכומי בקשה'!$A$2:$G$52,6,FALSE)</f>
        <v>3000000</v>
      </c>
      <c r="AI21" s="104">
        <f t="shared" si="18"/>
        <v>2550000</v>
      </c>
      <c r="AJ21" s="105">
        <f t="shared" si="19"/>
        <v>32153.480920099992</v>
      </c>
      <c r="AK21" s="106"/>
      <c r="AL21" s="107"/>
      <c r="AM21" s="20"/>
    </row>
    <row r="22" spans="1:39" x14ac:dyDescent="0.2">
      <c r="A22" s="8">
        <v>1001627525</v>
      </c>
      <c r="B22" s="9" t="s">
        <v>20</v>
      </c>
      <c r="C22" s="94">
        <f>VLOOKUP($A22,'[1]נתונים מהעמותות'!$A$1:$AA$65536,6,FALSE)</f>
        <v>8.4599999999999991</v>
      </c>
      <c r="D22" s="94">
        <f>VLOOKUP($A22,'[1]נתונים מהעמותות'!$A$1:$AA$65536,7,FALSE)</f>
        <v>11</v>
      </c>
      <c r="E22" s="94">
        <f>VLOOKUP($A22,'[1]נתונים מהעמותות'!$A$1:$AA$65536,8,FALSE)</f>
        <v>9.6</v>
      </c>
      <c r="F22" s="95">
        <f t="shared" si="0"/>
        <v>29.060000000000002</v>
      </c>
      <c r="G22" s="96">
        <f t="shared" si="1"/>
        <v>33.839999999999996</v>
      </c>
      <c r="H22" s="96">
        <f t="shared" si="21"/>
        <v>22</v>
      </c>
      <c r="I22" s="96">
        <f t="shared" si="22"/>
        <v>9.6</v>
      </c>
      <c r="J22" s="94">
        <f>VLOOKUP($A22,'[1]נתונים מהעמותות'!$A$1:$AA$65536,11,FALSE)</f>
        <v>1</v>
      </c>
      <c r="K22" s="97">
        <f t="shared" si="20"/>
        <v>65.44</v>
      </c>
      <c r="L22" s="98">
        <f t="shared" si="5"/>
        <v>2.6300691485487509E-2</v>
      </c>
      <c r="M22" s="99">
        <f>VLOOKUP($A22,'[1]נתונים מהעמותות'!$A$1:$AA$65536,12,FALSE)</f>
        <v>50</v>
      </c>
      <c r="N22" s="99">
        <f t="shared" si="6"/>
        <v>1</v>
      </c>
      <c r="O22" s="99">
        <f>VLOOKUP(A22,'[1]נתונים מהעמותות'!$A$1:$AE$65536,31,FALSE)</f>
        <v>0</v>
      </c>
      <c r="P22" s="99">
        <f t="shared" si="7"/>
        <v>1</v>
      </c>
      <c r="Q22" s="100">
        <f t="shared" si="8"/>
        <v>1.3698630136986301E-2</v>
      </c>
      <c r="R22" s="99">
        <f>VLOOKUP($A22,'[1]נתונים מהעמותות'!$A$1:$AA$65536,13,FALSE)</f>
        <v>158</v>
      </c>
      <c r="S22" s="99">
        <f>VLOOKUP($A22,'[1]נתונים מהעמותות'!$A$1:$AA$65536,15,FALSE)</f>
        <v>186</v>
      </c>
      <c r="T22" s="99">
        <f>VLOOKUP($A22,'[1]נתונים מהעמותות'!$A$1:$AA$65536,18,FALSE)*3</f>
        <v>0</v>
      </c>
      <c r="U22" s="99">
        <f t="shared" si="9"/>
        <v>344</v>
      </c>
      <c r="V22" s="100">
        <f t="shared" si="10"/>
        <v>2.1708674634928248E-3</v>
      </c>
      <c r="W22" s="62">
        <f>VLOOKUP(B22,'[1]ייחודיות ונחיצות'!$B$1:$D$65536,2,FALSE)</f>
        <v>3</v>
      </c>
      <c r="X22" s="100">
        <f t="shared" si="11"/>
        <v>3.5714285714285712E-2</v>
      </c>
      <c r="Y22" s="94">
        <f>VLOOKUP('[1]קריטריונים וניקוד'!A22,'[1]נתונים מהעמותות'!$A$1:$AE$65536,26,FALSE)</f>
        <v>1.5</v>
      </c>
      <c r="Z22" s="100">
        <f t="shared" si="12"/>
        <v>1.5463917525773196E-2</v>
      </c>
      <c r="AA22" s="94">
        <f>VLOOKUP('[1]קריטריונים וניקוד'!A22,'[1]נתונים מהעמותות'!$A$1:$AE$65536,29,FALSE)</f>
        <v>0</v>
      </c>
      <c r="AB22" s="100">
        <f t="shared" si="13"/>
        <v>0</v>
      </c>
      <c r="AC22" s="101">
        <f t="shared" si="14"/>
        <v>1.4364498519284601E-2</v>
      </c>
      <c r="AD22" s="102">
        <f t="shared" si="15"/>
        <v>41556.918928560808</v>
      </c>
      <c r="AE22" s="103">
        <f t="shared" si="16"/>
        <v>2906000</v>
      </c>
      <c r="AF22" s="87">
        <f>VLOOKUP(A22,'[1]סכומי בקשה'!$A$2:$G$52,7,FALSE)</f>
        <v>500000</v>
      </c>
      <c r="AG22" s="103">
        <f t="shared" si="17"/>
        <v>500000</v>
      </c>
      <c r="AH22" s="87">
        <f>VLOOKUP(A22,'[1]סכומי בקשה'!$A$2:$G$52,6,FALSE)</f>
        <v>1250000</v>
      </c>
      <c r="AI22" s="104">
        <f t="shared" si="18"/>
        <v>1062500</v>
      </c>
      <c r="AJ22" s="105">
        <f t="shared" si="19"/>
        <v>41556.918928560808</v>
      </c>
      <c r="AK22" s="106"/>
      <c r="AL22" s="107"/>
      <c r="AM22" s="20"/>
    </row>
    <row r="23" spans="1:39" x14ac:dyDescent="0.2">
      <c r="A23" s="8">
        <v>1001627840</v>
      </c>
      <c r="B23" s="9" t="s">
        <v>21</v>
      </c>
      <c r="C23" s="94">
        <f>VLOOKUP($A23,'[1]נתונים מהעמותות'!$A$1:$AA$65536,6,FALSE)</f>
        <v>1.5</v>
      </c>
      <c r="D23" s="94">
        <f>VLOOKUP($A23,'[1]נתונים מהעמותות'!$A$1:$AA$65536,7,FALSE)</f>
        <v>1</v>
      </c>
      <c r="E23" s="94">
        <f>VLOOKUP($A23,'[1]נתונים מהעמותות'!$A$1:$AA$65536,8,FALSE)</f>
        <v>16</v>
      </c>
      <c r="F23" s="95">
        <f t="shared" si="0"/>
        <v>18.5</v>
      </c>
      <c r="G23" s="96">
        <f t="shared" si="1"/>
        <v>6</v>
      </c>
      <c r="H23" s="96">
        <f t="shared" si="21"/>
        <v>2</v>
      </c>
      <c r="I23" s="96">
        <f t="shared" si="22"/>
        <v>16</v>
      </c>
      <c r="J23" s="94">
        <f>VLOOKUP($A23,'[1]נתונים מהעמותות'!$A$1:$AA$65536,11,FALSE)</f>
        <v>1</v>
      </c>
      <c r="K23" s="97">
        <f t="shared" si="20"/>
        <v>24</v>
      </c>
      <c r="L23" s="98">
        <f t="shared" si="5"/>
        <v>9.6457303736506763E-3</v>
      </c>
      <c r="M23" s="99">
        <f>VLOOKUP($A23,'[1]נתונים מהעמותות'!$A$1:$AA$65536,12,FALSE)</f>
        <v>267</v>
      </c>
      <c r="N23" s="99">
        <f t="shared" si="6"/>
        <v>3</v>
      </c>
      <c r="O23" s="99">
        <f>VLOOKUP(A23,'[1]נתונים מהעמותות'!$A$1:$AE$65536,31,FALSE)</f>
        <v>1</v>
      </c>
      <c r="P23" s="99">
        <f t="shared" si="7"/>
        <v>4</v>
      </c>
      <c r="Q23" s="100">
        <f t="shared" si="8"/>
        <v>5.4794520547945202E-2</v>
      </c>
      <c r="R23" s="99">
        <f>VLOOKUP($A23,'[1]נתונים מהעמותות'!$A$1:$AA$65536,13,FALSE)</f>
        <v>70</v>
      </c>
      <c r="S23" s="99">
        <f>VLOOKUP($A23,'[1]נתונים מהעמותות'!$A$1:$AA$65536,15,FALSE)</f>
        <v>21</v>
      </c>
      <c r="T23" s="99">
        <f>VLOOKUP($A23,'[1]נתונים מהעמותות'!$A$1:$AA$65536,18,FALSE)*3</f>
        <v>1413</v>
      </c>
      <c r="U23" s="99">
        <f t="shared" si="9"/>
        <v>1504</v>
      </c>
      <c r="V23" s="100">
        <f t="shared" si="10"/>
        <v>9.4912344915500241E-3</v>
      </c>
      <c r="W23" s="62">
        <f>VLOOKUP(B23,'[1]ייחודיות ונחיצות'!$B$1:$D$65536,2,FALSE)</f>
        <v>3</v>
      </c>
      <c r="X23" s="100">
        <f t="shared" si="11"/>
        <v>3.5714285714285712E-2</v>
      </c>
      <c r="Y23" s="94">
        <f>VLOOKUP('[1]קריטריונים וניקוד'!A23,'[1]נתונים מהעמותות'!$A$1:$AE$65536,26,FALSE)</f>
        <v>1.5</v>
      </c>
      <c r="Z23" s="100">
        <f t="shared" si="12"/>
        <v>1.5463917525773196E-2</v>
      </c>
      <c r="AA23" s="94">
        <f>VLOOKUP('[1]קריטריונים וניקוד'!A23,'[1]נתונים מהעמותות'!$A$1:$AE$65536,29,FALSE)</f>
        <v>3</v>
      </c>
      <c r="AB23" s="100">
        <f t="shared" si="13"/>
        <v>3.8461538461538464E-2</v>
      </c>
      <c r="AC23" s="101">
        <f t="shared" si="14"/>
        <v>1.988588153280331E-2</v>
      </c>
      <c r="AD23" s="102">
        <f t="shared" si="15"/>
        <v>57530.443236303719</v>
      </c>
      <c r="AE23" s="103">
        <f t="shared" si="16"/>
        <v>1850000</v>
      </c>
      <c r="AF23" s="87">
        <f>VLOOKUP(A23,'[1]סכומי בקשה'!$A$2:$G$52,7,FALSE)</f>
        <v>300000</v>
      </c>
      <c r="AG23" s="103">
        <f t="shared" si="17"/>
        <v>300000</v>
      </c>
      <c r="AH23" s="87">
        <f>VLOOKUP(A23,'[1]סכומי בקשה'!$A$2:$G$52,6,FALSE)</f>
        <v>370000</v>
      </c>
      <c r="AI23" s="104">
        <f t="shared" si="18"/>
        <v>314500</v>
      </c>
      <c r="AJ23" s="105">
        <f t="shared" si="19"/>
        <v>57530.443236303719</v>
      </c>
      <c r="AK23" s="106"/>
      <c r="AL23" s="107"/>
      <c r="AM23" s="20"/>
    </row>
    <row r="24" spans="1:39" x14ac:dyDescent="0.2">
      <c r="A24" s="8">
        <v>1001627886</v>
      </c>
      <c r="B24" s="9" t="s">
        <v>22</v>
      </c>
      <c r="C24" s="94">
        <f>VLOOKUP($A24,'[1]נתונים מהעמותות'!$A$1:$AA$65536,6,FALSE)</f>
        <v>50</v>
      </c>
      <c r="D24" s="94">
        <f>VLOOKUP($A24,'[1]נתונים מהעמותות'!$A$1:$AA$65536,7,FALSE)</f>
        <v>4</v>
      </c>
      <c r="E24" s="94">
        <f>VLOOKUP($A24,'[1]נתונים מהעמותות'!$A$1:$AA$65536,8,FALSE)</f>
        <v>5</v>
      </c>
      <c r="F24" s="95">
        <f t="shared" si="0"/>
        <v>59</v>
      </c>
      <c r="G24" s="96">
        <f t="shared" si="1"/>
        <v>200</v>
      </c>
      <c r="H24" s="96">
        <f t="shared" si="21"/>
        <v>8</v>
      </c>
      <c r="I24" s="96">
        <f t="shared" si="22"/>
        <v>5</v>
      </c>
      <c r="J24" s="94">
        <f>VLOOKUP($A24,'[1]נתונים מהעמותות'!$A$1:$AA$65536,11,FALSE)</f>
        <v>1</v>
      </c>
      <c r="K24" s="97">
        <f t="shared" si="20"/>
        <v>213</v>
      </c>
      <c r="L24" s="98">
        <f t="shared" si="5"/>
        <v>8.5605857066149746E-2</v>
      </c>
      <c r="M24" s="99">
        <f>VLOOKUP($A24,'[1]נתונים מהעמותות'!$A$1:$AA$65536,12,FALSE)</f>
        <v>50</v>
      </c>
      <c r="N24" s="99">
        <f t="shared" si="6"/>
        <v>1</v>
      </c>
      <c r="O24" s="99">
        <f>VLOOKUP(A24,'[1]נתונים מהעמותות'!$A$1:$AE$65536,31,FALSE)</f>
        <v>1</v>
      </c>
      <c r="P24" s="99">
        <f t="shared" si="7"/>
        <v>2</v>
      </c>
      <c r="Q24" s="100">
        <f t="shared" si="8"/>
        <v>2.7397260273972601E-2</v>
      </c>
      <c r="R24" s="99">
        <f>VLOOKUP($A24,'[1]נתונים מהעמותות'!$A$1:$AA$65536,13,FALSE)</f>
        <v>10</v>
      </c>
      <c r="S24" s="99">
        <f>VLOOKUP($A24,'[1]נתונים מהעמותות'!$A$1:$AA$65536,15,FALSE)</f>
        <v>6</v>
      </c>
      <c r="T24" s="99">
        <f>VLOOKUP($A24,'[1]נתונים מהעמותות'!$A$1:$AA$65536,18,FALSE)*3</f>
        <v>780</v>
      </c>
      <c r="U24" s="99">
        <f t="shared" si="9"/>
        <v>796</v>
      </c>
      <c r="V24" s="100">
        <f t="shared" si="10"/>
        <v>5.0232863399426991E-3</v>
      </c>
      <c r="W24" s="62">
        <f>VLOOKUP(B24,'[1]ייחודיות ונחיצות'!$B$1:$D$65536,2,FALSE)</f>
        <v>3</v>
      </c>
      <c r="X24" s="100">
        <f t="shared" si="11"/>
        <v>3.5714285714285712E-2</v>
      </c>
      <c r="Y24" s="94">
        <f>VLOOKUP('[1]קריטריונים וניקוד'!A24,'[1]נתונים מהעמותות'!$A$1:$AE$65536,26,FALSE)</f>
        <v>1.5</v>
      </c>
      <c r="Z24" s="100">
        <f t="shared" si="12"/>
        <v>1.5463917525773196E-2</v>
      </c>
      <c r="AA24" s="94">
        <f>VLOOKUP('[1]קריטריונים וניקוד'!A24,'[1]נתונים מהעמותות'!$A$1:$AE$65536,29,FALSE)</f>
        <v>3</v>
      </c>
      <c r="AB24" s="100">
        <f t="shared" si="13"/>
        <v>3.8461538461538464E-2</v>
      </c>
      <c r="AC24" s="101">
        <f t="shared" si="14"/>
        <v>3.8370411660093202E-2</v>
      </c>
      <c r="AD24" s="102">
        <f t="shared" si="15"/>
        <v>111006.73542297886</v>
      </c>
      <c r="AE24" s="103">
        <f t="shared" si="16"/>
        <v>5900000</v>
      </c>
      <c r="AF24" s="87">
        <f>VLOOKUP(A24,'[1]סכומי בקשה'!$A$2:$G$52,7,FALSE)</f>
        <v>219000</v>
      </c>
      <c r="AG24" s="103">
        <f t="shared" si="17"/>
        <v>219000</v>
      </c>
      <c r="AH24" s="87">
        <f>VLOOKUP(A24,'[1]סכומי בקשה'!$A$2:$G$52,6,FALSE)</f>
        <v>250000</v>
      </c>
      <c r="AI24" s="104">
        <f t="shared" si="18"/>
        <v>212500</v>
      </c>
      <c r="AJ24" s="105">
        <f t="shared" si="19"/>
        <v>111006.73542297886</v>
      </c>
      <c r="AK24" s="106"/>
      <c r="AL24" s="107"/>
      <c r="AM24" s="20"/>
    </row>
    <row r="25" spans="1:39" x14ac:dyDescent="0.2">
      <c r="A25" s="8">
        <v>1001627887</v>
      </c>
      <c r="B25" s="9" t="s">
        <v>23</v>
      </c>
      <c r="C25" s="94">
        <f>VLOOKUP($A25,'[1]נתונים מהעמותות'!$A$1:$AA$65536,6,FALSE)</f>
        <v>7</v>
      </c>
      <c r="D25" s="94">
        <f>VLOOKUP($A25,'[1]נתונים מהעמותות'!$A$1:$AA$65536,7,FALSE)</f>
        <v>0</v>
      </c>
      <c r="E25" s="94">
        <f>VLOOKUP($A25,'[1]נתונים מהעמותות'!$A$1:$AA$65536,8,FALSE)</f>
        <v>1</v>
      </c>
      <c r="F25" s="95">
        <f t="shared" si="0"/>
        <v>8</v>
      </c>
      <c r="G25" s="96">
        <f t="shared" si="1"/>
        <v>28</v>
      </c>
      <c r="H25" s="96">
        <f t="shared" si="21"/>
        <v>0</v>
      </c>
      <c r="I25" s="96">
        <f t="shared" si="22"/>
        <v>1</v>
      </c>
      <c r="J25" s="94">
        <f>VLOOKUP($A25,'[1]נתונים מהעמותות'!$A$1:$AA$65536,11,FALSE)</f>
        <v>0.40119760479041916</v>
      </c>
      <c r="K25" s="97">
        <f t="shared" si="20"/>
        <v>11.634730538922156</v>
      </c>
      <c r="L25" s="98">
        <f t="shared" si="5"/>
        <v>4.6760614061884392E-3</v>
      </c>
      <c r="M25" s="99">
        <f>VLOOKUP($A25,'[1]נתונים מהעמותות'!$A$1:$AA$65536,12,FALSE)</f>
        <v>40</v>
      </c>
      <c r="N25" s="99">
        <f t="shared" si="6"/>
        <v>0</v>
      </c>
      <c r="O25" s="99">
        <f>VLOOKUP(A25,'[1]נתונים מהעמותות'!$A$1:$AE$65536,31,FALSE)</f>
        <v>1</v>
      </c>
      <c r="P25" s="99">
        <f t="shared" si="7"/>
        <v>1</v>
      </c>
      <c r="Q25" s="100">
        <f t="shared" si="8"/>
        <v>1.3698630136986301E-2</v>
      </c>
      <c r="R25" s="99">
        <f>VLOOKUP($A25,'[1]נתונים מהעמותות'!$A$1:$AA$65536,13,FALSE)</f>
        <v>60</v>
      </c>
      <c r="S25" s="99">
        <f>VLOOKUP($A25,'[1]נתונים מהעמותות'!$A$1:$AA$65536,15,FALSE)</f>
        <v>24</v>
      </c>
      <c r="T25" s="99">
        <f>VLOOKUP($A25,'[1]נתונים מהעמותות'!$A$1:$AA$65536,18,FALSE)*3</f>
        <v>0</v>
      </c>
      <c r="U25" s="99">
        <f t="shared" si="9"/>
        <v>84</v>
      </c>
      <c r="V25" s="100">
        <f t="shared" si="10"/>
        <v>5.3009554341103856E-4</v>
      </c>
      <c r="W25" s="62">
        <f>VLOOKUP(B25,'[1]ייחודיות ונחיצות'!$B$1:$D$65536,2,FALSE)</f>
        <v>1</v>
      </c>
      <c r="X25" s="100">
        <f t="shared" si="11"/>
        <v>1.1904761904761904E-2</v>
      </c>
      <c r="Y25" s="94">
        <f>VLOOKUP('[1]קריטריונים וניקוד'!A25,'[1]נתונים מהעמותות'!$A$1:$AE$65536,26,FALSE)</f>
        <v>2</v>
      </c>
      <c r="Z25" s="100">
        <f t="shared" si="12"/>
        <v>2.0618556701030927E-2</v>
      </c>
      <c r="AA25" s="94">
        <f>VLOOKUP('[1]קריטריונים וניקוד'!A25,'[1]נתונים מהעמותות'!$A$1:$AE$65536,29,FALSE)</f>
        <v>3</v>
      </c>
      <c r="AB25" s="100">
        <f t="shared" si="13"/>
        <v>3.8461538461538464E-2</v>
      </c>
      <c r="AC25" s="101">
        <f t="shared" si="14"/>
        <v>9.0257727474306083E-3</v>
      </c>
      <c r="AD25" s="102">
        <f t="shared" si="15"/>
        <v>26111.827421544243</v>
      </c>
      <c r="AE25" s="103">
        <f t="shared" si="16"/>
        <v>800000</v>
      </c>
      <c r="AF25" s="87">
        <f>VLOOKUP(A25,'[1]סכומי בקשה'!$A$2:$G$52,7,FALSE)</f>
        <v>91650</v>
      </c>
      <c r="AG25" s="103">
        <f t="shared" si="17"/>
        <v>91650</v>
      </c>
      <c r="AH25" s="87">
        <f>VLOOKUP(A25,'[1]סכומי בקשה'!$A$2:$G$52,6,FALSE)</f>
        <v>149670</v>
      </c>
      <c r="AI25" s="104">
        <f t="shared" si="18"/>
        <v>127219.5</v>
      </c>
      <c r="AJ25" s="105">
        <f t="shared" si="19"/>
        <v>26111.827421544243</v>
      </c>
      <c r="AK25" s="106"/>
      <c r="AL25" s="107"/>
      <c r="AM25" s="20"/>
    </row>
    <row r="26" spans="1:39" x14ac:dyDescent="0.2">
      <c r="A26" s="8">
        <v>1001627933</v>
      </c>
      <c r="B26" s="9" t="s">
        <v>24</v>
      </c>
      <c r="C26" s="94">
        <f>VLOOKUP($A26,'[1]נתונים מהעמותות'!$A$1:$AA$65536,6,FALSE)</f>
        <v>0.5</v>
      </c>
      <c r="D26" s="94">
        <f>VLOOKUP($A26,'[1]נתונים מהעמותות'!$A$1:$AA$65536,7,FALSE)</f>
        <v>0.7</v>
      </c>
      <c r="E26" s="94">
        <f>VLOOKUP($A26,'[1]נתונים מהעמותות'!$A$1:$AA$65536,8,FALSE)</f>
        <v>3.1</v>
      </c>
      <c r="F26" s="95">
        <f t="shared" si="0"/>
        <v>4.3</v>
      </c>
      <c r="G26" s="96">
        <f t="shared" si="1"/>
        <v>2</v>
      </c>
      <c r="H26" s="96">
        <f t="shared" si="21"/>
        <v>1.4</v>
      </c>
      <c r="I26" s="96">
        <f t="shared" si="22"/>
        <v>3.1</v>
      </c>
      <c r="J26" s="94">
        <f>VLOOKUP($A26,'[1]נתונים מהעמותות'!$A$1:$AA$65536,11,FALSE)</f>
        <v>1</v>
      </c>
      <c r="K26" s="97">
        <f t="shared" si="20"/>
        <v>6.5</v>
      </c>
      <c r="L26" s="98">
        <f t="shared" si="5"/>
        <v>2.6123853095303914E-3</v>
      </c>
      <c r="M26" s="99">
        <f>VLOOKUP($A26,'[1]נתונים מהעמותות'!$A$1:$AA$65536,12,FALSE)</f>
        <v>51</v>
      </c>
      <c r="N26" s="99">
        <f t="shared" si="6"/>
        <v>1</v>
      </c>
      <c r="O26" s="99">
        <f>VLOOKUP(A26,'[1]נתונים מהעמותות'!$A$1:$AE$65536,31,FALSE)</f>
        <v>1</v>
      </c>
      <c r="P26" s="99">
        <f t="shared" si="7"/>
        <v>2</v>
      </c>
      <c r="Q26" s="100">
        <f t="shared" si="8"/>
        <v>2.7397260273972601E-2</v>
      </c>
      <c r="R26" s="99">
        <f>VLOOKUP($A26,'[1]נתונים מהעמותות'!$A$1:$AA$65536,13,FALSE)</f>
        <v>15</v>
      </c>
      <c r="S26" s="99">
        <f>VLOOKUP($A26,'[1]נתונים מהעמותות'!$A$1:$AA$65536,15,FALSE)</f>
        <v>15</v>
      </c>
      <c r="T26" s="99">
        <f>VLOOKUP($A26,'[1]נתונים מהעמותות'!$A$1:$AA$65536,18,FALSE)*3</f>
        <v>255</v>
      </c>
      <c r="U26" s="99">
        <f t="shared" si="9"/>
        <v>285</v>
      </c>
      <c r="V26" s="100">
        <f t="shared" si="10"/>
        <v>1.798538450858881E-3</v>
      </c>
      <c r="W26" s="62">
        <f>VLOOKUP(B26,'[1]ייחודיות ונחיצות'!$B$1:$D$65536,2,FALSE)</f>
        <v>2</v>
      </c>
      <c r="X26" s="100">
        <f t="shared" si="11"/>
        <v>2.3809523809523808E-2</v>
      </c>
      <c r="Y26" s="94">
        <f>VLOOKUP('[1]קריטריונים וניקוד'!A26,'[1]נתונים מהעמותות'!$A$1:$AE$65536,26,FALSE)</f>
        <v>2</v>
      </c>
      <c r="Z26" s="100">
        <f t="shared" si="12"/>
        <v>2.0618556701030927E-2</v>
      </c>
      <c r="AA26" s="94">
        <f>VLOOKUP('[1]קריטריונים וניקוד'!A26,'[1]נתונים מהעמותות'!$A$1:$AE$65536,29,FALSE)</f>
        <v>0</v>
      </c>
      <c r="AB26" s="100">
        <f t="shared" si="13"/>
        <v>0</v>
      </c>
      <c r="AC26" s="101">
        <f t="shared" si="14"/>
        <v>7.5648102940609136E-3</v>
      </c>
      <c r="AD26" s="102">
        <f t="shared" si="15"/>
        <v>21885.219847959459</v>
      </c>
      <c r="AE26" s="103">
        <f t="shared" si="16"/>
        <v>430000</v>
      </c>
      <c r="AF26" s="87">
        <f>VLOOKUP(A26,'[1]סכומי בקשה'!$A$2:$G$52,7,FALSE)</f>
        <v>150000</v>
      </c>
      <c r="AG26" s="103">
        <f t="shared" si="17"/>
        <v>150000</v>
      </c>
      <c r="AH26" s="87">
        <f>VLOOKUP(A26,'[1]סכומי בקשה'!$A$2:$G$52,6,FALSE)</f>
        <v>350000</v>
      </c>
      <c r="AI26" s="104">
        <f t="shared" si="18"/>
        <v>297500</v>
      </c>
      <c r="AJ26" s="105">
        <f t="shared" si="19"/>
        <v>21885.219847959459</v>
      </c>
      <c r="AK26" s="106"/>
      <c r="AL26" s="107"/>
      <c r="AM26" s="20"/>
    </row>
    <row r="27" spans="1:39" x14ac:dyDescent="0.2">
      <c r="A27" s="8">
        <v>1001628580</v>
      </c>
      <c r="B27" s="9" t="s">
        <v>25</v>
      </c>
      <c r="C27" s="94">
        <f>VLOOKUP($A27,'[1]נתונים מהעמותות'!$A$1:$AA$65536,6,FALSE)</f>
        <v>7</v>
      </c>
      <c r="D27" s="94">
        <f>VLOOKUP($A27,'[1]נתונים מהעמותות'!$A$1:$AA$65536,7,FALSE)</f>
        <v>9</v>
      </c>
      <c r="E27" s="94">
        <f>VLOOKUP($A27,'[1]נתונים מהעמותות'!$A$1:$AA$65536,8,FALSE)</f>
        <v>13</v>
      </c>
      <c r="F27" s="95">
        <f t="shared" si="0"/>
        <v>29</v>
      </c>
      <c r="G27" s="96">
        <f t="shared" si="1"/>
        <v>28</v>
      </c>
      <c r="H27" s="96">
        <f t="shared" si="21"/>
        <v>18</v>
      </c>
      <c r="I27" s="96">
        <f t="shared" si="22"/>
        <v>13</v>
      </c>
      <c r="J27" s="94">
        <f>VLOOKUP($A27,'[1]נתונים מהעמותות'!$A$1:$AA$65536,11,FALSE)</f>
        <v>1</v>
      </c>
      <c r="K27" s="97">
        <f t="shared" si="20"/>
        <v>59</v>
      </c>
      <c r="L27" s="98">
        <f t="shared" si="5"/>
        <v>2.3712420501891245E-2</v>
      </c>
      <c r="M27" s="99">
        <f>VLOOKUP($A27,'[1]נתונים מהעמותות'!$A$1:$AA$65536,12,FALSE)</f>
        <v>510</v>
      </c>
      <c r="N27" s="99">
        <f t="shared" si="6"/>
        <v>3</v>
      </c>
      <c r="O27" s="99">
        <f>VLOOKUP(A27,'[1]נתונים מהעמותות'!$A$1:$AE$65536,31,FALSE)</f>
        <v>1</v>
      </c>
      <c r="P27" s="99">
        <f t="shared" si="7"/>
        <v>4</v>
      </c>
      <c r="Q27" s="100">
        <f t="shared" si="8"/>
        <v>5.4794520547945202E-2</v>
      </c>
      <c r="R27" s="99">
        <f>VLOOKUP($A27,'[1]נתונים מהעמותות'!$A$1:$AA$65536,13,FALSE)</f>
        <v>120</v>
      </c>
      <c r="S27" s="99">
        <f>VLOOKUP($A27,'[1]נתונים מהעמותות'!$A$1:$AA$65536,15,FALSE)</f>
        <v>0</v>
      </c>
      <c r="T27" s="99">
        <f>VLOOKUP($A27,'[1]נתונים מהעמותות'!$A$1:$AA$65536,18,FALSE)*3</f>
        <v>0</v>
      </c>
      <c r="U27" s="99">
        <f t="shared" si="9"/>
        <v>120</v>
      </c>
      <c r="V27" s="100">
        <f t="shared" si="10"/>
        <v>7.5727934773005517E-4</v>
      </c>
      <c r="W27" s="62">
        <f>VLOOKUP(B27,'[1]ייחודיות ונחיצות'!$B$1:$D$65536,2,FALSE)</f>
        <v>3</v>
      </c>
      <c r="X27" s="100">
        <f t="shared" si="11"/>
        <v>3.5714285714285712E-2</v>
      </c>
      <c r="Y27" s="94">
        <f>VLOOKUP('[1]קריטריונים וניקוד'!A27,'[1]נתונים מהעמותות'!$A$1:$AE$65536,26,FALSE)</f>
        <v>1</v>
      </c>
      <c r="Z27" s="100">
        <f t="shared" si="12"/>
        <v>1.0309278350515464E-2</v>
      </c>
      <c r="AA27" s="94">
        <f>VLOOKUP('[1]קריטריונים וניקוד'!A27,'[1]נתונים מהעמותות'!$A$1:$AE$65536,29,FALSE)</f>
        <v>0</v>
      </c>
      <c r="AB27" s="100">
        <f t="shared" si="13"/>
        <v>0</v>
      </c>
      <c r="AC27" s="101">
        <f t="shared" si="14"/>
        <v>1.6945118466021761E-2</v>
      </c>
      <c r="AD27" s="102">
        <f t="shared" si="15"/>
        <v>49022.728735148063</v>
      </c>
      <c r="AE27" s="103">
        <f t="shared" si="16"/>
        <v>2900000</v>
      </c>
      <c r="AF27" s="87">
        <f>VLOOKUP(A27,'[1]סכומי בקשה'!$A$2:$G$52,7,FALSE)</f>
        <v>450000</v>
      </c>
      <c r="AG27" s="103">
        <f t="shared" si="17"/>
        <v>450000</v>
      </c>
      <c r="AH27" s="87">
        <f>VLOOKUP(A27,'[1]סכומי בקשה'!$A$2:$G$52,6,FALSE)</f>
        <v>1800000</v>
      </c>
      <c r="AI27" s="104">
        <f t="shared" si="18"/>
        <v>1530000</v>
      </c>
      <c r="AJ27" s="105">
        <f t="shared" si="19"/>
        <v>49022.728735148063</v>
      </c>
      <c r="AK27" s="106"/>
      <c r="AL27" s="107"/>
      <c r="AM27" s="20"/>
    </row>
    <row r="28" spans="1:39" x14ac:dyDescent="0.2">
      <c r="A28" s="8">
        <v>1001628701</v>
      </c>
      <c r="B28" s="9" t="s">
        <v>26</v>
      </c>
      <c r="C28" s="94">
        <f>VLOOKUP($A28,'[1]נתונים מהעמותות'!$A$1:$AA$65536,6,FALSE)</f>
        <v>7</v>
      </c>
      <c r="D28" s="94">
        <f>VLOOKUP($A28,'[1]נתונים מהעמותות'!$A$1:$AA$65536,7,FALSE)</f>
        <v>48</v>
      </c>
      <c r="E28" s="94">
        <f>VLOOKUP($A28,'[1]נתונים מהעמותות'!$A$1:$AA$65536,8,FALSE)</f>
        <v>5</v>
      </c>
      <c r="F28" s="95">
        <f t="shared" si="0"/>
        <v>60</v>
      </c>
      <c r="G28" s="96">
        <f t="shared" si="1"/>
        <v>28</v>
      </c>
      <c r="H28" s="96">
        <f t="shared" si="21"/>
        <v>96</v>
      </c>
      <c r="I28" s="96">
        <f t="shared" si="22"/>
        <v>5</v>
      </c>
      <c r="J28" s="94">
        <f>VLOOKUP($A28,'[1]נתונים מהעמותות'!$A$1:$AA$65536,11,FALSE)</f>
        <v>0.64150943396226412</v>
      </c>
      <c r="K28" s="97">
        <f t="shared" si="20"/>
        <v>82.754716981132077</v>
      </c>
      <c r="L28" s="98">
        <f t="shared" si="5"/>
        <v>3.3259570297823796E-2</v>
      </c>
      <c r="M28" s="99">
        <f>VLOOKUP($A28,'[1]נתונים מהעמותות'!$A$1:$AA$65536,12,FALSE)</f>
        <v>0</v>
      </c>
      <c r="N28" s="99">
        <f t="shared" si="6"/>
        <v>0</v>
      </c>
      <c r="O28" s="99">
        <f>VLOOKUP(A28,'[1]נתונים מהעמותות'!$A$1:$AE$65536,31,FALSE)</f>
        <v>0</v>
      </c>
      <c r="P28" s="99">
        <f t="shared" si="7"/>
        <v>0</v>
      </c>
      <c r="Q28" s="100">
        <f t="shared" si="8"/>
        <v>0</v>
      </c>
      <c r="R28" s="99">
        <f>VLOOKUP($A28,'[1]נתונים מהעמותות'!$A$1:$AA$65536,13,FALSE)</f>
        <v>400</v>
      </c>
      <c r="S28" s="99">
        <f>VLOOKUP($A28,'[1]נתונים מהעמותות'!$A$1:$AA$65536,15,FALSE)</f>
        <v>45</v>
      </c>
      <c r="T28" s="99">
        <f>VLOOKUP($A28,'[1]נתונים מהעמותות'!$A$1:$AA$65536,18,FALSE)*3</f>
        <v>267</v>
      </c>
      <c r="U28" s="99">
        <f t="shared" si="9"/>
        <v>712</v>
      </c>
      <c r="V28" s="100">
        <f t="shared" si="10"/>
        <v>4.4931907965316603E-3</v>
      </c>
      <c r="W28" s="62">
        <f>VLOOKUP(B28,'[1]ייחודיות ונחיצות'!$B$1:$D$65536,2,FALSE)</f>
        <v>1</v>
      </c>
      <c r="X28" s="100">
        <f t="shared" si="11"/>
        <v>1.1904761904761904E-2</v>
      </c>
      <c r="Y28" s="94">
        <f>VLOOKUP('[1]קריטריונים וניקוד'!A28,'[1]נתונים מהעמותות'!$A$1:$AE$65536,26,FALSE)</f>
        <v>1</v>
      </c>
      <c r="Z28" s="100">
        <f t="shared" si="12"/>
        <v>1.0309278350515464E-2</v>
      </c>
      <c r="AA28" s="94">
        <f>VLOOKUP('[1]קריטריונים וניקוד'!A28,'[1]נתונים מהעמותות'!$A$1:$AE$65536,29,FALSE)</f>
        <v>0</v>
      </c>
      <c r="AB28" s="100">
        <f t="shared" si="13"/>
        <v>0</v>
      </c>
      <c r="AC28" s="101">
        <f t="shared" si="14"/>
        <v>1.3256427976135183E-2</v>
      </c>
      <c r="AD28" s="102">
        <f t="shared" si="15"/>
        <v>38351.2380851282</v>
      </c>
      <c r="AE28" s="103">
        <f t="shared" si="16"/>
        <v>6000000</v>
      </c>
      <c r="AF28" s="87">
        <f>VLOOKUP(A28,'[1]סכומי בקשה'!$A$2:$G$52,7,FALSE)</f>
        <v>150000</v>
      </c>
      <c r="AG28" s="103">
        <f t="shared" si="17"/>
        <v>150000</v>
      </c>
      <c r="AH28" s="87">
        <f>VLOOKUP(A28,'[1]סכומי בקשה'!$A$2:$G$52,6,FALSE)</f>
        <v>200000</v>
      </c>
      <c r="AI28" s="104">
        <f t="shared" si="18"/>
        <v>170000</v>
      </c>
      <c r="AJ28" s="105">
        <f t="shared" si="19"/>
        <v>38351.2380851282</v>
      </c>
      <c r="AK28" s="106"/>
      <c r="AL28" s="107"/>
      <c r="AM28" s="20"/>
    </row>
    <row r="29" spans="1:39" x14ac:dyDescent="0.2">
      <c r="A29" s="8">
        <v>1001628706</v>
      </c>
      <c r="B29" s="9" t="s">
        <v>27</v>
      </c>
      <c r="C29" s="94">
        <f>VLOOKUP($A29,'[1]נתונים מהעמותות'!$A$1:$AA$65536,6,FALSE)</f>
        <v>5</v>
      </c>
      <c r="D29" s="94">
        <f>VLOOKUP($A29,'[1]נתונים מהעמותות'!$A$1:$AA$65536,7,FALSE)</f>
        <v>4</v>
      </c>
      <c r="E29" s="94">
        <f>VLOOKUP($A29,'[1]נתונים מהעמותות'!$A$1:$AA$65536,8,FALSE)</f>
        <v>0</v>
      </c>
      <c r="F29" s="95">
        <f t="shared" si="0"/>
        <v>9</v>
      </c>
      <c r="G29" s="96">
        <f t="shared" si="1"/>
        <v>20</v>
      </c>
      <c r="H29" s="96">
        <f t="shared" si="21"/>
        <v>8</v>
      </c>
      <c r="I29" s="96">
        <f t="shared" si="22"/>
        <v>0</v>
      </c>
      <c r="J29" s="94">
        <f>VLOOKUP($A29,'[1]נתונים מהעמותות'!$A$1:$AA$65536,11,FALSE)</f>
        <v>9.8719030451791062E-2</v>
      </c>
      <c r="K29" s="97">
        <f t="shared" si="20"/>
        <v>2.7641328526501496</v>
      </c>
      <c r="L29" s="98">
        <f t="shared" si="5"/>
        <v>1.1109200089005516E-3</v>
      </c>
      <c r="M29" s="99">
        <f>VLOOKUP($A29,'[1]נתונים מהעמותות'!$A$1:$AA$65536,12,FALSE)</f>
        <v>180</v>
      </c>
      <c r="N29" s="99">
        <f t="shared" si="6"/>
        <v>2</v>
      </c>
      <c r="O29" s="99">
        <f>VLOOKUP(A29,'[1]נתונים מהעמותות'!$A$1:$AE$65536,31,FALSE)</f>
        <v>1</v>
      </c>
      <c r="P29" s="99">
        <f t="shared" si="7"/>
        <v>3</v>
      </c>
      <c r="Q29" s="100">
        <f t="shared" si="8"/>
        <v>4.1095890410958902E-2</v>
      </c>
      <c r="R29" s="99">
        <f>VLOOKUP($A29,'[1]נתונים מהעמותות'!$A$1:$AA$65536,13,FALSE)</f>
        <v>250</v>
      </c>
      <c r="S29" s="99">
        <f>VLOOKUP($A29,'[1]נתונים מהעמותות'!$A$1:$AA$65536,15,FALSE)</f>
        <v>96</v>
      </c>
      <c r="T29" s="99">
        <f>VLOOKUP($A29,'[1]נתונים מהעמותות'!$A$1:$AA$65536,18,FALSE)*3</f>
        <v>927</v>
      </c>
      <c r="U29" s="99">
        <f t="shared" si="9"/>
        <v>1273</v>
      </c>
      <c r="V29" s="100">
        <f t="shared" si="10"/>
        <v>8.0334717471696685E-3</v>
      </c>
      <c r="W29" s="62">
        <f>VLOOKUP(B29,'[1]ייחודיות ונחיצות'!$B$1:$D$65536,2,FALSE)</f>
        <v>3</v>
      </c>
      <c r="X29" s="100">
        <f t="shared" si="11"/>
        <v>3.5714285714285712E-2</v>
      </c>
      <c r="Y29" s="94">
        <f>VLOOKUP('[1]קריטריונים וניקוד'!A29,'[1]נתונים מהעמותות'!$A$1:$AE$65536,26,FALSE)</f>
        <v>1</v>
      </c>
      <c r="Z29" s="100">
        <f t="shared" si="12"/>
        <v>1.0309278350515464E-2</v>
      </c>
      <c r="AA29" s="94">
        <f>VLOOKUP('[1]קריטריונים וניקוד'!A29,'[1]נתונים מהעמותות'!$A$1:$AE$65536,29,FALSE)</f>
        <v>3</v>
      </c>
      <c r="AB29" s="100">
        <f t="shared" si="13"/>
        <v>3.8461538461538464E-2</v>
      </c>
      <c r="AC29" s="101">
        <f t="shared" si="14"/>
        <v>1.518762649038363E-2</v>
      </c>
      <c r="AD29" s="102">
        <f t="shared" si="15"/>
        <v>43938.252486211291</v>
      </c>
      <c r="AE29" s="103">
        <f t="shared" si="16"/>
        <v>900000</v>
      </c>
      <c r="AF29" s="87">
        <f>VLOOKUP(A29,'[1]סכומי בקשה'!$A$2:$G$52,7,FALSE)</f>
        <v>120000</v>
      </c>
      <c r="AG29" s="103">
        <f t="shared" si="17"/>
        <v>120000</v>
      </c>
      <c r="AH29" s="87">
        <f>VLOOKUP(A29,'[1]סכומי בקשה'!$A$2:$G$52,6,FALSE)</f>
        <v>289776</v>
      </c>
      <c r="AI29" s="104">
        <f t="shared" si="18"/>
        <v>246309.6</v>
      </c>
      <c r="AJ29" s="105">
        <f t="shared" si="19"/>
        <v>43938.252486211291</v>
      </c>
      <c r="AK29" s="106"/>
      <c r="AL29" s="107"/>
      <c r="AM29" s="20"/>
    </row>
    <row r="30" spans="1:39" x14ac:dyDescent="0.2">
      <c r="A30" s="8">
        <v>1001629302</v>
      </c>
      <c r="B30" s="9" t="s">
        <v>28</v>
      </c>
      <c r="C30" s="94">
        <f>VLOOKUP($A30,'[1]נתונים מהעמותות'!$A$1:$AA$65536,6,FALSE)</f>
        <v>1</v>
      </c>
      <c r="D30" s="94">
        <f>VLOOKUP($A30,'[1]נתונים מהעמותות'!$A$1:$AA$65536,7,FALSE)</f>
        <v>1</v>
      </c>
      <c r="E30" s="94">
        <f>VLOOKUP($A30,'[1]נתונים מהעמותות'!$A$1:$AA$65536,8,FALSE)</f>
        <v>2</v>
      </c>
      <c r="F30" s="95">
        <f t="shared" si="0"/>
        <v>4</v>
      </c>
      <c r="G30" s="96">
        <f t="shared" si="1"/>
        <v>4</v>
      </c>
      <c r="H30" s="96">
        <f t="shared" si="21"/>
        <v>2</v>
      </c>
      <c r="I30" s="96">
        <f t="shared" si="22"/>
        <v>2</v>
      </c>
      <c r="J30" s="94">
        <f>VLOOKUP($A30,'[1]נתונים מהעמותות'!$A$1:$AA$65536,11,FALSE)</f>
        <v>1</v>
      </c>
      <c r="K30" s="97">
        <f t="shared" si="20"/>
        <v>8</v>
      </c>
      <c r="L30" s="98">
        <f t="shared" si="5"/>
        <v>3.2152434578835588E-3</v>
      </c>
      <c r="M30" s="99">
        <f>VLOOKUP($A30,'[1]נתונים מהעמותות'!$A$1:$AA$65536,12,FALSE)</f>
        <v>0</v>
      </c>
      <c r="N30" s="99">
        <f t="shared" si="6"/>
        <v>0</v>
      </c>
      <c r="O30" s="99">
        <f>VLOOKUP(A30,'[1]נתונים מהעמותות'!$A$1:$AE$65536,31,FALSE)</f>
        <v>0</v>
      </c>
      <c r="P30" s="99">
        <f t="shared" si="7"/>
        <v>0</v>
      </c>
      <c r="Q30" s="100">
        <f t="shared" si="8"/>
        <v>0</v>
      </c>
      <c r="R30" s="99">
        <f>VLOOKUP($A30,'[1]נתונים מהעמותות'!$A$1:$AA$65536,13,FALSE)</f>
        <v>0</v>
      </c>
      <c r="S30" s="99">
        <f>VLOOKUP($A30,'[1]נתונים מהעמותות'!$A$1:$AA$65536,15,FALSE)</f>
        <v>0</v>
      </c>
      <c r="T30" s="99">
        <f>VLOOKUP($A30,'[1]נתונים מהעמותות'!$A$1:$AA$65536,18,FALSE)*3</f>
        <v>1590</v>
      </c>
      <c r="U30" s="99">
        <f t="shared" si="9"/>
        <v>1590</v>
      </c>
      <c r="V30" s="100">
        <f t="shared" si="10"/>
        <v>1.0033951357423231E-2</v>
      </c>
      <c r="W30" s="62">
        <f>VLOOKUP(B30,'[1]ייחודיות ונחיצות'!$B$1:$D$65536,2,FALSE)</f>
        <v>1</v>
      </c>
      <c r="X30" s="100">
        <f t="shared" si="11"/>
        <v>1.1904761904761904E-2</v>
      </c>
      <c r="Y30" s="94">
        <f>VLOOKUP('[1]קריטריונים וניקוד'!A30,'[1]נתונים מהעמותות'!$A$1:$AE$65536,26,FALSE)</f>
        <v>1.5</v>
      </c>
      <c r="Z30" s="100">
        <f t="shared" si="12"/>
        <v>1.5463917525773196E-2</v>
      </c>
      <c r="AA30" s="94">
        <f>VLOOKUP('[1]קריטריונים וניקוד'!A30,'[1]נתונים מהעמותות'!$A$1:$AE$65536,29,FALSE)</f>
        <v>0</v>
      </c>
      <c r="AB30" s="100">
        <f t="shared" si="13"/>
        <v>0</v>
      </c>
      <c r="AC30" s="101">
        <f t="shared" si="14"/>
        <v>6.4401280792280484E-3</v>
      </c>
      <c r="AD30" s="102">
        <f t="shared" si="15"/>
        <v>18631.480947192646</v>
      </c>
      <c r="AE30" s="103">
        <f t="shared" si="16"/>
        <v>400000</v>
      </c>
      <c r="AF30" s="87">
        <f>VLOOKUP(A30,'[1]סכומי בקשה'!$A$2:$G$52,7,FALSE)</f>
        <v>100000</v>
      </c>
      <c r="AG30" s="103">
        <f t="shared" si="17"/>
        <v>100000</v>
      </c>
      <c r="AH30" s="87">
        <f>VLOOKUP(A30,'[1]סכומי בקשה'!$A$2:$G$52,6,FALSE)</f>
        <v>554000</v>
      </c>
      <c r="AI30" s="104">
        <f t="shared" si="18"/>
        <v>470900</v>
      </c>
      <c r="AJ30" s="105">
        <f t="shared" si="19"/>
        <v>18631.480947192646</v>
      </c>
      <c r="AK30" s="106"/>
      <c r="AL30" s="107"/>
      <c r="AM30" s="20"/>
    </row>
    <row r="31" spans="1:39" x14ac:dyDescent="0.2">
      <c r="A31" s="8">
        <v>1001629431</v>
      </c>
      <c r="B31" s="9" t="s">
        <v>29</v>
      </c>
      <c r="C31" s="94">
        <f>VLOOKUP($A31,'[1]נתונים מהעמותות'!$A$1:$AA$65536,6,FALSE)</f>
        <v>1</v>
      </c>
      <c r="D31" s="94">
        <f>VLOOKUP($A31,'[1]נתונים מהעמותות'!$A$1:$AA$65536,7,FALSE)</f>
        <v>3</v>
      </c>
      <c r="E31" s="94">
        <f>VLOOKUP($A31,'[1]נתונים מהעמותות'!$A$1:$AA$65536,8,FALSE)</f>
        <v>120</v>
      </c>
      <c r="F31" s="95">
        <f t="shared" si="0"/>
        <v>124</v>
      </c>
      <c r="G31" s="96">
        <f t="shared" si="1"/>
        <v>4</v>
      </c>
      <c r="H31" s="96">
        <f t="shared" si="21"/>
        <v>6</v>
      </c>
      <c r="I31" s="96">
        <f t="shared" si="22"/>
        <v>120</v>
      </c>
      <c r="J31" s="94">
        <f>VLOOKUP($A31,'[1]נתונים מהעמותות'!$A$1:$AA$65536,11,FALSE)</f>
        <v>1</v>
      </c>
      <c r="K31" s="97">
        <f t="shared" si="20"/>
        <v>130</v>
      </c>
      <c r="L31" s="98">
        <f t="shared" si="5"/>
        <v>5.2247706190607826E-2</v>
      </c>
      <c r="M31" s="99">
        <f>VLOOKUP($A31,'[1]נתונים מהעמותות'!$A$1:$AA$65536,12,FALSE)</f>
        <v>1583</v>
      </c>
      <c r="N31" s="99">
        <f t="shared" si="6"/>
        <v>3</v>
      </c>
      <c r="O31" s="99">
        <f>VLOOKUP(A31,'[1]נתונים מהעמותות'!$A$1:$AE$65536,31,FALSE)</f>
        <v>1</v>
      </c>
      <c r="P31" s="99">
        <f t="shared" si="7"/>
        <v>4</v>
      </c>
      <c r="Q31" s="100">
        <f t="shared" si="8"/>
        <v>5.4794520547945202E-2</v>
      </c>
      <c r="R31" s="99">
        <f>VLOOKUP($A31,'[1]נתונים מהעמותות'!$A$1:$AA$65536,13,FALSE)</f>
        <v>0</v>
      </c>
      <c r="S31" s="99">
        <f>VLOOKUP($A31,'[1]נתונים מהעמותות'!$A$1:$AA$65536,15,FALSE)</f>
        <v>0</v>
      </c>
      <c r="T31" s="99">
        <f>VLOOKUP($A31,'[1]נתונים מהעמותות'!$A$1:$AA$65536,18,FALSE)*3</f>
        <v>3621</v>
      </c>
      <c r="U31" s="99">
        <f t="shared" si="9"/>
        <v>3621</v>
      </c>
      <c r="V31" s="100">
        <f t="shared" si="10"/>
        <v>2.2850904317754415E-2</v>
      </c>
      <c r="W31" s="62">
        <f>VLOOKUP(B31,'[1]ייחודיות ונחיצות'!$B$1:$D$65536,2,FALSE)</f>
        <v>3</v>
      </c>
      <c r="X31" s="100">
        <f t="shared" si="11"/>
        <v>3.5714285714285712E-2</v>
      </c>
      <c r="Y31" s="94">
        <f>VLOOKUP('[1]קריטריונים וניקוד'!A31,'[1]נתונים מהעמותות'!$A$1:$AE$65536,26,FALSE)</f>
        <v>1.5</v>
      </c>
      <c r="Z31" s="100">
        <f t="shared" si="12"/>
        <v>1.5463917525773196E-2</v>
      </c>
      <c r="AA31" s="94">
        <f>VLOOKUP('[1]קריטריונים וניקוד'!A31,'[1]נתונים מהעמותות'!$A$1:$AE$65536,29,FALSE)</f>
        <v>3</v>
      </c>
      <c r="AB31" s="100">
        <f t="shared" si="13"/>
        <v>3.8461538461538464E-2</v>
      </c>
      <c r="AC31" s="101">
        <f t="shared" si="14"/>
        <v>3.7342358717061985E-2</v>
      </c>
      <c r="AD31" s="102">
        <f t="shared" si="15"/>
        <v>108032.54786255269</v>
      </c>
      <c r="AE31" s="103">
        <f t="shared" si="16"/>
        <v>12400000</v>
      </c>
      <c r="AF31" s="87">
        <f>VLOOKUP(A31,'[1]סכומי בקשה'!$A$2:$G$52,7,FALSE)</f>
        <v>814632</v>
      </c>
      <c r="AG31" s="103">
        <f t="shared" si="17"/>
        <v>814632</v>
      </c>
      <c r="AH31" s="87">
        <f>VLOOKUP(A31,'[1]סכומי בקשה'!$A$2:$G$52,6,FALSE)</f>
        <v>1163760</v>
      </c>
      <c r="AI31" s="104">
        <f t="shared" si="18"/>
        <v>989196</v>
      </c>
      <c r="AJ31" s="105">
        <f t="shared" si="19"/>
        <v>108032.54786255269</v>
      </c>
      <c r="AK31" s="106"/>
      <c r="AL31" s="107"/>
      <c r="AM31" s="20"/>
    </row>
    <row r="32" spans="1:39" x14ac:dyDescent="0.2">
      <c r="A32" s="8">
        <v>1001629553</v>
      </c>
      <c r="B32" s="9" t="s">
        <v>30</v>
      </c>
      <c r="C32" s="94">
        <f>VLOOKUP($A32,'[1]נתונים מהעמותות'!$A$1:$AA$65536,6,FALSE)</f>
        <v>3</v>
      </c>
      <c r="D32" s="94">
        <f>VLOOKUP($A32,'[1]נתונים מהעמותות'!$A$1:$AA$65536,7,FALSE)</f>
        <v>2</v>
      </c>
      <c r="E32" s="94">
        <f>VLOOKUP($A32,'[1]נתונים מהעמותות'!$A$1:$AA$65536,8,FALSE)</f>
        <v>0</v>
      </c>
      <c r="F32" s="95">
        <f t="shared" si="0"/>
        <v>5</v>
      </c>
      <c r="G32" s="96">
        <f t="shared" si="1"/>
        <v>12</v>
      </c>
      <c r="H32" s="96">
        <f t="shared" si="21"/>
        <v>4</v>
      </c>
      <c r="I32" s="96">
        <f t="shared" si="22"/>
        <v>0</v>
      </c>
      <c r="J32" s="94">
        <f>VLOOKUP($A32,'[1]נתונים מהעמותות'!$A$1:$AA$65536,11,FALSE)</f>
        <v>0.33333333333333331</v>
      </c>
      <c r="K32" s="97">
        <f t="shared" si="20"/>
        <v>5.333333333333333</v>
      </c>
      <c r="L32" s="98">
        <f t="shared" si="5"/>
        <v>2.1434956385890389E-3</v>
      </c>
      <c r="M32" s="99">
        <f>VLOOKUP($A32,'[1]נתונים מהעמותות'!$A$1:$AA$65536,12,FALSE)</f>
        <v>4</v>
      </c>
      <c r="N32" s="99">
        <f t="shared" si="6"/>
        <v>0</v>
      </c>
      <c r="O32" s="99">
        <f>VLOOKUP(A32,'[1]נתונים מהעמותות'!$A$1:$AE$65536,31,FALSE)</f>
        <v>1</v>
      </c>
      <c r="P32" s="99">
        <f t="shared" si="7"/>
        <v>1</v>
      </c>
      <c r="Q32" s="100">
        <f t="shared" si="8"/>
        <v>1.3698630136986301E-2</v>
      </c>
      <c r="R32" s="99">
        <f>VLOOKUP($A32,'[1]נתונים מהעמותות'!$A$1:$AA$65536,13,FALSE)</f>
        <v>36</v>
      </c>
      <c r="S32" s="99">
        <f>VLOOKUP($A32,'[1]נתונים מהעמותות'!$A$1:$AA$65536,15,FALSE)</f>
        <v>1134</v>
      </c>
      <c r="T32" s="99">
        <f>VLOOKUP($A32,'[1]נתונים מהעמותות'!$A$1:$AA$65536,18,FALSE)*3</f>
        <v>0</v>
      </c>
      <c r="U32" s="99">
        <f t="shared" si="9"/>
        <v>1170</v>
      </c>
      <c r="V32" s="100">
        <f t="shared" si="10"/>
        <v>7.3834736403680379E-3</v>
      </c>
      <c r="W32" s="62">
        <f>VLOOKUP(B32,'[1]ייחודיות ונחיצות'!$B$1:$D$65536,2,FALSE)</f>
        <v>1</v>
      </c>
      <c r="X32" s="100">
        <f t="shared" si="11"/>
        <v>1.1904761904761904E-2</v>
      </c>
      <c r="Y32" s="94">
        <f>VLOOKUP('[1]קריטריונים וניקוד'!A32,'[1]נתונים מהעמותות'!$A$1:$AE$65536,26,FALSE)</f>
        <v>2</v>
      </c>
      <c r="Z32" s="100">
        <f t="shared" si="12"/>
        <v>2.0618556701030927E-2</v>
      </c>
      <c r="AA32" s="94">
        <f>VLOOKUP('[1]קריטריונים וניקוד'!A32,'[1]נתונים מהעמותות'!$A$1:$AE$65536,29,FALSE)</f>
        <v>3</v>
      </c>
      <c r="AB32" s="100">
        <f t="shared" si="13"/>
        <v>3.8461538461538464E-2</v>
      </c>
      <c r="AC32" s="101">
        <f t="shared" si="14"/>
        <v>1.0664685351085737E-2</v>
      </c>
      <c r="AD32" s="102">
        <f t="shared" si="15"/>
        <v>30853.250041321484</v>
      </c>
      <c r="AE32" s="103">
        <f t="shared" si="16"/>
        <v>500000</v>
      </c>
      <c r="AF32" s="87">
        <f>VLOOKUP(A32,'[1]סכומי בקשה'!$A$2:$G$52,7,FALSE)</f>
        <v>100000</v>
      </c>
      <c r="AG32" s="103">
        <f t="shared" si="17"/>
        <v>100000</v>
      </c>
      <c r="AH32" s="87">
        <f>VLOOKUP(A32,'[1]סכומי בקשה'!$A$2:$G$52,6,FALSE)</f>
        <v>450000</v>
      </c>
      <c r="AI32" s="104">
        <f t="shared" si="18"/>
        <v>382500</v>
      </c>
      <c r="AJ32" s="105">
        <f t="shared" si="19"/>
        <v>30853.250041321484</v>
      </c>
      <c r="AK32" s="106"/>
      <c r="AL32" s="107"/>
      <c r="AM32" s="20"/>
    </row>
    <row r="33" spans="1:39" x14ac:dyDescent="0.2">
      <c r="A33" s="8">
        <v>1001631595</v>
      </c>
      <c r="B33" s="13" t="s">
        <v>31</v>
      </c>
      <c r="C33" s="94">
        <f>VLOOKUP($A33,'[1]נתונים מהעמותות'!$A$1:$AA$65536,6,FALSE)</f>
        <v>1</v>
      </c>
      <c r="D33" s="94">
        <f>VLOOKUP($A33,'[1]נתונים מהעמותות'!$A$1:$AA$65536,7,FALSE)</f>
        <v>1.5</v>
      </c>
      <c r="E33" s="94">
        <f>VLOOKUP($A33,'[1]נתונים מהעמותות'!$A$1:$AA$65536,8,FALSE)</f>
        <v>0.5</v>
      </c>
      <c r="F33" s="95">
        <f t="shared" si="0"/>
        <v>3</v>
      </c>
      <c r="G33" s="96">
        <f t="shared" si="1"/>
        <v>4</v>
      </c>
      <c r="H33" s="96">
        <f t="shared" si="21"/>
        <v>3</v>
      </c>
      <c r="I33" s="96">
        <f t="shared" si="22"/>
        <v>0.5</v>
      </c>
      <c r="J33" s="94">
        <f>VLOOKUP($A33,'[1]נתונים מהעמותות'!$A$1:$AA$65536,11,FALSE)</f>
        <v>1</v>
      </c>
      <c r="K33" s="97">
        <f t="shared" si="20"/>
        <v>7.5</v>
      </c>
      <c r="L33" s="98">
        <f t="shared" si="5"/>
        <v>3.0142907417658365E-3</v>
      </c>
      <c r="M33" s="99">
        <f>VLOOKUP($A33,'[1]נתונים מהעמותות'!$A$1:$AA$65536,12,FALSE)</f>
        <v>13</v>
      </c>
      <c r="N33" s="99">
        <f t="shared" si="6"/>
        <v>0</v>
      </c>
      <c r="O33" s="99">
        <f>VLOOKUP(A33,'[1]נתונים מהעמותות'!$A$1:$AE$65536,31,FALSE)</f>
        <v>1</v>
      </c>
      <c r="P33" s="99">
        <f t="shared" si="7"/>
        <v>1</v>
      </c>
      <c r="Q33" s="100">
        <f t="shared" si="8"/>
        <v>1.3698630136986301E-2</v>
      </c>
      <c r="R33" s="99">
        <f>VLOOKUP($A33,'[1]נתונים מהעמותות'!$A$1:$AA$65536,13,FALSE)</f>
        <v>30</v>
      </c>
      <c r="S33" s="99">
        <f>VLOOKUP($A33,'[1]נתונים מהעמותות'!$A$1:$AA$65536,15,FALSE)</f>
        <v>990</v>
      </c>
      <c r="T33" s="99">
        <f>VLOOKUP($A33,'[1]נתונים מהעמותות'!$A$1:$AA$65536,18,FALSE)*3</f>
        <v>729</v>
      </c>
      <c r="U33" s="99">
        <f t="shared" si="9"/>
        <v>1749</v>
      </c>
      <c r="V33" s="100">
        <f t="shared" si="10"/>
        <v>1.1037346493165553E-2</v>
      </c>
      <c r="W33" s="62">
        <f>VLOOKUP(B33,'[1]ייחודיות ונחיצות'!$B$1:$D$65536,2,FALSE)</f>
        <v>1</v>
      </c>
      <c r="X33" s="100">
        <f t="shared" si="11"/>
        <v>1.1904761904761904E-2</v>
      </c>
      <c r="Y33" s="94">
        <f>VLOOKUP('[1]קריטריונים וניקוד'!A33,'[1]נתונים מהעמותות'!$A$1:$AE$65536,26,FALSE)</f>
        <v>1</v>
      </c>
      <c r="Z33" s="100">
        <f t="shared" si="12"/>
        <v>1.0309278350515464E-2</v>
      </c>
      <c r="AA33" s="94">
        <f>VLOOKUP('[1]קריטריונים וניקוד'!A33,'[1]נתונים מהעמותות'!$A$1:$AE$65536,29,FALSE)</f>
        <v>3</v>
      </c>
      <c r="AB33" s="100">
        <f t="shared" si="13"/>
        <v>3.8461538461538464E-2</v>
      </c>
      <c r="AC33" s="101">
        <f t="shared" si="14"/>
        <v>1.1689315462992135E-2</v>
      </c>
      <c r="AD33" s="102">
        <f t="shared" si="15"/>
        <v>33817.535250101399</v>
      </c>
      <c r="AE33" s="103">
        <f t="shared" si="16"/>
        <v>300000</v>
      </c>
      <c r="AF33" s="87">
        <f>VLOOKUP(A33,'[1]סכומי בקשה'!$A$2:$G$52,7,FALSE)</f>
        <v>600000</v>
      </c>
      <c r="AG33" s="103">
        <f t="shared" si="17"/>
        <v>300000</v>
      </c>
      <c r="AH33" s="87">
        <f>VLOOKUP(A33,'[1]סכומי בקשה'!$A$2:$G$52,6,FALSE)</f>
        <v>710000</v>
      </c>
      <c r="AI33" s="104">
        <f t="shared" si="18"/>
        <v>603500</v>
      </c>
      <c r="AJ33" s="105">
        <f t="shared" si="19"/>
        <v>33817.535250101399</v>
      </c>
      <c r="AK33" s="106"/>
      <c r="AL33" s="107"/>
      <c r="AM33" s="20"/>
    </row>
    <row r="34" spans="1:39" x14ac:dyDescent="0.2">
      <c r="A34" s="8">
        <v>1001631600</v>
      </c>
      <c r="B34" s="9" t="s">
        <v>32</v>
      </c>
      <c r="C34" s="94">
        <f>VLOOKUP($A34,'[1]נתונים מהעמותות'!$A$1:$AA$65536,6,FALSE)</f>
        <v>2</v>
      </c>
      <c r="D34" s="94">
        <f>VLOOKUP($A34,'[1]נתונים מהעמותות'!$A$1:$AA$65536,7,FALSE)</f>
        <v>2</v>
      </c>
      <c r="E34" s="94">
        <f>VLOOKUP($A34,'[1]נתונים מהעמותות'!$A$1:$AA$65536,8,FALSE)</f>
        <v>12</v>
      </c>
      <c r="F34" s="95">
        <f t="shared" si="0"/>
        <v>16</v>
      </c>
      <c r="G34" s="96">
        <f t="shared" si="1"/>
        <v>8</v>
      </c>
      <c r="H34" s="96">
        <f t="shared" si="21"/>
        <v>4</v>
      </c>
      <c r="I34" s="96">
        <f t="shared" si="22"/>
        <v>12</v>
      </c>
      <c r="J34" s="94">
        <f>VLOOKUP($A34,'[1]נתונים מהעמותות'!$A$1:$AA$65536,11,FALSE)</f>
        <v>0.625</v>
      </c>
      <c r="K34" s="97">
        <f t="shared" si="20"/>
        <v>15</v>
      </c>
      <c r="L34" s="98">
        <f t="shared" si="5"/>
        <v>6.0285814835316729E-3</v>
      </c>
      <c r="M34" s="99">
        <f>VLOOKUP($A34,'[1]נתונים מהעמותות'!$A$1:$AA$65536,12,FALSE)</f>
        <v>50</v>
      </c>
      <c r="N34" s="99">
        <f t="shared" si="6"/>
        <v>1</v>
      </c>
      <c r="O34" s="99">
        <f>VLOOKUP(A34,'[1]נתונים מהעמותות'!$A$1:$AE$65536,31,FALSE)</f>
        <v>1</v>
      </c>
      <c r="P34" s="99">
        <f t="shared" si="7"/>
        <v>2</v>
      </c>
      <c r="Q34" s="100">
        <f t="shared" si="8"/>
        <v>2.7397260273972601E-2</v>
      </c>
      <c r="R34" s="99">
        <f>VLOOKUP($A34,'[1]נתונים מהעמותות'!$A$1:$AA$65536,13,FALSE)</f>
        <v>45</v>
      </c>
      <c r="S34" s="99">
        <f>VLOOKUP($A34,'[1]נתונים מהעמותות'!$A$1:$AA$65536,15,FALSE)</f>
        <v>135</v>
      </c>
      <c r="T34" s="99">
        <f>VLOOKUP($A34,'[1]נתונים מהעמותות'!$A$1:$AA$65536,18,FALSE)*3</f>
        <v>957</v>
      </c>
      <c r="U34" s="99">
        <f t="shared" si="9"/>
        <v>1137</v>
      </c>
      <c r="V34" s="100">
        <f t="shared" si="10"/>
        <v>7.1752218197422722E-3</v>
      </c>
      <c r="W34" s="62">
        <f>VLOOKUP(B34,'[1]ייחודיות ונחיצות'!$B$1:$D$65536,2,FALSE)</f>
        <v>2</v>
      </c>
      <c r="X34" s="100">
        <f t="shared" si="11"/>
        <v>2.3809523809523808E-2</v>
      </c>
      <c r="Y34" s="94">
        <f>VLOOKUP('[1]קריטריונים וניקוד'!A34,'[1]נתונים מהעמותות'!$A$1:$AE$65536,26,FALSE)</f>
        <v>1</v>
      </c>
      <c r="Z34" s="100">
        <f t="shared" si="12"/>
        <v>1.0309278350515464E-2</v>
      </c>
      <c r="AA34" s="94">
        <f>VLOOKUP('[1]קריטריונים וניקוד'!A34,'[1]נתונים מהעמותות'!$A$1:$AE$65536,29,FALSE)</f>
        <v>0</v>
      </c>
      <c r="AB34" s="100">
        <f t="shared" si="13"/>
        <v>0</v>
      </c>
      <c r="AC34" s="101">
        <f t="shared" si="14"/>
        <v>9.9560444078447118E-3</v>
      </c>
      <c r="AD34" s="102">
        <f t="shared" si="15"/>
        <v>28803.130840279384</v>
      </c>
      <c r="AE34" s="103">
        <f t="shared" si="16"/>
        <v>1600000</v>
      </c>
      <c r="AF34" s="87">
        <f>VLOOKUP(A34,'[1]סכומי בקשה'!$A$2:$G$52,7,FALSE)</f>
        <v>150000</v>
      </c>
      <c r="AG34" s="103">
        <f t="shared" si="17"/>
        <v>150000</v>
      </c>
      <c r="AH34" s="87">
        <f>VLOOKUP(A34,'[1]סכומי בקשה'!$A$2:$G$52,6,FALSE)</f>
        <v>192500</v>
      </c>
      <c r="AI34" s="104">
        <f t="shared" si="18"/>
        <v>163625</v>
      </c>
      <c r="AJ34" s="105">
        <f t="shared" si="19"/>
        <v>28803.130840279384</v>
      </c>
      <c r="AK34" s="106"/>
      <c r="AL34" s="107"/>
      <c r="AM34" s="20"/>
    </row>
    <row r="35" spans="1:39" x14ac:dyDescent="0.2">
      <c r="A35" s="8">
        <v>1001632006</v>
      </c>
      <c r="B35" s="9" t="s">
        <v>33</v>
      </c>
      <c r="C35" s="94">
        <f>VLOOKUP($A35,'[1]נתונים מהעמותות'!$A$1:$AA$65536,6,FALSE)</f>
        <v>0</v>
      </c>
      <c r="D35" s="94">
        <f>VLOOKUP($A35,'[1]נתונים מהעמותות'!$A$1:$AA$65536,7,FALSE)</f>
        <v>8.25</v>
      </c>
      <c r="E35" s="94">
        <f>VLOOKUP($A35,'[1]נתונים מהעמותות'!$A$1:$AA$65536,8,FALSE)</f>
        <v>3.25</v>
      </c>
      <c r="F35" s="95">
        <f t="shared" si="0"/>
        <v>11.5</v>
      </c>
      <c r="G35" s="96">
        <f t="shared" si="1"/>
        <v>0</v>
      </c>
      <c r="H35" s="96">
        <f t="shared" si="21"/>
        <v>16.5</v>
      </c>
      <c r="I35" s="96">
        <f t="shared" si="22"/>
        <v>3.25</v>
      </c>
      <c r="J35" s="94">
        <f>VLOOKUP($A35,'[1]נתונים מהעמותות'!$A$1:$AA$65536,11,FALSE)</f>
        <v>0.898876404494382</v>
      </c>
      <c r="K35" s="97">
        <f t="shared" si="20"/>
        <v>17.752808988764045</v>
      </c>
      <c r="L35" s="98">
        <f t="shared" si="5"/>
        <v>7.1349503700225041E-3</v>
      </c>
      <c r="M35" s="99">
        <f>VLOOKUP($A35,'[1]נתונים מהעמותות'!$A$1:$AA$65536,12,FALSE)</f>
        <v>0</v>
      </c>
      <c r="N35" s="99">
        <f t="shared" si="6"/>
        <v>0</v>
      </c>
      <c r="O35" s="99">
        <f>VLOOKUP(A35,'[1]נתונים מהעמותות'!$A$1:$AE$65536,31,FALSE)</f>
        <v>0</v>
      </c>
      <c r="P35" s="99">
        <f t="shared" si="7"/>
        <v>0</v>
      </c>
      <c r="Q35" s="100">
        <f t="shared" si="8"/>
        <v>0</v>
      </c>
      <c r="R35" s="99">
        <f>VLOOKUP($A35,'[1]נתונים מהעמותות'!$A$1:$AA$65536,13,FALSE)</f>
        <v>325</v>
      </c>
      <c r="S35" s="99">
        <f>VLOOKUP($A35,'[1]נתונים מהעמותות'!$A$1:$AA$65536,15,FALSE)</f>
        <v>270</v>
      </c>
      <c r="T35" s="99">
        <f>VLOOKUP($A35,'[1]נתונים מהעמותות'!$A$1:$AA$65536,18,FALSE)*3</f>
        <v>360</v>
      </c>
      <c r="U35" s="99">
        <f t="shared" si="9"/>
        <v>955</v>
      </c>
      <c r="V35" s="100">
        <f t="shared" si="10"/>
        <v>6.0266814756850225E-3</v>
      </c>
      <c r="W35" s="62">
        <f>VLOOKUP(B35,'[1]ייחודיות ונחיצות'!$B$1:$D$65536,2,FALSE)</f>
        <v>3</v>
      </c>
      <c r="X35" s="100">
        <f t="shared" si="11"/>
        <v>3.5714285714285712E-2</v>
      </c>
      <c r="Y35" s="94">
        <f>VLOOKUP('[1]קריטריונים וניקוד'!A35,'[1]נתונים מהעמותות'!$A$1:$AE$65536,26,FALSE)</f>
        <v>3</v>
      </c>
      <c r="Z35" s="100">
        <f t="shared" si="12"/>
        <v>3.0927835051546393E-2</v>
      </c>
      <c r="AA35" s="94">
        <f>VLOOKUP('[1]קריטריונים וניקוד'!A35,'[1]נתונים מהעמותות'!$A$1:$AE$65536,29,FALSE)</f>
        <v>0</v>
      </c>
      <c r="AB35" s="100">
        <f t="shared" si="13"/>
        <v>0</v>
      </c>
      <c r="AC35" s="101">
        <f t="shared" si="14"/>
        <v>9.3676439515023996E-3</v>
      </c>
      <c r="AD35" s="102">
        <f t="shared" si="15"/>
        <v>27100.870922961822</v>
      </c>
      <c r="AE35" s="103">
        <f t="shared" si="16"/>
        <v>1150000</v>
      </c>
      <c r="AF35" s="87">
        <f>VLOOKUP(A35,'[1]סכומי בקשה'!$A$2:$G$52,7,FALSE)</f>
        <v>400000</v>
      </c>
      <c r="AG35" s="103">
        <f t="shared" si="17"/>
        <v>400000</v>
      </c>
      <c r="AH35" s="87">
        <f>VLOOKUP(A35,'[1]סכומי בקשה'!$A$2:$G$52,6,FALSE)</f>
        <v>700000</v>
      </c>
      <c r="AI35" s="104">
        <f t="shared" si="18"/>
        <v>595000</v>
      </c>
      <c r="AJ35" s="105">
        <f t="shared" si="19"/>
        <v>27100.870922961822</v>
      </c>
      <c r="AK35" s="109"/>
      <c r="AL35" s="107"/>
      <c r="AM35" s="109"/>
    </row>
    <row r="36" spans="1:39" x14ac:dyDescent="0.2">
      <c r="A36" s="8">
        <v>1001632013</v>
      </c>
      <c r="B36" s="9" t="s">
        <v>34</v>
      </c>
      <c r="C36" s="94">
        <f>VLOOKUP($A36,'[1]נתונים מהעמותות'!$A$1:$AA$65536,6,FALSE)</f>
        <v>3</v>
      </c>
      <c r="D36" s="94">
        <f>VLOOKUP($A36,'[1]נתונים מהעמותות'!$A$1:$AA$65536,7,FALSE)</f>
        <v>19</v>
      </c>
      <c r="E36" s="94">
        <f>VLOOKUP($A36,'[1]נתונים מהעמותות'!$A$1:$AA$65536,8,FALSE)</f>
        <v>13.5</v>
      </c>
      <c r="F36" s="95">
        <f t="shared" si="0"/>
        <v>35.5</v>
      </c>
      <c r="G36" s="96">
        <f t="shared" si="1"/>
        <v>12</v>
      </c>
      <c r="H36" s="96">
        <f t="shared" si="21"/>
        <v>38</v>
      </c>
      <c r="I36" s="96">
        <f t="shared" si="22"/>
        <v>13.5</v>
      </c>
      <c r="J36" s="94">
        <f>VLOOKUP($A36,'[1]נתונים מהעמותות'!$A$1:$AA$65536,11,FALSE)</f>
        <v>1</v>
      </c>
      <c r="K36" s="97">
        <f t="shared" si="20"/>
        <v>63.5</v>
      </c>
      <c r="L36" s="98">
        <f t="shared" si="5"/>
        <v>2.5520994946950749E-2</v>
      </c>
      <c r="M36" s="99">
        <f>VLOOKUP($A36,'[1]נתונים מהעמותות'!$A$1:$AA$65536,12,FALSE)</f>
        <v>435</v>
      </c>
      <c r="N36" s="99">
        <f t="shared" si="6"/>
        <v>3</v>
      </c>
      <c r="O36" s="99">
        <f>VLOOKUP(A36,'[1]נתונים מהעמותות'!$A$1:$AE$65536,31,FALSE)</f>
        <v>1</v>
      </c>
      <c r="P36" s="99">
        <f t="shared" si="7"/>
        <v>4</v>
      </c>
      <c r="Q36" s="100">
        <f t="shared" si="8"/>
        <v>5.4794520547945202E-2</v>
      </c>
      <c r="R36" s="99">
        <f>VLOOKUP($A36,'[1]נתונים מהעמותות'!$A$1:$AA$65536,13,FALSE)</f>
        <v>3224</v>
      </c>
      <c r="S36" s="99">
        <f>VLOOKUP($A36,'[1]נתונים מהעמותות'!$A$1:$AA$65536,15,FALSE)</f>
        <v>21855</v>
      </c>
      <c r="T36" s="99">
        <f>VLOOKUP($A36,'[1]נתונים מהעמותות'!$A$1:$AA$65536,18,FALSE)*3</f>
        <v>894</v>
      </c>
      <c r="U36" s="99">
        <f t="shared" si="9"/>
        <v>25973</v>
      </c>
      <c r="V36" s="100">
        <f t="shared" si="10"/>
        <v>0.16390680415493936</v>
      </c>
      <c r="W36" s="62">
        <f>VLOOKUP(B36,'[1]ייחודיות ונחיצות'!$B$1:$D$65536,2,FALSE)</f>
        <v>1</v>
      </c>
      <c r="X36" s="100">
        <f t="shared" si="11"/>
        <v>1.1904761904761904E-2</v>
      </c>
      <c r="Y36" s="94">
        <f>VLOOKUP('[1]קריטריונים וניקוד'!A36,'[1]נתונים מהעמותות'!$A$1:$AE$65536,26,FALSE)</f>
        <v>3</v>
      </c>
      <c r="Z36" s="100">
        <f t="shared" si="12"/>
        <v>3.0927835051546393E-2</v>
      </c>
      <c r="AA36" s="94">
        <f>VLOOKUP('[1]קריטריונים וניקוד'!A36,'[1]נתונים מהעמותות'!$A$1:$AE$65536,29,FALSE)</f>
        <v>3</v>
      </c>
      <c r="AB36" s="100">
        <f t="shared" si="13"/>
        <v>3.8461538461538464E-2</v>
      </c>
      <c r="AC36" s="101">
        <f t="shared" si="14"/>
        <v>7.7086153782315855E-2</v>
      </c>
      <c r="AD36" s="102">
        <f t="shared" si="15"/>
        <v>223012.52208321533</v>
      </c>
      <c r="AE36" s="103">
        <f t="shared" si="16"/>
        <v>3550000</v>
      </c>
      <c r="AF36" s="87">
        <f>VLOOKUP(A36,'[1]סכומי בקשה'!$A$2:$G$52,7,FALSE)</f>
        <v>1800000</v>
      </c>
      <c r="AG36" s="103">
        <f t="shared" si="17"/>
        <v>1800000</v>
      </c>
      <c r="AH36" s="87">
        <f>VLOOKUP(A36,'[1]סכומי בקשה'!$A$2:$G$52,6,FALSE)</f>
        <v>2500000</v>
      </c>
      <c r="AI36" s="104">
        <f t="shared" si="18"/>
        <v>2125000</v>
      </c>
      <c r="AJ36" s="105">
        <f t="shared" si="19"/>
        <v>223012.52208321533</v>
      </c>
      <c r="AK36" s="106"/>
      <c r="AL36" s="107"/>
      <c r="AM36" s="20"/>
    </row>
    <row r="37" spans="1:39" x14ac:dyDescent="0.2">
      <c r="A37" s="8">
        <v>1001632042</v>
      </c>
      <c r="B37" s="9" t="s">
        <v>35</v>
      </c>
      <c r="C37" s="94">
        <f>VLOOKUP($A37,'[1]נתונים מהעמותות'!$A$1:$AA$65536,6,FALSE)</f>
        <v>0.5</v>
      </c>
      <c r="D37" s="94">
        <f>VLOOKUP($A37,'[1]נתונים מהעמותות'!$A$1:$AA$65536,7,FALSE)</f>
        <v>2.75</v>
      </c>
      <c r="E37" s="94">
        <f>VLOOKUP($A37,'[1]נתונים מהעמותות'!$A$1:$AA$65536,8,FALSE)</f>
        <v>14</v>
      </c>
      <c r="F37" s="95">
        <f t="shared" si="0"/>
        <v>17.25</v>
      </c>
      <c r="G37" s="96">
        <f t="shared" si="1"/>
        <v>2</v>
      </c>
      <c r="H37" s="96">
        <f t="shared" si="21"/>
        <v>5.5</v>
      </c>
      <c r="I37" s="96">
        <f t="shared" si="22"/>
        <v>14</v>
      </c>
      <c r="J37" s="94">
        <f>VLOOKUP($A37,'[1]נתונים מהעמותות'!$A$1:$AA$65536,11,FALSE)</f>
        <v>1</v>
      </c>
      <c r="K37" s="97">
        <f t="shared" si="20"/>
        <v>21.5</v>
      </c>
      <c r="L37" s="98">
        <f t="shared" si="5"/>
        <v>8.6409667930620639E-3</v>
      </c>
      <c r="M37" s="99">
        <f>VLOOKUP($A37,'[1]נתונים מהעמותות'!$A$1:$AA$65536,12,FALSE)</f>
        <v>0</v>
      </c>
      <c r="N37" s="99">
        <f t="shared" si="6"/>
        <v>0</v>
      </c>
      <c r="O37" s="99">
        <f>VLOOKUP(A37,'[1]נתונים מהעמותות'!$A$1:$AE$65536,31,FALSE)</f>
        <v>0</v>
      </c>
      <c r="P37" s="99">
        <f t="shared" si="7"/>
        <v>0</v>
      </c>
      <c r="Q37" s="100">
        <f t="shared" si="8"/>
        <v>0</v>
      </c>
      <c r="R37" s="99">
        <f>VLOOKUP($A37,'[1]נתונים מהעמותות'!$A$1:$AA$65536,13,FALSE)</f>
        <v>62</v>
      </c>
      <c r="S37" s="99">
        <f>VLOOKUP($A37,'[1]נתונים מהעמותות'!$A$1:$AA$65536,15,FALSE)</f>
        <v>45</v>
      </c>
      <c r="T37" s="99">
        <f>VLOOKUP($A37,'[1]נתונים מהעמותות'!$A$1:$AA$65536,18,FALSE)*3</f>
        <v>858</v>
      </c>
      <c r="U37" s="99">
        <f t="shared" si="9"/>
        <v>965</v>
      </c>
      <c r="V37" s="100">
        <f t="shared" si="10"/>
        <v>6.0897880879958602E-3</v>
      </c>
      <c r="W37" s="62">
        <f>VLOOKUP(B37,'[1]ייחודיות ונחיצות'!$B$1:$D$65536,2,FALSE)</f>
        <v>1</v>
      </c>
      <c r="X37" s="100">
        <f t="shared" si="11"/>
        <v>1.1904761904761904E-2</v>
      </c>
      <c r="Y37" s="94">
        <f>VLOOKUP('[1]קריטריונים וניקוד'!A37,'[1]נתונים מהעמותות'!$A$1:$AE$65536,26,FALSE)</f>
        <v>1.5</v>
      </c>
      <c r="Z37" s="100">
        <f t="shared" si="12"/>
        <v>1.5463917525773196E-2</v>
      </c>
      <c r="AA37" s="94">
        <f>VLOOKUP('[1]קריטריונים וניקוד'!A37,'[1]נתונים מהעמותות'!$A$1:$AE$65536,29,FALSE)</f>
        <v>3</v>
      </c>
      <c r="AB37" s="100">
        <f t="shared" si="13"/>
        <v>3.8461538461538464E-2</v>
      </c>
      <c r="AC37" s="101">
        <f t="shared" si="14"/>
        <v>1.0533541781635866E-2</v>
      </c>
      <c r="AD37" s="102">
        <f t="shared" si="15"/>
        <v>30473.847817407175</v>
      </c>
      <c r="AE37" s="103">
        <f t="shared" si="16"/>
        <v>1725000</v>
      </c>
      <c r="AF37" s="87">
        <f>VLOOKUP(A37,'[1]סכומי בקשה'!$A$2:$G$52,7,FALSE)</f>
        <v>80000</v>
      </c>
      <c r="AG37" s="103">
        <f t="shared" si="17"/>
        <v>80000</v>
      </c>
      <c r="AH37" s="87">
        <f>VLOOKUP(A37,'[1]סכומי בקשה'!$A$2:$G$52,6,FALSE)</f>
        <v>110000</v>
      </c>
      <c r="AI37" s="104">
        <f t="shared" si="18"/>
        <v>93500</v>
      </c>
      <c r="AJ37" s="105">
        <f t="shared" si="19"/>
        <v>30473.847817407175</v>
      </c>
      <c r="AK37" s="109"/>
      <c r="AL37" s="107"/>
      <c r="AM37" s="109"/>
    </row>
    <row r="38" spans="1:39" x14ac:dyDescent="0.2">
      <c r="A38" s="8">
        <v>1001632055</v>
      </c>
      <c r="B38" s="9" t="s">
        <v>36</v>
      </c>
      <c r="C38" s="94">
        <f>VLOOKUP($A38,'[1]נתונים מהעמותות'!$A$1:$AA$65536,6,FALSE)</f>
        <v>0</v>
      </c>
      <c r="D38" s="94">
        <f>VLOOKUP($A38,'[1]נתונים מהעמותות'!$A$1:$AA$65536,7,FALSE)</f>
        <v>5.3</v>
      </c>
      <c r="E38" s="94">
        <f>VLOOKUP($A38,'[1]נתונים מהעמותות'!$A$1:$AA$65536,8,FALSE)</f>
        <v>7.1</v>
      </c>
      <c r="F38" s="95">
        <f t="shared" si="0"/>
        <v>12.399999999999999</v>
      </c>
      <c r="G38" s="96">
        <f t="shared" si="1"/>
        <v>0</v>
      </c>
      <c r="H38" s="96">
        <f t="shared" si="21"/>
        <v>10.6</v>
      </c>
      <c r="I38" s="96">
        <f t="shared" si="22"/>
        <v>7.1</v>
      </c>
      <c r="J38" s="94">
        <f>VLOOKUP($A38,'[1]נתונים מהעמותות'!$A$1:$AA$65536,11,FALSE)</f>
        <v>0.83977900552486184</v>
      </c>
      <c r="K38" s="97">
        <f t="shared" si="20"/>
        <v>14.864088397790054</v>
      </c>
      <c r="L38" s="98">
        <f t="shared" si="5"/>
        <v>5.973957872299672E-3</v>
      </c>
      <c r="M38" s="99">
        <f>VLOOKUP($A38,'[1]נתונים מהעמותות'!$A$1:$AA$65536,12,FALSE)</f>
        <v>0</v>
      </c>
      <c r="N38" s="99">
        <f t="shared" si="6"/>
        <v>0</v>
      </c>
      <c r="O38" s="99">
        <f>VLOOKUP(A38,'[1]נתונים מהעמותות'!$A$1:$AE$65536,31,FALSE)</f>
        <v>0</v>
      </c>
      <c r="P38" s="99">
        <f t="shared" si="7"/>
        <v>0</v>
      </c>
      <c r="Q38" s="100">
        <f t="shared" si="8"/>
        <v>0</v>
      </c>
      <c r="R38" s="99">
        <f>VLOOKUP($A38,'[1]נתונים מהעמותות'!$A$1:$AA$65536,13,FALSE)</f>
        <v>613</v>
      </c>
      <c r="S38" s="99">
        <f>VLOOKUP($A38,'[1]נתונים מהעמותות'!$A$1:$AA$65536,15,FALSE)</f>
        <v>0</v>
      </c>
      <c r="T38" s="99">
        <f>VLOOKUP($A38,'[1]נתונים מהעמותות'!$A$1:$AA$65536,18,FALSE)*3</f>
        <v>444</v>
      </c>
      <c r="U38" s="99">
        <f t="shared" si="9"/>
        <v>1057</v>
      </c>
      <c r="V38" s="100">
        <f t="shared" si="10"/>
        <v>6.6703689212555695E-3</v>
      </c>
      <c r="W38" s="62">
        <f>VLOOKUP(B38,'[1]ייחודיות ונחיצות'!$B$1:$D$65536,2,FALSE)</f>
        <v>0</v>
      </c>
      <c r="X38" s="100">
        <f t="shared" si="11"/>
        <v>0</v>
      </c>
      <c r="Y38" s="94">
        <f>VLOOKUP('[1]קריטריונים וניקוד'!A38,'[1]נתונים מהעמותות'!$A$1:$AE$65536,26,FALSE)</f>
        <v>2</v>
      </c>
      <c r="Z38" s="100">
        <f t="shared" si="12"/>
        <v>2.0618556701030927E-2</v>
      </c>
      <c r="AA38" s="94">
        <f>VLOOKUP('[1]קריטריונים וניקוד'!A38,'[1]נתונים מהעמותות'!$A$1:$AE$65536,29,FALSE)</f>
        <v>0</v>
      </c>
      <c r="AB38" s="100">
        <f t="shared" si="13"/>
        <v>0</v>
      </c>
      <c r="AC38" s="101">
        <f t="shared" si="14"/>
        <v>5.1577443191808967E-3</v>
      </c>
      <c r="AD38" s="102">
        <f t="shared" si="15"/>
        <v>14921.506813390684</v>
      </c>
      <c r="AE38" s="103">
        <f t="shared" si="16"/>
        <v>1239999.9999999998</v>
      </c>
      <c r="AF38" s="87">
        <f>VLOOKUP(A38,'[1]סכומי בקשה'!$A$2:$G$52,7,FALSE)</f>
        <v>300000</v>
      </c>
      <c r="AG38" s="103">
        <f t="shared" si="17"/>
        <v>300000</v>
      </c>
      <c r="AH38" s="87">
        <f>VLOOKUP(A38,'[1]סכומי בקשה'!$A$2:$G$52,6,FALSE)</f>
        <v>355000</v>
      </c>
      <c r="AI38" s="104">
        <f t="shared" si="18"/>
        <v>301750</v>
      </c>
      <c r="AJ38" s="105">
        <f t="shared" si="19"/>
        <v>14921.506813390684</v>
      </c>
      <c r="AK38" s="106"/>
      <c r="AL38" s="107"/>
      <c r="AM38" s="20"/>
    </row>
    <row r="39" spans="1:39" x14ac:dyDescent="0.2">
      <c r="A39" s="8">
        <v>1001632067</v>
      </c>
      <c r="B39" s="9" t="s">
        <v>37</v>
      </c>
      <c r="C39" s="94">
        <f>VLOOKUP($A39,'[1]נתונים מהעמותות'!$A$1:$AA$65536,6,FALSE)</f>
        <v>0</v>
      </c>
      <c r="D39" s="94">
        <f>VLOOKUP($A39,'[1]נתונים מהעמותות'!$A$1:$AA$65536,7,FALSE)</f>
        <v>66</v>
      </c>
      <c r="E39" s="94">
        <f>VLOOKUP($A39,'[1]נתונים מהעמותות'!$A$1:$AA$65536,8,FALSE)</f>
        <v>0</v>
      </c>
      <c r="F39" s="95">
        <f t="shared" si="0"/>
        <v>66</v>
      </c>
      <c r="G39" s="96">
        <f t="shared" si="1"/>
        <v>0</v>
      </c>
      <c r="H39" s="96">
        <f t="shared" si="21"/>
        <v>132</v>
      </c>
      <c r="I39" s="96">
        <f t="shared" si="22"/>
        <v>0</v>
      </c>
      <c r="J39" s="94">
        <f>VLOOKUP($A39,'[1]נתונים מהעמותות'!$A$1:$AA$65536,11,FALSE)</f>
        <v>0.86486486486486491</v>
      </c>
      <c r="K39" s="97">
        <f t="shared" si="20"/>
        <v>114.16216216216216</v>
      </c>
      <c r="L39" s="98">
        <f t="shared" si="5"/>
        <v>4.5882393128716732E-2</v>
      </c>
      <c r="M39" s="99">
        <f>VLOOKUP($A39,'[1]נתונים מהעמותות'!$A$1:$AA$65536,12,FALSE)</f>
        <v>500</v>
      </c>
      <c r="N39" s="99">
        <f t="shared" si="6"/>
        <v>3</v>
      </c>
      <c r="O39" s="99">
        <f>VLOOKUP(A39,'[1]נתונים מהעמותות'!$A$1:$AE$65536,31,FALSE)</f>
        <v>1</v>
      </c>
      <c r="P39" s="99">
        <f t="shared" si="7"/>
        <v>4</v>
      </c>
      <c r="Q39" s="100">
        <f t="shared" si="8"/>
        <v>5.4794520547945202E-2</v>
      </c>
      <c r="R39" s="99">
        <f>VLOOKUP($A39,'[1]נתונים מהעמותות'!$A$1:$AA$65536,13,FALSE)</f>
        <v>0</v>
      </c>
      <c r="S39" s="99">
        <f>VLOOKUP($A39,'[1]נתונים מהעמותות'!$A$1:$AA$65536,15,FALSE)</f>
        <v>144</v>
      </c>
      <c r="T39" s="99">
        <f>VLOOKUP($A39,'[1]נתונים מהעמותות'!$A$1:$AA$65536,18,FALSE)*3</f>
        <v>1980</v>
      </c>
      <c r="U39" s="99">
        <f t="shared" si="9"/>
        <v>2124</v>
      </c>
      <c r="V39" s="100">
        <f t="shared" si="10"/>
        <v>1.3403844454821977E-2</v>
      </c>
      <c r="W39" s="62">
        <f>VLOOKUP(B39,'[1]ייחודיות ונחיצות'!$B$1:$D$65536,2,FALSE)</f>
        <v>3</v>
      </c>
      <c r="X39" s="100">
        <f t="shared" si="11"/>
        <v>3.5714285714285712E-2</v>
      </c>
      <c r="Y39" s="94">
        <f>VLOOKUP('[1]קריטריונים וניקוד'!A39,'[1]נתונים מהעמותות'!$A$1:$AE$65536,26,FALSE)</f>
        <v>1.5</v>
      </c>
      <c r="Z39" s="100">
        <f t="shared" si="12"/>
        <v>1.5463917525773196E-2</v>
      </c>
      <c r="AA39" s="94">
        <f>VLOOKUP('[1]קריטריונים וניקוד'!A39,'[1]נתונים מהעמותות'!$A$1:$AE$65536,29,FALSE)</f>
        <v>0</v>
      </c>
      <c r="AB39" s="100">
        <f t="shared" si="13"/>
        <v>0</v>
      </c>
      <c r="AC39" s="101">
        <f t="shared" si="14"/>
        <v>2.8280140000314466E-2</v>
      </c>
      <c r="AD39" s="102">
        <f t="shared" si="15"/>
        <v>81815.281174183896</v>
      </c>
      <c r="AE39" s="103">
        <f t="shared" si="16"/>
        <v>6600000</v>
      </c>
      <c r="AF39" s="87">
        <f>VLOOKUP(A39,'[1]סכומי בקשה'!$A$2:$G$52,7,FALSE)</f>
        <v>1300000</v>
      </c>
      <c r="AG39" s="103">
        <f t="shared" si="17"/>
        <v>1300000</v>
      </c>
      <c r="AH39" s="87">
        <f>VLOOKUP(A39,'[1]סכומי בקשה'!$A$2:$G$52,6,FALSE)</f>
        <v>2300000</v>
      </c>
      <c r="AI39" s="104">
        <f t="shared" si="18"/>
        <v>1955000</v>
      </c>
      <c r="AJ39" s="105">
        <f t="shared" si="19"/>
        <v>81815.281174183896</v>
      </c>
      <c r="AK39" s="32"/>
      <c r="AL39" s="110"/>
      <c r="AM39" s="20"/>
    </row>
    <row r="40" spans="1:39" ht="15" x14ac:dyDescent="0.2">
      <c r="A40" s="8">
        <v>1001632289</v>
      </c>
      <c r="B40" s="9" t="s">
        <v>38</v>
      </c>
      <c r="C40" s="94">
        <f>VLOOKUP($A40,'[1]נתונים מהעמותות'!$A$1:$AA$65536,6,FALSE)</f>
        <v>0</v>
      </c>
      <c r="D40" s="94">
        <f>VLOOKUP($A40,'[1]נתונים מהעמותות'!$A$1:$AA$65536,7,FALSE)</f>
        <v>4.5</v>
      </c>
      <c r="E40" s="94">
        <f>VLOOKUP($A40,'[1]נתונים מהעמותות'!$A$1:$AA$65536,8,FALSE)</f>
        <v>26</v>
      </c>
      <c r="F40" s="95">
        <f t="shared" si="0"/>
        <v>30.5</v>
      </c>
      <c r="G40" s="96">
        <f t="shared" si="1"/>
        <v>0</v>
      </c>
      <c r="H40" s="96">
        <f t="shared" si="21"/>
        <v>9</v>
      </c>
      <c r="I40" s="96">
        <f t="shared" si="22"/>
        <v>26</v>
      </c>
      <c r="J40" s="94">
        <f>VLOOKUP($A40,'[1]נתונים מהעמותות'!$A$1:$AA$65536,11,FALSE)</f>
        <v>1</v>
      </c>
      <c r="K40" s="97">
        <f t="shared" si="20"/>
        <v>35</v>
      </c>
      <c r="L40" s="98">
        <f t="shared" si="5"/>
        <v>1.4066690128240569E-2</v>
      </c>
      <c r="M40" s="99">
        <f>VLOOKUP($A40,'[1]נתונים מהעמותות'!$A$1:$AA$65536,12,FALSE)</f>
        <v>103</v>
      </c>
      <c r="N40" s="99">
        <f t="shared" si="6"/>
        <v>2</v>
      </c>
      <c r="O40" s="99">
        <f>VLOOKUP(A40,'[1]נתונים מהעמותות'!$A$1:$AE$65536,31,FALSE)</f>
        <v>1</v>
      </c>
      <c r="P40" s="99">
        <f t="shared" si="7"/>
        <v>3</v>
      </c>
      <c r="Q40" s="100">
        <f t="shared" si="8"/>
        <v>4.1095890410958902E-2</v>
      </c>
      <c r="R40" s="99">
        <f>VLOOKUP($A40,'[1]נתונים מהעמותות'!$A$1:$AA$65536,13,FALSE)</f>
        <v>165</v>
      </c>
      <c r="S40" s="99">
        <f>VLOOKUP($A40,'[1]נתונים מהעמותות'!$A$1:$AA$65536,15,FALSE)</f>
        <v>330</v>
      </c>
      <c r="T40" s="99">
        <f>VLOOKUP($A40,'[1]נתונים מהעמותות'!$A$1:$AA$65536,18,FALSE)*3</f>
        <v>42</v>
      </c>
      <c r="U40" s="99">
        <f t="shared" si="9"/>
        <v>537</v>
      </c>
      <c r="V40" s="100">
        <f t="shared" si="10"/>
        <v>3.3888250810919967E-3</v>
      </c>
      <c r="W40" s="62">
        <f>VLOOKUP(B40,'[1]ייחודיות ונחיצות'!$B$1:$D$65536,2,FALSE)</f>
        <v>1</v>
      </c>
      <c r="X40" s="100">
        <f t="shared" si="11"/>
        <v>1.1904761904761904E-2</v>
      </c>
      <c r="Y40" s="94">
        <f>VLOOKUP('[1]קריטריונים וניקוד'!A40,'[1]נתונים מהעמותות'!$A$1:$AE$65536,26,FALSE)</f>
        <v>2</v>
      </c>
      <c r="Z40" s="100">
        <f t="shared" si="12"/>
        <v>2.0618556701030927E-2</v>
      </c>
      <c r="AA40" s="94">
        <f>VLOOKUP('[1]קריטריונים וניקוד'!A40,'[1]נתונים מהעמותות'!$A$1:$AE$65536,29,FALSE)</f>
        <v>0</v>
      </c>
      <c r="AB40" s="100">
        <f t="shared" si="13"/>
        <v>0</v>
      </c>
      <c r="AC40" s="101">
        <f t="shared" si="14"/>
        <v>1.1737088883477995E-2</v>
      </c>
      <c r="AD40" s="102">
        <f t="shared" si="15"/>
        <v>33955.745168074216</v>
      </c>
      <c r="AE40" s="103">
        <f t="shared" si="16"/>
        <v>3050000</v>
      </c>
      <c r="AF40" s="87">
        <f>VLOOKUP(A40,'[1]סכומי בקשה'!$A$2:$G$52,7,FALSE)</f>
        <v>850000</v>
      </c>
      <c r="AG40" s="103">
        <f t="shared" si="17"/>
        <v>850000</v>
      </c>
      <c r="AH40" s="87">
        <f>VLOOKUP(A40,'[1]סכומי בקשה'!$A$2:$G$52,6,FALSE)</f>
        <v>1000000</v>
      </c>
      <c r="AI40" s="104">
        <f t="shared" si="18"/>
        <v>850000</v>
      </c>
      <c r="AJ40" s="105">
        <f t="shared" si="19"/>
        <v>33955.745168074216</v>
      </c>
      <c r="AK40" s="111"/>
      <c r="AL40" s="112"/>
      <c r="AM40" s="20"/>
    </row>
    <row r="41" spans="1:39" x14ac:dyDescent="0.2">
      <c r="A41" s="8">
        <v>1001653064</v>
      </c>
      <c r="B41" s="9" t="s">
        <v>39</v>
      </c>
      <c r="C41" s="94">
        <f>VLOOKUP($A41,'[1]נתונים מהעמותות'!$A$1:$AA$65536,6,FALSE)</f>
        <v>1.6</v>
      </c>
      <c r="D41" s="94">
        <f>VLOOKUP($A41,'[1]נתונים מהעמותות'!$A$1:$AA$65536,7,FALSE)</f>
        <v>3.2</v>
      </c>
      <c r="E41" s="94">
        <f>VLOOKUP($A41,'[1]נתונים מהעמותות'!$A$1:$AA$65536,8,FALSE)</f>
        <v>2</v>
      </c>
      <c r="F41" s="95">
        <f t="shared" si="0"/>
        <v>6.8000000000000007</v>
      </c>
      <c r="G41" s="96">
        <f t="shared" si="1"/>
        <v>6.4</v>
      </c>
      <c r="H41" s="96">
        <f t="shared" si="21"/>
        <v>6.4</v>
      </c>
      <c r="I41" s="96">
        <f t="shared" si="22"/>
        <v>2</v>
      </c>
      <c r="J41" s="94">
        <f>VLOOKUP($A41,'[1]נתונים מהעמותות'!$A$1:$AA$65536,11,FALSE)</f>
        <v>1</v>
      </c>
      <c r="K41" s="97">
        <f t="shared" si="20"/>
        <v>14.8</v>
      </c>
      <c r="L41" s="98">
        <f t="shared" si="5"/>
        <v>5.9482003970845838E-3</v>
      </c>
      <c r="M41" s="99">
        <f>VLOOKUP($A41,'[1]נתונים מהעמותות'!$A$1:$AA$65536,12,FALSE)</f>
        <v>0</v>
      </c>
      <c r="N41" s="99">
        <f t="shared" si="6"/>
        <v>0</v>
      </c>
      <c r="O41" s="99">
        <f>VLOOKUP(A41,'[1]נתונים מהעמותות'!$A$1:$AE$65536,31,FALSE)</f>
        <v>0</v>
      </c>
      <c r="P41" s="99">
        <f t="shared" si="7"/>
        <v>0</v>
      </c>
      <c r="Q41" s="100">
        <f t="shared" si="8"/>
        <v>0</v>
      </c>
      <c r="R41" s="99">
        <f>VLOOKUP($A41,'[1]נתונים מהעמותות'!$A$1:$AA$65536,13,FALSE)</f>
        <v>340</v>
      </c>
      <c r="S41" s="99">
        <f>VLOOKUP($A41,'[1]נתונים מהעמותות'!$A$1:$AA$65536,15,FALSE)</f>
        <v>0</v>
      </c>
      <c r="T41" s="99">
        <f>VLOOKUP($A41,'[1]נתונים מהעמותות'!$A$1:$AA$65536,18,FALSE)*3</f>
        <v>1974</v>
      </c>
      <c r="U41" s="99">
        <f t="shared" si="9"/>
        <v>2314</v>
      </c>
      <c r="V41" s="100">
        <f t="shared" si="10"/>
        <v>1.4602870088727897E-2</v>
      </c>
      <c r="W41" s="62">
        <f>VLOOKUP(B41,'[1]ייחודיות ונחיצות'!$B$1:$D$65536,2,FALSE)</f>
        <v>1</v>
      </c>
      <c r="X41" s="100">
        <f t="shared" si="11"/>
        <v>1.1904761904761904E-2</v>
      </c>
      <c r="Y41" s="94">
        <f>VLOOKUP('[1]קריטריונים וניקוד'!A41,'[1]נתונים מהעמותות'!$A$1:$AE$65536,26,FALSE)</f>
        <v>3</v>
      </c>
      <c r="Z41" s="100">
        <f t="shared" si="12"/>
        <v>3.0927835051546393E-2</v>
      </c>
      <c r="AA41" s="94">
        <f>VLOOKUP('[1]קריטריונים וניקוד'!A41,'[1]נתונים מהעמותות'!$A$1:$AE$65536,29,FALSE)</f>
        <v>3</v>
      </c>
      <c r="AB41" s="100">
        <f t="shared" si="13"/>
        <v>3.8461538461538464E-2</v>
      </c>
      <c r="AC41" s="101">
        <f t="shared" si="14"/>
        <v>1.3478486439387495E-2</v>
      </c>
      <c r="AD41" s="102">
        <f t="shared" si="15"/>
        <v>38993.659784875548</v>
      </c>
      <c r="AE41" s="103">
        <f t="shared" si="16"/>
        <v>680000.00000000012</v>
      </c>
      <c r="AF41" s="87">
        <f>VLOOKUP(A41,'[1]סכומי בקשה'!$A$2:$G$52,7,FALSE)</f>
        <v>1080000</v>
      </c>
      <c r="AG41" s="103">
        <f t="shared" si="17"/>
        <v>680000.00000000012</v>
      </c>
      <c r="AH41" s="87">
        <f>VLOOKUP(A41,'[1]סכומי בקשה'!$A$2:$G$52,6,FALSE)</f>
        <v>1200000</v>
      </c>
      <c r="AI41" s="104">
        <f t="shared" si="18"/>
        <v>1020000</v>
      </c>
      <c r="AJ41" s="105">
        <f t="shared" si="19"/>
        <v>38993.659784875548</v>
      </c>
      <c r="AK41" s="106"/>
      <c r="AL41" s="107"/>
      <c r="AM41" s="20"/>
    </row>
    <row r="42" spans="1:39" x14ac:dyDescent="0.2">
      <c r="A42" s="8">
        <v>1001653065</v>
      </c>
      <c r="B42" s="9" t="s">
        <v>40</v>
      </c>
      <c r="C42" s="94">
        <f>VLOOKUP($A42,'[1]נתונים מהעמותות'!$A$1:$AA$65536,6,FALSE)</f>
        <v>0.5</v>
      </c>
      <c r="D42" s="94">
        <f>VLOOKUP($A42,'[1]נתונים מהעמותות'!$A$1:$AA$65536,7,FALSE)</f>
        <v>2</v>
      </c>
      <c r="E42" s="94">
        <f>VLOOKUP($A42,'[1]נתונים מהעמותות'!$A$1:$AA$65536,8,FALSE)</f>
        <v>2</v>
      </c>
      <c r="F42" s="95">
        <f t="shared" si="0"/>
        <v>4.5</v>
      </c>
      <c r="G42" s="96">
        <f t="shared" si="1"/>
        <v>2</v>
      </c>
      <c r="H42" s="96">
        <f t="shared" si="21"/>
        <v>4</v>
      </c>
      <c r="I42" s="96">
        <f t="shared" si="22"/>
        <v>2</v>
      </c>
      <c r="J42" s="94">
        <f>VLOOKUP($A42,'[1]נתונים מהעמותות'!$A$1:$AA$65536,11,FALSE)</f>
        <v>0.94339622641509435</v>
      </c>
      <c r="K42" s="97">
        <f t="shared" si="20"/>
        <v>7.5471698113207548</v>
      </c>
      <c r="L42" s="98">
        <f t="shared" si="5"/>
        <v>3.0332485451731684E-3</v>
      </c>
      <c r="M42" s="99">
        <f>VLOOKUP($A42,'[1]נתונים מהעמותות'!$A$1:$AA$65536,12,FALSE)</f>
        <v>0</v>
      </c>
      <c r="N42" s="99">
        <f t="shared" si="6"/>
        <v>0</v>
      </c>
      <c r="O42" s="99">
        <f>VLOOKUP(A42,'[1]נתונים מהעמותות'!$A$1:$AE$65536,31,FALSE)</f>
        <v>0</v>
      </c>
      <c r="P42" s="99">
        <f t="shared" si="7"/>
        <v>0</v>
      </c>
      <c r="Q42" s="100">
        <f t="shared" si="8"/>
        <v>0</v>
      </c>
      <c r="R42" s="99">
        <f>VLOOKUP($A42,'[1]נתונים מהעמותות'!$A$1:$AA$65536,13,FALSE)</f>
        <v>0</v>
      </c>
      <c r="S42" s="99">
        <f>VLOOKUP($A42,'[1]נתונים מהעמותות'!$A$1:$AA$65536,15,FALSE)</f>
        <v>0</v>
      </c>
      <c r="T42" s="99">
        <f>VLOOKUP($A42,'[1]נתונים מהעמותות'!$A$1:$AA$65536,18,FALSE)*3</f>
        <v>324</v>
      </c>
      <c r="U42" s="99">
        <f t="shared" si="9"/>
        <v>324</v>
      </c>
      <c r="V42" s="100">
        <f t="shared" si="10"/>
        <v>2.0446542388711489E-3</v>
      </c>
      <c r="W42" s="62">
        <f>VLOOKUP(B42,'[1]ייחודיות ונחיצות'!$B$1:$D$65536,2,FALSE)</f>
        <v>2</v>
      </c>
      <c r="X42" s="100">
        <f t="shared" si="11"/>
        <v>2.3809523809523808E-2</v>
      </c>
      <c r="Y42" s="94">
        <f>VLOOKUP('[1]קריטריונים וניקוד'!A42,'[1]נתונים מהעמותות'!$A$1:$AE$65536,26,FALSE)</f>
        <v>1.5</v>
      </c>
      <c r="Z42" s="100">
        <f t="shared" si="12"/>
        <v>1.5463917525773196E-2</v>
      </c>
      <c r="AA42" s="94">
        <f>VLOOKUP('[1]קריטריונים וניקוד'!A42,'[1]נתונים מהעמותות'!$A$1:$AE$65536,29,FALSE)</f>
        <v>3</v>
      </c>
      <c r="AB42" s="100">
        <f t="shared" si="13"/>
        <v>3.8461538461538464E-2</v>
      </c>
      <c r="AC42" s="101">
        <f t="shared" si="14"/>
        <v>8.6259056505517406E-3</v>
      </c>
      <c r="AD42" s="102">
        <f t="shared" si="15"/>
        <v>24955.000087482764</v>
      </c>
      <c r="AE42" s="103">
        <f t="shared" si="16"/>
        <v>450000</v>
      </c>
      <c r="AF42" s="87">
        <f>VLOOKUP(A42,'[1]סכומי בקשה'!$A$2:$G$52,7,FALSE)</f>
        <v>50000</v>
      </c>
      <c r="AG42" s="103">
        <f t="shared" si="17"/>
        <v>50000</v>
      </c>
      <c r="AH42" s="87">
        <f>VLOOKUP(A42,'[1]סכומי בקשה'!$A$2:$G$52,6,FALSE)</f>
        <v>100000</v>
      </c>
      <c r="AI42" s="104">
        <f t="shared" si="18"/>
        <v>85000</v>
      </c>
      <c r="AJ42" s="105">
        <f t="shared" si="19"/>
        <v>24955.000087482764</v>
      </c>
      <c r="AK42" s="106"/>
      <c r="AL42" s="107"/>
      <c r="AM42" s="20"/>
    </row>
    <row r="43" spans="1:39" x14ac:dyDescent="0.2">
      <c r="A43" s="8">
        <v>1001653069</v>
      </c>
      <c r="B43" s="9" t="s">
        <v>41</v>
      </c>
      <c r="C43" s="94">
        <f>VLOOKUP($A43,'[1]נתונים מהעמותות'!$A$1:$AA$65536,6,FALSE)</f>
        <v>1</v>
      </c>
      <c r="D43" s="94">
        <f>VLOOKUP($A43,'[1]נתונים מהעמותות'!$A$1:$AA$65536,7,FALSE)</f>
        <v>0</v>
      </c>
      <c r="E43" s="94">
        <f>VLOOKUP($A43,'[1]נתונים מהעמותות'!$A$1:$AA$65536,8,FALSE)</f>
        <v>0</v>
      </c>
      <c r="F43" s="95">
        <f t="shared" si="0"/>
        <v>1</v>
      </c>
      <c r="G43" s="96">
        <f t="shared" si="1"/>
        <v>4</v>
      </c>
      <c r="H43" s="96">
        <f t="shared" si="21"/>
        <v>0</v>
      </c>
      <c r="I43" s="96">
        <f t="shared" si="22"/>
        <v>0</v>
      </c>
      <c r="J43" s="94">
        <f>VLOOKUP($A43,'[1]נתונים מהעמותות'!$A$1:$AA$65536,11,FALSE)</f>
        <v>1</v>
      </c>
      <c r="K43" s="97">
        <f t="shared" si="20"/>
        <v>4</v>
      </c>
      <c r="L43" s="98">
        <f t="shared" si="5"/>
        <v>1.6076217289417794E-3</v>
      </c>
      <c r="M43" s="99">
        <f>VLOOKUP($A43,'[1]נתונים מהעמותות'!$A$1:$AA$65536,12,FALSE)</f>
        <v>206</v>
      </c>
      <c r="N43" s="99">
        <f t="shared" si="6"/>
        <v>3</v>
      </c>
      <c r="O43" s="99">
        <f>VLOOKUP(A43,'[1]נתונים מהעמותות'!$A$1:$AE$65536,31,FALSE)</f>
        <v>1</v>
      </c>
      <c r="P43" s="99">
        <f t="shared" si="7"/>
        <v>4</v>
      </c>
      <c r="Q43" s="100">
        <f t="shared" si="8"/>
        <v>5.4794520547945202E-2</v>
      </c>
      <c r="R43" s="99">
        <f>VLOOKUP($A43,'[1]נתונים מהעמותות'!$A$1:$AA$65536,13,FALSE)</f>
        <v>42</v>
      </c>
      <c r="S43" s="99">
        <f>VLOOKUP($A43,'[1]נתונים מהעמותות'!$A$1:$AA$65536,15,FALSE)</f>
        <v>576</v>
      </c>
      <c r="T43" s="99">
        <f>VLOOKUP($A43,'[1]נתונים מהעמותות'!$A$1:$AA$65536,18,FALSE)*3</f>
        <v>63</v>
      </c>
      <c r="U43" s="99">
        <f t="shared" si="9"/>
        <v>681</v>
      </c>
      <c r="V43" s="100">
        <f t="shared" si="10"/>
        <v>4.2975602983680626E-3</v>
      </c>
      <c r="W43" s="62">
        <f>VLOOKUP(B43,'[1]ייחודיות ונחיצות'!$B$1:$D$65536,2,FALSE)</f>
        <v>2</v>
      </c>
      <c r="X43" s="100">
        <f t="shared" si="11"/>
        <v>2.3809523809523808E-2</v>
      </c>
      <c r="Y43" s="94">
        <f>VLOOKUP('[1]קריטריונים וניקוד'!A43,'[1]נתונים מהעמותות'!$A$1:$AE$65536,26,FALSE)</f>
        <v>3</v>
      </c>
      <c r="Z43" s="100">
        <f t="shared" si="12"/>
        <v>3.0927835051546393E-2</v>
      </c>
      <c r="AA43" s="94">
        <f>VLOOKUP('[1]קריטריונים וניקוד'!A43,'[1]נתונים מהעמותות'!$A$1:$AE$65536,29,FALSE)</f>
        <v>3</v>
      </c>
      <c r="AB43" s="100">
        <f t="shared" si="13"/>
        <v>3.8461538461538464E-2</v>
      </c>
      <c r="AC43" s="101">
        <f t="shared" si="14"/>
        <v>1.5239382657589423E-2</v>
      </c>
      <c r="AD43" s="102">
        <f t="shared" si="15"/>
        <v>44087.98460820195</v>
      </c>
      <c r="AE43" s="103">
        <f t="shared" si="16"/>
        <v>100000</v>
      </c>
      <c r="AF43" s="87">
        <f>VLOOKUP(A43,'[1]סכומי בקשה'!$A$2:$G$52,7,FALSE)</f>
        <v>350000</v>
      </c>
      <c r="AG43" s="103">
        <f t="shared" si="17"/>
        <v>100000</v>
      </c>
      <c r="AH43" s="87">
        <f>VLOOKUP(A43,'[1]סכומי בקשה'!$A$2:$G$52,6,FALSE)</f>
        <v>500000</v>
      </c>
      <c r="AI43" s="104">
        <f t="shared" si="18"/>
        <v>425000</v>
      </c>
      <c r="AJ43" s="105">
        <f t="shared" si="19"/>
        <v>44087.98460820195</v>
      </c>
      <c r="AK43" s="106"/>
      <c r="AL43" s="107"/>
      <c r="AM43" s="20"/>
    </row>
    <row r="44" spans="1:39" x14ac:dyDescent="0.2">
      <c r="A44" s="8">
        <v>1001653173</v>
      </c>
      <c r="B44" s="9" t="s">
        <v>42</v>
      </c>
      <c r="C44" s="94">
        <f>VLOOKUP($A44,'[1]נתונים מהעמותות'!$A$1:$AA$65536,6,FALSE)</f>
        <v>0.5</v>
      </c>
      <c r="D44" s="94">
        <f>VLOOKUP($A44,'[1]נתונים מהעמותות'!$A$1:$AA$65536,7,FALSE)</f>
        <v>5</v>
      </c>
      <c r="E44" s="94">
        <f>VLOOKUP($A44,'[1]נתונים מהעמותות'!$A$1:$AA$65536,8,FALSE)</f>
        <v>3</v>
      </c>
      <c r="F44" s="95">
        <f t="shared" si="0"/>
        <v>8.5</v>
      </c>
      <c r="G44" s="96">
        <f t="shared" si="1"/>
        <v>2</v>
      </c>
      <c r="H44" s="96">
        <f t="shared" si="21"/>
        <v>10</v>
      </c>
      <c r="I44" s="96">
        <f t="shared" si="22"/>
        <v>3</v>
      </c>
      <c r="J44" s="94">
        <f>VLOOKUP($A44,'[1]נתונים מהעמותות'!$A$1:$AA$65536,11,FALSE)</f>
        <v>1</v>
      </c>
      <c r="K44" s="97">
        <f t="shared" si="20"/>
        <v>15</v>
      </c>
      <c r="L44" s="98">
        <f t="shared" si="5"/>
        <v>6.0285814835316729E-3</v>
      </c>
      <c r="M44" s="99">
        <f>VLOOKUP($A44,'[1]נתונים מהעמותות'!$A$1:$AA$65536,12,FALSE)</f>
        <v>0</v>
      </c>
      <c r="N44" s="99">
        <f t="shared" si="6"/>
        <v>0</v>
      </c>
      <c r="O44" s="99">
        <f>VLOOKUP(A44,'[1]נתונים מהעמותות'!$A$1:$AE$65536,31,FALSE)</f>
        <v>0</v>
      </c>
      <c r="P44" s="99">
        <f t="shared" si="7"/>
        <v>0</v>
      </c>
      <c r="Q44" s="100">
        <f t="shared" si="8"/>
        <v>0</v>
      </c>
      <c r="R44" s="99">
        <f>VLOOKUP($A44,'[1]נתונים מהעמותות'!$A$1:$AA$65536,13,FALSE)</f>
        <v>5</v>
      </c>
      <c r="S44" s="99">
        <f>VLOOKUP($A44,'[1]נתונים מהעמותות'!$A$1:$AA$65536,15,FALSE)</f>
        <v>0</v>
      </c>
      <c r="T44" s="99">
        <f>VLOOKUP($A44,'[1]נתונים מהעמותות'!$A$1:$AA$65536,18,FALSE)*3</f>
        <v>2076</v>
      </c>
      <c r="U44" s="99">
        <f t="shared" si="9"/>
        <v>2081</v>
      </c>
      <c r="V44" s="100">
        <f t="shared" si="10"/>
        <v>1.3132486021885372E-2</v>
      </c>
      <c r="W44" s="62">
        <f>VLOOKUP(B44,'[1]ייחודיות ונחיצות'!$B$1:$D$65536,2,FALSE)</f>
        <v>1</v>
      </c>
      <c r="X44" s="100">
        <f t="shared" si="11"/>
        <v>1.1904761904761904E-2</v>
      </c>
      <c r="Y44" s="94">
        <f>VLOOKUP('[1]קריטריונים וניקוד'!A44,'[1]נתונים מהעמותות'!$A$1:$AE$65536,26,FALSE)</f>
        <v>3</v>
      </c>
      <c r="Z44" s="100">
        <f t="shared" si="12"/>
        <v>3.0927835051546393E-2</v>
      </c>
      <c r="AA44" s="94">
        <f>VLOOKUP('[1]קריטריונים וניקוד'!A44,'[1]נתונים מהעמותות'!$A$1:$AE$65536,29,FALSE)</f>
        <v>3</v>
      </c>
      <c r="AB44" s="100">
        <f t="shared" si="13"/>
        <v>3.8461538461538464E-2</v>
      </c>
      <c r="AC44" s="101">
        <f t="shared" si="14"/>
        <v>1.2987966341926739E-2</v>
      </c>
      <c r="AD44" s="102">
        <f t="shared" si="15"/>
        <v>37574.570639811427</v>
      </c>
      <c r="AE44" s="103">
        <f t="shared" si="16"/>
        <v>850000</v>
      </c>
      <c r="AF44" s="87">
        <f>VLOOKUP(A44,'[1]סכומי בקשה'!$A$2:$G$52,7,FALSE)</f>
        <v>400000</v>
      </c>
      <c r="AG44" s="103">
        <f t="shared" si="17"/>
        <v>400000</v>
      </c>
      <c r="AH44" s="87">
        <f>VLOOKUP(A44,'[1]סכומי בקשה'!$A$2:$G$52,6,FALSE)</f>
        <v>500000</v>
      </c>
      <c r="AI44" s="104">
        <f t="shared" si="18"/>
        <v>425000</v>
      </c>
      <c r="AJ44" s="105">
        <f t="shared" si="19"/>
        <v>37574.570639811427</v>
      </c>
      <c r="AK44" s="113"/>
      <c r="AL44" s="107"/>
      <c r="AM44" s="114"/>
    </row>
    <row r="45" spans="1:39" ht="15" thickBot="1" x14ac:dyDescent="0.25">
      <c r="A45" s="8">
        <v>1001653175</v>
      </c>
      <c r="B45" s="9" t="s">
        <v>43</v>
      </c>
      <c r="C45" s="94">
        <f>VLOOKUP($A45,'[1]נתונים מהעמותות'!$A$1:$AA$65536,6,FALSE)</f>
        <v>16.2</v>
      </c>
      <c r="D45" s="94">
        <f>VLOOKUP($A45,'[1]נתונים מהעמותות'!$A$1:$AA$65536,7,FALSE)</f>
        <v>137.69999999999999</v>
      </c>
      <c r="E45" s="94">
        <f>VLOOKUP($A45,'[1]נתונים מהעמותות'!$A$1:$AA$65536,8,FALSE)</f>
        <v>2</v>
      </c>
      <c r="F45" s="95">
        <f t="shared" si="0"/>
        <v>155.89999999999998</v>
      </c>
      <c r="G45" s="96">
        <f t="shared" si="1"/>
        <v>64.8</v>
      </c>
      <c r="H45" s="96">
        <f t="shared" si="21"/>
        <v>275.39999999999998</v>
      </c>
      <c r="I45" s="96">
        <f t="shared" si="22"/>
        <v>2</v>
      </c>
      <c r="J45" s="94">
        <f>VLOOKUP($A45,'[1]נתונים מהעמותות'!$A$1:$AA$65536,11,FALSE)</f>
        <v>0.95548733691481202</v>
      </c>
      <c r="K45" s="97">
        <f t="shared" si="20"/>
        <v>326.96776669224869</v>
      </c>
      <c r="L45" s="98">
        <f t="shared" si="5"/>
        <v>0.1314101215995063</v>
      </c>
      <c r="M45" s="99">
        <f>VLOOKUP($A45,'[1]נתונים מהעמותות'!$A$1:$AA$65536,12,FALSE)</f>
        <v>4</v>
      </c>
      <c r="N45" s="99">
        <f t="shared" si="6"/>
        <v>0</v>
      </c>
      <c r="O45" s="99">
        <f>VLOOKUP(A45,'[1]נתונים מהעמותות'!$A$1:$AE$65536,31,FALSE)</f>
        <v>0</v>
      </c>
      <c r="P45" s="99">
        <f t="shared" si="7"/>
        <v>0</v>
      </c>
      <c r="Q45" s="100">
        <f t="shared" si="8"/>
        <v>0</v>
      </c>
      <c r="R45" s="99">
        <f>VLOOKUP($A45,'[1]נתונים מהעמותות'!$A$1:$AA$65536,13,FALSE)</f>
        <v>399</v>
      </c>
      <c r="S45" s="99">
        <f>VLOOKUP($A45,'[1]נתונים מהעמותות'!$A$1:$AA$65536,15,FALSE)</f>
        <v>273</v>
      </c>
      <c r="T45" s="99">
        <f>VLOOKUP($A45,'[1]נתונים מהעמותות'!$A$1:$AA$65536,18,FALSE)*3</f>
        <v>1188</v>
      </c>
      <c r="U45" s="99">
        <f t="shared" si="9"/>
        <v>1860</v>
      </c>
      <c r="V45" s="100">
        <f t="shared" si="10"/>
        <v>1.1737829889815855E-2</v>
      </c>
      <c r="W45" s="62">
        <f>VLOOKUP(B45,'[1]ייחודיות ונחיצות'!$B$1:$D$65536,2,FALSE)</f>
        <v>1</v>
      </c>
      <c r="X45" s="100">
        <f t="shared" si="11"/>
        <v>1.1904761904761904E-2</v>
      </c>
      <c r="Y45" s="94">
        <f>VLOOKUP('[1]קריטריונים וניקוד'!A45,'[1]נתונים מהעמותות'!$A$1:$AE$65536,26,FALSE)</f>
        <v>2</v>
      </c>
      <c r="Z45" s="100">
        <f t="shared" si="12"/>
        <v>2.0618556701030927E-2</v>
      </c>
      <c r="AA45" s="94">
        <f>VLOOKUP('[1]קריטריונים וניקוד'!A45,'[1]נתונים מהעמותות'!$A$1:$AE$65536,29,FALSE)</f>
        <v>3</v>
      </c>
      <c r="AB45" s="100">
        <f t="shared" si="13"/>
        <v>3.8461538461538464E-2</v>
      </c>
      <c r="AC45" s="101">
        <f t="shared" si="14"/>
        <v>4.9598834812969027E-2</v>
      </c>
      <c r="AD45" s="102">
        <f t="shared" si="15"/>
        <v>143490.89559280252</v>
      </c>
      <c r="AE45" s="103">
        <f t="shared" si="16"/>
        <v>15589999.999999998</v>
      </c>
      <c r="AF45" s="87">
        <f>VLOOKUP(A45,'[1]סכומי בקשה'!$A$2:$G$52,7,FALSE)</f>
        <v>2433562</v>
      </c>
      <c r="AG45" s="103">
        <f t="shared" si="17"/>
        <v>2433562</v>
      </c>
      <c r="AH45" s="87">
        <f>VLOOKUP(A45,'[1]סכומי בקשה'!$A$2:$G$52,6,FALSE)</f>
        <v>2863014</v>
      </c>
      <c r="AI45" s="104">
        <f t="shared" si="18"/>
        <v>2433561.9</v>
      </c>
      <c r="AJ45" s="105">
        <f t="shared" si="19"/>
        <v>143490.89559280252</v>
      </c>
      <c r="AK45" s="115">
        <f>SUM(AK7:AK44)</f>
        <v>0</v>
      </c>
      <c r="AL45" s="116"/>
      <c r="AM45" s="20"/>
    </row>
    <row r="46" spans="1:39" x14ac:dyDescent="0.2">
      <c r="A46" s="8">
        <v>1001653206</v>
      </c>
      <c r="B46" s="9" t="s">
        <v>44</v>
      </c>
      <c r="C46" s="94">
        <f>VLOOKUP($A46,'[1]נתונים מהעמותות'!$A$1:$AA$65536,6,FALSE)</f>
        <v>0.5</v>
      </c>
      <c r="D46" s="94">
        <f>VLOOKUP($A46,'[1]נתונים מהעמותות'!$A$1:$AA$65536,7,FALSE)</f>
        <v>1</v>
      </c>
      <c r="E46" s="94">
        <f>VLOOKUP($A46,'[1]נתונים מהעמותות'!$A$1:$AA$65536,8,FALSE)</f>
        <v>0.2</v>
      </c>
      <c r="F46" s="95">
        <f t="shared" si="0"/>
        <v>1.7</v>
      </c>
      <c r="G46" s="96">
        <f t="shared" si="1"/>
        <v>2</v>
      </c>
      <c r="H46" s="96">
        <f t="shared" si="21"/>
        <v>2</v>
      </c>
      <c r="I46" s="96">
        <f t="shared" si="22"/>
        <v>0.2</v>
      </c>
      <c r="J46" s="94">
        <f>VLOOKUP($A46,'[1]נתונים מהעמותות'!$A$1:$AA$65536,11,FALSE)</f>
        <v>1</v>
      </c>
      <c r="K46" s="97">
        <f t="shared" si="20"/>
        <v>4.2</v>
      </c>
      <c r="L46" s="98">
        <f t="shared" si="5"/>
        <v>1.6880028153888685E-3</v>
      </c>
      <c r="M46" s="99">
        <f>VLOOKUP($A46,'[1]נתונים מהעמותות'!$A$1:$AA$65536,12,FALSE)</f>
        <v>5</v>
      </c>
      <c r="N46" s="99">
        <f t="shared" si="6"/>
        <v>0</v>
      </c>
      <c r="O46" s="99">
        <f>VLOOKUP(A46,'[1]נתונים מהעמותות'!$A$1:$AE$65536,31,FALSE)</f>
        <v>1</v>
      </c>
      <c r="P46" s="99">
        <f t="shared" si="7"/>
        <v>1</v>
      </c>
      <c r="Q46" s="100">
        <f t="shared" si="8"/>
        <v>1.3698630136986301E-2</v>
      </c>
      <c r="R46" s="99">
        <f>VLOOKUP($A46,'[1]נתונים מהעמותות'!$A$1:$AA$65536,13,FALSE)</f>
        <v>50</v>
      </c>
      <c r="S46" s="99">
        <f>VLOOKUP($A46,'[1]נתונים מהעמותות'!$A$1:$AA$65536,15,FALSE)</f>
        <v>360</v>
      </c>
      <c r="T46" s="99">
        <f>VLOOKUP($A46,'[1]נתונים מהעמותות'!$A$1:$AA$65536,18,FALSE)*3</f>
        <v>414</v>
      </c>
      <c r="U46" s="99">
        <f t="shared" si="9"/>
        <v>824</v>
      </c>
      <c r="V46" s="100">
        <f t="shared" si="10"/>
        <v>5.199984854413045E-3</v>
      </c>
      <c r="W46" s="62">
        <f>VLOOKUP(B46,'[1]ייחודיות ונחיצות'!$B$1:$D$65536,2,FALSE)</f>
        <v>1</v>
      </c>
      <c r="X46" s="100">
        <f t="shared" si="11"/>
        <v>1.1904761904761904E-2</v>
      </c>
      <c r="Y46" s="94">
        <f>VLOOKUP('[1]קריטריונים וניקוד'!A46,'[1]נתונים מהעמותות'!$A$1:$AE$65536,26,FALSE)</f>
        <v>2</v>
      </c>
      <c r="Z46" s="100">
        <f t="shared" si="12"/>
        <v>2.0618556701030927E-2</v>
      </c>
      <c r="AA46" s="94">
        <f>VLOOKUP('[1]קריטריונים וניקוד'!A46,'[1]נתונים מהעמותות'!$A$1:$AE$65536,29,FALSE)</f>
        <v>3</v>
      </c>
      <c r="AB46" s="100">
        <f t="shared" si="13"/>
        <v>3.8461538461538464E-2</v>
      </c>
      <c r="AC46" s="101">
        <f t="shared" si="14"/>
        <v>9.7638164290414393E-3</v>
      </c>
      <c r="AD46" s="102">
        <f t="shared" si="15"/>
        <v>28247.009614035105</v>
      </c>
      <c r="AE46" s="103">
        <f t="shared" si="16"/>
        <v>170000</v>
      </c>
      <c r="AF46" s="87">
        <f>VLOOKUP(A46,'[1]סכומי בקשה'!$A$2:$G$52,7,FALSE)</f>
        <v>150000</v>
      </c>
      <c r="AG46" s="103">
        <f t="shared" si="17"/>
        <v>150000</v>
      </c>
      <c r="AH46" s="87">
        <f>VLOOKUP(A46,'[1]סכומי בקשה'!$A$2:$G$52,6,FALSE)</f>
        <v>200000</v>
      </c>
      <c r="AI46" s="104">
        <f t="shared" si="18"/>
        <v>170000</v>
      </c>
      <c r="AJ46" s="105">
        <f t="shared" si="19"/>
        <v>28247.009614035105</v>
      </c>
      <c r="AK46" s="32"/>
      <c r="AL46" s="33"/>
      <c r="AM46" s="20"/>
    </row>
    <row r="47" spans="1:39" x14ac:dyDescent="0.2">
      <c r="A47" s="8">
        <v>1001653207</v>
      </c>
      <c r="B47" s="9" t="s">
        <v>45</v>
      </c>
      <c r="C47" s="94">
        <f>VLOOKUP($A47,'[1]נתונים מהעמותות'!$A$1:$AA$65536,6,FALSE)</f>
        <v>56</v>
      </c>
      <c r="D47" s="94">
        <f>VLOOKUP($A47,'[1]נתונים מהעמותות'!$A$1:$AA$65536,7,FALSE)</f>
        <v>6.6</v>
      </c>
      <c r="E47" s="94">
        <f>VLOOKUP($A47,'[1]נתונים מהעמותות'!$A$1:$AA$65536,8,FALSE)</f>
        <v>6</v>
      </c>
      <c r="F47" s="95">
        <f t="shared" si="0"/>
        <v>68.599999999999994</v>
      </c>
      <c r="G47" s="96">
        <f t="shared" si="1"/>
        <v>224</v>
      </c>
      <c r="H47" s="96">
        <f t="shared" si="21"/>
        <v>13.2</v>
      </c>
      <c r="I47" s="96">
        <f t="shared" si="22"/>
        <v>6</v>
      </c>
      <c r="J47" s="94">
        <f>VLOOKUP($A47,'[1]נתונים מהעמותות'!$A$1:$AA$65536,11,FALSE)</f>
        <v>1</v>
      </c>
      <c r="K47" s="97">
        <f t="shared" si="20"/>
        <v>243.2</v>
      </c>
      <c r="L47" s="98">
        <f t="shared" si="5"/>
        <v>9.7743401119660178E-2</v>
      </c>
      <c r="M47" s="99">
        <f>VLOOKUP($A47,'[1]נתונים מהעמותות'!$A$1:$AA$65536,12,FALSE)</f>
        <v>300</v>
      </c>
      <c r="N47" s="99">
        <f t="shared" si="6"/>
        <v>3</v>
      </c>
      <c r="O47" s="99">
        <f>VLOOKUP(A47,'[1]נתונים מהעמותות'!$A$1:$AE$65536,31,FALSE)</f>
        <v>1</v>
      </c>
      <c r="P47" s="99">
        <f t="shared" si="7"/>
        <v>4</v>
      </c>
      <c r="Q47" s="100">
        <f t="shared" si="8"/>
        <v>5.4794520547945202E-2</v>
      </c>
      <c r="R47" s="99">
        <f>VLOOKUP($A47,'[1]נתונים מהעמותות'!$A$1:$AA$65536,13,FALSE)</f>
        <v>400</v>
      </c>
      <c r="S47" s="99">
        <f>VLOOKUP($A47,'[1]נתונים מהעמותות'!$A$1:$AA$65536,15,FALSE)</f>
        <v>450</v>
      </c>
      <c r="T47" s="99">
        <f>VLOOKUP($A47,'[1]נתונים מהעמותות'!$A$1:$AA$65536,18,FALSE)*3</f>
        <v>2094</v>
      </c>
      <c r="U47" s="99">
        <f t="shared" si="9"/>
        <v>2944</v>
      </c>
      <c r="V47" s="100">
        <f t="shared" si="10"/>
        <v>1.8578586664310687E-2</v>
      </c>
      <c r="W47" s="62">
        <f>VLOOKUP(B47,'[1]ייחודיות ונחיצות'!$B$1:$D$65536,2,FALSE)</f>
        <v>2</v>
      </c>
      <c r="X47" s="100">
        <f t="shared" si="11"/>
        <v>2.3809523809523808E-2</v>
      </c>
      <c r="Y47" s="94">
        <f>VLOOKUP('[1]קריטריונים וניקוד'!A47,'[1]נתונים מהעמותות'!$A$1:$AE$65536,26,FALSE)</f>
        <v>3</v>
      </c>
      <c r="Z47" s="100">
        <f t="shared" si="12"/>
        <v>3.0927835051546393E-2</v>
      </c>
      <c r="AA47" s="94">
        <f>VLOOKUP('[1]קריטריונים וניקוד'!A47,'[1]נתונים מהעמותות'!$A$1:$AE$65536,29,FALSE)</f>
        <v>3</v>
      </c>
      <c r="AB47" s="100">
        <f t="shared" si="13"/>
        <v>3.8461538461538464E-2</v>
      </c>
      <c r="AC47" s="101">
        <f t="shared" si="14"/>
        <v>4.9078475702884858E-2</v>
      </c>
      <c r="AD47" s="102">
        <f t="shared" si="15"/>
        <v>141985.48130197471</v>
      </c>
      <c r="AE47" s="103">
        <f t="shared" si="16"/>
        <v>6859999.9999999991</v>
      </c>
      <c r="AF47" s="87">
        <f>VLOOKUP(A47,'[1]סכומי בקשה'!$A$2:$G$52,7,FALSE)</f>
        <v>100000</v>
      </c>
      <c r="AG47" s="103">
        <f t="shared" si="17"/>
        <v>100000</v>
      </c>
      <c r="AH47" s="87">
        <f>VLOOKUP(A47,'[1]סכומי בקשה'!$A$2:$G$52,6,FALSE)</f>
        <v>1570000</v>
      </c>
      <c r="AI47" s="104">
        <f t="shared" si="18"/>
        <v>1334500</v>
      </c>
      <c r="AJ47" s="105">
        <f t="shared" si="19"/>
        <v>100000</v>
      </c>
      <c r="AK47" s="32"/>
      <c r="AL47" s="33"/>
      <c r="AM47" s="20"/>
    </row>
    <row r="48" spans="1:39" x14ac:dyDescent="0.2">
      <c r="A48" s="8">
        <v>1001653226</v>
      </c>
      <c r="B48" s="9" t="s">
        <v>46</v>
      </c>
      <c r="C48" s="94">
        <f>VLOOKUP($A48,'[1]נתונים מהעמותות'!$A$1:$AA$65536,6,FALSE)</f>
        <v>0.2</v>
      </c>
      <c r="D48" s="94">
        <f>VLOOKUP($A48,'[1]נתונים מהעמותות'!$A$1:$AA$65536,7,FALSE)</f>
        <v>0.5</v>
      </c>
      <c r="E48" s="94">
        <f>VLOOKUP($A48,'[1]נתונים מהעמותות'!$A$1:$AA$65536,8,FALSE)</f>
        <v>0.5</v>
      </c>
      <c r="F48" s="95">
        <f t="shared" si="0"/>
        <v>1.2</v>
      </c>
      <c r="G48" s="96">
        <f t="shared" si="1"/>
        <v>0.8</v>
      </c>
      <c r="H48" s="96">
        <f t="shared" si="21"/>
        <v>1</v>
      </c>
      <c r="I48" s="96">
        <f t="shared" si="22"/>
        <v>0.5</v>
      </c>
      <c r="J48" s="94">
        <f>VLOOKUP($A48,'[1]נתונים מהעמותות'!$A$1:$AA$65536,11,FALSE)</f>
        <v>1</v>
      </c>
      <c r="K48" s="97">
        <f t="shared" si="20"/>
        <v>2.2999999999999998</v>
      </c>
      <c r="L48" s="98">
        <f t="shared" si="5"/>
        <v>9.2438249414152302E-4</v>
      </c>
      <c r="M48" s="99">
        <f>VLOOKUP($A48,'[1]נתונים מהעמותות'!$A$1:$AA$65536,12,FALSE)</f>
        <v>6</v>
      </c>
      <c r="N48" s="117">
        <f t="shared" si="6"/>
        <v>0</v>
      </c>
      <c r="O48" s="99">
        <f>VLOOKUP(A48,'[1]נתונים מהעמותות'!$A$1:$AE$65536,31,FALSE)</f>
        <v>1</v>
      </c>
      <c r="P48" s="99">
        <f t="shared" si="7"/>
        <v>1</v>
      </c>
      <c r="Q48" s="100">
        <f t="shared" si="8"/>
        <v>1.3698630136986301E-2</v>
      </c>
      <c r="R48" s="99">
        <f>VLOOKUP($A48,'[1]נתונים מהעמותות'!$A$1:$AA$65536,13,FALSE)</f>
        <v>84</v>
      </c>
      <c r="S48" s="99">
        <f>VLOOKUP($A48,'[1]נתונים מהעמותות'!$A$1:$AA$65536,15,FALSE)</f>
        <v>3960</v>
      </c>
      <c r="T48" s="99">
        <f>VLOOKUP($A48,'[1]נתונים מהעמותות'!$A$1:$AA$65536,18,FALSE)*3</f>
        <v>810</v>
      </c>
      <c r="U48" s="117">
        <f t="shared" si="9"/>
        <v>4854</v>
      </c>
      <c r="V48" s="100">
        <f t="shared" si="10"/>
        <v>3.0631949615680731E-2</v>
      </c>
      <c r="W48" s="62">
        <f>VLOOKUP(B48,'[1]ייחודיות ונחיצות'!$B$1:$D$65536,2,FALSE)</f>
        <v>2</v>
      </c>
      <c r="X48" s="100">
        <f t="shared" si="11"/>
        <v>2.3809523809523808E-2</v>
      </c>
      <c r="Y48" s="94">
        <f>VLOOKUP('[1]קריטריונים וניקוד'!A48,'[1]נתונים מהעמותות'!$A$1:$AE$65536,26,FALSE)</f>
        <v>1</v>
      </c>
      <c r="Z48" s="100">
        <f t="shared" si="12"/>
        <v>1.0309278350515464E-2</v>
      </c>
      <c r="AA48" s="94">
        <f>VLOOKUP('[1]קריטריונים וניקוד'!A48,'[1]נתונים מהעמותות'!$A$1:$AE$65536,29,FALSE)</f>
        <v>3</v>
      </c>
      <c r="AB48" s="100">
        <f t="shared" si="13"/>
        <v>3.8461538461538464E-2</v>
      </c>
      <c r="AC48" s="118">
        <f t="shared" si="14"/>
        <v>1.9110930272061344E-2</v>
      </c>
      <c r="AD48" s="119">
        <f t="shared" si="15"/>
        <v>55288.486326147438</v>
      </c>
      <c r="AE48" s="120">
        <f t="shared" si="16"/>
        <v>120000</v>
      </c>
      <c r="AF48" s="87">
        <f>VLOOKUP(A48,'[1]סכומי בקשה'!$A$2:$G$52,7,FALSE)</f>
        <v>250000</v>
      </c>
      <c r="AG48" s="120">
        <f t="shared" si="17"/>
        <v>120000</v>
      </c>
      <c r="AH48" s="87">
        <f>VLOOKUP(A48,'[1]סכומי בקשה'!$A$2:$G$52,6,FALSE)</f>
        <v>400000</v>
      </c>
      <c r="AI48" s="121">
        <f t="shared" si="18"/>
        <v>340000</v>
      </c>
      <c r="AJ48" s="122">
        <f t="shared" si="19"/>
        <v>55288.486326147438</v>
      </c>
      <c r="AK48" s="32"/>
      <c r="AL48" s="33"/>
      <c r="AM48" s="20"/>
    </row>
    <row r="49" spans="1:39" x14ac:dyDescent="0.2">
      <c r="A49" s="8">
        <v>1001653365</v>
      </c>
      <c r="B49" s="9" t="s">
        <v>47</v>
      </c>
      <c r="C49" s="94">
        <f>VLOOKUP($A49,'[1]נתונים מהעמותות'!$A$1:$AA$65536,6,FALSE)</f>
        <v>2</v>
      </c>
      <c r="D49" s="94">
        <f>VLOOKUP($A49,'[1]נתונים מהעמותות'!$A$1:$AA$65536,7,FALSE)</f>
        <v>2</v>
      </c>
      <c r="E49" s="94">
        <f>VLOOKUP($A49,'[1]נתונים מהעמותות'!$A$1:$AA$65536,8,FALSE)</f>
        <v>15</v>
      </c>
      <c r="F49" s="95">
        <f t="shared" si="0"/>
        <v>19</v>
      </c>
      <c r="G49" s="96">
        <f t="shared" si="1"/>
        <v>8</v>
      </c>
      <c r="H49" s="96">
        <f t="shared" si="21"/>
        <v>4</v>
      </c>
      <c r="I49" s="96">
        <f t="shared" si="22"/>
        <v>15</v>
      </c>
      <c r="J49" s="94">
        <f>VLOOKUP($A49,'[1]נתונים מהעמותות'!$A$1:$AA$65536,11,FALSE)</f>
        <v>1</v>
      </c>
      <c r="K49" s="97">
        <f t="shared" si="20"/>
        <v>27</v>
      </c>
      <c r="L49" s="98">
        <f t="shared" si="5"/>
        <v>1.085144667035701E-2</v>
      </c>
      <c r="M49" s="99">
        <f>VLOOKUP($A49,'[1]נתונים מהעמותות'!$A$1:$AA$65536,12,FALSE)</f>
        <v>50</v>
      </c>
      <c r="N49" s="117">
        <f t="shared" si="6"/>
        <v>1</v>
      </c>
      <c r="O49" s="99">
        <f>VLOOKUP(A49,'[1]נתונים מהעמותות'!$A$1:$AE$65536,31,FALSE)</f>
        <v>1</v>
      </c>
      <c r="P49" s="99">
        <f t="shared" si="7"/>
        <v>2</v>
      </c>
      <c r="Q49" s="100">
        <f t="shared" si="8"/>
        <v>2.7397260273972601E-2</v>
      </c>
      <c r="R49" s="99">
        <f>VLOOKUP($A49,'[1]נתונים מהעמותות'!$A$1:$AA$65536,13,FALSE)</f>
        <v>60</v>
      </c>
      <c r="S49" s="99">
        <f>VLOOKUP($A49,'[1]נתונים מהעמותות'!$A$1:$AA$65536,15,FALSE)</f>
        <v>72</v>
      </c>
      <c r="T49" s="99">
        <f>VLOOKUP($A49,'[1]נתונים מהעמותות'!$A$1:$AA$65536,18,FALSE)*3</f>
        <v>633</v>
      </c>
      <c r="U49" s="117">
        <f t="shared" si="9"/>
        <v>765</v>
      </c>
      <c r="V49" s="100">
        <f t="shared" si="10"/>
        <v>4.8276558417791014E-3</v>
      </c>
      <c r="W49" s="62">
        <f>VLOOKUP(B49,'[1]ייחודיות ונחיצות'!$B$1:$D$65536,2,FALSE)</f>
        <v>1</v>
      </c>
      <c r="X49" s="100">
        <f t="shared" si="11"/>
        <v>1.1904761904761904E-2</v>
      </c>
      <c r="Y49" s="94">
        <f>VLOOKUP('[1]קריטריונים וניקוד'!A49,'[1]נתונים מהעמותות'!$A$1:$AE$65536,26,FALSE)</f>
        <v>3</v>
      </c>
      <c r="Z49" s="100">
        <f t="shared" si="12"/>
        <v>3.0927835051546393E-2</v>
      </c>
      <c r="AA49" s="94">
        <f>VLOOKUP('[1]קריטריונים וניקוד'!A49,'[1]נתונים מהעמותות'!$A$1:$AE$65536,29,FALSE)</f>
        <v>0</v>
      </c>
      <c r="AB49" s="100">
        <f t="shared" si="13"/>
        <v>0</v>
      </c>
      <c r="AC49" s="118">
        <f t="shared" si="14"/>
        <v>1.0421707516180557E-2</v>
      </c>
      <c r="AD49" s="119">
        <f t="shared" si="15"/>
        <v>30150.307980863483</v>
      </c>
      <c r="AE49" s="120">
        <f t="shared" si="16"/>
        <v>1900000</v>
      </c>
      <c r="AF49" s="87">
        <f>VLOOKUP(A49,'[1]סכומי בקשה'!$A$2:$G$52,7,FALSE)</f>
        <v>360000</v>
      </c>
      <c r="AG49" s="120">
        <f t="shared" si="17"/>
        <v>360000</v>
      </c>
      <c r="AH49" s="87">
        <f>VLOOKUP(A49,'[1]סכומי בקשה'!$A$2:$G$52,6,FALSE)</f>
        <v>400000</v>
      </c>
      <c r="AI49" s="121">
        <f t="shared" si="18"/>
        <v>340000</v>
      </c>
      <c r="AJ49" s="122">
        <f t="shared" si="19"/>
        <v>30150.307980863483</v>
      </c>
      <c r="AK49" s="123"/>
      <c r="AL49" s="124"/>
      <c r="AM49" s="125"/>
    </row>
    <row r="50" spans="1:39" x14ac:dyDescent="0.2">
      <c r="A50" s="8">
        <v>1001653366</v>
      </c>
      <c r="B50" s="9" t="s">
        <v>48</v>
      </c>
      <c r="C50" s="94">
        <f>VLOOKUP($A50,'[1]נתונים מהעמותות'!$A$1:$AA$65536,6,FALSE)</f>
        <v>1</v>
      </c>
      <c r="D50" s="94">
        <f>VLOOKUP($A50,'[1]נתונים מהעמותות'!$A$1:$AA$65536,7,FALSE)</f>
        <v>1.5</v>
      </c>
      <c r="E50" s="94">
        <f>VLOOKUP($A50,'[1]נתונים מהעמותות'!$A$1:$AA$65536,8,FALSE)</f>
        <v>2.5</v>
      </c>
      <c r="F50" s="95">
        <f t="shared" si="0"/>
        <v>5</v>
      </c>
      <c r="G50" s="96">
        <f t="shared" si="1"/>
        <v>4</v>
      </c>
      <c r="H50" s="96">
        <f t="shared" si="21"/>
        <v>3</v>
      </c>
      <c r="I50" s="96">
        <f t="shared" si="22"/>
        <v>2.5</v>
      </c>
      <c r="J50" s="94">
        <f>VLOOKUP($A50,'[1]נתונים מהעמותות'!$A$1:$AA$65536,11,FALSE)</f>
        <v>1</v>
      </c>
      <c r="K50" s="97">
        <f t="shared" si="20"/>
        <v>9.5</v>
      </c>
      <c r="L50" s="98">
        <f t="shared" si="5"/>
        <v>3.8181016062367261E-3</v>
      </c>
      <c r="M50" s="99">
        <f>VLOOKUP($A50,'[1]נתונים מהעמותות'!$A$1:$AA$65536,12,FALSE)</f>
        <v>52</v>
      </c>
      <c r="N50" s="117">
        <f t="shared" si="6"/>
        <v>1</v>
      </c>
      <c r="O50" s="99">
        <f>VLOOKUP(A50,'[1]נתונים מהעמותות'!$A$1:$AE$65536,31,FALSE)</f>
        <v>0</v>
      </c>
      <c r="P50" s="99">
        <f t="shared" si="7"/>
        <v>1</v>
      </c>
      <c r="Q50" s="100">
        <f t="shared" si="8"/>
        <v>1.3698630136986301E-2</v>
      </c>
      <c r="R50" s="99">
        <f>VLOOKUP($A50,'[1]נתונים מהעמותות'!$A$1:$AA$65536,13,FALSE)</f>
        <v>25</v>
      </c>
      <c r="S50" s="99">
        <f>VLOOKUP($A50,'[1]נתונים מהעמותות'!$A$1:$AA$65536,15,FALSE)</f>
        <v>150</v>
      </c>
      <c r="T50" s="99">
        <f>VLOOKUP($A50,'[1]נתונים מהעמותות'!$A$1:$AA$65536,18,FALSE)*3</f>
        <v>1395</v>
      </c>
      <c r="U50" s="117">
        <f t="shared" si="9"/>
        <v>1570</v>
      </c>
      <c r="V50" s="100">
        <f t="shared" si="10"/>
        <v>9.9077381328015555E-3</v>
      </c>
      <c r="W50" s="62">
        <f>VLOOKUP(B50,'[1]ייחודיות ונחיצות'!$B$1:$D$65536,2,FALSE)</f>
        <v>1</v>
      </c>
      <c r="X50" s="100">
        <f t="shared" si="11"/>
        <v>1.1904761904761904E-2</v>
      </c>
      <c r="Y50" s="94">
        <f>VLOOKUP('[1]קריטריונים וניקוד'!A50,'[1]נתונים מהעמותות'!$A$1:$AE$65536,26,FALSE)</f>
        <v>2</v>
      </c>
      <c r="Z50" s="100">
        <f t="shared" si="12"/>
        <v>2.0618556701030927E-2</v>
      </c>
      <c r="AA50" s="94">
        <f>VLOOKUP('[1]קריטריונים וניקוד'!A50,'[1]נתונים מהעמותות'!$A$1:$AE$65536,29,FALSE)</f>
        <v>0</v>
      </c>
      <c r="AB50" s="100">
        <f t="shared" si="13"/>
        <v>0</v>
      </c>
      <c r="AC50" s="118">
        <f t="shared" si="14"/>
        <v>8.2044058675779293E-3</v>
      </c>
      <c r="AD50" s="119">
        <f t="shared" si="15"/>
        <v>23735.588752939286</v>
      </c>
      <c r="AE50" s="120">
        <f t="shared" si="16"/>
        <v>500000</v>
      </c>
      <c r="AF50" s="87">
        <f>VLOOKUP(A50,'[1]סכומי בקשה'!$A$2:$G$52,7,FALSE)</f>
        <v>180000</v>
      </c>
      <c r="AG50" s="120">
        <f t="shared" si="17"/>
        <v>180000</v>
      </c>
      <c r="AH50" s="87">
        <f>VLOOKUP(A50,'[1]סכומי בקשה'!$A$2:$G$52,6,FALSE)</f>
        <v>200000</v>
      </c>
      <c r="AI50" s="121">
        <f t="shared" si="18"/>
        <v>170000</v>
      </c>
      <c r="AJ50" s="122">
        <f t="shared" si="19"/>
        <v>23735.588752939286</v>
      </c>
      <c r="AK50" s="95">
        <f>SUM(AK7:AK48)</f>
        <v>0</v>
      </c>
      <c r="AL50" s="33"/>
      <c r="AM50" s="20"/>
    </row>
    <row r="51" spans="1:39" x14ac:dyDescent="0.2">
      <c r="A51" s="126">
        <v>1001653626</v>
      </c>
      <c r="B51" s="127" t="s">
        <v>49</v>
      </c>
      <c r="C51" s="128">
        <f>VLOOKUP($A51,'[1]נתונים מהעמותות'!$A$1:$AA$65536,6,FALSE)</f>
        <v>0.7</v>
      </c>
      <c r="D51" s="128">
        <f>VLOOKUP($A51,'[1]נתונים מהעמותות'!$A$1:$AA$65536,7,FALSE)</f>
        <v>1.25</v>
      </c>
      <c r="E51" s="128">
        <f>VLOOKUP($A51,'[1]נתונים מהעמותות'!$A$1:$AA$65536,8,FALSE)</f>
        <v>0.24</v>
      </c>
      <c r="F51" s="129">
        <f t="shared" si="0"/>
        <v>2.19</v>
      </c>
      <c r="G51" s="130">
        <f t="shared" si="1"/>
        <v>2.8</v>
      </c>
      <c r="H51" s="130">
        <f t="shared" si="21"/>
        <v>2.5</v>
      </c>
      <c r="I51" s="130">
        <f t="shared" si="22"/>
        <v>0.24</v>
      </c>
      <c r="J51" s="128">
        <f>VLOOKUP($A51,'[1]נתונים מהעמותות'!$A$1:$AA$65536,11,FALSE)</f>
        <v>1</v>
      </c>
      <c r="K51" s="131">
        <f t="shared" si="20"/>
        <v>5.54</v>
      </c>
      <c r="L51" s="98">
        <f t="shared" si="5"/>
        <v>2.2265560945843644E-3</v>
      </c>
      <c r="M51" s="99">
        <f>VLOOKUP($A51,'[1]נתונים מהעמותות'!$A$1:$AA$65536,12,FALSE)</f>
        <v>10</v>
      </c>
      <c r="N51" s="132">
        <f t="shared" si="6"/>
        <v>0</v>
      </c>
      <c r="O51" s="99">
        <f>VLOOKUP(A51,'[1]נתונים מהעמותות'!$A$1:$AE$65536,31,FALSE)</f>
        <v>0</v>
      </c>
      <c r="P51" s="99">
        <f t="shared" si="7"/>
        <v>0</v>
      </c>
      <c r="Q51" s="100">
        <f t="shared" si="8"/>
        <v>0</v>
      </c>
      <c r="R51" s="99">
        <f>VLOOKUP($A51,'[1]נתונים מהעמותות'!$A$1:$AA$65536,13,FALSE)</f>
        <v>60</v>
      </c>
      <c r="S51" s="99">
        <f>VLOOKUP($A51,'[1]נתונים מהעמותות'!$A$1:$AA$65536,15,FALSE)</f>
        <v>45</v>
      </c>
      <c r="T51" s="99">
        <f>VLOOKUP($A51,'[1]נתונים מהעמותות'!$A$1:$AA$65536,18,FALSE)*3</f>
        <v>0</v>
      </c>
      <c r="U51" s="132">
        <f t="shared" si="9"/>
        <v>105</v>
      </c>
      <c r="V51" s="100">
        <f t="shared" si="10"/>
        <v>6.6261942926379826E-4</v>
      </c>
      <c r="W51" s="62">
        <f>VLOOKUP(B51,'[1]ייחודיות ונחיצות'!$B$1:$D$65536,2,FALSE)</f>
        <v>1</v>
      </c>
      <c r="X51" s="100">
        <f t="shared" si="11"/>
        <v>1.1904761904761904E-2</v>
      </c>
      <c r="Y51" s="94">
        <f>VLOOKUP('[1]קריטריונים וניקוד'!A51,'[1]נתונים מהעמותות'!$A$1:$AE$65536,26,FALSE)</f>
        <v>2</v>
      </c>
      <c r="Z51" s="100">
        <f t="shared" si="12"/>
        <v>2.0618556701030927E-2</v>
      </c>
      <c r="AA51" s="94">
        <f>VLOOKUP('[1]קריטריונים וניקוד'!A51,'[1]נתונים מהעמותות'!$A$1:$AE$65536,29,FALSE)</f>
        <v>0</v>
      </c>
      <c r="AB51" s="100">
        <f t="shared" si="13"/>
        <v>0</v>
      </c>
      <c r="AC51" s="133">
        <f t="shared" si="14"/>
        <v>3.1212876541453754E-3</v>
      </c>
      <c r="AD51" s="134">
        <f t="shared" si="15"/>
        <v>9029.9774699337813</v>
      </c>
      <c r="AE51" s="135">
        <f t="shared" si="16"/>
        <v>219000</v>
      </c>
      <c r="AF51" s="87">
        <f>VLOOKUP(A51,'[1]סכומי בקשה'!$A$2:$G$52,7,FALSE)</f>
        <v>670000</v>
      </c>
      <c r="AG51" s="135">
        <f t="shared" si="17"/>
        <v>219000</v>
      </c>
      <c r="AH51" s="87">
        <f>VLOOKUP(A51,'[1]סכומי בקשה'!$A$2:$G$52,6,FALSE)</f>
        <v>790000</v>
      </c>
      <c r="AI51" s="136">
        <f t="shared" si="18"/>
        <v>671500</v>
      </c>
      <c r="AJ51" s="137">
        <f t="shared" si="19"/>
        <v>9029.9774699337813</v>
      </c>
      <c r="AK51" s="129">
        <v>37</v>
      </c>
      <c r="AL51" s="138">
        <v>38</v>
      </c>
      <c r="AM51" s="139">
        <v>39</v>
      </c>
    </row>
    <row r="52" spans="1:39" x14ac:dyDescent="0.2">
      <c r="A52" s="126">
        <v>1001653690</v>
      </c>
      <c r="B52" s="127" t="s">
        <v>50</v>
      </c>
      <c r="C52" s="128">
        <f>VLOOKUP($A52,'[1]נתונים מהעמותות'!$A$1:$AA$65536,6,FALSE)</f>
        <v>0</v>
      </c>
      <c r="D52" s="128">
        <f>VLOOKUP($A52,'[1]נתונים מהעמותות'!$A$1:$AA$65536,7,FALSE)</f>
        <v>0</v>
      </c>
      <c r="E52" s="128">
        <f>VLOOKUP($A52,'[1]נתונים מהעמותות'!$A$1:$AA$65536,8,FALSE)</f>
        <v>13.9</v>
      </c>
      <c r="F52" s="129">
        <f t="shared" si="0"/>
        <v>13.9</v>
      </c>
      <c r="G52" s="130">
        <f t="shared" si="1"/>
        <v>0</v>
      </c>
      <c r="H52" s="130">
        <f t="shared" si="21"/>
        <v>0</v>
      </c>
      <c r="I52" s="130">
        <f t="shared" si="22"/>
        <v>13.9</v>
      </c>
      <c r="J52" s="128">
        <f>VLOOKUP($A52,'[1]נתונים מהעמותות'!$A$1:$AA$65536,11,FALSE)</f>
        <v>0.11059907834101383</v>
      </c>
      <c r="K52" s="131">
        <f t="shared" si="20"/>
        <v>1.5373271889400923</v>
      </c>
      <c r="L52" s="98">
        <f t="shared" si="5"/>
        <v>6.1786014835826916E-4</v>
      </c>
      <c r="M52" s="99">
        <f>VLOOKUP($A52,'[1]נתונים מהעמותות'!$A$1:$AA$65536,12,FALSE)</f>
        <v>8</v>
      </c>
      <c r="N52" s="132">
        <f t="shared" si="6"/>
        <v>0</v>
      </c>
      <c r="O52" s="99">
        <f>VLOOKUP(A52,'[1]נתונים מהעמותות'!$A$1:$AE$65536,31,FALSE)</f>
        <v>0</v>
      </c>
      <c r="P52" s="99">
        <f t="shared" si="7"/>
        <v>0</v>
      </c>
      <c r="Q52" s="100">
        <f t="shared" si="8"/>
        <v>0</v>
      </c>
      <c r="R52" s="99">
        <f>VLOOKUP($A52,'[1]נתונים מהעמותות'!$A$1:$AA$65536,13,FALSE)</f>
        <v>0</v>
      </c>
      <c r="S52" s="99">
        <f>VLOOKUP($A52,'[1]נתונים מהעמותות'!$A$1:$AA$65536,15,FALSE)</f>
        <v>0</v>
      </c>
      <c r="T52" s="99">
        <f>VLOOKUP($A52,'[1]נתונים מהעמותות'!$A$1:$AA$65536,18,FALSE)*3</f>
        <v>210</v>
      </c>
      <c r="U52" s="132">
        <f t="shared" si="9"/>
        <v>210</v>
      </c>
      <c r="V52" s="100">
        <f t="shared" si="10"/>
        <v>1.3252388585275965E-3</v>
      </c>
      <c r="W52" s="62">
        <f>VLOOKUP(B52,'[1]ייחודיות ונחיצות'!$B$1:$D$65536,2,FALSE)</f>
        <v>1</v>
      </c>
      <c r="X52" s="100">
        <f t="shared" si="11"/>
        <v>1.1904761904761904E-2</v>
      </c>
      <c r="Y52" s="94">
        <f>VLOOKUP('[1]קריטריונים וניקוד'!A52,'[1]נתונים מהעמותות'!$A$1:$AE$65536,26,FALSE)</f>
        <v>3</v>
      </c>
      <c r="Z52" s="100">
        <f t="shared" si="12"/>
        <v>3.0927835051546393E-2</v>
      </c>
      <c r="AA52" s="94">
        <f>VLOOKUP('[1]קריטריונים וניקוד'!A52,'[1]נתונים מהעמותות'!$A$1:$AE$65536,29,FALSE)</f>
        <v>0</v>
      </c>
      <c r="AB52" s="100">
        <f t="shared" si="13"/>
        <v>0</v>
      </c>
      <c r="AC52" s="133">
        <f t="shared" si="14"/>
        <v>3.3860595880456498E-3</v>
      </c>
      <c r="AD52" s="134">
        <f t="shared" si="15"/>
        <v>9795.970503166378</v>
      </c>
      <c r="AE52" s="135">
        <f t="shared" si="16"/>
        <v>1390000</v>
      </c>
      <c r="AF52" s="87">
        <f>VLOOKUP(A52,'[1]סכומי בקשה'!$A$2:$G$52,7,FALSE)</f>
        <v>314912</v>
      </c>
      <c r="AG52" s="135">
        <f t="shared" si="17"/>
        <v>314912</v>
      </c>
      <c r="AH52" s="87">
        <f>VLOOKUP(A52,'[1]סכומי בקשה'!$A$2:$G$52,6,FALSE)</f>
        <v>4063281</v>
      </c>
      <c r="AI52" s="136">
        <f t="shared" si="18"/>
        <v>3453788.85</v>
      </c>
      <c r="AJ52" s="137">
        <f t="shared" si="19"/>
        <v>9795.970503166378</v>
      </c>
      <c r="AK52" s="129"/>
      <c r="AL52" s="138"/>
      <c r="AM52" s="139"/>
    </row>
    <row r="53" spans="1:39" x14ac:dyDescent="0.2">
      <c r="A53" s="126">
        <v>1001653735</v>
      </c>
      <c r="B53" s="127" t="s">
        <v>51</v>
      </c>
      <c r="C53" s="128">
        <f>VLOOKUP($A53,'[1]נתונים מהעמותות'!$A$1:$AA$65536,6,FALSE)</f>
        <v>2.25</v>
      </c>
      <c r="D53" s="128">
        <f>VLOOKUP($A53,'[1]נתונים מהעמותות'!$A$1:$AA$65536,7,FALSE)</f>
        <v>6.5</v>
      </c>
      <c r="E53" s="128">
        <f>VLOOKUP($A53,'[1]נתונים מהעמותות'!$A$1:$AA$65536,8,FALSE)</f>
        <v>26</v>
      </c>
      <c r="F53" s="129">
        <f t="shared" si="0"/>
        <v>34.75</v>
      </c>
      <c r="G53" s="130">
        <f t="shared" si="1"/>
        <v>9</v>
      </c>
      <c r="H53" s="130">
        <f t="shared" si="21"/>
        <v>13</v>
      </c>
      <c r="I53" s="130">
        <f t="shared" si="22"/>
        <v>26</v>
      </c>
      <c r="J53" s="128">
        <f>VLOOKUP($A53,'[1]נתונים מהעמותות'!$A$1:$AA$65536,11,FALSE)</f>
        <v>1</v>
      </c>
      <c r="K53" s="131">
        <f t="shared" si="20"/>
        <v>48</v>
      </c>
      <c r="L53" s="98">
        <f t="shared" si="5"/>
        <v>1.9291460747301353E-2</v>
      </c>
      <c r="M53" s="99">
        <f>VLOOKUP($A53,'[1]נתונים מהעמותות'!$A$1:$AA$65536,12,FALSE)</f>
        <v>0</v>
      </c>
      <c r="N53" s="132">
        <f t="shared" si="6"/>
        <v>0</v>
      </c>
      <c r="O53" s="99">
        <f>VLOOKUP(A53,'[1]נתונים מהעמותות'!$A$1:$AE$65536,31,FALSE)</f>
        <v>0</v>
      </c>
      <c r="P53" s="99">
        <f t="shared" si="7"/>
        <v>0</v>
      </c>
      <c r="Q53" s="100">
        <f t="shared" si="8"/>
        <v>0</v>
      </c>
      <c r="R53" s="99">
        <f>VLOOKUP($A53,'[1]נתונים מהעמותות'!$A$1:$AA$65536,13,FALSE)</f>
        <v>160</v>
      </c>
      <c r="S53" s="99">
        <f>VLOOKUP($A53,'[1]נתונים מהעמותות'!$A$1:$AA$65536,15,FALSE)</f>
        <v>225</v>
      </c>
      <c r="T53" s="99">
        <f>VLOOKUP($A53,'[1]נתונים מהעמותות'!$A$1:$AA$65536,18,FALSE)*3</f>
        <v>1842</v>
      </c>
      <c r="U53" s="132">
        <f t="shared" si="9"/>
        <v>2227</v>
      </c>
      <c r="V53" s="100">
        <f t="shared" si="10"/>
        <v>1.4053842561623607E-2</v>
      </c>
      <c r="W53" s="62">
        <f>VLOOKUP(B53,'[1]ייחודיות ונחיצות'!$B$1:$D$65536,2,FALSE)</f>
        <v>1</v>
      </c>
      <c r="X53" s="100">
        <f t="shared" si="11"/>
        <v>1.1904761904761904E-2</v>
      </c>
      <c r="Y53" s="94">
        <f>VLOOKUP('[1]קריטריונים וניקוד'!A53,'[1]נתונים מהעמותות'!$A$1:$AE$65536,26,FALSE)</f>
        <v>3</v>
      </c>
      <c r="Z53" s="100">
        <f t="shared" si="12"/>
        <v>3.0927835051546393E-2</v>
      </c>
      <c r="AA53" s="94">
        <f>VLOOKUP('[1]קריטריונים וניקוד'!A53,'[1]נתונים מהעמותות'!$A$1:$AE$65536,29,FALSE)</f>
        <v>0</v>
      </c>
      <c r="AB53" s="100">
        <f t="shared" si="13"/>
        <v>0</v>
      </c>
      <c r="AC53" s="133">
        <f t="shared" si="14"/>
        <v>1.3443151063812176E-2</v>
      </c>
      <c r="AD53" s="134">
        <f t="shared" si="15"/>
        <v>38891.433498582133</v>
      </c>
      <c r="AE53" s="135">
        <f t="shared" si="16"/>
        <v>3475000</v>
      </c>
      <c r="AF53" s="87">
        <f>VLOOKUP(A53,'[1]סכומי בקשה'!$A$2:$G$52,7,FALSE)</f>
        <v>127500</v>
      </c>
      <c r="AG53" s="135">
        <f t="shared" si="17"/>
        <v>127500</v>
      </c>
      <c r="AH53" s="87">
        <f>VLOOKUP(A53,'[1]סכומי בקשה'!$A$2:$G$52,6,FALSE)</f>
        <v>150000</v>
      </c>
      <c r="AI53" s="136">
        <f t="shared" si="18"/>
        <v>127500</v>
      </c>
      <c r="AJ53" s="137">
        <f t="shared" si="19"/>
        <v>38891.433498582133</v>
      </c>
      <c r="AK53" s="129"/>
      <c r="AL53" s="138"/>
      <c r="AM53" s="139"/>
    </row>
    <row r="54" spans="1:39" x14ac:dyDescent="0.2">
      <c r="A54" s="126">
        <v>1001653738</v>
      </c>
      <c r="B54" s="127" t="s">
        <v>52</v>
      </c>
      <c r="C54" s="128">
        <f>VLOOKUP($A54,'[1]נתונים מהעמותות'!$A$1:$AA$65536,6,FALSE)</f>
        <v>0</v>
      </c>
      <c r="D54" s="128">
        <f>VLOOKUP($A54,'[1]נתונים מהעמותות'!$A$1:$AA$65536,7,FALSE)</f>
        <v>1.3</v>
      </c>
      <c r="E54" s="128">
        <f>VLOOKUP($A54,'[1]נתונים מהעמותות'!$A$1:$AA$65536,8,FALSE)</f>
        <v>0.6</v>
      </c>
      <c r="F54" s="129">
        <f t="shared" si="0"/>
        <v>1.9</v>
      </c>
      <c r="G54" s="130">
        <f t="shared" si="1"/>
        <v>0</v>
      </c>
      <c r="H54" s="130">
        <f t="shared" si="21"/>
        <v>2.6</v>
      </c>
      <c r="I54" s="130">
        <f t="shared" si="22"/>
        <v>0.6</v>
      </c>
      <c r="J54" s="128">
        <f>VLOOKUP($A54,'[1]נתונים מהעמותות'!$A$1:$AA$65536,11,FALSE)</f>
        <v>0.44117647058823528</v>
      </c>
      <c r="K54" s="131">
        <f t="shared" si="20"/>
        <v>1.411764705882353</v>
      </c>
      <c r="L54" s="98">
        <f t="shared" si="5"/>
        <v>5.6739590433239277E-4</v>
      </c>
      <c r="M54" s="99">
        <f>VLOOKUP($A54,'[1]נתונים מהעמותות'!$A$1:$AA$65536,12,FALSE)</f>
        <v>0</v>
      </c>
      <c r="N54" s="132">
        <f t="shared" si="6"/>
        <v>0</v>
      </c>
      <c r="O54" s="99">
        <f>VLOOKUP(A54,'[1]נתונים מהעמותות'!$A$1:$AE$65536,31,FALSE)</f>
        <v>0</v>
      </c>
      <c r="P54" s="99">
        <f t="shared" si="7"/>
        <v>0</v>
      </c>
      <c r="Q54" s="100">
        <f t="shared" si="8"/>
        <v>0</v>
      </c>
      <c r="R54" s="99">
        <f>VLOOKUP($A54,'[1]נתונים מהעמותות'!$A$1:$AA$65536,13,FALSE)</f>
        <v>160</v>
      </c>
      <c r="S54" s="99">
        <f>VLOOKUP($A54,'[1]נתונים מהעמותות'!$A$1:$AA$65536,15,FALSE)</f>
        <v>0</v>
      </c>
      <c r="T54" s="99">
        <f>VLOOKUP($A54,'[1]נתונים מהעמותות'!$A$1:$AA$65536,18,FALSE)*3</f>
        <v>309</v>
      </c>
      <c r="U54" s="132">
        <f t="shared" si="9"/>
        <v>469</v>
      </c>
      <c r="V54" s="100">
        <f t="shared" si="10"/>
        <v>2.9597001173782989E-3</v>
      </c>
      <c r="W54" s="62">
        <f>VLOOKUP(B54,'[1]ייחודיות ונחיצות'!$B$1:$D$65536,2,FALSE)</f>
        <v>1</v>
      </c>
      <c r="X54" s="100">
        <f t="shared" si="11"/>
        <v>1.1904761904761904E-2</v>
      </c>
      <c r="Y54" s="94">
        <f>VLOOKUP('[1]קריטריונים וניקוד'!A54,'[1]נתונים מהעמותות'!$A$1:$AE$65536,26,FALSE)</f>
        <v>1.5</v>
      </c>
      <c r="Z54" s="100">
        <f t="shared" si="12"/>
        <v>1.5463917525773196E-2</v>
      </c>
      <c r="AA54" s="94">
        <f>VLOOKUP('[1]קריטריונים וניקוד'!A54,'[1]נתונים מהעמותות'!$A$1:$AE$65536,29,FALSE)</f>
        <v>0</v>
      </c>
      <c r="AB54" s="100">
        <f t="shared" si="13"/>
        <v>0</v>
      </c>
      <c r="AC54" s="133">
        <f t="shared" si="14"/>
        <v>3.1697858791469727E-3</v>
      </c>
      <c r="AD54" s="134">
        <f t="shared" si="15"/>
        <v>9170.2842688007731</v>
      </c>
      <c r="AE54" s="135">
        <f t="shared" si="16"/>
        <v>190000</v>
      </c>
      <c r="AF54" s="87">
        <f>VLOOKUP(A54,'[1]סכומי בקשה'!$A$2:$G$52,7,FALSE)</f>
        <v>50000</v>
      </c>
      <c r="AG54" s="135">
        <f t="shared" si="17"/>
        <v>50000</v>
      </c>
      <c r="AH54" s="87">
        <f>VLOOKUP(A54,'[1]סכומי בקשה'!$A$2:$G$52,6,FALSE)</f>
        <v>60000</v>
      </c>
      <c r="AI54" s="136">
        <f t="shared" si="18"/>
        <v>51000</v>
      </c>
      <c r="AJ54" s="137">
        <f t="shared" si="19"/>
        <v>9170.2842688007731</v>
      </c>
      <c r="AK54" s="129"/>
      <c r="AL54" s="138"/>
      <c r="AM54" s="139"/>
    </row>
    <row r="55" spans="1:39" x14ac:dyDescent="0.2">
      <c r="A55" s="16" t="s">
        <v>53</v>
      </c>
      <c r="B55" s="17" t="s">
        <v>54</v>
      </c>
      <c r="C55" s="128">
        <f>VLOOKUP($A55,'[1]נתונים מהעמותות'!$A$1:$AA$65536,6,FALSE)</f>
        <v>1</v>
      </c>
      <c r="D55" s="128">
        <f>VLOOKUP($A55,'[1]נתונים מהעמותות'!$A$1:$AA$65536,7,FALSE)</f>
        <v>25</v>
      </c>
      <c r="E55" s="128">
        <f>VLOOKUP($A55,'[1]נתונים מהעמותות'!$A$1:$AA$65536,8,FALSE)</f>
        <v>15</v>
      </c>
      <c r="F55" s="129">
        <f>SUM(C55:E55)</f>
        <v>41</v>
      </c>
      <c r="G55" s="130">
        <f>C55*4</f>
        <v>4</v>
      </c>
      <c r="H55" s="130">
        <f>D55*2</f>
        <v>50</v>
      </c>
      <c r="I55" s="130">
        <f>E55</f>
        <v>15</v>
      </c>
      <c r="J55" s="128">
        <f>VLOOKUP($A55,'[1]נתונים מהעמותות'!$A$1:$AA$65536,11,FALSE)</f>
        <v>0</v>
      </c>
      <c r="K55" s="131">
        <f>SUM(G55:I55)*J55</f>
        <v>0</v>
      </c>
      <c r="L55" s="98">
        <f t="shared" si="5"/>
        <v>0</v>
      </c>
      <c r="M55" s="99">
        <f>VLOOKUP($A55,'[1]נתונים מהעמותות'!$A$1:$AA$65536,12,FALSE)</f>
        <v>0</v>
      </c>
      <c r="N55" s="132">
        <f>IF(M55&lt;50,0,IF(M55&lt;=100,1,IF(M55&lt;=200,2,IF(M55&gt;200,3,FALSE))))</f>
        <v>0</v>
      </c>
      <c r="O55" s="99">
        <f>VLOOKUP(A55,'[1]נתונים מהעמותות'!$A$1:$AE$65536,31,FALSE)</f>
        <v>0</v>
      </c>
      <c r="P55" s="99">
        <f>N55+O55</f>
        <v>0</v>
      </c>
      <c r="Q55" s="100">
        <f t="shared" si="8"/>
        <v>0</v>
      </c>
      <c r="R55" s="99">
        <f>VLOOKUP($A55,'[1]נתונים מהעמותות'!$A$1:$AA$65536,13,FALSE)</f>
        <v>5</v>
      </c>
      <c r="S55" s="99">
        <f>VLOOKUP($A55,'[1]נתונים מהעמותות'!$A$1:$AA$65536,15,FALSE)</f>
        <v>0</v>
      </c>
      <c r="T55" s="99">
        <f>VLOOKUP($A55,'[1]נתונים מהעמותות'!$A$1:$AA$65536,18,FALSE)*3</f>
        <v>0</v>
      </c>
      <c r="U55" s="132">
        <f>R55+S55+T55</f>
        <v>5</v>
      </c>
      <c r="V55" s="100">
        <f t="shared" si="10"/>
        <v>3.1553306155418963E-5</v>
      </c>
      <c r="W55" s="62">
        <f>VLOOKUP(B55,'[1]ייחודיות ונחיצות'!$B$1:$D$65536,2,FALSE)</f>
        <v>2</v>
      </c>
      <c r="X55" s="100">
        <f t="shared" si="11"/>
        <v>2.3809523809523808E-2</v>
      </c>
      <c r="Y55" s="94">
        <f>VLOOKUP('[1]קריטריונים וניקוד'!A55,'[1]נתונים מהעמותות'!$A$1:$AE$65536,26,FALSE)</f>
        <v>3</v>
      </c>
      <c r="Z55" s="100">
        <f t="shared" si="12"/>
        <v>3.0927835051546393E-2</v>
      </c>
      <c r="AA55" s="94">
        <f>VLOOKUP('[1]קריטריונים וניקוד'!A55,'[1]נתונים מהעמותות'!$A$1:$AE$65536,29,FALSE)</f>
        <v>0</v>
      </c>
      <c r="AB55" s="100">
        <f t="shared" si="13"/>
        <v>0</v>
      </c>
      <c r="AC55" s="133">
        <f>(L55*$C$4)+(Q55*$M$4)+(V55*$R$4)+(X55*$W$4)+(Z55*$Y$4)+(AB55*$AA$4)</f>
        <v>3.9383877906840978E-3</v>
      </c>
      <c r="AD55" s="134">
        <f>AC55*$AE$2</f>
        <v>11393.872323977512</v>
      </c>
      <c r="AE55" s="135">
        <f>F55*100000</f>
        <v>4100000</v>
      </c>
      <c r="AF55" s="87">
        <f>VLOOKUP(A55,'[1]סכומי בקשה'!$A$2:$G$53,7,FALSE)</f>
        <v>403750</v>
      </c>
      <c r="AG55" s="135">
        <f>IF(AF55&gt;AE55,AE55,AF55)</f>
        <v>403750</v>
      </c>
      <c r="AH55" s="87">
        <f>VLOOKUP(A55,'[1]סכומי בקשה'!$A$2:$G$53,6,FALSE)</f>
        <v>475000</v>
      </c>
      <c r="AI55" s="136">
        <f>0.85*AH55</f>
        <v>403750</v>
      </c>
      <c r="AJ55" s="137">
        <f>MIN(AD55,AE55,AG55,AI55)</f>
        <v>11393.872323977512</v>
      </c>
      <c r="AK55" s="129"/>
      <c r="AL55" s="138"/>
      <c r="AM55" s="139"/>
    </row>
    <row r="56" spans="1:39" x14ac:dyDescent="0.2">
      <c r="A56" s="140"/>
      <c r="B56" s="141" t="s">
        <v>56</v>
      </c>
      <c r="C56" s="142">
        <f t="shared" ref="C56:K56" si="23">SUM(C7:C55)</f>
        <v>204.29999999999995</v>
      </c>
      <c r="D56" s="142">
        <f t="shared" si="23"/>
        <v>585.04999999999995</v>
      </c>
      <c r="E56" s="142">
        <f t="shared" si="23"/>
        <v>664.3900000000001</v>
      </c>
      <c r="F56" s="142">
        <f t="shared" si="23"/>
        <v>1453.7399999999998</v>
      </c>
      <c r="G56" s="142">
        <f t="shared" si="23"/>
        <v>817.19999999999982</v>
      </c>
      <c r="H56" s="142">
        <f t="shared" si="23"/>
        <v>1163.0999999999999</v>
      </c>
      <c r="I56" s="142">
        <f t="shared" si="23"/>
        <v>766.3900000000001</v>
      </c>
      <c r="J56" s="142">
        <f t="shared" si="23"/>
        <v>42.280066106963304</v>
      </c>
      <c r="K56" s="142">
        <f t="shared" si="23"/>
        <v>2488.147508825356</v>
      </c>
      <c r="L56" s="142">
        <f t="shared" ref="L56:V56" si="24">SUM(L7:L54)</f>
        <v>1.0000000000000002</v>
      </c>
      <c r="M56" s="142">
        <f t="shared" ref="M56:U56" si="25">SUM(M7:M55)</f>
        <v>6882</v>
      </c>
      <c r="N56" s="142">
        <f t="shared" si="25"/>
        <v>46</v>
      </c>
      <c r="O56" s="142">
        <f t="shared" si="25"/>
        <v>27</v>
      </c>
      <c r="P56" s="142">
        <f t="shared" si="25"/>
        <v>73</v>
      </c>
      <c r="Q56" s="142">
        <f t="shared" si="25"/>
        <v>1.0000000000000002</v>
      </c>
      <c r="R56" s="142">
        <f t="shared" si="25"/>
        <v>13196</v>
      </c>
      <c r="S56" s="142">
        <f t="shared" si="25"/>
        <v>34128</v>
      </c>
      <c r="T56" s="142">
        <f t="shared" si="25"/>
        <v>111138</v>
      </c>
      <c r="U56" s="142">
        <f t="shared" si="25"/>
        <v>158462</v>
      </c>
      <c r="V56" s="142">
        <f t="shared" si="24"/>
        <v>0.99996844669384433</v>
      </c>
      <c r="W56" s="142">
        <f t="shared" ref="W56:AI56" si="26">SUM(W7:W55)</f>
        <v>84</v>
      </c>
      <c r="X56" s="142">
        <f t="shared" si="26"/>
        <v>0.99999999999999933</v>
      </c>
      <c r="Y56" s="142">
        <f t="shared" si="26"/>
        <v>97</v>
      </c>
      <c r="Z56" s="142">
        <f t="shared" si="26"/>
        <v>1</v>
      </c>
      <c r="AA56" s="142">
        <f t="shared" si="26"/>
        <v>78</v>
      </c>
      <c r="AB56" s="142">
        <f t="shared" si="26"/>
        <v>0.99999999999999956</v>
      </c>
      <c r="AC56" s="142">
        <f t="shared" si="26"/>
        <v>0.99999999999999989</v>
      </c>
      <c r="AD56" s="142">
        <f t="shared" si="26"/>
        <v>2893029.566801087</v>
      </c>
      <c r="AE56" s="142">
        <f t="shared" si="26"/>
        <v>145374000</v>
      </c>
      <c r="AF56" s="142">
        <f t="shared" si="26"/>
        <v>19095006</v>
      </c>
      <c r="AG56" s="142">
        <f t="shared" si="26"/>
        <v>17564006</v>
      </c>
      <c r="AH56" s="142">
        <f t="shared" si="26"/>
        <v>38170444</v>
      </c>
      <c r="AI56" s="142">
        <f t="shared" si="26"/>
        <v>32444877.399999999</v>
      </c>
      <c r="AJ56" s="143">
        <f>SUM(AJ7:AK55)</f>
        <v>2800000.0000000014</v>
      </c>
      <c r="AK56" s="144"/>
      <c r="AL56" s="60"/>
      <c r="AM56" s="140"/>
    </row>
  </sheetData>
  <mergeCells count="11">
    <mergeCell ref="C5:E5"/>
    <mergeCell ref="C3:E3"/>
    <mergeCell ref="W3:X3"/>
    <mergeCell ref="Y3:Z3"/>
    <mergeCell ref="AA3:AB3"/>
    <mergeCell ref="C4:L4"/>
    <mergeCell ref="M4:Q4"/>
    <mergeCell ref="R4:V4"/>
    <mergeCell ref="W4:X4"/>
    <mergeCell ref="Y4:Z4"/>
    <mergeCell ref="AA4:AB4"/>
  </mergeCells>
  <conditionalFormatting sqref="AL40">
    <cfRule type="containsText" dxfId="2" priority="1" operator="containsText" text="גבוה">
      <formula>NOT(ISERROR(SEARCH("גבוה",AL40)))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rightToLeft="1" tabSelected="1" workbookViewId="0">
      <selection activeCell="G17" sqref="G17"/>
    </sheetView>
  </sheetViews>
  <sheetFormatPr defaultRowHeight="14.25" x14ac:dyDescent="0.2"/>
  <cols>
    <col min="1" max="1" width="10.875" bestFit="1" customWidth="1"/>
    <col min="2" max="2" width="31.875" bestFit="1" customWidth="1"/>
    <col min="3" max="3" width="18.375" customWidth="1"/>
  </cols>
  <sheetData>
    <row r="1" spans="1:3" ht="25.5" x14ac:dyDescent="0.2">
      <c r="A1" s="5" t="s">
        <v>1</v>
      </c>
      <c r="B1" s="6" t="s">
        <v>2</v>
      </c>
      <c r="C1" s="5" t="s">
        <v>3</v>
      </c>
    </row>
    <row r="2" spans="1:3" ht="15" x14ac:dyDescent="0.2">
      <c r="A2" s="8">
        <v>1001546645</v>
      </c>
      <c r="B2" s="9" t="s">
        <v>19</v>
      </c>
      <c r="C2" s="10">
        <f>VLOOKUP(A2,'[2]קריטריונים וניקוד'!$A$7:$AK$51,36,FALSE)</f>
        <v>16218.962903972535</v>
      </c>
    </row>
    <row r="3" spans="1:3" ht="15" x14ac:dyDescent="0.2">
      <c r="A3" s="8">
        <v>1001546689</v>
      </c>
      <c r="B3" s="9" t="s">
        <v>8</v>
      </c>
      <c r="C3" s="10">
        <f>VLOOKUP(A3,'[2]קריטריונים וניקוד'!$A$7:$AK$51,36,FALSE)</f>
        <v>75844.10127964917</v>
      </c>
    </row>
    <row r="4" spans="1:3" ht="15" x14ac:dyDescent="0.2">
      <c r="A4" s="8">
        <v>1001546703</v>
      </c>
      <c r="B4" s="9" t="s">
        <v>30</v>
      </c>
      <c r="C4" s="10">
        <f>VLOOKUP(A4,'[2]קריטריונים וניקוד'!$A$7:$AK$51,36,FALSE)</f>
        <v>30536.782408657054</v>
      </c>
    </row>
    <row r="5" spans="1:3" ht="15" x14ac:dyDescent="0.2">
      <c r="A5" s="8">
        <v>1001546704</v>
      </c>
      <c r="B5" s="9" t="s">
        <v>9</v>
      </c>
      <c r="C5" s="10">
        <f>VLOOKUP(A5,'[2]קריטריונים וניקוד'!$A$7:$AK$51,36,FALSE)</f>
        <v>8024.0222776544624</v>
      </c>
    </row>
    <row r="6" spans="1:3" ht="15" x14ac:dyDescent="0.2">
      <c r="A6" s="8">
        <v>1001546705</v>
      </c>
      <c r="B6" s="9" t="s">
        <v>13</v>
      </c>
      <c r="C6" s="10">
        <f>VLOOKUP(A6,'[2]קריטריונים וניקוד'!$A$7:$AK$51,36,FALSE)</f>
        <v>29836.808524181575</v>
      </c>
    </row>
    <row r="7" spans="1:3" ht="15" x14ac:dyDescent="0.2">
      <c r="A7" s="8">
        <v>1001546862</v>
      </c>
      <c r="B7" s="9" t="s">
        <v>24</v>
      </c>
      <c r="C7" s="10">
        <f>VLOOKUP(A7,'[2]קריטריונים וניקוד'!$A$7:$AK$51,36,FALSE)</f>
        <v>19910.820677873791</v>
      </c>
    </row>
    <row r="8" spans="1:3" ht="15" x14ac:dyDescent="0.2">
      <c r="A8" s="8">
        <v>1001547450</v>
      </c>
      <c r="B8" s="9" t="s">
        <v>16</v>
      </c>
      <c r="C8" s="10">
        <f>VLOOKUP(A8,'[2]קריטריונים וניקוד'!$A$7:$AK$51,36,FALSE)</f>
        <v>189310.41009217291</v>
      </c>
    </row>
    <row r="9" spans="1:3" ht="15" x14ac:dyDescent="0.2">
      <c r="A9" s="8">
        <v>1001547735</v>
      </c>
      <c r="B9" s="9" t="s">
        <v>7</v>
      </c>
      <c r="C9" s="10">
        <f>VLOOKUP(A9,'[2]קריטריונים וניקוד'!$A$7:$AK$51,36,FALSE)</f>
        <v>55573.903513369623</v>
      </c>
    </row>
    <row r="10" spans="1:3" ht="15" x14ac:dyDescent="0.2">
      <c r="A10" s="8">
        <v>1001548067</v>
      </c>
      <c r="B10" s="9" t="s">
        <v>14</v>
      </c>
      <c r="C10" s="10">
        <f>VLOOKUP(A10,'[2]קריטריונים וניקוד'!$A$7:$AK$51,36,FALSE)</f>
        <v>58142.160554056842</v>
      </c>
    </row>
    <row r="11" spans="1:3" ht="15" x14ac:dyDescent="0.2">
      <c r="A11" s="8">
        <v>1001548120</v>
      </c>
      <c r="B11" s="9" t="s">
        <v>46</v>
      </c>
      <c r="C11" s="10">
        <f>VLOOKUP(A11,'[2]קריטריונים וניקוד'!$A$7:$AK$51,36,FALSE)</f>
        <v>18751.403310351685</v>
      </c>
    </row>
    <row r="12" spans="1:3" ht="15" x14ac:dyDescent="0.2">
      <c r="A12" s="8">
        <v>1001548321</v>
      </c>
      <c r="B12" s="9" t="s">
        <v>43</v>
      </c>
      <c r="C12" s="10">
        <f>VLOOKUP(A12,'[2]קריטריונים וניקוד'!$A$7:$AK$51,36,FALSE)</f>
        <v>168039.72561111016</v>
      </c>
    </row>
    <row r="13" spans="1:3" ht="15" x14ac:dyDescent="0.2">
      <c r="A13" s="8">
        <v>1001548441</v>
      </c>
      <c r="B13" s="9" t="s">
        <v>6</v>
      </c>
      <c r="C13" s="10">
        <f>VLOOKUP(A13,'[2]קריטריונים וניקוד'!$A$7:$AK$51,36,FALSE)</f>
        <v>18295.180605300164</v>
      </c>
    </row>
    <row r="14" spans="1:3" ht="15" x14ac:dyDescent="0.2">
      <c r="A14" s="8">
        <v>1001548503</v>
      </c>
      <c r="B14" s="9" t="s">
        <v>11</v>
      </c>
      <c r="C14" s="10">
        <f>VLOOKUP(A14,'[2]קריטריונים וניקוד'!$A$7:$AK$51,36,FALSE)</f>
        <v>69235.982264514183</v>
      </c>
    </row>
    <row r="15" spans="1:3" ht="15" x14ac:dyDescent="0.2">
      <c r="A15" s="8">
        <v>1001548925</v>
      </c>
      <c r="B15" s="9" t="s">
        <v>10</v>
      </c>
      <c r="C15" s="10">
        <f>VLOOKUP(A15,'[2]קריטריונים וניקוד'!$A$7:$AK$51,36,FALSE)</f>
        <v>250000</v>
      </c>
    </row>
    <row r="16" spans="1:3" ht="15" x14ac:dyDescent="0.2">
      <c r="A16" s="8">
        <v>1001548959</v>
      </c>
      <c r="B16" s="9" t="s">
        <v>34</v>
      </c>
      <c r="C16" s="10">
        <f>VLOOKUP(A16,'[2]קריטריונים וניקוד'!$A$7:$AK$51,36,FALSE)</f>
        <v>139373.92965229033</v>
      </c>
    </row>
    <row r="17" spans="1:3" ht="15" x14ac:dyDescent="0.2">
      <c r="A17" s="8">
        <v>1001549381</v>
      </c>
      <c r="B17" s="9" t="s">
        <v>21</v>
      </c>
      <c r="C17" s="10">
        <f>VLOOKUP(A17,'[2]קריטריונים וניקוד'!$A$7:$AK$51,36,FALSE)</f>
        <v>51050.491261941359</v>
      </c>
    </row>
    <row r="18" spans="1:3" ht="15" x14ac:dyDescent="0.2">
      <c r="A18" s="8">
        <v>1001549588</v>
      </c>
      <c r="B18" s="9" t="s">
        <v>20</v>
      </c>
      <c r="C18" s="10">
        <f>VLOOKUP(A18,'[2]קריטריונים וניקוד'!$A$7:$AK$51,36,FALSE)</f>
        <v>83591.255801232663</v>
      </c>
    </row>
    <row r="19" spans="1:3" ht="15" x14ac:dyDescent="0.2">
      <c r="A19" s="8">
        <v>1001549989</v>
      </c>
      <c r="B19" s="9" t="s">
        <v>32</v>
      </c>
      <c r="C19" s="10">
        <f>VLOOKUP(A19,'[2]קריטריונים וניקוד'!$A$7:$AK$51,36,FALSE)</f>
        <v>60321.017405244806</v>
      </c>
    </row>
    <row r="20" spans="1:3" ht="15" x14ac:dyDescent="0.2">
      <c r="A20" s="8">
        <v>1001550374</v>
      </c>
      <c r="B20" s="9" t="s">
        <v>29</v>
      </c>
      <c r="C20" s="10">
        <f>VLOOKUP(A20,'[2]קריטריונים וניקוד'!$A$7:$AK$51,36,FALSE)</f>
        <v>145663.9023239254</v>
      </c>
    </row>
    <row r="21" spans="1:3" ht="15" x14ac:dyDescent="0.2">
      <c r="A21" s="8">
        <v>1001550769</v>
      </c>
      <c r="B21" s="9" t="s">
        <v>33</v>
      </c>
      <c r="C21" s="10">
        <f>VLOOKUP(A21,'[2]קריטריונים וניקוד'!$A$7:$AK$51,36,FALSE)</f>
        <v>13585.962164994078</v>
      </c>
    </row>
    <row r="22" spans="1:3" ht="15" x14ac:dyDescent="0.2">
      <c r="A22" s="8">
        <v>1001551379</v>
      </c>
      <c r="B22" s="9" t="s">
        <v>22</v>
      </c>
      <c r="C22" s="10">
        <f>VLOOKUP(A22,'[2]קריטריונים וניקוד'!$A$7:$AK$51,36,FALSE)</f>
        <v>117355.10062617416</v>
      </c>
    </row>
    <row r="23" spans="1:3" ht="15" x14ac:dyDescent="0.2">
      <c r="A23" s="8">
        <v>1001551390</v>
      </c>
      <c r="B23" s="9" t="s">
        <v>23</v>
      </c>
      <c r="C23" s="10">
        <f>VLOOKUP(A23,'[2]קריטריונים וניקוד'!$A$7:$AK$51,36,FALSE)</f>
        <v>19372.317060575089</v>
      </c>
    </row>
    <row r="24" spans="1:3" ht="15" x14ac:dyDescent="0.2">
      <c r="A24" s="8">
        <v>1001551399</v>
      </c>
      <c r="B24" s="9" t="s">
        <v>41</v>
      </c>
      <c r="C24" s="10">
        <f>VLOOKUP(A24,'[2]קריטריונים וניקוד'!$A$7:$AK$51,36,FALSE)</f>
        <v>63510.970569036996</v>
      </c>
    </row>
    <row r="25" spans="1:3" ht="15" x14ac:dyDescent="0.2">
      <c r="A25" s="8">
        <v>1001551445</v>
      </c>
      <c r="B25" s="9" t="s">
        <v>105</v>
      </c>
      <c r="C25" s="10">
        <f>VLOOKUP(A25,'[2]קריטריונים וניקוד'!$A$7:$AK$51,36,FALSE)</f>
        <v>8024.0222776544624</v>
      </c>
    </row>
    <row r="26" spans="1:3" ht="15" x14ac:dyDescent="0.2">
      <c r="A26" s="8">
        <v>1001551452</v>
      </c>
      <c r="B26" s="9" t="s">
        <v>54</v>
      </c>
      <c r="C26" s="10">
        <f>VLOOKUP(A26,'[2]קריטריונים וניקוד'!$A$7:$AK$51,36,FALSE)</f>
        <v>59008.985575358776</v>
      </c>
    </row>
    <row r="27" spans="1:3" ht="15" x14ac:dyDescent="0.2">
      <c r="A27" s="8">
        <v>1001551458</v>
      </c>
      <c r="B27" s="9" t="s">
        <v>12</v>
      </c>
      <c r="C27" s="10">
        <f>VLOOKUP(A27,'[2]קריטריונים וניקוד'!$A$7:$AK$51,36,FALSE)</f>
        <v>164530.44030385854</v>
      </c>
    </row>
    <row r="28" spans="1:3" ht="15" x14ac:dyDescent="0.2">
      <c r="A28" s="8">
        <v>1001551526</v>
      </c>
      <c r="B28" s="9" t="s">
        <v>25</v>
      </c>
      <c r="C28" s="10">
        <f>VLOOKUP(A28,'[2]קריטריונים וניקוד'!$A$7:$AK$51,36,FALSE)</f>
        <v>103103.91800805455</v>
      </c>
    </row>
    <row r="29" spans="1:3" ht="15" x14ac:dyDescent="0.2">
      <c r="A29" s="8">
        <v>1001551882</v>
      </c>
      <c r="B29" s="9" t="s">
        <v>26</v>
      </c>
      <c r="C29" s="10">
        <f>VLOOKUP(A29,'[2]קריטריונים וניקוד'!$A$7:$AK$51,36,FALSE)</f>
        <v>51830.984717672371</v>
      </c>
    </row>
    <row r="30" spans="1:3" ht="15" x14ac:dyDescent="0.2">
      <c r="A30" s="8">
        <v>1001551888</v>
      </c>
      <c r="B30" s="9" t="s">
        <v>106</v>
      </c>
      <c r="C30" s="10">
        <f>VLOOKUP(A30,'[2]קריטריונים וניקוד'!$A$7:$AK$51,36,FALSE)</f>
        <v>20600.541469106945</v>
      </c>
    </row>
    <row r="31" spans="1:3" ht="15" x14ac:dyDescent="0.2">
      <c r="A31" s="8">
        <v>1001552411</v>
      </c>
      <c r="B31" s="9" t="s">
        <v>27</v>
      </c>
      <c r="C31" s="10">
        <f>VLOOKUP(A31,'[2]קריטריונים וניקוד'!$A$7:$AK$51,36,FALSE)</f>
        <v>39593.432320565873</v>
      </c>
    </row>
    <row r="32" spans="1:3" ht="15" x14ac:dyDescent="0.2">
      <c r="A32" s="8">
        <v>1001552453</v>
      </c>
      <c r="B32" s="9" t="s">
        <v>40</v>
      </c>
      <c r="C32" s="10">
        <f>VLOOKUP(A32,'[2]קריטריונים וניקוד'!$A$7:$AK$51,36,FALSE)</f>
        <v>43190.2353515863</v>
      </c>
    </row>
    <row r="33" spans="1:3" ht="15" x14ac:dyDescent="0.2">
      <c r="A33" s="8">
        <v>1001552723</v>
      </c>
      <c r="B33" s="9" t="s">
        <v>17</v>
      </c>
      <c r="C33" s="10">
        <f>VLOOKUP(A33,'[2]קריטריונים וניקוד'!$A$7:$AK$51,36,FALSE)</f>
        <v>81807.666937516435</v>
      </c>
    </row>
    <row r="34" spans="1:3" ht="15" x14ac:dyDescent="0.2">
      <c r="A34" s="8">
        <v>1001553333</v>
      </c>
      <c r="B34" s="9" t="s">
        <v>107</v>
      </c>
      <c r="C34" s="10">
        <f>VLOOKUP(A34,'[2]קריטריונים וניקוד'!$A$7:$AK$51,36,FALSE)</f>
        <v>11786.937967100806</v>
      </c>
    </row>
    <row r="35" spans="1:3" ht="15" x14ac:dyDescent="0.2">
      <c r="A35" s="8">
        <v>1001553346</v>
      </c>
      <c r="B35" s="9" t="s">
        <v>44</v>
      </c>
      <c r="C35" s="10">
        <f>VLOOKUP(A35,'[2]קריטריונים וניקוד'!$A$7:$AK$51,36,FALSE)</f>
        <v>20020.642771269475</v>
      </c>
    </row>
    <row r="36" spans="1:3" ht="15" x14ac:dyDescent="0.2">
      <c r="A36" s="8">
        <v>1001553418</v>
      </c>
      <c r="B36" s="9" t="s">
        <v>49</v>
      </c>
      <c r="C36" s="10">
        <f>VLOOKUP(A36,'[2]קריטריונים וניקוד'!$A$7:$AK$51,36,FALSE)</f>
        <v>12779.758393740212</v>
      </c>
    </row>
    <row r="37" spans="1:3" ht="15" x14ac:dyDescent="0.2">
      <c r="A37" s="8">
        <v>1001553637</v>
      </c>
      <c r="B37" s="9" t="s">
        <v>38</v>
      </c>
      <c r="C37" s="10">
        <f>VLOOKUP(A37,'[2]קריטריונים וניקוד'!$A$7:$AK$51,36,FALSE)</f>
        <v>22878.008264422533</v>
      </c>
    </row>
    <row r="38" spans="1:3" ht="15" x14ac:dyDescent="0.2">
      <c r="A38" s="8">
        <v>1001553650</v>
      </c>
      <c r="B38" s="9" t="s">
        <v>35</v>
      </c>
      <c r="C38" s="10">
        <f>VLOOKUP(A38,'[2]קריטריונים וניקוד'!$A$7:$AK$51,36,FALSE)</f>
        <v>22627.995795259259</v>
      </c>
    </row>
    <row r="39" spans="1:3" ht="15" x14ac:dyDescent="0.2">
      <c r="A39" s="8">
        <v>1001553658</v>
      </c>
      <c r="B39" s="9" t="s">
        <v>39</v>
      </c>
      <c r="C39" s="10">
        <f>VLOOKUP(A39,'[2]קריטריונים וניקוד'!$A$7:$AK$51,36,FALSE)</f>
        <v>23366.62999621205</v>
      </c>
    </row>
    <row r="40" spans="1:3" ht="15" x14ac:dyDescent="0.2">
      <c r="A40" s="8">
        <v>1001553780</v>
      </c>
      <c r="B40" s="9" t="s">
        <v>18</v>
      </c>
      <c r="C40" s="10">
        <f>VLOOKUP(A40,'[2]קריטריונים וניקוד'!$A$7:$AK$51,36,FALSE)</f>
        <v>45097.574706212974</v>
      </c>
    </row>
    <row r="41" spans="1:3" ht="15" x14ac:dyDescent="0.2">
      <c r="A41" s="8">
        <v>1001553798</v>
      </c>
      <c r="B41" s="9" t="s">
        <v>28</v>
      </c>
      <c r="C41" s="10">
        <f>VLOOKUP(A41,'[2]קריטריונים וניקוד'!$A$7:$AK$51,36,FALSE)</f>
        <v>19132.707892994615</v>
      </c>
    </row>
    <row r="42" spans="1:3" ht="15" x14ac:dyDescent="0.2">
      <c r="A42" s="8">
        <v>1001553914</v>
      </c>
      <c r="B42" s="9" t="s">
        <v>36</v>
      </c>
      <c r="C42" s="10">
        <f>VLOOKUP(A42,'[2]קריטריונים וניקוד'!$A$7:$AK$51,36,FALSE)</f>
        <v>56639.481756718291</v>
      </c>
    </row>
    <row r="43" spans="1:3" ht="15" x14ac:dyDescent="0.2">
      <c r="A43" s="8">
        <v>1001553922</v>
      </c>
      <c r="B43" s="9" t="s">
        <v>51</v>
      </c>
      <c r="C43" s="10">
        <f>VLOOKUP(A43,'[2]קריטריונים וניקוד'!$A$7:$AK$51,36,FALSE)</f>
        <v>34765.101290370483</v>
      </c>
    </row>
    <row r="44" spans="1:3" ht="15" x14ac:dyDescent="0.2">
      <c r="A44" s="8">
        <v>1001553966</v>
      </c>
      <c r="B44" s="9" t="s">
        <v>108</v>
      </c>
      <c r="C44" s="10">
        <f>VLOOKUP(A44,'[2]קריטריונים וניקוד'!$A$7:$AK$51,36,FALSE)</f>
        <v>56557.080727268927</v>
      </c>
    </row>
    <row r="45" spans="1:3" ht="15" x14ac:dyDescent="0.2">
      <c r="A45" s="8">
        <v>1001553996</v>
      </c>
      <c r="B45" s="9" t="s">
        <v>109</v>
      </c>
      <c r="C45" s="10">
        <f>VLOOKUP(A45,'[2]קריטריונים וניקוד'!$A$7:$AK$51,36,FALSE)</f>
        <v>31704.26936445753</v>
      </c>
    </row>
    <row r="46" spans="1:3" ht="15" x14ac:dyDescent="0.2">
      <c r="A46" s="8">
        <v>1001554250</v>
      </c>
      <c r="B46" s="9" t="s">
        <v>47</v>
      </c>
      <c r="C46" s="10">
        <f>VLOOKUP(A46,'[2]קריטריונים וניקוד'!$A$7:$AK$51,36,FALSE)</f>
        <v>169408.37322431873</v>
      </c>
    </row>
    <row r="47" spans="1:3" ht="15" x14ac:dyDescent="0.2">
      <c r="A47" s="156" t="s">
        <v>110</v>
      </c>
      <c r="B47" s="159" t="s">
        <v>111</v>
      </c>
      <c r="C47" s="10">
        <v>200000</v>
      </c>
    </row>
    <row r="48" spans="1:3" x14ac:dyDescent="0.2">
      <c r="A48" s="160"/>
      <c r="B48" s="161"/>
      <c r="C48" s="162">
        <f>SUM(C2:C47)</f>
        <v>3000000</v>
      </c>
    </row>
  </sheetData>
  <conditionalFormatting sqref="B1">
    <cfRule type="duplicateValues" dxfId="1" priority="2" stopIfTrue="1"/>
  </conditionalFormatting>
  <conditionalFormatting sqref="C48">
    <cfRule type="duplicateValues" dxfId="0" priority="1" stopIfTrue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54"/>
  <sheetViews>
    <sheetView rightToLeft="1" workbookViewId="0">
      <selection sqref="A1:AM54"/>
    </sheetView>
  </sheetViews>
  <sheetFormatPr defaultRowHeight="14.25" x14ac:dyDescent="0.2"/>
  <cols>
    <col min="2" max="2" width="31.875" bestFit="1" customWidth="1"/>
  </cols>
  <sheetData>
    <row r="1" spans="1:39" x14ac:dyDescent="0.2">
      <c r="A1" s="20"/>
      <c r="B1" s="21"/>
      <c r="C1" s="22"/>
      <c r="D1" s="22"/>
      <c r="E1" s="22" t="s">
        <v>103</v>
      </c>
      <c r="F1" s="22"/>
      <c r="G1" s="23"/>
      <c r="H1" s="23"/>
      <c r="I1" s="23"/>
      <c r="J1" s="24"/>
      <c r="K1" s="23"/>
      <c r="L1" s="23"/>
      <c r="M1" s="22"/>
      <c r="N1" s="22"/>
      <c r="O1" s="22"/>
      <c r="P1" s="22"/>
      <c r="Q1" s="22"/>
      <c r="R1" s="22"/>
      <c r="S1" s="25" t="s">
        <v>58</v>
      </c>
      <c r="T1" s="22"/>
      <c r="U1" s="22"/>
      <c r="V1" s="22"/>
      <c r="W1" s="22"/>
      <c r="X1" s="22"/>
      <c r="Y1" s="22"/>
      <c r="Z1" s="22"/>
      <c r="AA1" s="22"/>
      <c r="AB1" s="22"/>
      <c r="AC1" s="22"/>
      <c r="AD1" s="26"/>
      <c r="AE1" s="27">
        <v>0.9</v>
      </c>
      <c r="AF1" s="28"/>
      <c r="AG1" s="29">
        <v>0.1</v>
      </c>
      <c r="AH1" s="29"/>
      <c r="AI1" s="30"/>
      <c r="AJ1" s="145">
        <v>2800000</v>
      </c>
      <c r="AK1" s="32"/>
      <c r="AL1" s="33"/>
      <c r="AM1" s="20"/>
    </row>
    <row r="2" spans="1:39" x14ac:dyDescent="0.2">
      <c r="A2" s="25" t="s">
        <v>59</v>
      </c>
      <c r="B2" s="7" t="s">
        <v>58</v>
      </c>
      <c r="C2" s="34"/>
      <c r="D2" s="34"/>
      <c r="E2" s="20"/>
      <c r="F2" s="34"/>
      <c r="G2" s="23"/>
      <c r="H2" s="23"/>
      <c r="I2" s="23"/>
      <c r="J2" s="35"/>
      <c r="K2" s="23"/>
      <c r="L2" s="23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6"/>
      <c r="AE2" s="37">
        <v>3156525.9304595855</v>
      </c>
      <c r="AF2" s="38"/>
      <c r="AG2" s="37">
        <v>200000</v>
      </c>
      <c r="AH2" s="37"/>
      <c r="AI2" s="30">
        <v>3000000</v>
      </c>
      <c r="AJ2" s="146"/>
      <c r="AK2" s="32"/>
      <c r="AL2" s="33"/>
      <c r="AM2" s="20"/>
    </row>
    <row r="3" spans="1:39" x14ac:dyDescent="0.2">
      <c r="A3" s="25"/>
      <c r="B3" s="40" t="s">
        <v>60</v>
      </c>
      <c r="C3" s="41"/>
      <c r="D3" s="42"/>
      <c r="E3" s="42"/>
      <c r="F3" s="43"/>
      <c r="G3" s="44" t="s">
        <v>61</v>
      </c>
      <c r="H3" s="44"/>
      <c r="I3" s="44"/>
      <c r="J3" s="45" t="s">
        <v>62</v>
      </c>
      <c r="K3" s="46">
        <v>1</v>
      </c>
      <c r="L3" s="46"/>
      <c r="M3" s="47"/>
      <c r="N3" s="47">
        <v>2</v>
      </c>
      <c r="O3" s="47" t="s">
        <v>63</v>
      </c>
      <c r="P3" s="47"/>
      <c r="Q3" s="47"/>
      <c r="R3" s="48" t="s">
        <v>64</v>
      </c>
      <c r="S3" s="47"/>
      <c r="T3" s="47"/>
      <c r="U3" s="47"/>
      <c r="V3" s="47"/>
      <c r="W3" s="41">
        <v>4</v>
      </c>
      <c r="X3" s="49"/>
      <c r="Y3" s="41">
        <v>5</v>
      </c>
      <c r="Z3" s="49"/>
      <c r="AA3" s="41">
        <v>6</v>
      </c>
      <c r="AB3" s="49"/>
      <c r="AC3" s="50"/>
      <c r="AD3" s="50"/>
      <c r="AE3" s="50"/>
      <c r="AF3" s="51"/>
      <c r="AG3" s="50"/>
      <c r="AH3" s="50"/>
      <c r="AI3" s="50"/>
      <c r="AJ3" s="50"/>
      <c r="AK3" s="50"/>
      <c r="AL3" s="33"/>
      <c r="AM3" s="53"/>
    </row>
    <row r="4" spans="1:39" ht="15" thickBot="1" x14ac:dyDescent="0.25">
      <c r="A4" s="25"/>
      <c r="B4" s="40" t="s">
        <v>65</v>
      </c>
      <c r="C4" s="54">
        <v>0.3</v>
      </c>
      <c r="D4" s="55"/>
      <c r="E4" s="55"/>
      <c r="F4" s="55"/>
      <c r="G4" s="55"/>
      <c r="H4" s="55"/>
      <c r="I4" s="55"/>
      <c r="J4" s="55"/>
      <c r="K4" s="55"/>
      <c r="L4" s="56"/>
      <c r="M4" s="57">
        <v>0.1</v>
      </c>
      <c r="N4" s="58"/>
      <c r="O4" s="58"/>
      <c r="P4" s="58"/>
      <c r="Q4" s="59"/>
      <c r="R4" s="57">
        <v>0.35</v>
      </c>
      <c r="S4" s="58"/>
      <c r="T4" s="58"/>
      <c r="U4" s="58"/>
      <c r="V4" s="59"/>
      <c r="W4" s="57">
        <v>0.1</v>
      </c>
      <c r="X4" s="59"/>
      <c r="Y4" s="57">
        <v>0.05</v>
      </c>
      <c r="Z4" s="59"/>
      <c r="AA4" s="57">
        <v>0.1</v>
      </c>
      <c r="AB4" s="59"/>
      <c r="AC4" s="50"/>
      <c r="AD4" s="50"/>
      <c r="AE4" s="50"/>
      <c r="AF4" s="51"/>
      <c r="AG4" s="50"/>
      <c r="AH4" s="50"/>
      <c r="AI4" s="50"/>
      <c r="AJ4" s="50"/>
      <c r="AK4" s="50"/>
      <c r="AL4" s="60" t="s">
        <v>66</v>
      </c>
      <c r="AM4" s="53"/>
    </row>
    <row r="5" spans="1:39" ht="149.25" x14ac:dyDescent="0.2">
      <c r="A5" s="61" t="s">
        <v>1</v>
      </c>
      <c r="B5" s="62" t="s">
        <v>2</v>
      </c>
      <c r="C5" s="63" t="s">
        <v>67</v>
      </c>
      <c r="D5" s="63"/>
      <c r="E5" s="63"/>
      <c r="F5" s="64" t="s">
        <v>68</v>
      </c>
      <c r="G5" s="65"/>
      <c r="H5" s="65"/>
      <c r="I5" s="65"/>
      <c r="J5" s="66" t="s">
        <v>69</v>
      </c>
      <c r="K5" s="67" t="s">
        <v>70</v>
      </c>
      <c r="L5" s="67" t="s">
        <v>71</v>
      </c>
      <c r="M5" s="68" t="s">
        <v>72</v>
      </c>
      <c r="N5" s="64" t="s">
        <v>73</v>
      </c>
      <c r="O5" s="67" t="s">
        <v>74</v>
      </c>
      <c r="P5" s="64" t="s">
        <v>75</v>
      </c>
      <c r="Q5" s="64" t="s">
        <v>76</v>
      </c>
      <c r="R5" s="69" t="s">
        <v>77</v>
      </c>
      <c r="S5" s="70" t="s">
        <v>78</v>
      </c>
      <c r="T5" s="64" t="s">
        <v>79</v>
      </c>
      <c r="U5" s="64" t="s">
        <v>80</v>
      </c>
      <c r="V5" s="64" t="s">
        <v>81</v>
      </c>
      <c r="W5" s="69" t="s">
        <v>82</v>
      </c>
      <c r="X5" s="69" t="s">
        <v>83</v>
      </c>
      <c r="Y5" s="64" t="s">
        <v>84</v>
      </c>
      <c r="Z5" s="64" t="s">
        <v>85</v>
      </c>
      <c r="AA5" s="64" t="s">
        <v>86</v>
      </c>
      <c r="AB5" s="70" t="s">
        <v>87</v>
      </c>
      <c r="AC5" s="70" t="s">
        <v>87</v>
      </c>
      <c r="AD5" s="71" t="s">
        <v>88</v>
      </c>
      <c r="AE5" s="64" t="s">
        <v>89</v>
      </c>
      <c r="AF5" s="72" t="s">
        <v>90</v>
      </c>
      <c r="AG5" s="64" t="s">
        <v>91</v>
      </c>
      <c r="AH5" s="70" t="s">
        <v>92</v>
      </c>
      <c r="AI5" s="73" t="s">
        <v>93</v>
      </c>
      <c r="AJ5" s="147" t="s">
        <v>104</v>
      </c>
      <c r="AK5" s="71" t="s">
        <v>95</v>
      </c>
      <c r="AL5" s="75"/>
      <c r="AM5" s="76"/>
    </row>
    <row r="6" spans="1:39" ht="26.25" thickBot="1" x14ac:dyDescent="0.25">
      <c r="A6" s="77"/>
      <c r="B6" s="78"/>
      <c r="C6" s="77" t="s">
        <v>96</v>
      </c>
      <c r="D6" s="77" t="s">
        <v>97</v>
      </c>
      <c r="E6" s="79" t="s">
        <v>98</v>
      </c>
      <c r="F6" s="79"/>
      <c r="G6" s="80" t="s">
        <v>99</v>
      </c>
      <c r="H6" s="80" t="s">
        <v>100</v>
      </c>
      <c r="I6" s="80" t="s">
        <v>101</v>
      </c>
      <c r="J6" s="81"/>
      <c r="K6" s="82"/>
      <c r="L6" s="82"/>
      <c r="M6" s="83"/>
      <c r="N6" s="84"/>
      <c r="O6" s="84"/>
      <c r="P6" s="84"/>
      <c r="Q6" s="84"/>
      <c r="R6" s="77"/>
      <c r="S6" s="77"/>
      <c r="T6" s="77"/>
      <c r="U6" s="77"/>
      <c r="V6" s="77"/>
      <c r="W6" s="77"/>
      <c r="X6" s="77"/>
      <c r="Y6" s="64"/>
      <c r="Z6" s="77"/>
      <c r="AA6" s="77"/>
      <c r="AB6" s="77"/>
      <c r="AC6" s="85"/>
      <c r="AD6" s="86"/>
      <c r="AE6" s="77"/>
      <c r="AF6" s="87"/>
      <c r="AG6" s="88"/>
      <c r="AH6" s="89"/>
      <c r="AI6" s="89"/>
      <c r="AJ6" s="148"/>
      <c r="AK6" s="91"/>
      <c r="AL6" s="92"/>
      <c r="AM6" s="93"/>
    </row>
    <row r="7" spans="1:39" x14ac:dyDescent="0.2">
      <c r="A7" s="8">
        <v>1001546645</v>
      </c>
      <c r="B7" s="9" t="s">
        <v>19</v>
      </c>
      <c r="C7" s="94">
        <f>VLOOKUP($A7,'[2]נתונים מהעמותות'!$A$4:$AA$48,6,FALSE)</f>
        <v>1</v>
      </c>
      <c r="D7" s="94">
        <f>VLOOKUP($A7,'[2]נתונים מהעמותות'!$A$4:$AA$48,7,FALSE)</f>
        <v>2</v>
      </c>
      <c r="E7" s="94">
        <f>VLOOKUP($A7,'[2]נתונים מהעמותות'!$A$4:$AA$48,8,FALSE)</f>
        <v>4.5</v>
      </c>
      <c r="F7" s="95">
        <f t="shared" ref="F7:F52" si="0">SUM(C7:E7)</f>
        <v>7.5</v>
      </c>
      <c r="G7" s="96">
        <f t="shared" ref="G7:G51" si="1">C7*4</f>
        <v>4</v>
      </c>
      <c r="H7" s="96">
        <f t="shared" ref="H7:H51" si="2">D7*2</f>
        <v>4</v>
      </c>
      <c r="I7" s="96">
        <f t="shared" ref="I7:I51" si="3">E7</f>
        <v>4.5</v>
      </c>
      <c r="J7" s="94">
        <f>VLOOKUP($A7,'[2]נתונים מהעמותות'!$A$4:$AA$48,11,FALSE)</f>
        <v>0.66666666666666663</v>
      </c>
      <c r="K7" s="97">
        <f t="shared" ref="K7:K15" si="4">SUM(G7:I7)</f>
        <v>12.5</v>
      </c>
      <c r="L7" s="98">
        <f t="shared" ref="L7:L51" si="5">K7/$K$53</f>
        <v>6.5463873596368133E-3</v>
      </c>
      <c r="M7" s="99">
        <f>VLOOKUP($A7,'[2]נתונים מהעמותות'!$A$4:$AA$48,12,FALSE)</f>
        <v>20</v>
      </c>
      <c r="N7" s="99">
        <f t="shared" ref="N7:N51" si="6">IF(M7&lt;50,0,IF(M7&lt;=100,1,IF(M7&lt;=200,2,IF(M7&gt;200,3,FALSE))))</f>
        <v>0</v>
      </c>
      <c r="O7" s="99">
        <f>VLOOKUP(A7,'[2]נתונים מהעמותות'!$A$4:$AE$48,29,FALSE)</f>
        <v>0</v>
      </c>
      <c r="P7" s="99">
        <f>N7+O7</f>
        <v>0</v>
      </c>
      <c r="Q7" s="100">
        <f t="shared" ref="Q7:Q51" si="7">P7/$P$53</f>
        <v>0</v>
      </c>
      <c r="R7" s="99">
        <f>VLOOKUP($A7,'[2]נתונים מהעמותות'!$A$4:$AA$48,13,FALSE)</f>
        <v>0</v>
      </c>
      <c r="S7" s="99">
        <f>VLOOKUP($A7,'[2]נתונים מהעמותות'!$A$4:$AA$48,15,FALSE)</f>
        <v>300</v>
      </c>
      <c r="T7" s="99">
        <f>VLOOKUP($A7,'[2]נתונים מהעמותות'!$A$4:$AA$48,18,FALSE)</f>
        <v>0</v>
      </c>
      <c r="U7" s="99">
        <f>R7+S7+T7</f>
        <v>300</v>
      </c>
      <c r="V7" s="100">
        <f>U7/$U$53</f>
        <v>3.1531815601942362E-3</v>
      </c>
      <c r="W7" s="62">
        <f>VLOOKUP(B7,'[2]ייחודיות ונחיצות'!$B$3:$D$50,2,FALSE)</f>
        <v>1</v>
      </c>
      <c r="X7" s="100">
        <f>W7/$W$53</f>
        <v>1.4084507042253521E-2</v>
      </c>
      <c r="Y7" s="94">
        <f>VLOOKUP('[2]קריטריונים וניקוד'!A7,'[2]נתונים מהעמותות'!$A$3:$AE$48,26,FALSE)</f>
        <v>1</v>
      </c>
      <c r="Z7" s="100">
        <f>Y7/$Y$53</f>
        <v>1.3245033112582781E-2</v>
      </c>
      <c r="AA7" s="94">
        <f>VLOOKUP('[2]קריטריונים וניקוד'!A7,'[2]נתונים מהעמותות'!$A$3:$AE$48,29,FALSE)</f>
        <v>0</v>
      </c>
      <c r="AB7" s="100">
        <f>AA7/$AA$53</f>
        <v>0</v>
      </c>
      <c r="AC7" s="101">
        <f>(L7*$C$4)+(Q7*$M$4)+(V7*$R$4)+(X7*$W$4)+(Z7*$Y$4)+(AB7*$AA$4)</f>
        <v>5.1382321138135172E-3</v>
      </c>
      <c r="AD7" s="102">
        <f t="shared" ref="AD7:AD51" si="8">AC7*$AE$2</f>
        <v>16218.962903972535</v>
      </c>
      <c r="AE7" s="103">
        <f>F7*100000</f>
        <v>750000</v>
      </c>
      <c r="AF7" s="87">
        <f>VLOOKUP(A7,[3]Sheet1!$A$3:$E$51,5,FALSE)</f>
        <v>2400000</v>
      </c>
      <c r="AG7" s="103">
        <f t="shared" ref="AG7:AG52" si="9">IF(AF7&gt;AE7,AE7,AF7)</f>
        <v>750000</v>
      </c>
      <c r="AH7" s="87">
        <f>VLOOKUP(A7,[3]Sheet1!$A$3:$E$51,4,FALSE)</f>
        <v>3000000</v>
      </c>
      <c r="AI7" s="104">
        <f t="shared" ref="AI7:AI51" si="10">0.85*AH7</f>
        <v>2550000</v>
      </c>
      <c r="AJ7" s="105">
        <f t="shared" ref="AJ7:AJ51" si="11">MIN(AD7,AE7,AG7,AI7)</f>
        <v>16218.962903972535</v>
      </c>
      <c r="AK7" s="106"/>
      <c r="AL7" s="107">
        <f>AJ7-AD7</f>
        <v>0</v>
      </c>
      <c r="AM7" s="20"/>
    </row>
    <row r="8" spans="1:39" x14ac:dyDescent="0.2">
      <c r="A8" s="8">
        <v>1001546689</v>
      </c>
      <c r="B8" s="9" t="s">
        <v>8</v>
      </c>
      <c r="C8" s="94">
        <f>VLOOKUP($A8,'[2]נתונים מהעמותות'!$A$4:$AA$48,6,FALSE)</f>
        <v>1</v>
      </c>
      <c r="D8" s="94">
        <f>VLOOKUP($A8,'[2]נתונים מהעמותות'!$A$4:$AA$48,7,FALSE)</f>
        <v>1</v>
      </c>
      <c r="E8" s="94">
        <f>VLOOKUP($A8,'[2]נתונים מהעמותות'!$A$4:$AA$48,8,FALSE)</f>
        <v>50</v>
      </c>
      <c r="F8" s="95">
        <f t="shared" si="0"/>
        <v>52</v>
      </c>
      <c r="G8" s="96">
        <f t="shared" si="1"/>
        <v>4</v>
      </c>
      <c r="H8" s="96">
        <f t="shared" si="2"/>
        <v>2</v>
      </c>
      <c r="I8" s="96">
        <f t="shared" si="3"/>
        <v>50</v>
      </c>
      <c r="J8" s="94">
        <f>VLOOKUP($A8,'[2]נתונים מהעמותות'!$A$4:$AA$48,11,FALSE)</f>
        <v>0.8571428571428571</v>
      </c>
      <c r="K8" s="97">
        <f t="shared" si="4"/>
        <v>56</v>
      </c>
      <c r="L8" s="98">
        <f t="shared" si="5"/>
        <v>2.9327815371172922E-2</v>
      </c>
      <c r="M8" s="99">
        <f>VLOOKUP($A8,'[2]נתונים מהעמותות'!$A$4:$AA$48,12,FALSE)</f>
        <v>4</v>
      </c>
      <c r="N8" s="99">
        <f t="shared" si="6"/>
        <v>0</v>
      </c>
      <c r="O8" s="99">
        <f>VLOOKUP(A8,'[2]נתונים מהעמותות'!$A$4:$AE$48,29,FALSE)</f>
        <v>3</v>
      </c>
      <c r="P8" s="99">
        <f t="shared" ref="P8:P51" si="12">N8+O8</f>
        <v>3</v>
      </c>
      <c r="Q8" s="100">
        <f t="shared" si="7"/>
        <v>3.7974683544303799E-2</v>
      </c>
      <c r="R8" s="99">
        <f>VLOOKUP($A8,'[2]נתונים מהעמותות'!$A$4:$AA$48,13,FALSE)</f>
        <v>5</v>
      </c>
      <c r="S8" s="99">
        <f>VLOOKUP($A8,'[2]נתונים מהעמותות'!$A$4:$AA$48,15,FALSE)</f>
        <v>75</v>
      </c>
      <c r="T8" s="99">
        <f>VLOOKUP($A8,'[2]נתונים מהעמותות'!$A$4:$AA$48,18,FALSE)</f>
        <v>0</v>
      </c>
      <c r="U8" s="99">
        <f t="shared" ref="U8:U51" si="13">R8+S8+T8</f>
        <v>80</v>
      </c>
      <c r="V8" s="100">
        <f t="shared" ref="V8:V51" si="14">U8/$U$53</f>
        <v>8.4084841605179626E-4</v>
      </c>
      <c r="W8" s="62">
        <f>VLOOKUP(B8,'[2]ייחודיות ונחיצות'!$B$3:$D$50,2,FALSE)</f>
        <v>3</v>
      </c>
      <c r="X8" s="100">
        <f t="shared" ref="X8:X51" si="15">W8/$W$53</f>
        <v>4.2253521126760563E-2</v>
      </c>
      <c r="Y8" s="94">
        <f>VLOOKUP('[2]קריטריונים וניקוד'!A8,'[2]נתונים מהעמותות'!$A$3:$AE$48,26,FALSE)</f>
        <v>1</v>
      </c>
      <c r="Z8" s="100">
        <f t="shared" ref="Z8:Z51" si="16">Y8/$Y$53</f>
        <v>1.3245033112582781E-2</v>
      </c>
      <c r="AA8" s="94">
        <f>VLOOKUP('[2]קריטריונים וניקוד'!A8,'[2]נתונים מהעמותות'!$A$3:$AE$48,29,FALSE)</f>
        <v>3</v>
      </c>
      <c r="AB8" s="100">
        <f t="shared" ref="AB8:AB51" si="17">AA8/$AA$53</f>
        <v>6.25E-2</v>
      </c>
      <c r="AC8" s="101">
        <f t="shared" ref="AC8:AC50" si="18">(L8*$C$4)+(Q8*$M$4)+(V8*$R$4)+(X8*$W$4)+(Z8*$Y$4)+(AB8*$AA$4)</f>
        <v>2.4027713679705583E-2</v>
      </c>
      <c r="AD8" s="102">
        <f t="shared" si="8"/>
        <v>75844.10127964917</v>
      </c>
      <c r="AE8" s="103">
        <f t="shared" ref="AE8:AE51" si="19">F8*100000</f>
        <v>5200000</v>
      </c>
      <c r="AF8" s="87">
        <f>VLOOKUP(A8,[3]Sheet1!$A$3:$E$51,5,FALSE)</f>
        <v>100000</v>
      </c>
      <c r="AG8" s="103">
        <f t="shared" si="9"/>
        <v>100000</v>
      </c>
      <c r="AH8" s="87">
        <f>VLOOKUP(A8,[3]Sheet1!$A$3:$E$51,4,FALSE)</f>
        <v>350000</v>
      </c>
      <c r="AI8" s="104">
        <f t="shared" si="10"/>
        <v>297500</v>
      </c>
      <c r="AJ8" s="105">
        <f t="shared" si="11"/>
        <v>75844.10127964917</v>
      </c>
      <c r="AK8" s="106"/>
      <c r="AL8" s="107">
        <f t="shared" ref="AL8:AL52" si="20">AJ8-AD8</f>
        <v>0</v>
      </c>
      <c r="AM8" s="20"/>
    </row>
    <row r="9" spans="1:39" x14ac:dyDescent="0.2">
      <c r="A9" s="8">
        <v>1001546703</v>
      </c>
      <c r="B9" s="9" t="s">
        <v>30</v>
      </c>
      <c r="C9" s="94">
        <f>VLOOKUP($A9,'[2]נתונים מהעמותות'!$A$4:$AA$48,6,FALSE)</f>
        <v>3</v>
      </c>
      <c r="D9" s="94">
        <f>VLOOKUP($A9,'[2]נתונים מהעמותות'!$A$4:$AA$48,7,FALSE)</f>
        <v>2</v>
      </c>
      <c r="E9" s="94">
        <f>VLOOKUP($A9,'[2]נתונים מהעמותות'!$A$4:$AA$48,8,FALSE)</f>
        <v>5</v>
      </c>
      <c r="F9" s="95">
        <f t="shared" si="0"/>
        <v>10</v>
      </c>
      <c r="G9" s="96">
        <f t="shared" si="1"/>
        <v>12</v>
      </c>
      <c r="H9" s="96">
        <f t="shared" si="2"/>
        <v>4</v>
      </c>
      <c r="I9" s="96">
        <f t="shared" si="3"/>
        <v>5</v>
      </c>
      <c r="J9" s="94">
        <f>VLOOKUP($A9,'[2]נתונים מהעמותות'!$A$4:$AA$48,11,FALSE)</f>
        <v>0.33333333333333331</v>
      </c>
      <c r="K9" s="97">
        <f t="shared" si="4"/>
        <v>21</v>
      </c>
      <c r="L9" s="98">
        <f t="shared" si="5"/>
        <v>1.0997930764189846E-2</v>
      </c>
      <c r="M9" s="99">
        <f>VLOOKUP($A9,'[2]נתונים מהעמותות'!$A$4:$AA$48,12,FALSE)</f>
        <v>4</v>
      </c>
      <c r="N9" s="99">
        <f t="shared" si="6"/>
        <v>0</v>
      </c>
      <c r="O9" s="99">
        <f>VLOOKUP(A9,'[2]נתונים מהעמותות'!$A$4:$AE$48,29,FALSE)</f>
        <v>0</v>
      </c>
      <c r="P9" s="99">
        <f t="shared" si="12"/>
        <v>0</v>
      </c>
      <c r="Q9" s="100">
        <f t="shared" si="7"/>
        <v>0</v>
      </c>
      <c r="R9" s="99">
        <f>VLOOKUP($A9,'[2]נתונים מהעמותות'!$A$4:$AA$48,13,FALSE)</f>
        <v>36</v>
      </c>
      <c r="S9" s="99">
        <f>VLOOKUP($A9,'[2]נתונים מהעמותות'!$A$4:$AA$48,15,FALSE)</f>
        <v>1134</v>
      </c>
      <c r="T9" s="99">
        <f>VLOOKUP($A9,'[2]נתונים מהעמותות'!$A$4:$AA$48,18,FALSE)</f>
        <v>0</v>
      </c>
      <c r="U9" s="99">
        <f t="shared" si="13"/>
        <v>1170</v>
      </c>
      <c r="V9" s="100">
        <f t="shared" si="14"/>
        <v>1.229740808475752E-2</v>
      </c>
      <c r="W9" s="62">
        <f>VLOOKUP(B9,'[2]ייחודיות ונחיצות'!$B$3:$D$50,2,FALSE)</f>
        <v>1</v>
      </c>
      <c r="X9" s="100">
        <f t="shared" si="15"/>
        <v>1.4084507042253521E-2</v>
      </c>
      <c r="Y9" s="94">
        <f>VLOOKUP('[2]קריטריונים וניקוד'!A9,'[2]נתונים מהעמותות'!$A$3:$AE$48,26,FALSE)</f>
        <v>1</v>
      </c>
      <c r="Z9" s="100">
        <f t="shared" si="16"/>
        <v>1.3245033112582781E-2</v>
      </c>
      <c r="AA9" s="94">
        <f>VLOOKUP('[2]קריטריונים וניקוד'!A9,'[2]נתונים מהעמותות'!$A$3:$AE$48,29,FALSE)</f>
        <v>0</v>
      </c>
      <c r="AB9" s="100">
        <f t="shared" si="17"/>
        <v>0</v>
      </c>
      <c r="AC9" s="101">
        <f t="shared" si="18"/>
        <v>9.6741744187765766E-3</v>
      </c>
      <c r="AD9" s="102">
        <f t="shared" si="8"/>
        <v>30536.782408657054</v>
      </c>
      <c r="AE9" s="103">
        <f t="shared" si="19"/>
        <v>1000000</v>
      </c>
      <c r="AF9" s="87">
        <f>VLOOKUP(A9,[3]Sheet1!$A$3:$E$51,5,FALSE)</f>
        <v>70000</v>
      </c>
      <c r="AG9" s="103">
        <f t="shared" si="9"/>
        <v>70000</v>
      </c>
      <c r="AH9" s="87">
        <f>VLOOKUP(A9,[3]Sheet1!$A$3:$E$51,4,FALSE)</f>
        <v>250000</v>
      </c>
      <c r="AI9" s="104">
        <f t="shared" si="10"/>
        <v>212500</v>
      </c>
      <c r="AJ9" s="105">
        <f t="shared" si="11"/>
        <v>30536.782408657054</v>
      </c>
      <c r="AK9" s="106"/>
      <c r="AL9" s="107">
        <f t="shared" si="20"/>
        <v>0</v>
      </c>
      <c r="AM9" s="20"/>
    </row>
    <row r="10" spans="1:39" x14ac:dyDescent="0.2">
      <c r="A10" s="8">
        <v>1001546704</v>
      </c>
      <c r="B10" s="9" t="s">
        <v>9</v>
      </c>
      <c r="C10" s="94">
        <f>VLOOKUP($A10,'[2]נתונים מהעמותות'!$A$4:$AA$48,6,FALSE)</f>
        <v>0</v>
      </c>
      <c r="D10" s="94">
        <f>VLOOKUP($A10,'[2]נתונים מהעמותות'!$A$4:$AA$48,7,FALSE)</f>
        <v>1</v>
      </c>
      <c r="E10" s="94">
        <f>VLOOKUP($A10,'[2]נתונים מהעמותות'!$A$4:$AA$48,8,FALSE)</f>
        <v>1</v>
      </c>
      <c r="F10" s="95">
        <f t="shared" si="0"/>
        <v>2</v>
      </c>
      <c r="G10" s="96">
        <f t="shared" si="1"/>
        <v>0</v>
      </c>
      <c r="H10" s="96">
        <f t="shared" si="2"/>
        <v>2</v>
      </c>
      <c r="I10" s="96">
        <f t="shared" si="3"/>
        <v>1</v>
      </c>
      <c r="J10" s="94">
        <f>VLOOKUP($A10,'[2]נתונים מהעמותות'!$A$4:$AA$48,11,FALSE)</f>
        <v>1</v>
      </c>
      <c r="K10" s="97">
        <f t="shared" si="4"/>
        <v>3</v>
      </c>
      <c r="L10" s="98">
        <f t="shared" si="5"/>
        <v>1.5711329663128351E-3</v>
      </c>
      <c r="M10" s="99">
        <f>VLOOKUP($A10,'[2]נתונים מהעמותות'!$A$4:$AA$48,12,FALSE)</f>
        <v>0</v>
      </c>
      <c r="N10" s="99">
        <f t="shared" si="6"/>
        <v>0</v>
      </c>
      <c r="O10" s="99">
        <f>VLOOKUP(A10,'[2]נתונים מהעמותות'!$A$4:$AE$48,29,FALSE)</f>
        <v>0</v>
      </c>
      <c r="P10" s="99">
        <f t="shared" si="12"/>
        <v>0</v>
      </c>
      <c r="Q10" s="100">
        <f t="shared" si="7"/>
        <v>0</v>
      </c>
      <c r="R10" s="99">
        <f>VLOOKUP($A10,'[2]נתונים מהעמותות'!$A$4:$AA$48,13,FALSE)</f>
        <v>0</v>
      </c>
      <c r="S10" s="99">
        <f>VLOOKUP($A10,'[2]נתונים מהעמותות'!$A$4:$AA$48,15,FALSE)</f>
        <v>0</v>
      </c>
      <c r="T10" s="99">
        <f>VLOOKUP($A10,'[2]נתונים מהעמותות'!$A$4:$AA$48,18,FALSE)</f>
        <v>0</v>
      </c>
      <c r="U10" s="99">
        <f t="shared" si="13"/>
        <v>0</v>
      </c>
      <c r="V10" s="100">
        <f t="shared" si="14"/>
        <v>0</v>
      </c>
      <c r="W10" s="62">
        <f>VLOOKUP(B10,'[2]ייחודיות ונחיצות'!$B$3:$D$50,2,FALSE)</f>
        <v>1</v>
      </c>
      <c r="X10" s="100">
        <f t="shared" si="15"/>
        <v>1.4084507042253521E-2</v>
      </c>
      <c r="Y10" s="94">
        <f>VLOOKUP('[2]קריטריונים וניקוד'!A10,'[2]נתונים מהעמותות'!$A$3:$AE$48,26,FALSE)</f>
        <v>1</v>
      </c>
      <c r="Z10" s="100">
        <f t="shared" si="16"/>
        <v>1.3245033112582781E-2</v>
      </c>
      <c r="AA10" s="94">
        <f>VLOOKUP('[2]קריטריונים וניקוד'!A10,'[2]נתונים מהעמותות'!$A$3:$AE$48,29,FALSE)</f>
        <v>0</v>
      </c>
      <c r="AB10" s="100">
        <f t="shared" si="17"/>
        <v>0</v>
      </c>
      <c r="AC10" s="101">
        <f t="shared" si="18"/>
        <v>2.5420422497483418E-3</v>
      </c>
      <c r="AD10" s="102">
        <f t="shared" si="8"/>
        <v>8024.0222776544624</v>
      </c>
      <c r="AE10" s="103">
        <f t="shared" si="19"/>
        <v>200000</v>
      </c>
      <c r="AF10" s="87">
        <f>VLOOKUP(A10,[3]Sheet1!$A$3:$E$51,5,FALSE)</f>
        <v>200850</v>
      </c>
      <c r="AG10" s="103">
        <f t="shared" si="9"/>
        <v>200000</v>
      </c>
      <c r="AH10" s="87">
        <f>VLOOKUP(A10,[3]Sheet1!$A$3:$E$51,4,FALSE)</f>
        <v>236295</v>
      </c>
      <c r="AI10" s="104">
        <f t="shared" si="10"/>
        <v>200850.75</v>
      </c>
      <c r="AJ10" s="105">
        <f t="shared" si="11"/>
        <v>8024.0222776544624</v>
      </c>
      <c r="AK10" s="106"/>
      <c r="AL10" s="107">
        <f t="shared" si="20"/>
        <v>0</v>
      </c>
      <c r="AM10" s="115"/>
    </row>
    <row r="11" spans="1:39" x14ac:dyDescent="0.2">
      <c r="A11" s="8">
        <v>1001546705</v>
      </c>
      <c r="B11" s="9" t="s">
        <v>13</v>
      </c>
      <c r="C11" s="94">
        <f>VLOOKUP($A11,'[2]נתונים מהעמותות'!$A$4:$AA$48,6,FALSE)</f>
        <v>1</v>
      </c>
      <c r="D11" s="94">
        <f>VLOOKUP($A11,'[2]נתונים מהעמותות'!$A$4:$AA$48,7,FALSE)</f>
        <v>14</v>
      </c>
      <c r="E11" s="94">
        <f>VLOOKUP($A11,'[2]נתונים מהעמותות'!$A$4:$AA$48,8,FALSE)</f>
        <v>14</v>
      </c>
      <c r="F11" s="95">
        <f t="shared" si="0"/>
        <v>29</v>
      </c>
      <c r="G11" s="96">
        <f t="shared" si="1"/>
        <v>4</v>
      </c>
      <c r="H11" s="96">
        <f t="shared" si="2"/>
        <v>28</v>
      </c>
      <c r="I11" s="96">
        <f t="shared" si="3"/>
        <v>14</v>
      </c>
      <c r="J11" s="94">
        <f>VLOOKUP($A11,'[2]נתונים מהעמותות'!$A$4:$AA$48,11,FALSE)</f>
        <v>0.90909090909090906</v>
      </c>
      <c r="K11" s="97">
        <f t="shared" si="4"/>
        <v>46</v>
      </c>
      <c r="L11" s="98">
        <f t="shared" si="5"/>
        <v>2.4090705483463475E-2</v>
      </c>
      <c r="M11" s="99">
        <f>VLOOKUP($A11,'[2]נתונים מהעמותות'!$A$4:$AA$48,12,FALSE)</f>
        <v>40</v>
      </c>
      <c r="N11" s="99">
        <f t="shared" si="6"/>
        <v>0</v>
      </c>
      <c r="O11" s="99">
        <f>VLOOKUP(A11,'[2]נתונים מהעמותות'!$A$4:$AE$48,29,FALSE)</f>
        <v>0</v>
      </c>
      <c r="P11" s="99">
        <f t="shared" si="12"/>
        <v>0</v>
      </c>
      <c r="Q11" s="100">
        <f t="shared" si="7"/>
        <v>0</v>
      </c>
      <c r="R11" s="99">
        <f>VLOOKUP($A11,'[2]נתונים מהעמותות'!$A$4:$AA$48,13,FALSE)</f>
        <v>6</v>
      </c>
      <c r="S11" s="99">
        <f>VLOOKUP($A11,'[2]נתונים מהעמותות'!$A$4:$AA$48,15,FALSE)</f>
        <v>36</v>
      </c>
      <c r="T11" s="99">
        <f>VLOOKUP($A11,'[2]נתונים מהעמותות'!$A$4:$AA$48,18,FALSE)</f>
        <v>0</v>
      </c>
      <c r="U11" s="99">
        <f t="shared" si="13"/>
        <v>42</v>
      </c>
      <c r="V11" s="100">
        <f t="shared" si="14"/>
        <v>4.4144541842719301E-4</v>
      </c>
      <c r="W11" s="62">
        <f>VLOOKUP(B11,'[2]ייחודיות ונחיצות'!$B$3:$D$50,2,FALSE)</f>
        <v>1</v>
      </c>
      <c r="X11" s="100">
        <f t="shared" si="15"/>
        <v>1.4084507042253521E-2</v>
      </c>
      <c r="Y11" s="94">
        <f>VLOOKUP('[2]קריטריונים וניקוד'!A11,'[2]נתונים מהעמותות'!$A$3:$AE$48,26,FALSE)</f>
        <v>1</v>
      </c>
      <c r="Z11" s="100">
        <f t="shared" si="16"/>
        <v>1.3245033112582781E-2</v>
      </c>
      <c r="AA11" s="94">
        <f>VLOOKUP('[2]קריטריונים וניקוד'!A11,'[2]נתונים מהעמותות'!$A$3:$AE$48,29,FALSE)</f>
        <v>0</v>
      </c>
      <c r="AB11" s="100">
        <f t="shared" si="17"/>
        <v>0</v>
      </c>
      <c r="AC11" s="101">
        <f t="shared" si="18"/>
        <v>9.4524199013430506E-3</v>
      </c>
      <c r="AD11" s="102">
        <f t="shared" si="8"/>
        <v>29836.808524181575</v>
      </c>
      <c r="AE11" s="103">
        <f t="shared" si="19"/>
        <v>2900000</v>
      </c>
      <c r="AF11" s="87">
        <f>VLOOKUP(A11,[3]Sheet1!$A$3:$E$51,5,FALSE)</f>
        <v>100000</v>
      </c>
      <c r="AG11" s="103">
        <f t="shared" si="9"/>
        <v>100000</v>
      </c>
      <c r="AH11" s="87">
        <f>VLOOKUP(A11,[3]Sheet1!$A$3:$E$51,4,FALSE)</f>
        <v>450000</v>
      </c>
      <c r="AI11" s="104">
        <f t="shared" si="10"/>
        <v>382500</v>
      </c>
      <c r="AJ11" s="105">
        <f t="shared" si="11"/>
        <v>29836.808524181575</v>
      </c>
      <c r="AK11" s="106"/>
      <c r="AL11" s="107">
        <f t="shared" si="20"/>
        <v>0</v>
      </c>
      <c r="AM11" s="20"/>
    </row>
    <row r="12" spans="1:39" x14ac:dyDescent="0.2">
      <c r="A12" s="8">
        <v>1001546862</v>
      </c>
      <c r="B12" s="9" t="s">
        <v>24</v>
      </c>
      <c r="C12" s="94">
        <f>VLOOKUP($A12,'[2]נתונים מהעמותות'!$A$4:$AA$48,6,FALSE)</f>
        <v>0.25</v>
      </c>
      <c r="D12" s="94">
        <f>VLOOKUP($A12,'[2]נתונים מהעמותות'!$A$4:$AA$48,7,FALSE)</f>
        <v>0.39</v>
      </c>
      <c r="E12" s="94">
        <f>VLOOKUP($A12,'[2]נתונים מהעמותות'!$A$4:$AA$48,8,FALSE)</f>
        <v>1.4</v>
      </c>
      <c r="F12" s="95">
        <f t="shared" si="0"/>
        <v>2.04</v>
      </c>
      <c r="G12" s="96">
        <f t="shared" si="1"/>
        <v>1</v>
      </c>
      <c r="H12" s="96">
        <f t="shared" si="2"/>
        <v>0.78</v>
      </c>
      <c r="I12" s="96">
        <f t="shared" si="3"/>
        <v>1.4</v>
      </c>
      <c r="J12" s="94">
        <f>VLOOKUP($A12,'[2]נתונים מהעמותות'!$A$4:$AA$48,11,FALSE)</f>
        <v>1</v>
      </c>
      <c r="K12" s="97">
        <f t="shared" si="4"/>
        <v>3.1799999999999997</v>
      </c>
      <c r="L12" s="98">
        <f t="shared" si="5"/>
        <v>1.6654009442916052E-3</v>
      </c>
      <c r="M12" s="99">
        <f>VLOOKUP($A12,'[2]נתונים מהעמותות'!$A$4:$AA$48,12,FALSE)</f>
        <v>60</v>
      </c>
      <c r="N12" s="99">
        <f t="shared" si="6"/>
        <v>1</v>
      </c>
      <c r="O12" s="99">
        <f>VLOOKUP(A12,'[2]נתונים מהעמותות'!$A$4:$AE$48,29,FALSE)</f>
        <v>0</v>
      </c>
      <c r="P12" s="99">
        <f t="shared" si="12"/>
        <v>1</v>
      </c>
      <c r="Q12" s="100">
        <f t="shared" si="7"/>
        <v>1.2658227848101266E-2</v>
      </c>
      <c r="R12" s="99">
        <f>VLOOKUP($A12,'[2]נתונים מהעמותות'!$A$4:$AA$48,13,FALSE)</f>
        <v>18</v>
      </c>
      <c r="S12" s="99">
        <f>VLOOKUP($A12,'[2]נתונים מהעמותות'!$A$4:$AA$48,15,FALSE)</f>
        <v>18</v>
      </c>
      <c r="T12" s="99">
        <f>VLOOKUP($A12,'[2]נתונים מהעמותות'!$A$4:$AA$48,18,FALSE)</f>
        <v>73</v>
      </c>
      <c r="U12" s="99">
        <f t="shared" si="13"/>
        <v>109</v>
      </c>
      <c r="V12" s="100">
        <f t="shared" si="14"/>
        <v>1.1456559668705723E-3</v>
      </c>
      <c r="W12" s="62">
        <f>VLOOKUP(B12,'[2]ייחודיות ונחיצות'!$B$3:$D$50,2,FALSE)</f>
        <v>2</v>
      </c>
      <c r="X12" s="100">
        <f t="shared" si="15"/>
        <v>2.8169014084507043E-2</v>
      </c>
      <c r="Y12" s="94">
        <f>VLOOKUP('[2]קריטריונים וניקוד'!A12,'[2]נתונים מהעמותות'!$A$3:$AE$48,26,FALSE)</f>
        <v>2</v>
      </c>
      <c r="Z12" s="100">
        <f t="shared" si="16"/>
        <v>2.6490066225165563E-2</v>
      </c>
      <c r="AA12" s="94">
        <f>VLOOKUP('[2]קריטריונים וניקוד'!A12,'[2]נתונים מהעמותות'!$A$3:$AE$48,29,FALSE)</f>
        <v>0</v>
      </c>
      <c r="AB12" s="100">
        <f t="shared" si="17"/>
        <v>0</v>
      </c>
      <c r="AC12" s="101">
        <f t="shared" si="18"/>
        <v>6.3078273762112906E-3</v>
      </c>
      <c r="AD12" s="102">
        <f t="shared" si="8"/>
        <v>19910.820677873791</v>
      </c>
      <c r="AE12" s="103">
        <f t="shared" si="19"/>
        <v>204000</v>
      </c>
      <c r="AF12" s="87">
        <f>VLOOKUP(A12,[3]Sheet1!$A$3:$E$51,5,FALSE)</f>
        <v>150000</v>
      </c>
      <c r="AG12" s="103">
        <f t="shared" si="9"/>
        <v>150000</v>
      </c>
      <c r="AH12" s="87">
        <f>VLOOKUP(A12,[3]Sheet1!$A$3:$E$51,4,FALSE)</f>
        <v>708000</v>
      </c>
      <c r="AI12" s="104">
        <f t="shared" si="10"/>
        <v>601800</v>
      </c>
      <c r="AJ12" s="105">
        <f t="shared" si="11"/>
        <v>19910.820677873791</v>
      </c>
      <c r="AK12" s="106"/>
      <c r="AL12" s="107">
        <f t="shared" si="20"/>
        <v>0</v>
      </c>
      <c r="AM12" s="20"/>
    </row>
    <row r="13" spans="1:39" x14ac:dyDescent="0.2">
      <c r="A13" s="8">
        <v>1001547450</v>
      </c>
      <c r="B13" s="9" t="s">
        <v>16</v>
      </c>
      <c r="C13" s="94">
        <f>VLOOKUP($A13,'[2]נתונים מהעמותות'!$A$4:$AA$48,6,FALSE)</f>
        <v>4</v>
      </c>
      <c r="D13" s="94">
        <f>VLOOKUP($A13,'[2]נתונים מהעמותות'!$A$4:$AA$48,7,FALSE)</f>
        <v>47</v>
      </c>
      <c r="E13" s="94">
        <f>VLOOKUP($A13,'[2]נתונים מהעמותות'!$A$4:$AA$48,8,FALSE)</f>
        <v>38</v>
      </c>
      <c r="F13" s="95">
        <f t="shared" si="0"/>
        <v>89</v>
      </c>
      <c r="G13" s="96">
        <f t="shared" si="1"/>
        <v>16</v>
      </c>
      <c r="H13" s="96">
        <f t="shared" si="2"/>
        <v>94</v>
      </c>
      <c r="I13" s="96">
        <f t="shared" si="3"/>
        <v>38</v>
      </c>
      <c r="J13" s="94">
        <f>VLOOKUP($A13,'[2]נתונים מהעמותות'!$A$4:$AA$48,11,FALSE)</f>
        <v>1</v>
      </c>
      <c r="K13" s="97">
        <f t="shared" si="4"/>
        <v>148</v>
      </c>
      <c r="L13" s="98">
        <f t="shared" si="5"/>
        <v>7.7509226338099868E-2</v>
      </c>
      <c r="M13" s="99">
        <f>VLOOKUP($A13,'[2]נתונים מהעמותות'!$A$4:$AA$48,12,FALSE)</f>
        <v>500</v>
      </c>
      <c r="N13" s="99">
        <f t="shared" si="6"/>
        <v>3</v>
      </c>
      <c r="O13" s="99">
        <f>VLOOKUP(A13,'[2]נתונים מהעמותות'!$A$4:$AE$48,29,FALSE)</f>
        <v>3</v>
      </c>
      <c r="P13" s="99">
        <f t="shared" si="12"/>
        <v>6</v>
      </c>
      <c r="Q13" s="100">
        <f t="shared" si="7"/>
        <v>7.5949367088607597E-2</v>
      </c>
      <c r="R13" s="99">
        <f>VLOOKUP($A13,'[2]נתונים מהעמותות'!$A$4:$AA$48,13,FALSE)</f>
        <v>4500</v>
      </c>
      <c r="S13" s="99">
        <f>VLOOKUP($A13,'[2]נתונים מהעמותות'!$A$4:$AA$48,15,FALSE)</f>
        <v>210</v>
      </c>
      <c r="T13" s="99">
        <f>VLOOKUP($A13,'[2]נתונים מהעמותות'!$A$4:$AA$48,18,FALSE)</f>
        <v>0</v>
      </c>
      <c r="U13" s="99">
        <f t="shared" si="13"/>
        <v>4710</v>
      </c>
      <c r="V13" s="100">
        <f t="shared" si="14"/>
        <v>4.9504950495049507E-2</v>
      </c>
      <c r="W13" s="62">
        <f>VLOOKUP(B13,'[2]ייחודיות ונחיצות'!$B$3:$D$50,2,FALSE)</f>
        <v>3</v>
      </c>
      <c r="X13" s="100">
        <f t="shared" si="15"/>
        <v>4.2253521126760563E-2</v>
      </c>
      <c r="Y13" s="94">
        <f>VLOOKUP('[2]קריטריונים וניקוד'!A13,'[2]נתונים מהעמותות'!$A$3:$AE$48,26,FALSE)</f>
        <v>2</v>
      </c>
      <c r="Z13" s="100">
        <f t="shared" si="16"/>
        <v>2.6490066225165563E-2</v>
      </c>
      <c r="AA13" s="94">
        <f>VLOOKUP('[2]קריטריונים וניקוד'!A13,'[2]נתונים מהעמותות'!$A$3:$AE$48,29,FALSE)</f>
        <v>3</v>
      </c>
      <c r="AB13" s="100">
        <f t="shared" si="17"/>
        <v>6.25E-2</v>
      </c>
      <c r="AC13" s="101">
        <f t="shared" si="18"/>
        <v>5.9974292707492376E-2</v>
      </c>
      <c r="AD13" s="102">
        <f t="shared" si="8"/>
        <v>189310.41009217291</v>
      </c>
      <c r="AE13" s="103">
        <f t="shared" si="19"/>
        <v>8900000</v>
      </c>
      <c r="AF13" s="87">
        <f>VLOOKUP(A13,[3]Sheet1!$A$3:$E$51,5,FALSE)</f>
        <v>240000</v>
      </c>
      <c r="AG13" s="103">
        <f t="shared" si="9"/>
        <v>240000</v>
      </c>
      <c r="AH13" s="87">
        <f>VLOOKUP(A13,[3]Sheet1!$A$3:$E$51,4,FALSE)</f>
        <v>434446</v>
      </c>
      <c r="AI13" s="104">
        <f t="shared" si="10"/>
        <v>369279.1</v>
      </c>
      <c r="AJ13" s="105">
        <f t="shared" si="11"/>
        <v>189310.41009217291</v>
      </c>
      <c r="AK13" s="106"/>
      <c r="AL13" s="107">
        <f t="shared" si="20"/>
        <v>0</v>
      </c>
      <c r="AM13" s="20"/>
    </row>
    <row r="14" spans="1:39" x14ac:dyDescent="0.2">
      <c r="A14" s="8">
        <v>1001547735</v>
      </c>
      <c r="B14" s="9" t="s">
        <v>7</v>
      </c>
      <c r="C14" s="94">
        <f>VLOOKUP($A14,'[2]נתונים מהעמותות'!$A$4:$AA$48,6,FALSE)</f>
        <v>0</v>
      </c>
      <c r="D14" s="94">
        <f>VLOOKUP($A14,'[2]נתונים מהעמותות'!$A$4:$AA$48,7,FALSE)</f>
        <v>3.7</v>
      </c>
      <c r="E14" s="94">
        <f>VLOOKUP($A14,'[2]נתונים מהעמותות'!$A$4:$AA$48,8,FALSE)</f>
        <v>8.2100000000000009</v>
      </c>
      <c r="F14" s="95">
        <f t="shared" si="0"/>
        <v>11.91</v>
      </c>
      <c r="G14" s="96">
        <f t="shared" si="1"/>
        <v>0</v>
      </c>
      <c r="H14" s="96">
        <f t="shared" si="2"/>
        <v>7.4</v>
      </c>
      <c r="I14" s="96">
        <f t="shared" si="3"/>
        <v>8.2100000000000009</v>
      </c>
      <c r="J14" s="94">
        <f>VLOOKUP($A14,'[2]נתונים מהעמותות'!$A$4:$AA$48,11,FALSE)</f>
        <v>1</v>
      </c>
      <c r="K14" s="97">
        <f t="shared" si="4"/>
        <v>15.610000000000001</v>
      </c>
      <c r="L14" s="98">
        <f t="shared" si="5"/>
        <v>8.1751285347144535E-3</v>
      </c>
      <c r="M14" s="99">
        <f>VLOOKUP($A14,'[2]נתונים מהעמותות'!$A$4:$AA$48,12,FALSE)</f>
        <v>74</v>
      </c>
      <c r="N14" s="99">
        <f t="shared" si="6"/>
        <v>1</v>
      </c>
      <c r="O14" s="99">
        <f>VLOOKUP(A14,'[2]נתונים מהעמותות'!$A$4:$AE$48,29,FALSE)</f>
        <v>3</v>
      </c>
      <c r="P14" s="99">
        <f t="shared" si="12"/>
        <v>4</v>
      </c>
      <c r="Q14" s="100">
        <f t="shared" si="7"/>
        <v>5.0632911392405063E-2</v>
      </c>
      <c r="R14" s="99">
        <f>VLOOKUP($A14,'[2]נתונים מהעמותות'!$A$4:$AA$48,13,FALSE)</f>
        <v>25</v>
      </c>
      <c r="S14" s="99">
        <f>VLOOKUP($A14,'[2]נתונים מהעמותות'!$A$4:$AA$48,15,FALSE)</f>
        <v>9</v>
      </c>
      <c r="T14" s="99">
        <f>VLOOKUP($A14,'[2]נתונים מהעמותות'!$A$4:$AA$48,18,FALSE)</f>
        <v>357</v>
      </c>
      <c r="U14" s="99">
        <f t="shared" si="13"/>
        <v>391</v>
      </c>
      <c r="V14" s="100">
        <f t="shared" si="14"/>
        <v>4.1096466334531543E-3</v>
      </c>
      <c r="W14" s="62">
        <f>VLOOKUP(B14,'[2]ייחודיות ונחיצות'!$B$3:$D$50,2,FALSE)</f>
        <v>1</v>
      </c>
      <c r="X14" s="100">
        <f t="shared" si="15"/>
        <v>1.4084507042253521E-2</v>
      </c>
      <c r="Y14" s="94">
        <f>VLOOKUP('[2]קריטריונים וניקוד'!A14,'[2]נתונים מהעמותות'!$A$3:$AE$48,26,FALSE)</f>
        <v>1.5</v>
      </c>
      <c r="Z14" s="100">
        <f t="shared" si="16"/>
        <v>1.9867549668874173E-2</v>
      </c>
      <c r="AA14" s="94">
        <f>VLOOKUP('[2]קריטריונים וניקוד'!A14,'[2]נתונים מהעמותות'!$A$3:$AE$48,29,FALSE)</f>
        <v>3</v>
      </c>
      <c r="AB14" s="100">
        <f t="shared" si="17"/>
        <v>6.25E-2</v>
      </c>
      <c r="AC14" s="101">
        <f t="shared" si="18"/>
        <v>1.7606034209032506E-2</v>
      </c>
      <c r="AD14" s="102">
        <f t="shared" si="8"/>
        <v>55573.903513369623</v>
      </c>
      <c r="AE14" s="103">
        <f t="shared" si="19"/>
        <v>1191000</v>
      </c>
      <c r="AF14" s="87">
        <f>VLOOKUP(A14,[3]Sheet1!$A$3:$E$51,5,FALSE)</f>
        <v>200000</v>
      </c>
      <c r="AG14" s="103">
        <f t="shared" si="9"/>
        <v>200000</v>
      </c>
      <c r="AH14" s="87">
        <f>VLOOKUP(A14,[3]Sheet1!$A$3:$E$51,4,FALSE)</f>
        <v>250000</v>
      </c>
      <c r="AI14" s="104">
        <f t="shared" si="10"/>
        <v>212500</v>
      </c>
      <c r="AJ14" s="105">
        <f t="shared" si="11"/>
        <v>55573.903513369623</v>
      </c>
      <c r="AK14" s="106"/>
      <c r="AL14" s="107">
        <f t="shared" si="20"/>
        <v>0</v>
      </c>
      <c r="AM14" s="20"/>
    </row>
    <row r="15" spans="1:39" x14ac:dyDescent="0.2">
      <c r="A15" s="8">
        <v>1001548067</v>
      </c>
      <c r="B15" s="9" t="s">
        <v>14</v>
      </c>
      <c r="C15" s="94">
        <f>VLOOKUP($A15,'[2]נתונים מהעמותות'!$A$4:$AA$48,6,FALSE)</f>
        <v>2.1</v>
      </c>
      <c r="D15" s="94">
        <f>VLOOKUP($A15,'[2]נתונים מהעמותות'!$A$4:$AA$48,7,FALSE)</f>
        <v>0.12</v>
      </c>
      <c r="E15" s="94">
        <f>VLOOKUP($A15,'[2]נתונים מהעמותות'!$A$4:$AA$48,8,FALSE)</f>
        <v>0</v>
      </c>
      <c r="F15" s="95">
        <f t="shared" si="0"/>
        <v>2.2200000000000002</v>
      </c>
      <c r="G15" s="96">
        <f t="shared" si="1"/>
        <v>8.4</v>
      </c>
      <c r="H15" s="96">
        <f t="shared" si="2"/>
        <v>0.24</v>
      </c>
      <c r="I15" s="96">
        <f t="shared" si="3"/>
        <v>0</v>
      </c>
      <c r="J15" s="94">
        <f>VLOOKUP($A15,'[2]נתונים מהעמותות'!$A$4:$AA$48,11,FALSE)</f>
        <v>1</v>
      </c>
      <c r="K15" s="97">
        <f t="shared" si="4"/>
        <v>8.64</v>
      </c>
      <c r="L15" s="98">
        <f t="shared" si="5"/>
        <v>4.524862942980966E-3</v>
      </c>
      <c r="M15" s="99">
        <f>VLOOKUP($A15,'[2]נתונים מהעמותות'!$A$4:$AA$48,12,FALSE)</f>
        <v>67</v>
      </c>
      <c r="N15" s="99">
        <f t="shared" si="6"/>
        <v>1</v>
      </c>
      <c r="O15" s="99">
        <f>VLOOKUP(A15,'[2]נתונים מהעמותות'!$A$4:$AE$48,29,FALSE)</f>
        <v>3</v>
      </c>
      <c r="P15" s="99">
        <f t="shared" si="12"/>
        <v>4</v>
      </c>
      <c r="Q15" s="100">
        <f t="shared" si="7"/>
        <v>5.0632911392405063E-2</v>
      </c>
      <c r="R15" s="99">
        <f>VLOOKUP($A15,'[2]נתונים מהעמותות'!$A$4:$AA$48,13,FALSE)</f>
        <v>35</v>
      </c>
      <c r="S15" s="99">
        <f>VLOOKUP($A15,'[2]נתונים מהעמותות'!$A$4:$AA$48,15,FALSE)</f>
        <v>120</v>
      </c>
      <c r="T15" s="99">
        <f>VLOOKUP($A15,'[2]נתונים מהעמותות'!$A$4:$AA$48,18,FALSE)</f>
        <v>462</v>
      </c>
      <c r="U15" s="99">
        <f t="shared" si="13"/>
        <v>617</v>
      </c>
      <c r="V15" s="100">
        <f t="shared" si="14"/>
        <v>6.4850434087994789E-3</v>
      </c>
      <c r="W15" s="62">
        <f>VLOOKUP(B15,'[2]ייחודיות ונחיצות'!$B$3:$D$50,2,FALSE)</f>
        <v>2</v>
      </c>
      <c r="X15" s="100">
        <f t="shared" si="15"/>
        <v>2.8169014084507043E-2</v>
      </c>
      <c r="Y15" s="94">
        <f>VLOOKUP('[2]קריטריונים וניקוד'!A15,'[2]נתונים מהעמותות'!$A$3:$AE$48,26,FALSE)</f>
        <v>1</v>
      </c>
      <c r="Z15" s="100">
        <f t="shared" si="16"/>
        <v>1.3245033112582781E-2</v>
      </c>
      <c r="AA15" s="94">
        <f>VLOOKUP('[2]קריטריונים וניקוד'!A15,'[2]נתונים מהעמותות'!$A$3:$AE$48,29,FALSE)</f>
        <v>3</v>
      </c>
      <c r="AB15" s="100">
        <f t="shared" si="17"/>
        <v>6.25E-2</v>
      </c>
      <c r="AC15" s="101">
        <f t="shared" si="18"/>
        <v>1.8419668279294456E-2</v>
      </c>
      <c r="AD15" s="102">
        <f t="shared" si="8"/>
        <v>58142.160554056842</v>
      </c>
      <c r="AE15" s="103">
        <f t="shared" si="19"/>
        <v>222000.00000000003</v>
      </c>
      <c r="AF15" s="87">
        <f>VLOOKUP(A15,[3]Sheet1!$A$3:$E$51,5,FALSE)</f>
        <v>80000</v>
      </c>
      <c r="AG15" s="103">
        <f t="shared" si="9"/>
        <v>80000</v>
      </c>
      <c r="AH15" s="87">
        <f>VLOOKUP(A15,[3]Sheet1!$A$3:$E$51,4,FALSE)</f>
        <v>100000</v>
      </c>
      <c r="AI15" s="104">
        <f t="shared" si="10"/>
        <v>85000</v>
      </c>
      <c r="AJ15" s="105">
        <f t="shared" si="11"/>
        <v>58142.160554056842</v>
      </c>
      <c r="AK15" s="106"/>
      <c r="AL15" s="107">
        <f t="shared" si="20"/>
        <v>0</v>
      </c>
      <c r="AM15" s="20"/>
    </row>
    <row r="16" spans="1:39" x14ac:dyDescent="0.2">
      <c r="A16" s="8">
        <v>1001548120</v>
      </c>
      <c r="B16" s="9" t="s">
        <v>46</v>
      </c>
      <c r="C16" s="94">
        <f>VLOOKUP($A16,'[2]נתונים מהעמותות'!$A$4:$AA$48,6,FALSE)</f>
        <v>0.23</v>
      </c>
      <c r="D16" s="94">
        <f>VLOOKUP($A16,'[2]נתונים מהעמותות'!$A$4:$AA$48,7,FALSE)</f>
        <v>0.5</v>
      </c>
      <c r="E16" s="94">
        <f>VLOOKUP($A16,'[2]נתונים מהעמותות'!$A$4:$AA$48,8,FALSE)</f>
        <v>0.35</v>
      </c>
      <c r="F16" s="95">
        <f t="shared" si="0"/>
        <v>1.08</v>
      </c>
      <c r="G16" s="96">
        <f t="shared" si="1"/>
        <v>0.92</v>
      </c>
      <c r="H16" s="96">
        <f t="shared" si="2"/>
        <v>1</v>
      </c>
      <c r="I16" s="96">
        <f t="shared" si="3"/>
        <v>0.35</v>
      </c>
      <c r="J16" s="94">
        <f>VLOOKUP($A16,'[2]נתונים מהעמותות'!$A$4:$AA$48,11,FALSE)</f>
        <v>1</v>
      </c>
      <c r="K16" s="97">
        <f t="shared" ref="K16:K51" si="21">SUM(G16:I16)*J16</f>
        <v>2.27</v>
      </c>
      <c r="L16" s="98">
        <f t="shared" si="5"/>
        <v>1.1888239445100454E-3</v>
      </c>
      <c r="M16" s="99">
        <f>VLOOKUP($A16,'[2]נתונים מהעמותות'!$A$4:$AA$48,12,FALSE)</f>
        <v>6</v>
      </c>
      <c r="N16" s="99">
        <f t="shared" si="6"/>
        <v>0</v>
      </c>
      <c r="O16" s="99">
        <f>VLOOKUP(A16,'[2]נתונים מהעמותות'!$A$4:$AE$48,29,FALSE)</f>
        <v>0</v>
      </c>
      <c r="P16" s="99">
        <f t="shared" si="12"/>
        <v>0</v>
      </c>
      <c r="Q16" s="100">
        <f t="shared" si="7"/>
        <v>0</v>
      </c>
      <c r="R16" s="99">
        <f>VLOOKUP($A16,'[2]נתונים מהעמותות'!$A$4:$AA$48,13,FALSE)</f>
        <v>616</v>
      </c>
      <c r="S16" s="99">
        <f>VLOOKUP($A16,'[2]נתונים מהעמותות'!$A$4:$AA$48,15,FALSE)</f>
        <v>60</v>
      </c>
      <c r="T16" s="99">
        <f>VLOOKUP($A16,'[2]נתונים מהעמותות'!$A$4:$AA$48,18,FALSE)</f>
        <v>279</v>
      </c>
      <c r="U16" s="99">
        <f t="shared" si="13"/>
        <v>955</v>
      </c>
      <c r="V16" s="100">
        <f t="shared" si="14"/>
        <v>1.0037627966618319E-2</v>
      </c>
      <c r="W16" s="62">
        <f>VLOOKUP(B16,'[2]ייחודיות ונחיצות'!$B$3:$D$50,2,FALSE)</f>
        <v>1</v>
      </c>
      <c r="X16" s="100">
        <f t="shared" si="15"/>
        <v>1.4084507042253521E-2</v>
      </c>
      <c r="Y16" s="94">
        <f>VLOOKUP('[2]קריטריונים וניקוד'!A16,'[2]נתונים מהעמותות'!$A$3:$AE$48,26,FALSE)</f>
        <v>1</v>
      </c>
      <c r="Z16" s="100">
        <f t="shared" si="16"/>
        <v>1.3245033112582781E-2</v>
      </c>
      <c r="AA16" s="94">
        <f>VLOOKUP('[2]קריטריונים וניקוד'!A16,'[2]נתונים מהעמותות'!$A$3:$AE$48,29,FALSE)</f>
        <v>0</v>
      </c>
      <c r="AB16" s="100">
        <f t="shared" si="17"/>
        <v>0</v>
      </c>
      <c r="AC16" s="101">
        <f t="shared" si="18"/>
        <v>5.940519331523916E-3</v>
      </c>
      <c r="AD16" s="102">
        <f t="shared" si="8"/>
        <v>18751.403310351685</v>
      </c>
      <c r="AE16" s="103">
        <f t="shared" si="19"/>
        <v>108000</v>
      </c>
      <c r="AF16" s="87">
        <f>VLOOKUP(A16,[3]Sheet1!$A$3:$E$51,5,FALSE)</f>
        <v>250000</v>
      </c>
      <c r="AG16" s="103">
        <f t="shared" si="9"/>
        <v>108000</v>
      </c>
      <c r="AH16" s="87">
        <f>VLOOKUP(A16,[3]Sheet1!$A$3:$E$51,4,FALSE)</f>
        <v>400000</v>
      </c>
      <c r="AI16" s="104">
        <f t="shared" si="10"/>
        <v>340000</v>
      </c>
      <c r="AJ16" s="105">
        <f t="shared" si="11"/>
        <v>18751.403310351685</v>
      </c>
      <c r="AK16" s="106"/>
      <c r="AL16" s="107">
        <f t="shared" si="20"/>
        <v>0</v>
      </c>
      <c r="AM16" s="20"/>
    </row>
    <row r="17" spans="1:39" x14ac:dyDescent="0.2">
      <c r="A17" s="8">
        <v>1001548321</v>
      </c>
      <c r="B17" s="9" t="s">
        <v>43</v>
      </c>
      <c r="C17" s="94">
        <f>VLOOKUP($A17,'[2]נתונים מהעמותות'!$A$4:$AA$48,6,FALSE)</f>
        <v>15</v>
      </c>
      <c r="D17" s="94">
        <f>VLOOKUP($A17,'[2]נתונים מהעמותות'!$A$4:$AA$48,7,FALSE)</f>
        <v>125</v>
      </c>
      <c r="E17" s="94">
        <f>VLOOKUP($A17,'[2]נתונים מהעמותות'!$A$4:$AA$48,8,FALSE)</f>
        <v>2</v>
      </c>
      <c r="F17" s="95">
        <f t="shared" si="0"/>
        <v>142</v>
      </c>
      <c r="G17" s="96">
        <f t="shared" si="1"/>
        <v>60</v>
      </c>
      <c r="H17" s="96">
        <f t="shared" si="2"/>
        <v>250</v>
      </c>
      <c r="I17" s="96">
        <f t="shared" si="3"/>
        <v>2</v>
      </c>
      <c r="J17" s="94">
        <f>VLOOKUP($A17,'[2]נתונים מהעמותות'!$A$4:$AA$48,11,FALSE)</f>
        <v>0.95348837209302328</v>
      </c>
      <c r="K17" s="97">
        <f t="shared" si="21"/>
        <v>297.48837209302326</v>
      </c>
      <c r="L17" s="98">
        <f t="shared" si="5"/>
        <v>0.15579792949669602</v>
      </c>
      <c r="M17" s="99">
        <f>VLOOKUP($A17,'[2]נתונים מהעמותות'!$A$4:$AA$48,12,FALSE)</f>
        <v>4</v>
      </c>
      <c r="N17" s="99">
        <f t="shared" si="6"/>
        <v>0</v>
      </c>
      <c r="O17" s="99">
        <f>VLOOKUP(A17,'[2]נתונים מהעמותות'!$A$4:$AE$48,29,FALSE)</f>
        <v>0</v>
      </c>
      <c r="P17" s="99">
        <f t="shared" si="12"/>
        <v>0</v>
      </c>
      <c r="Q17" s="100">
        <f t="shared" si="7"/>
        <v>0</v>
      </c>
      <c r="R17" s="99">
        <f>VLOOKUP($A17,'[2]נתונים מהעמותות'!$A$4:$AA$48,13,FALSE)</f>
        <v>357</v>
      </c>
      <c r="S17" s="99">
        <f>VLOOKUP($A17,'[2]נתונים מהעמותות'!$A$4:$AA$48,15,FALSE)</f>
        <v>270</v>
      </c>
      <c r="T17" s="99">
        <f>VLOOKUP($A17,'[2]נתונים מהעמותות'!$A$4:$AA$48,18,FALSE)</f>
        <v>396</v>
      </c>
      <c r="U17" s="99">
        <f t="shared" si="13"/>
        <v>1023</v>
      </c>
      <c r="V17" s="100">
        <f t="shared" si="14"/>
        <v>1.0752349120262345E-2</v>
      </c>
      <c r="W17" s="62">
        <f>VLOOKUP(B17,'[2]ייחודיות ונחיצות'!$B$3:$D$50,2,FALSE)</f>
        <v>1</v>
      </c>
      <c r="X17" s="100">
        <f t="shared" si="15"/>
        <v>1.4084507042253521E-2</v>
      </c>
      <c r="Y17" s="94">
        <f>VLOOKUP('[2]קריטריונים וניקוד'!A17,'[2]נתונים מהעמותות'!$A$3:$AE$48,26,FALSE)</f>
        <v>2</v>
      </c>
      <c r="Z17" s="100">
        <f t="shared" si="16"/>
        <v>2.6490066225165563E-2</v>
      </c>
      <c r="AA17" s="94">
        <f>VLOOKUP('[2]קריטריונים וניקוד'!A17,'[2]נתונים מהעמותות'!$A$3:$AE$48,29,FALSE)</f>
        <v>0</v>
      </c>
      <c r="AB17" s="100">
        <f t="shared" si="17"/>
        <v>0</v>
      </c>
      <c r="AC17" s="101">
        <f t="shared" si="18"/>
        <v>5.3235655056584258E-2</v>
      </c>
      <c r="AD17" s="102">
        <f t="shared" si="8"/>
        <v>168039.72561111016</v>
      </c>
      <c r="AE17" s="103">
        <f t="shared" si="19"/>
        <v>14200000</v>
      </c>
      <c r="AF17" s="87">
        <f>VLOOKUP(A17,[3]Sheet1!$A$3:$E$51,5,FALSE)</f>
        <v>2433562</v>
      </c>
      <c r="AG17" s="103">
        <f t="shared" si="9"/>
        <v>2433562</v>
      </c>
      <c r="AH17" s="87">
        <f>VLOOKUP(A17,[3]Sheet1!$A$3:$E$51,4,FALSE)</f>
        <v>2863014</v>
      </c>
      <c r="AI17" s="104">
        <f t="shared" si="10"/>
        <v>2433561.9</v>
      </c>
      <c r="AJ17" s="105">
        <f t="shared" si="11"/>
        <v>168039.72561111016</v>
      </c>
      <c r="AK17" s="106"/>
      <c r="AL17" s="107">
        <f t="shared" si="20"/>
        <v>0</v>
      </c>
      <c r="AM17" s="20"/>
    </row>
    <row r="18" spans="1:39" x14ac:dyDescent="0.2">
      <c r="A18" s="8">
        <v>1001548441</v>
      </c>
      <c r="B18" s="9" t="s">
        <v>6</v>
      </c>
      <c r="C18" s="94">
        <f>VLOOKUP($A18,'[2]נתונים מהעמותות'!$A$4:$AA$48,6,FALSE)</f>
        <v>0.1</v>
      </c>
      <c r="D18" s="94">
        <f>VLOOKUP($A18,'[2]נתונים מהעמותות'!$A$4:$AA$48,7,FALSE)</f>
        <v>0.68</v>
      </c>
      <c r="E18" s="94">
        <f>VLOOKUP($A18,'[2]נתונים מהעמותות'!$A$4:$AA$48,8,FALSE)</f>
        <v>6.31</v>
      </c>
      <c r="F18" s="95">
        <f t="shared" si="0"/>
        <v>7.09</v>
      </c>
      <c r="G18" s="96">
        <f t="shared" si="1"/>
        <v>0.4</v>
      </c>
      <c r="H18" s="96">
        <f t="shared" si="2"/>
        <v>1.36</v>
      </c>
      <c r="I18" s="96">
        <f t="shared" si="3"/>
        <v>6.31</v>
      </c>
      <c r="J18" s="94">
        <f>VLOOKUP($A18,'[2]נתונים מהעמותות'!$A$4:$AA$48,11,FALSE)</f>
        <v>1</v>
      </c>
      <c r="K18" s="97">
        <f t="shared" si="21"/>
        <v>8.07</v>
      </c>
      <c r="L18" s="98">
        <f t="shared" si="5"/>
        <v>4.2263476793815268E-3</v>
      </c>
      <c r="M18" s="99">
        <f>VLOOKUP($A18,'[2]נתונים מהעמותות'!$A$4:$AA$48,12,FALSE)</f>
        <v>15</v>
      </c>
      <c r="N18" s="99">
        <f t="shared" si="6"/>
        <v>0</v>
      </c>
      <c r="O18" s="99">
        <f>VLOOKUP(A18,'[2]נתונים מהעמותות'!$A$4:$AE$48,29,FALSE)</f>
        <v>0</v>
      </c>
      <c r="P18" s="99">
        <f t="shared" si="12"/>
        <v>0</v>
      </c>
      <c r="Q18" s="100">
        <f t="shared" si="7"/>
        <v>0</v>
      </c>
      <c r="R18" s="99">
        <f>VLOOKUP($A18,'[2]נתונים מהעמותות'!$A$4:$AA$48,13,FALSE)</f>
        <v>26</v>
      </c>
      <c r="S18" s="99">
        <f>VLOOKUP($A18,'[2]נתונים מהעמותות'!$A$4:$AA$48,15,FALSE)</f>
        <v>144</v>
      </c>
      <c r="T18" s="99">
        <f>VLOOKUP($A18,'[2]נתונים מהעמותות'!$A$4:$AA$48,18,FALSE)</f>
        <v>498</v>
      </c>
      <c r="U18" s="99">
        <f t="shared" si="13"/>
        <v>668</v>
      </c>
      <c r="V18" s="100">
        <f t="shared" si="14"/>
        <v>7.0210842740324984E-3</v>
      </c>
      <c r="W18" s="62">
        <f>VLOOKUP(B18,'[2]ייחודיות ונחיצות'!$B$3:$D$50,2,FALSE)</f>
        <v>1</v>
      </c>
      <c r="X18" s="100">
        <f t="shared" si="15"/>
        <v>1.4084507042253521E-2</v>
      </c>
      <c r="Y18" s="94">
        <f>VLOOKUP('[2]קריטריונים וניקוד'!A18,'[2]נתונים מהעמותות'!$A$3:$AE$48,26,FALSE)</f>
        <v>1</v>
      </c>
      <c r="Z18" s="100">
        <f t="shared" si="16"/>
        <v>1.3245033112582781E-2</v>
      </c>
      <c r="AA18" s="94">
        <f>VLOOKUP('[2]קריטריונים וניקוד'!A18,'[2]נתונים מהעמותות'!$A$3:$AE$48,29,FALSE)</f>
        <v>0</v>
      </c>
      <c r="AB18" s="100">
        <f t="shared" si="17"/>
        <v>0</v>
      </c>
      <c r="AC18" s="101">
        <f t="shared" si="18"/>
        <v>5.7959861595803241E-3</v>
      </c>
      <c r="AD18" s="102">
        <f t="shared" si="8"/>
        <v>18295.180605300164</v>
      </c>
      <c r="AE18" s="103">
        <f t="shared" si="19"/>
        <v>709000</v>
      </c>
      <c r="AF18" s="87">
        <f>VLOOKUP(A18,[3]Sheet1!$A$3:$E$51,5,FALSE)</f>
        <v>250000</v>
      </c>
      <c r="AG18" s="103">
        <f t="shared" si="9"/>
        <v>250000</v>
      </c>
      <c r="AH18" s="87">
        <f>VLOOKUP(A18,[3]Sheet1!$A$3:$E$51,4,FALSE)</f>
        <v>750000</v>
      </c>
      <c r="AI18" s="104">
        <f t="shared" si="10"/>
        <v>637500</v>
      </c>
      <c r="AJ18" s="105">
        <f t="shared" si="11"/>
        <v>18295.180605300164</v>
      </c>
      <c r="AK18" s="106"/>
      <c r="AL18" s="107">
        <f t="shared" si="20"/>
        <v>0</v>
      </c>
      <c r="AM18" s="20"/>
    </row>
    <row r="19" spans="1:39" x14ac:dyDescent="0.2">
      <c r="A19" s="8">
        <v>1001548503</v>
      </c>
      <c r="B19" s="9" t="s">
        <v>11</v>
      </c>
      <c r="C19" s="94">
        <f>VLOOKUP($A19,'[2]נתונים מהעמותות'!$A$4:$AA$48,6,FALSE)</f>
        <v>1</v>
      </c>
      <c r="D19" s="94">
        <f>VLOOKUP($A19,'[2]נתונים מהעמותות'!$A$4:$AA$48,7,FALSE)</f>
        <v>2</v>
      </c>
      <c r="E19" s="94">
        <f>VLOOKUP($A19,'[2]נתונים מהעמותות'!$A$4:$AA$48,8,FALSE)</f>
        <v>1</v>
      </c>
      <c r="F19" s="95">
        <f t="shared" si="0"/>
        <v>4</v>
      </c>
      <c r="G19" s="96">
        <f t="shared" si="1"/>
        <v>4</v>
      </c>
      <c r="H19" s="96">
        <f t="shared" si="2"/>
        <v>4</v>
      </c>
      <c r="I19" s="96">
        <f t="shared" si="3"/>
        <v>1</v>
      </c>
      <c r="J19" s="94">
        <f>VLOOKUP($A19,'[2]נתונים מהעמותות'!$A$4:$AA$48,11,FALSE)</f>
        <v>1</v>
      </c>
      <c r="K19" s="97">
        <f t="shared" si="21"/>
        <v>9</v>
      </c>
      <c r="L19" s="98">
        <f t="shared" si="5"/>
        <v>4.7133988989385058E-3</v>
      </c>
      <c r="M19" s="99">
        <f>VLOOKUP($A19,'[2]נתונים מהעמותות'!$A$4:$AA$48,12,FALSE)</f>
        <v>135</v>
      </c>
      <c r="N19" s="99">
        <f t="shared" si="6"/>
        <v>2</v>
      </c>
      <c r="O19" s="99">
        <f>VLOOKUP(A19,'[2]נתונים מהעמותות'!$A$4:$AE$48,29,FALSE)</f>
        <v>3</v>
      </c>
      <c r="P19" s="99">
        <f t="shared" si="12"/>
        <v>5</v>
      </c>
      <c r="Q19" s="100">
        <f t="shared" si="7"/>
        <v>6.3291139240506333E-2</v>
      </c>
      <c r="R19" s="99">
        <f>VLOOKUP($A19,'[2]נתונים מהעמותות'!$A$4:$AA$48,13,FALSE)</f>
        <v>110</v>
      </c>
      <c r="S19" s="99">
        <f>VLOOKUP($A19,'[2]נתונים מהעמותות'!$A$4:$AA$48,15,FALSE)</f>
        <v>360</v>
      </c>
      <c r="T19" s="99">
        <f>VLOOKUP($A19,'[2]נתונים מהעמותות'!$A$4:$AA$48,18,FALSE)</f>
        <v>0</v>
      </c>
      <c r="U19" s="99">
        <f t="shared" si="13"/>
        <v>470</v>
      </c>
      <c r="V19" s="100">
        <f t="shared" si="14"/>
        <v>4.9399844443043031E-3</v>
      </c>
      <c r="W19" s="62">
        <f>VLOOKUP(B19,'[2]ייחודיות ונחיצות'!$B$3:$D$50,2,FALSE)</f>
        <v>3</v>
      </c>
      <c r="X19" s="100">
        <f t="shared" si="15"/>
        <v>4.2253521126760563E-2</v>
      </c>
      <c r="Y19" s="94">
        <f>VLOOKUP('[2]קריטריונים וניקוד'!A19,'[2]נתונים מהעמותות'!$A$3:$AE$48,26,FALSE)</f>
        <v>3</v>
      </c>
      <c r="Z19" s="100">
        <f t="shared" si="16"/>
        <v>3.9735099337748346E-2</v>
      </c>
      <c r="AA19" s="94">
        <f>VLOOKUP('[2]קריטריונים וניקוד'!A19,'[2]נתונים מהעמותות'!$A$3:$AE$48,29,FALSE)</f>
        <v>3</v>
      </c>
      <c r="AB19" s="100">
        <f t="shared" si="17"/>
        <v>6.25E-2</v>
      </c>
      <c r="AC19" s="101">
        <f t="shared" si="18"/>
        <v>2.1934235228802168E-2</v>
      </c>
      <c r="AD19" s="102">
        <f t="shared" si="8"/>
        <v>69235.982264514183</v>
      </c>
      <c r="AE19" s="103">
        <f t="shared" si="19"/>
        <v>400000</v>
      </c>
      <c r="AF19" s="87">
        <f>VLOOKUP(A19,[3]Sheet1!$A$3:$E$51,5,FALSE)</f>
        <v>200000</v>
      </c>
      <c r="AG19" s="103">
        <f t="shared" si="9"/>
        <v>200000</v>
      </c>
      <c r="AH19" s="87">
        <f>VLOOKUP(A19,[3]Sheet1!$A$3:$E$51,4,FALSE)</f>
        <v>400000</v>
      </c>
      <c r="AI19" s="104">
        <f t="shared" si="10"/>
        <v>340000</v>
      </c>
      <c r="AJ19" s="105">
        <f t="shared" si="11"/>
        <v>69235.982264514183</v>
      </c>
      <c r="AK19" s="106"/>
      <c r="AL19" s="107">
        <f t="shared" si="20"/>
        <v>0</v>
      </c>
      <c r="AM19" s="20"/>
    </row>
    <row r="20" spans="1:39" x14ac:dyDescent="0.2">
      <c r="A20" s="8">
        <v>1001548925</v>
      </c>
      <c r="B20" s="9" t="s">
        <v>10</v>
      </c>
      <c r="C20" s="94">
        <f>VLOOKUP($A20,'[2]נתונים מהעמותות'!$A$4:$AA$48,6,FALSE)</f>
        <v>1</v>
      </c>
      <c r="D20" s="94">
        <f>VLOOKUP($A20,'[2]נתונים מהעמותות'!$A$4:$AA$48,7,FALSE)</f>
        <v>10</v>
      </c>
      <c r="E20" s="94">
        <f>VLOOKUP($A20,'[2]נתונים מהעמותות'!$A$4:$AA$48,8,FALSE)</f>
        <v>9</v>
      </c>
      <c r="F20" s="95">
        <f t="shared" si="0"/>
        <v>20</v>
      </c>
      <c r="G20" s="96">
        <f t="shared" si="1"/>
        <v>4</v>
      </c>
      <c r="H20" s="96">
        <v>15</v>
      </c>
      <c r="I20" s="96">
        <v>130</v>
      </c>
      <c r="J20" s="94">
        <f>VLOOKUP($A20,'[2]נתונים מהעמותות'!$A$4:$AA$48,11,FALSE)</f>
        <v>1</v>
      </c>
      <c r="K20" s="97">
        <f t="shared" si="21"/>
        <v>149</v>
      </c>
      <c r="L20" s="98">
        <f t="shared" si="5"/>
        <v>7.8032937326870819E-2</v>
      </c>
      <c r="M20" s="99">
        <f>VLOOKUP($A20,'[2]נתונים מהעמותות'!$A$4:$AA$48,12,FALSE)</f>
        <v>607</v>
      </c>
      <c r="N20" s="99">
        <f t="shared" si="6"/>
        <v>3</v>
      </c>
      <c r="O20" s="99">
        <f>VLOOKUP(A20,'[2]נתונים מהעמותות'!$A$4:$AE$48,29,FALSE)</f>
        <v>3</v>
      </c>
      <c r="P20" s="99">
        <f t="shared" si="12"/>
        <v>6</v>
      </c>
      <c r="Q20" s="100">
        <f t="shared" si="7"/>
        <v>7.5949367088607597E-2</v>
      </c>
      <c r="R20" s="99">
        <f>VLOOKUP($A20,'[2]נתונים מהעמותות'!$A$4:$AA$48,13,FALSE)</f>
        <v>0</v>
      </c>
      <c r="S20" s="99">
        <f>VLOOKUP($A20,'[2]נתונים מהעמותות'!$A$4:$AA$48,15,FALSE)</f>
        <v>34560</v>
      </c>
      <c r="T20" s="99">
        <f>VLOOKUP($A20,'[2]נתונים מהעמותות'!$A$4:$AA$48,18,FALSE)</f>
        <v>6420</v>
      </c>
      <c r="U20" s="99">
        <f t="shared" si="13"/>
        <v>40980</v>
      </c>
      <c r="V20" s="100">
        <f t="shared" si="14"/>
        <v>0.43072460112253264</v>
      </c>
      <c r="W20" s="62">
        <f>VLOOKUP(B20,'[2]ייחודיות ונחיצות'!$B$3:$D$50,2,FALSE)</f>
        <v>2</v>
      </c>
      <c r="X20" s="100">
        <f t="shared" si="15"/>
        <v>2.8169014084507043E-2</v>
      </c>
      <c r="Y20" s="94">
        <f>VLOOKUP('[2]קריטריונים וניקוד'!A20,'[2]נתונים מהעמותות'!$A$3:$AE$48,26,FALSE)</f>
        <v>2</v>
      </c>
      <c r="Z20" s="100">
        <f t="shared" si="16"/>
        <v>2.6490066225165563E-2</v>
      </c>
      <c r="AA20" s="94">
        <f>VLOOKUP('[2]קריטריונים וניקוד'!A20,'[2]נתונים מהעמותות'!$A$3:$AE$48,29,FALSE)</f>
        <v>3</v>
      </c>
      <c r="AB20" s="100">
        <f t="shared" si="17"/>
        <v>6.25E-2</v>
      </c>
      <c r="AC20" s="101">
        <f t="shared" si="18"/>
        <v>0.19214983301951738</v>
      </c>
      <c r="AD20" s="102">
        <f t="shared" si="8"/>
        <v>606525.93045958609</v>
      </c>
      <c r="AE20" s="103">
        <f t="shared" si="19"/>
        <v>2000000</v>
      </c>
      <c r="AF20" s="87">
        <f>VLOOKUP(A20,[3]Sheet1!$A$3:$E$51,5,FALSE)</f>
        <v>250000</v>
      </c>
      <c r="AG20" s="103">
        <f t="shared" si="9"/>
        <v>250000</v>
      </c>
      <c r="AH20" s="87">
        <f>VLOOKUP(A20,[3]Sheet1!$A$3:$E$51,4,FALSE)</f>
        <v>1500000</v>
      </c>
      <c r="AI20" s="104">
        <f t="shared" si="10"/>
        <v>1275000</v>
      </c>
      <c r="AJ20" s="105">
        <f t="shared" si="11"/>
        <v>250000</v>
      </c>
      <c r="AK20" s="106"/>
      <c r="AL20" s="107">
        <f t="shared" si="20"/>
        <v>-356525.93045958609</v>
      </c>
      <c r="AM20" s="20"/>
    </row>
    <row r="21" spans="1:39" x14ac:dyDescent="0.2">
      <c r="A21" s="8">
        <v>1001548959</v>
      </c>
      <c r="B21" s="9" t="s">
        <v>34</v>
      </c>
      <c r="C21" s="94">
        <f>VLOOKUP($A21,'[2]נתונים מהעמותות'!$A$4:$AA$48,6,FALSE)</f>
        <v>2.7</v>
      </c>
      <c r="D21" s="94">
        <f>VLOOKUP($A21,'[2]נתונים מהעמותות'!$A$4:$AA$48,7,FALSE)</f>
        <v>19.7</v>
      </c>
      <c r="E21" s="94">
        <f>VLOOKUP($A21,'[2]נתונים מהעמותות'!$A$4:$AA$48,8,FALSE)</f>
        <v>13.5</v>
      </c>
      <c r="F21" s="95">
        <f t="shared" si="0"/>
        <v>35.9</v>
      </c>
      <c r="G21" s="96">
        <f t="shared" si="1"/>
        <v>10.8</v>
      </c>
      <c r="H21" s="96">
        <f t="shared" si="2"/>
        <v>39.4</v>
      </c>
      <c r="I21" s="96">
        <f t="shared" si="3"/>
        <v>13.5</v>
      </c>
      <c r="J21" s="94">
        <f>VLOOKUP($A21,'[2]נתונים מהעמותות'!$A$4:$AA$48,11,FALSE)</f>
        <v>1</v>
      </c>
      <c r="K21" s="97">
        <f t="shared" si="21"/>
        <v>63.7</v>
      </c>
      <c r="L21" s="98">
        <f t="shared" si="5"/>
        <v>3.33603899847092E-2</v>
      </c>
      <c r="M21" s="99">
        <f>VLOOKUP($A21,'[2]נתונים מהעמותות'!$A$4:$AA$48,12,FALSE)</f>
        <v>435</v>
      </c>
      <c r="N21" s="99">
        <f t="shared" si="6"/>
        <v>3</v>
      </c>
      <c r="O21" s="99">
        <f>VLOOKUP(A21,'[2]נתונים מהעמותות'!$A$4:$AE$48,29,FALSE)</f>
        <v>0</v>
      </c>
      <c r="P21" s="99">
        <f t="shared" si="12"/>
        <v>3</v>
      </c>
      <c r="Q21" s="100">
        <f t="shared" si="7"/>
        <v>3.7974683544303799E-2</v>
      </c>
      <c r="R21" s="99">
        <f>VLOOKUP($A21,'[2]נתונים מהעמותות'!$A$4:$AA$48,13,FALSE)</f>
        <v>3548</v>
      </c>
      <c r="S21" s="99">
        <f>VLOOKUP($A21,'[2]נתונים מהעמותות'!$A$4:$AA$48,15,FALSE)</f>
        <v>2997</v>
      </c>
      <c r="T21" s="99">
        <f>VLOOKUP($A21,'[2]נתונים מהעמותות'!$A$4:$AA$48,18,FALSE)</f>
        <v>399</v>
      </c>
      <c r="U21" s="99">
        <f t="shared" si="13"/>
        <v>6944</v>
      </c>
      <c r="V21" s="100">
        <f t="shared" si="14"/>
        <v>7.2985642513295909E-2</v>
      </c>
      <c r="W21" s="62">
        <f>VLOOKUP(B21,'[2]ייחודיות ונחיצות'!$B$3:$D$50,2,FALSE)</f>
        <v>2</v>
      </c>
      <c r="X21" s="100">
        <f t="shared" si="15"/>
        <v>2.8169014084507043E-2</v>
      </c>
      <c r="Y21" s="94">
        <f>VLOOKUP('[2]קריטריונים וניקוד'!A21,'[2]נתונים מהעמותות'!$A$3:$AE$48,26,FALSE)</f>
        <v>3</v>
      </c>
      <c r="Z21" s="100">
        <f t="shared" si="16"/>
        <v>3.9735099337748346E-2</v>
      </c>
      <c r="AA21" s="94">
        <f>VLOOKUP('[2]קריטריונים וניקוד'!A21,'[2]נתונים מהעמותות'!$A$3:$AE$48,29,FALSE)</f>
        <v>0</v>
      </c>
      <c r="AB21" s="100">
        <f t="shared" si="17"/>
        <v>0</v>
      </c>
      <c r="AC21" s="101">
        <f t="shared" si="18"/>
        <v>4.4154216604834831E-2</v>
      </c>
      <c r="AD21" s="102">
        <f t="shared" si="8"/>
        <v>139373.92965229033</v>
      </c>
      <c r="AE21" s="103">
        <f t="shared" si="19"/>
        <v>3590000</v>
      </c>
      <c r="AF21" s="87">
        <f>VLOOKUP(A21,[3]Sheet1!$A$3:$E$51,5,FALSE)</f>
        <v>1800000</v>
      </c>
      <c r="AG21" s="103">
        <f t="shared" si="9"/>
        <v>1800000</v>
      </c>
      <c r="AH21" s="87">
        <f>VLOOKUP(A21,[3]Sheet1!$A$3:$E$51,4,FALSE)</f>
        <v>2500000</v>
      </c>
      <c r="AI21" s="104">
        <f t="shared" si="10"/>
        <v>2125000</v>
      </c>
      <c r="AJ21" s="105">
        <f t="shared" si="11"/>
        <v>139373.92965229033</v>
      </c>
      <c r="AK21" s="106"/>
      <c r="AL21" s="107">
        <f t="shared" si="20"/>
        <v>0</v>
      </c>
      <c r="AM21" s="20"/>
    </row>
    <row r="22" spans="1:39" x14ac:dyDescent="0.2">
      <c r="A22" s="149">
        <v>1001549381</v>
      </c>
      <c r="B22" s="150" t="s">
        <v>21</v>
      </c>
      <c r="C22" s="94">
        <f>VLOOKUP($A22,'[2]נתונים מהעמותות'!$A$4:$AA$48,6,FALSE)</f>
        <v>1.5</v>
      </c>
      <c r="D22" s="94">
        <f>VLOOKUP($A22,'[2]נתונים מהעמותות'!$A$4:$AA$48,7,FALSE)</f>
        <v>1</v>
      </c>
      <c r="E22" s="94">
        <f>VLOOKUP($A22,'[2]נתונים מהעמותות'!$A$4:$AA$48,8,FALSE)</f>
        <v>8</v>
      </c>
      <c r="F22" s="95">
        <f t="shared" si="0"/>
        <v>10.5</v>
      </c>
      <c r="G22" s="96">
        <f t="shared" si="1"/>
        <v>6</v>
      </c>
      <c r="H22" s="96">
        <f t="shared" si="2"/>
        <v>2</v>
      </c>
      <c r="I22" s="96">
        <f t="shared" si="3"/>
        <v>8</v>
      </c>
      <c r="J22" s="94">
        <f>VLOOKUP($A22,'[2]נתונים מהעמותות'!$A$4:$AA$48,11,FALSE)</f>
        <v>1</v>
      </c>
      <c r="K22" s="97">
        <f t="shared" si="21"/>
        <v>16</v>
      </c>
      <c r="L22" s="98">
        <f t="shared" si="5"/>
        <v>8.3793758203351207E-3</v>
      </c>
      <c r="M22" s="99">
        <f>VLOOKUP($A22,'[2]נתונים מהעמותות'!$A$4:$AA$48,12,FALSE)</f>
        <v>223</v>
      </c>
      <c r="N22" s="99">
        <f t="shared" si="6"/>
        <v>3</v>
      </c>
      <c r="O22" s="99">
        <f>VLOOKUP(A22,'[2]נתונים מהעמותות'!$A$4:$AE$48,29,FALSE)</f>
        <v>0</v>
      </c>
      <c r="P22" s="99">
        <f t="shared" si="12"/>
        <v>3</v>
      </c>
      <c r="Q22" s="100">
        <f t="shared" si="7"/>
        <v>3.7974683544303799E-2</v>
      </c>
      <c r="R22" s="99">
        <f>VLOOKUP($A22,'[2]נתונים מהעמותות'!$A$4:$AA$48,13,FALSE)</f>
        <v>60</v>
      </c>
      <c r="S22" s="99">
        <f>VLOOKUP($A22,'[2]נתונים מהעמותות'!$A$4:$AA$48,15,FALSE)</f>
        <v>162</v>
      </c>
      <c r="T22" s="99">
        <f>VLOOKUP($A22,'[2]נתונים מהעמותות'!$A$4:$AA$48,18,FALSE)</f>
        <v>1513</v>
      </c>
      <c r="U22" s="99">
        <f t="shared" si="13"/>
        <v>1735</v>
      </c>
      <c r="V22" s="100">
        <f t="shared" si="14"/>
        <v>1.8235900023123332E-2</v>
      </c>
      <c r="W22" s="62">
        <f>VLOOKUP(B22,'[2]ייחודיות ונחיצות'!$B$3:$D$50,2,FALSE)</f>
        <v>2</v>
      </c>
      <c r="X22" s="100">
        <f t="shared" si="15"/>
        <v>2.8169014084507043E-2</v>
      </c>
      <c r="Y22" s="94">
        <f>VLOOKUP('[2]קריטריונים וניקוד'!A22,'[2]נתונים מהעמותות'!$A$3:$AE$48,26,FALSE)</f>
        <v>1</v>
      </c>
      <c r="Z22" s="100">
        <f t="shared" si="16"/>
        <v>1.3245033112582781E-2</v>
      </c>
      <c r="AA22" s="94">
        <f>VLOOKUP('[2]קריטריונים וניקוד'!A22,'[2]נתונים מהעמותות'!$A$3:$AE$48,29,FALSE)</f>
        <v>0</v>
      </c>
      <c r="AB22" s="100">
        <f t="shared" si="17"/>
        <v>0</v>
      </c>
      <c r="AC22" s="101">
        <f t="shared" si="18"/>
        <v>1.6172999172703924E-2</v>
      </c>
      <c r="AD22" s="102">
        <f t="shared" si="8"/>
        <v>51050.491261941359</v>
      </c>
      <c r="AE22" s="103">
        <f t="shared" si="19"/>
        <v>1050000</v>
      </c>
      <c r="AF22" s="87">
        <f>VLOOKUP(A22,[3]Sheet1!$A$3:$E$51,5,FALSE)</f>
        <v>360000</v>
      </c>
      <c r="AG22" s="103">
        <f t="shared" si="9"/>
        <v>360000</v>
      </c>
      <c r="AH22" s="87">
        <f>VLOOKUP(A22,[3]Sheet1!$A$3:$E$51,4,FALSE)</f>
        <v>450000</v>
      </c>
      <c r="AI22" s="104">
        <f t="shared" si="10"/>
        <v>382500</v>
      </c>
      <c r="AJ22" s="105">
        <f t="shared" si="11"/>
        <v>51050.491261941359</v>
      </c>
      <c r="AK22" s="106"/>
      <c r="AL22" s="107">
        <f t="shared" si="20"/>
        <v>0</v>
      </c>
      <c r="AM22" s="20"/>
    </row>
    <row r="23" spans="1:39" x14ac:dyDescent="0.2">
      <c r="A23" s="8">
        <v>1001549588</v>
      </c>
      <c r="B23" s="9" t="s">
        <v>20</v>
      </c>
      <c r="C23" s="94">
        <f>VLOOKUP($A23,'[2]נתונים מהעמותות'!$A$4:$AA$48,6,FALSE)</f>
        <v>8.4599999999999991</v>
      </c>
      <c r="D23" s="94">
        <f>VLOOKUP($A23,'[2]נתונים מהעמותות'!$A$4:$AA$48,7,FALSE)</f>
        <v>11</v>
      </c>
      <c r="E23" s="94">
        <f>VLOOKUP($A23,'[2]נתונים מהעמותות'!$A$4:$AA$48,8,FALSE)</f>
        <v>9.6</v>
      </c>
      <c r="F23" s="95">
        <f t="shared" si="0"/>
        <v>29.060000000000002</v>
      </c>
      <c r="G23" s="96">
        <f t="shared" si="1"/>
        <v>33.839999999999996</v>
      </c>
      <c r="H23" s="96">
        <f t="shared" si="2"/>
        <v>22</v>
      </c>
      <c r="I23" s="96">
        <f t="shared" si="3"/>
        <v>9.6</v>
      </c>
      <c r="J23" s="94">
        <f>VLOOKUP($A23,'[2]נתונים מהעמותות'!$A$4:$AA$48,11,FALSE)</f>
        <v>1</v>
      </c>
      <c r="K23" s="97">
        <f t="shared" si="21"/>
        <v>65.44</v>
      </c>
      <c r="L23" s="98">
        <f t="shared" si="5"/>
        <v>3.4271647105170645E-2</v>
      </c>
      <c r="M23" s="99">
        <f>VLOOKUP($A23,'[2]נתונים מהעמותות'!$A$4:$AA$48,12,FALSE)</f>
        <v>43</v>
      </c>
      <c r="N23" s="99">
        <f t="shared" si="6"/>
        <v>0</v>
      </c>
      <c r="O23" s="99">
        <f>VLOOKUP(A23,'[2]נתונים מהעמותות'!$A$4:$AE$48,29,FALSE)</f>
        <v>3</v>
      </c>
      <c r="P23" s="99">
        <f t="shared" si="12"/>
        <v>3</v>
      </c>
      <c r="Q23" s="100">
        <f t="shared" si="7"/>
        <v>3.7974683544303799E-2</v>
      </c>
      <c r="R23" s="99">
        <f>VLOOKUP($A23,'[2]נתונים מהעמותות'!$A$4:$AA$48,13,FALSE)</f>
        <v>158</v>
      </c>
      <c r="S23" s="99">
        <f>VLOOKUP($A23,'[2]נתונים מהעמותות'!$A$4:$AA$48,15,FALSE)</f>
        <v>186</v>
      </c>
      <c r="T23" s="99">
        <f>VLOOKUP($A23,'[2]נתונים מהעמותות'!$A$4:$AA$48,18,FALSE)</f>
        <v>0</v>
      </c>
      <c r="U23" s="99">
        <f t="shared" si="13"/>
        <v>344</v>
      </c>
      <c r="V23" s="100">
        <f t="shared" si="14"/>
        <v>3.6156481890227241E-3</v>
      </c>
      <c r="W23" s="62">
        <f>VLOOKUP(B23,'[2]ייחודיות ונחיצות'!$B$3:$D$50,2,FALSE)</f>
        <v>3</v>
      </c>
      <c r="X23" s="100">
        <f t="shared" si="15"/>
        <v>4.2253521126760563E-2</v>
      </c>
      <c r="Y23" s="94">
        <f>VLOOKUP('[2]קריטריונים וניקוד'!A23,'[2]נתונים מהעמותות'!$A$3:$AE$48,26,FALSE)</f>
        <v>1</v>
      </c>
      <c r="Z23" s="100">
        <f t="shared" si="16"/>
        <v>1.3245033112582781E-2</v>
      </c>
      <c r="AA23" s="94">
        <f>VLOOKUP('[2]קריטריונים וניקוד'!A23,'[2]נתונים מהעמותות'!$A$3:$AE$48,29,FALSE)</f>
        <v>3</v>
      </c>
      <c r="AB23" s="100">
        <f t="shared" si="17"/>
        <v>6.25E-2</v>
      </c>
      <c r="AC23" s="101">
        <f t="shared" si="18"/>
        <v>2.6482043120444727E-2</v>
      </c>
      <c r="AD23" s="102">
        <f t="shared" si="8"/>
        <v>83591.255801232663</v>
      </c>
      <c r="AE23" s="103">
        <f t="shared" si="19"/>
        <v>2906000</v>
      </c>
      <c r="AF23" s="87">
        <f>VLOOKUP(A23,[3]Sheet1!$A$3:$E$51,5,FALSE)</f>
        <v>500000</v>
      </c>
      <c r="AG23" s="103">
        <f t="shared" si="9"/>
        <v>500000</v>
      </c>
      <c r="AH23" s="87">
        <f>VLOOKUP(A23,[3]Sheet1!$A$3:$E$51,4,FALSE)</f>
        <v>760000</v>
      </c>
      <c r="AI23" s="104">
        <f t="shared" si="10"/>
        <v>646000</v>
      </c>
      <c r="AJ23" s="105">
        <f t="shared" si="11"/>
        <v>83591.255801232663</v>
      </c>
      <c r="AK23" s="106"/>
      <c r="AL23" s="107">
        <f t="shared" si="20"/>
        <v>0</v>
      </c>
      <c r="AM23" s="20"/>
    </row>
    <row r="24" spans="1:39" x14ac:dyDescent="0.2">
      <c r="A24" s="8">
        <v>1001549989</v>
      </c>
      <c r="B24" s="9" t="s">
        <v>32</v>
      </c>
      <c r="C24" s="94">
        <f>VLOOKUP($A24,'[2]נתונים מהעמותות'!$A$4:$AA$48,6,FALSE)</f>
        <v>2</v>
      </c>
      <c r="D24" s="94">
        <f>VLOOKUP($A24,'[2]נתונים מהעמותות'!$A$4:$AA$48,7,FALSE)</f>
        <v>2</v>
      </c>
      <c r="E24" s="94">
        <f>VLOOKUP($A24,'[2]נתונים מהעמותות'!$A$4:$AA$48,8,FALSE)</f>
        <v>12</v>
      </c>
      <c r="F24" s="95">
        <f t="shared" si="0"/>
        <v>16</v>
      </c>
      <c r="G24" s="96">
        <f t="shared" si="1"/>
        <v>8</v>
      </c>
      <c r="H24" s="96">
        <f t="shared" si="2"/>
        <v>4</v>
      </c>
      <c r="I24" s="96">
        <f t="shared" si="3"/>
        <v>12</v>
      </c>
      <c r="J24" s="94">
        <f>VLOOKUP($A24,'[2]נתונים מהעמותות'!$A$4:$AA$48,11,FALSE)</f>
        <v>0.625</v>
      </c>
      <c r="K24" s="97">
        <f t="shared" si="21"/>
        <v>15</v>
      </c>
      <c r="L24" s="98">
        <f t="shared" si="5"/>
        <v>7.8556648315641752E-3</v>
      </c>
      <c r="M24" s="99">
        <f>VLOOKUP($A24,'[2]נתונים מהעמותות'!$A$4:$AA$48,12,FALSE)</f>
        <v>50</v>
      </c>
      <c r="N24" s="99">
        <f t="shared" si="6"/>
        <v>1</v>
      </c>
      <c r="O24" s="99">
        <f>VLOOKUP(A24,'[2]נתונים מהעמותות'!$A$4:$AE$48,29,FALSE)</f>
        <v>3</v>
      </c>
      <c r="P24" s="99">
        <f t="shared" si="12"/>
        <v>4</v>
      </c>
      <c r="Q24" s="100">
        <f t="shared" si="7"/>
        <v>5.0632911392405063E-2</v>
      </c>
      <c r="R24" s="99">
        <f>VLOOKUP($A24,'[2]נתונים מהעמותות'!$A$4:$AA$48,13,FALSE)</f>
        <v>45</v>
      </c>
      <c r="S24" s="99">
        <f>VLOOKUP($A24,'[2]נתונים מהעמותות'!$A$4:$AA$48,15,FALSE)</f>
        <v>135</v>
      </c>
      <c r="T24" s="99">
        <f>VLOOKUP($A24,'[2]נתונים מהעמותות'!$A$4:$AA$48,18,FALSE)</f>
        <v>263</v>
      </c>
      <c r="U24" s="99">
        <f t="shared" si="13"/>
        <v>443</v>
      </c>
      <c r="V24" s="100">
        <f t="shared" si="14"/>
        <v>4.6561981038868222E-3</v>
      </c>
      <c r="W24" s="62">
        <f>VLOOKUP(B24,'[2]ייחודיות ונחיצות'!$B$3:$D$50,2,FALSE)</f>
        <v>2</v>
      </c>
      <c r="X24" s="100">
        <f t="shared" si="15"/>
        <v>2.8169014084507043E-2</v>
      </c>
      <c r="Y24" s="94">
        <f>VLOOKUP('[2]קריטריונים וניקוד'!A24,'[2]נתונים מהעמותות'!$A$3:$AE$48,26,FALSE)</f>
        <v>1.5</v>
      </c>
      <c r="Z24" s="100">
        <f t="shared" si="16"/>
        <v>1.9867549668874173E-2</v>
      </c>
      <c r="AA24" s="94">
        <f>VLOOKUP('[2]קריטריונים וניקוד'!A24,'[2]נתונים מהעמותות'!$A$3:$AE$48,29,FALSE)</f>
        <v>3</v>
      </c>
      <c r="AB24" s="100">
        <f t="shared" si="17"/>
        <v>6.25E-2</v>
      </c>
      <c r="AC24" s="101">
        <f t="shared" si="18"/>
        <v>1.9109938816964558E-2</v>
      </c>
      <c r="AD24" s="102">
        <f t="shared" si="8"/>
        <v>60321.017405244806</v>
      </c>
      <c r="AE24" s="103">
        <f t="shared" si="19"/>
        <v>1600000</v>
      </c>
      <c r="AF24" s="87">
        <f>VLOOKUP(A24,[3]Sheet1!$A$3:$E$51,5,FALSE)</f>
        <v>150000</v>
      </c>
      <c r="AG24" s="103">
        <f t="shared" si="9"/>
        <v>150000</v>
      </c>
      <c r="AH24" s="87">
        <f>VLOOKUP(A24,[3]Sheet1!$A$3:$E$51,4,FALSE)</f>
        <v>192500</v>
      </c>
      <c r="AI24" s="104">
        <f t="shared" si="10"/>
        <v>163625</v>
      </c>
      <c r="AJ24" s="105">
        <f t="shared" si="11"/>
        <v>60321.017405244806</v>
      </c>
      <c r="AK24" s="106"/>
      <c r="AL24" s="107">
        <f t="shared" si="20"/>
        <v>0</v>
      </c>
      <c r="AM24" s="20"/>
    </row>
    <row r="25" spans="1:39" x14ac:dyDescent="0.2">
      <c r="A25" s="8">
        <v>1001550374</v>
      </c>
      <c r="B25" s="9" t="s">
        <v>29</v>
      </c>
      <c r="C25" s="94">
        <f>VLOOKUP($A25,'[2]נתונים מהעמותות'!$A$4:$AA$48,6,FALSE)</f>
        <v>1</v>
      </c>
      <c r="D25" s="94">
        <f>VLOOKUP($A25,'[2]נתונים מהעמותות'!$A$4:$AA$48,7,FALSE)</f>
        <v>3</v>
      </c>
      <c r="E25" s="94">
        <f>VLOOKUP($A25,'[2]נתונים מהעמותות'!$A$4:$AA$48,8,FALSE)</f>
        <v>120</v>
      </c>
      <c r="F25" s="95">
        <f t="shared" si="0"/>
        <v>124</v>
      </c>
      <c r="G25" s="96">
        <f t="shared" si="1"/>
        <v>4</v>
      </c>
      <c r="H25" s="96">
        <f t="shared" si="2"/>
        <v>6</v>
      </c>
      <c r="I25" s="96">
        <f t="shared" si="3"/>
        <v>120</v>
      </c>
      <c r="J25" s="94">
        <f>VLOOKUP($A25,'[2]נתונים מהעמותות'!$A$4:$AA$48,11,FALSE)</f>
        <v>1</v>
      </c>
      <c r="K25" s="97">
        <f t="shared" si="21"/>
        <v>130</v>
      </c>
      <c r="L25" s="98">
        <f t="shared" si="5"/>
        <v>6.8082428540222853E-2</v>
      </c>
      <c r="M25" s="99">
        <f>VLOOKUP($A25,'[2]נתונים מהעמותות'!$A$4:$AA$48,12,FALSE)</f>
        <v>1382</v>
      </c>
      <c r="N25" s="99">
        <f t="shared" si="6"/>
        <v>3</v>
      </c>
      <c r="O25" s="99">
        <f>VLOOKUP(A25,'[2]נתונים מהעמותות'!$A$4:$AE$48,29,FALSE)</f>
        <v>3</v>
      </c>
      <c r="P25" s="99">
        <f t="shared" si="12"/>
        <v>6</v>
      </c>
      <c r="Q25" s="100">
        <f t="shared" si="7"/>
        <v>7.5949367088607597E-2</v>
      </c>
      <c r="R25" s="99">
        <f>VLOOKUP($A25,'[2]נתונים מהעמותות'!$A$4:$AA$48,13,FALSE)</f>
        <v>0</v>
      </c>
      <c r="S25" s="99">
        <f>VLOOKUP($A25,'[2]נתונים מהעמותות'!$A$4:$AA$48,15,FALSE)</f>
        <v>0</v>
      </c>
      <c r="T25" s="99">
        <f>VLOOKUP($A25,'[2]נתונים מהעמותות'!$A$4:$AA$48,18,FALSE)</f>
        <v>1720</v>
      </c>
      <c r="U25" s="99">
        <f t="shared" si="13"/>
        <v>1720</v>
      </c>
      <c r="V25" s="100">
        <f t="shared" si="14"/>
        <v>1.8078240945113618E-2</v>
      </c>
      <c r="W25" s="62">
        <f>VLOOKUP(B25,'[2]ייחודיות ונחיצות'!$B$3:$D$50,2,FALSE)</f>
        <v>3</v>
      </c>
      <c r="X25" s="100">
        <f t="shared" si="15"/>
        <v>4.2253521126760563E-2</v>
      </c>
      <c r="Y25" s="94">
        <f>VLOOKUP('[2]קריטריונים וניקוד'!A25,'[2]נתונים מהעמותות'!$A$3:$AE$48,26,FALSE)</f>
        <v>2</v>
      </c>
      <c r="Z25" s="100">
        <f t="shared" si="16"/>
        <v>2.6490066225165563E-2</v>
      </c>
      <c r="AA25" s="94">
        <f>VLOOKUP('[2]קריטריונים וניקוד'!A25,'[2]נתונים מהעמותות'!$A$3:$AE$48,29,FALSE)</f>
        <v>3</v>
      </c>
      <c r="AB25" s="100">
        <f t="shared" si="17"/>
        <v>6.25E-2</v>
      </c>
      <c r="AC25" s="101">
        <f t="shared" si="18"/>
        <v>4.6146905025651719E-2</v>
      </c>
      <c r="AD25" s="102">
        <f t="shared" si="8"/>
        <v>145663.9023239254</v>
      </c>
      <c r="AE25" s="103">
        <f t="shared" si="19"/>
        <v>12400000</v>
      </c>
      <c r="AF25" s="87">
        <f>VLOOKUP(A25,[3]Sheet1!$A$3:$E$51,5,FALSE)</f>
        <v>786000</v>
      </c>
      <c r="AG25" s="103">
        <f t="shared" si="9"/>
        <v>786000</v>
      </c>
      <c r="AH25" s="87">
        <f>VLOOKUP(A25,[3]Sheet1!$A$3:$E$51,4,FALSE)</f>
        <v>1572373</v>
      </c>
      <c r="AI25" s="104">
        <f t="shared" si="10"/>
        <v>1336517.05</v>
      </c>
      <c r="AJ25" s="105">
        <f t="shared" si="11"/>
        <v>145663.9023239254</v>
      </c>
      <c r="AK25" s="106"/>
      <c r="AL25" s="107">
        <f t="shared" si="20"/>
        <v>0</v>
      </c>
      <c r="AM25" s="20"/>
    </row>
    <row r="26" spans="1:39" x14ac:dyDescent="0.2">
      <c r="A26" s="8">
        <v>1001550769</v>
      </c>
      <c r="B26" s="9" t="s">
        <v>33</v>
      </c>
      <c r="C26" s="94">
        <f>VLOOKUP($A26,'[2]נתונים מהעמותות'!$A$4:$AA$48,6,FALSE)</f>
        <v>0</v>
      </c>
      <c r="D26" s="94">
        <f>VLOOKUP($A26,'[2]נתונים מהעמותות'!$A$4:$AA$48,7,FALSE)</f>
        <v>3</v>
      </c>
      <c r="E26" s="94">
        <f>VLOOKUP($A26,'[2]נתונים מהעמותות'!$A$4:$AA$48,8,FALSE)</f>
        <v>4</v>
      </c>
      <c r="F26" s="95">
        <f t="shared" si="0"/>
        <v>7</v>
      </c>
      <c r="G26" s="96">
        <f t="shared" si="1"/>
        <v>0</v>
      </c>
      <c r="H26" s="96">
        <f t="shared" si="2"/>
        <v>6</v>
      </c>
      <c r="I26" s="96">
        <f t="shared" si="3"/>
        <v>4</v>
      </c>
      <c r="J26" s="94">
        <f>VLOOKUP($A26,'[2]נתונים מהעמותות'!$A$4:$AA$48,11,FALSE)</f>
        <v>1</v>
      </c>
      <c r="K26" s="97">
        <f t="shared" si="21"/>
        <v>10</v>
      </c>
      <c r="L26" s="98">
        <f t="shared" si="5"/>
        <v>5.2371098877094504E-3</v>
      </c>
      <c r="M26" s="99">
        <f>VLOOKUP($A26,'[2]נתונים מהעמותות'!$A$4:$AA$48,12,FALSE)</f>
        <v>0</v>
      </c>
      <c r="N26" s="99">
        <f t="shared" si="6"/>
        <v>0</v>
      </c>
      <c r="O26" s="99">
        <f>VLOOKUP(A26,'[2]נתונים מהעמותות'!$A$4:$AE$48,29,FALSE)</f>
        <v>0</v>
      </c>
      <c r="P26" s="99">
        <f t="shared" si="12"/>
        <v>0</v>
      </c>
      <c r="Q26" s="100">
        <f t="shared" si="7"/>
        <v>0</v>
      </c>
      <c r="R26" s="99">
        <f>VLOOKUP($A26,'[2]נתונים מהעמותות'!$A$4:$AA$48,13,FALSE)</f>
        <v>0</v>
      </c>
      <c r="S26" s="99">
        <f>VLOOKUP($A26,'[2]נתונים מהעמותות'!$A$4:$AA$48,15,FALSE)</f>
        <v>0</v>
      </c>
      <c r="T26" s="99">
        <f>VLOOKUP($A26,'[2]נתונים מהעמותות'!$A$4:$AA$48,18,FALSE)</f>
        <v>0</v>
      </c>
      <c r="U26" s="99">
        <f t="shared" si="13"/>
        <v>0</v>
      </c>
      <c r="V26" s="100">
        <f t="shared" si="14"/>
        <v>0</v>
      </c>
      <c r="W26" s="62">
        <f>VLOOKUP(B26,'[2]ייחודיות ונחיצות'!$B$3:$D$50,2,FALSE)</f>
        <v>1</v>
      </c>
      <c r="X26" s="100">
        <f t="shared" si="15"/>
        <v>1.4084507042253521E-2</v>
      </c>
      <c r="Y26" s="94">
        <f>VLOOKUP('[2]קריטריונים וניקוד'!A26,'[2]נתונים מהעמותות'!$A$3:$AE$48,26,FALSE)</f>
        <v>2</v>
      </c>
      <c r="Z26" s="100">
        <f t="shared" si="16"/>
        <v>2.6490066225165563E-2</v>
      </c>
      <c r="AA26" s="94">
        <f>VLOOKUP('[2]קריטריונים וניקוד'!A26,'[2]נתונים מהעמותות'!$A$3:$AE$48,29,FALSE)</f>
        <v>0</v>
      </c>
      <c r="AB26" s="100">
        <f t="shared" si="17"/>
        <v>0</v>
      </c>
      <c r="AC26" s="101">
        <f t="shared" si="18"/>
        <v>4.3040869817964657E-3</v>
      </c>
      <c r="AD26" s="102">
        <f t="shared" si="8"/>
        <v>13585.962164994078</v>
      </c>
      <c r="AE26" s="103">
        <f t="shared" si="19"/>
        <v>700000</v>
      </c>
      <c r="AF26" s="87">
        <f>VLOOKUP(A26,[3]Sheet1!$A$3:$E$51,5,FALSE)</f>
        <v>200000</v>
      </c>
      <c r="AG26" s="103">
        <f t="shared" si="9"/>
        <v>200000</v>
      </c>
      <c r="AH26" s="87">
        <f>VLOOKUP(A26,[3]Sheet1!$A$3:$E$51,4,FALSE)</f>
        <v>500000</v>
      </c>
      <c r="AI26" s="104">
        <f t="shared" si="10"/>
        <v>425000</v>
      </c>
      <c r="AJ26" s="105">
        <f t="shared" si="11"/>
        <v>13585.962164994078</v>
      </c>
      <c r="AK26" s="106"/>
      <c r="AL26" s="107">
        <f t="shared" si="20"/>
        <v>0</v>
      </c>
      <c r="AM26" s="20"/>
    </row>
    <row r="27" spans="1:39" x14ac:dyDescent="0.2">
      <c r="A27" s="8">
        <v>1001551379</v>
      </c>
      <c r="B27" s="9" t="s">
        <v>22</v>
      </c>
      <c r="C27" s="94">
        <f>VLOOKUP($A27,'[2]נתונים מהעמותות'!$A$4:$AA$48,6,FALSE)</f>
        <v>50</v>
      </c>
      <c r="D27" s="94">
        <f>VLOOKUP($A27,'[2]נתונים מהעמותות'!$A$4:$AA$48,7,FALSE)</f>
        <v>2</v>
      </c>
      <c r="E27" s="94">
        <f>VLOOKUP($A27,'[2]נתונים מהעמותות'!$A$4:$AA$48,8,FALSE)</f>
        <v>4</v>
      </c>
      <c r="F27" s="95">
        <f t="shared" si="0"/>
        <v>56</v>
      </c>
      <c r="G27" s="96">
        <f t="shared" si="1"/>
        <v>200</v>
      </c>
      <c r="H27" s="96">
        <f t="shared" si="2"/>
        <v>4</v>
      </c>
      <c r="I27" s="96">
        <f t="shared" si="3"/>
        <v>4</v>
      </c>
      <c r="J27" s="94">
        <f>VLOOKUP($A27,'[2]נתונים מהעמותות'!$A$4:$AA$48,11,FALSE)</f>
        <v>1</v>
      </c>
      <c r="K27" s="97">
        <f t="shared" si="21"/>
        <v>208</v>
      </c>
      <c r="L27" s="98">
        <f t="shared" si="5"/>
        <v>0.10893188566435658</v>
      </c>
      <c r="M27" s="99">
        <f>VLOOKUP($A27,'[2]נתונים מהעמותות'!$A$4:$AA$48,12,FALSE)</f>
        <v>50</v>
      </c>
      <c r="N27" s="99">
        <f t="shared" si="6"/>
        <v>1</v>
      </c>
      <c r="O27" s="99">
        <f>VLOOKUP(A27,'[2]נתונים מהעמותות'!$A$4:$AE$48,29,FALSE)</f>
        <v>0</v>
      </c>
      <c r="P27" s="99">
        <f t="shared" si="12"/>
        <v>1</v>
      </c>
      <c r="Q27" s="100">
        <f t="shared" si="7"/>
        <v>1.2658227848101266E-2</v>
      </c>
      <c r="R27" s="99">
        <f>VLOOKUP($A27,'[2]נתונים מהעמותות'!$A$4:$AA$48,13,FALSE)</f>
        <v>5</v>
      </c>
      <c r="S27" s="99">
        <f>VLOOKUP($A27,'[2]נתונים מהעמותות'!$A$4:$AA$48,15,FALSE)</f>
        <v>6</v>
      </c>
      <c r="T27" s="99">
        <f>VLOOKUP($A27,'[2]נתונים מהעמותות'!$A$4:$AA$48,18,FALSE)</f>
        <v>305</v>
      </c>
      <c r="U27" s="99">
        <f t="shared" si="13"/>
        <v>316</v>
      </c>
      <c r="V27" s="100">
        <f t="shared" si="14"/>
        <v>3.3213512434045953E-3</v>
      </c>
      <c r="W27" s="62">
        <f>VLOOKUP(B27,'[2]ייחודיות ונחיצות'!$B$3:$D$50,2,FALSE)</f>
        <v>1</v>
      </c>
      <c r="X27" s="100">
        <f t="shared" si="15"/>
        <v>1.4084507042253521E-2</v>
      </c>
      <c r="Y27" s="94">
        <f>VLOOKUP('[2]קריטריונים וניקוד'!A27,'[2]נתונים מהעמותות'!$A$3:$AE$48,26,FALSE)</f>
        <v>1</v>
      </c>
      <c r="Z27" s="100">
        <f t="shared" si="16"/>
        <v>1.3245033112582781E-2</v>
      </c>
      <c r="AA27" s="94">
        <f>VLOOKUP('[2]קריטריונים וניקוד'!A27,'[2]נתונים מהעמותות'!$A$3:$AE$48,29,FALSE)</f>
        <v>0</v>
      </c>
      <c r="AB27" s="100">
        <f t="shared" si="17"/>
        <v>0</v>
      </c>
      <c r="AC27" s="101">
        <f t="shared" si="18"/>
        <v>3.7178563779163197E-2</v>
      </c>
      <c r="AD27" s="102">
        <f t="shared" si="8"/>
        <v>117355.10062617416</v>
      </c>
      <c r="AE27" s="103">
        <f t="shared" si="19"/>
        <v>5600000</v>
      </c>
      <c r="AF27" s="87">
        <f>VLOOKUP(A27,[3]Sheet1!$A$3:$E$51,5,FALSE)</f>
        <v>200000</v>
      </c>
      <c r="AG27" s="103">
        <f t="shared" si="9"/>
        <v>200000</v>
      </c>
      <c r="AH27" s="87">
        <f>VLOOKUP(A27,[3]Sheet1!$A$3:$E$51,4,FALSE)</f>
        <v>250000</v>
      </c>
      <c r="AI27" s="104">
        <f t="shared" si="10"/>
        <v>212500</v>
      </c>
      <c r="AJ27" s="105">
        <f t="shared" si="11"/>
        <v>117355.10062617416</v>
      </c>
      <c r="AK27" s="106"/>
      <c r="AL27" s="107">
        <f t="shared" si="20"/>
        <v>0</v>
      </c>
      <c r="AM27" s="20"/>
    </row>
    <row r="28" spans="1:39" x14ac:dyDescent="0.2">
      <c r="A28" s="8">
        <v>1001551390</v>
      </c>
      <c r="B28" s="9" t="s">
        <v>23</v>
      </c>
      <c r="C28" s="94">
        <f>VLOOKUP($A28,'[2]נתונים מהעמותות'!$A$4:$AA$48,6,FALSE)</f>
        <v>0.5</v>
      </c>
      <c r="D28" s="94">
        <f>VLOOKUP($A28,'[2]נתונים מהעמותות'!$A$4:$AA$48,7,FALSE)</f>
        <v>0.3</v>
      </c>
      <c r="E28" s="94">
        <f>VLOOKUP($A28,'[2]נתונים מהעמותות'!$A$4:$AA$48,8,FALSE)</f>
        <v>0.3</v>
      </c>
      <c r="F28" s="95">
        <f t="shared" si="0"/>
        <v>1.1000000000000001</v>
      </c>
      <c r="G28" s="96">
        <f t="shared" si="1"/>
        <v>2</v>
      </c>
      <c r="H28" s="96">
        <f t="shared" si="2"/>
        <v>0.6</v>
      </c>
      <c r="I28" s="96">
        <f t="shared" si="3"/>
        <v>0.3</v>
      </c>
      <c r="J28" s="94">
        <f>VLOOKUP($A28,'[2]נתונים מהעמותות'!$A$4:$AA$48,11,FALSE)</f>
        <v>0.40119760479041916</v>
      </c>
      <c r="K28" s="97">
        <f t="shared" si="21"/>
        <v>1.1634730538922156</v>
      </c>
      <c r="L28" s="98">
        <f t="shared" si="5"/>
        <v>6.0932362346224325E-4</v>
      </c>
      <c r="M28" s="99">
        <f>VLOOKUP($A28,'[2]נתונים מהעמותות'!$A$4:$AA$48,12,FALSE)</f>
        <v>40</v>
      </c>
      <c r="N28" s="99">
        <f t="shared" si="6"/>
        <v>0</v>
      </c>
      <c r="O28" s="99">
        <f>VLOOKUP(A28,'[2]נתונים מהעמותות'!$A$4:$AE$48,29,FALSE)</f>
        <v>0</v>
      </c>
      <c r="P28" s="99">
        <f t="shared" si="12"/>
        <v>0</v>
      </c>
      <c r="Q28" s="100">
        <f t="shared" si="7"/>
        <v>0</v>
      </c>
      <c r="R28" s="99">
        <f>VLOOKUP($A28,'[2]נתונים מהעמותות'!$A$4:$AA$48,13,FALSE)</f>
        <v>0</v>
      </c>
      <c r="S28" s="99">
        <f>VLOOKUP($A28,'[2]נתונים מהעמותות'!$A$4:$AA$48,15,FALSE)</f>
        <v>216</v>
      </c>
      <c r="T28" s="99">
        <f>VLOOKUP($A28,'[2]נתונים מהעמותות'!$A$4:$AA$48,18,FALSE)</f>
        <v>74</v>
      </c>
      <c r="U28" s="99">
        <f t="shared" si="13"/>
        <v>290</v>
      </c>
      <c r="V28" s="100">
        <f t="shared" si="14"/>
        <v>3.0480755081877613E-3</v>
      </c>
      <c r="W28" s="62">
        <f>VLOOKUP(B28,'[2]ייחודיות ונחיצות'!$B$3:$D$50,2,FALSE)</f>
        <v>3</v>
      </c>
      <c r="X28" s="100">
        <f t="shared" si="15"/>
        <v>4.2253521126760563E-2</v>
      </c>
      <c r="Y28" s="94">
        <f>VLOOKUP('[2]קריטריונים וניקוד'!A28,'[2]נתונים מהעמותות'!$A$3:$AE$48,26,FALSE)</f>
        <v>1</v>
      </c>
      <c r="Z28" s="100">
        <f t="shared" si="16"/>
        <v>1.3245033112582781E-2</v>
      </c>
      <c r="AA28" s="94">
        <f>VLOOKUP('[2]קריטריונים וניקוד'!A28,'[2]נתונים מהעמותות'!$A$3:$AE$48,29,FALSE)</f>
        <v>0</v>
      </c>
      <c r="AB28" s="100">
        <f t="shared" si="17"/>
        <v>0</v>
      </c>
      <c r="AC28" s="101">
        <f t="shared" si="18"/>
        <v>6.1372272832095846E-3</v>
      </c>
      <c r="AD28" s="102">
        <f t="shared" si="8"/>
        <v>19372.317060575089</v>
      </c>
      <c r="AE28" s="103">
        <f t="shared" si="19"/>
        <v>110000.00000000001</v>
      </c>
      <c r="AF28" s="87">
        <f>VLOOKUP(A28,[3]Sheet1!$A$3:$E$51,5,FALSE)</f>
        <v>91650</v>
      </c>
      <c r="AG28" s="103">
        <f t="shared" si="9"/>
        <v>91650</v>
      </c>
      <c r="AH28" s="87">
        <f>VLOOKUP(A28,[3]Sheet1!$A$3:$E$51,4,FALSE)</f>
        <v>100000</v>
      </c>
      <c r="AI28" s="104">
        <f t="shared" si="10"/>
        <v>85000</v>
      </c>
      <c r="AJ28" s="105">
        <f t="shared" si="11"/>
        <v>19372.317060575089</v>
      </c>
      <c r="AK28" s="106"/>
      <c r="AL28" s="107">
        <f t="shared" si="20"/>
        <v>0</v>
      </c>
      <c r="AM28" s="20"/>
    </row>
    <row r="29" spans="1:39" x14ac:dyDescent="0.2">
      <c r="A29" s="8">
        <v>1001551399</v>
      </c>
      <c r="B29" s="9" t="s">
        <v>41</v>
      </c>
      <c r="C29" s="94">
        <f>VLOOKUP($A29,'[2]נתונים מהעמותות'!$A$4:$AA$48,6,FALSE)</f>
        <v>1.23</v>
      </c>
      <c r="D29" s="94">
        <f>VLOOKUP($A29,'[2]נתונים מהעמותות'!$A$4:$AA$48,7,FALSE)</f>
        <v>0</v>
      </c>
      <c r="E29" s="94">
        <f>VLOOKUP($A29,'[2]נתונים מהעמותות'!$A$4:$AA$48,8,FALSE)</f>
        <v>0</v>
      </c>
      <c r="F29" s="95">
        <f t="shared" si="0"/>
        <v>1.23</v>
      </c>
      <c r="G29" s="96">
        <f t="shared" si="1"/>
        <v>4.92</v>
      </c>
      <c r="H29" s="96">
        <f t="shared" si="2"/>
        <v>0</v>
      </c>
      <c r="I29" s="96">
        <f t="shared" si="3"/>
        <v>0</v>
      </c>
      <c r="J29" s="94">
        <f>VLOOKUP($A29,'[2]נתונים מהעמותות'!$A$4:$AA$48,11,FALSE)</f>
        <v>1</v>
      </c>
      <c r="K29" s="97">
        <f t="shared" si="21"/>
        <v>4.92</v>
      </c>
      <c r="L29" s="98">
        <f t="shared" si="5"/>
        <v>2.5766580647530496E-3</v>
      </c>
      <c r="M29" s="99">
        <f>VLOOKUP($A29,'[2]נתונים מהעמותות'!$A$4:$AA$48,12,FALSE)</f>
        <v>200</v>
      </c>
      <c r="N29" s="99">
        <f t="shared" si="6"/>
        <v>2</v>
      </c>
      <c r="O29" s="99">
        <f>VLOOKUP(A29,'[2]נתונים מהעמותות'!$A$4:$AE$48,29,FALSE)</f>
        <v>3</v>
      </c>
      <c r="P29" s="99">
        <f t="shared" si="12"/>
        <v>5</v>
      </c>
      <c r="Q29" s="100">
        <f t="shared" si="7"/>
        <v>6.3291139240506333E-2</v>
      </c>
      <c r="R29" s="99">
        <f>VLOOKUP($A29,'[2]נתונים מהעמותות'!$A$4:$AA$48,13,FALSE)</f>
        <v>12</v>
      </c>
      <c r="S29" s="99">
        <f>VLOOKUP($A29,'[2]נתונים מהעמותות'!$A$4:$AA$48,15,FALSE)</f>
        <v>405</v>
      </c>
      <c r="T29" s="99">
        <f>VLOOKUP($A29,'[2]נתונים מהעמותות'!$A$4:$AA$48,18,FALSE)</f>
        <v>860</v>
      </c>
      <c r="U29" s="99">
        <f t="shared" si="13"/>
        <v>1277</v>
      </c>
      <c r="V29" s="100">
        <f t="shared" si="14"/>
        <v>1.3422042841226799E-2</v>
      </c>
      <c r="W29" s="62">
        <f>VLOOKUP(B29,'[2]ייחודיות ונחיצות'!$B$3:$D$50,2,FALSE)</f>
        <v>1</v>
      </c>
      <c r="X29" s="100">
        <f t="shared" si="15"/>
        <v>1.4084507042253521E-2</v>
      </c>
      <c r="Y29" s="94">
        <f>VLOOKUP('[2]קריטריונים וניקוד'!A29,'[2]נתונים מהעמותות'!$A$3:$AE$48,26,FALSE)</f>
        <v>1</v>
      </c>
      <c r="Z29" s="100">
        <f t="shared" si="16"/>
        <v>1.3245033112582781E-2</v>
      </c>
      <c r="AA29" s="94">
        <f>VLOOKUP('[2]קריטריונים וניקוד'!A29,'[2]נתונים מהעמותות'!$A$3:$AE$48,29,FALSE)</f>
        <v>3</v>
      </c>
      <c r="AB29" s="100">
        <f t="shared" si="17"/>
        <v>6.25E-2</v>
      </c>
      <c r="AC29" s="101">
        <f t="shared" si="18"/>
        <v>2.0120528697760418E-2</v>
      </c>
      <c r="AD29" s="102">
        <f t="shared" si="8"/>
        <v>63510.970569036996</v>
      </c>
      <c r="AE29" s="103">
        <f t="shared" si="19"/>
        <v>123000</v>
      </c>
      <c r="AF29" s="87">
        <f>VLOOKUP(A29,[3]Sheet1!$A$3:$E$51,5,FALSE)</f>
        <v>350000</v>
      </c>
      <c r="AG29" s="103">
        <f t="shared" si="9"/>
        <v>123000</v>
      </c>
      <c r="AH29" s="87">
        <f>VLOOKUP(A29,[3]Sheet1!$A$3:$E$51,4,FALSE)</f>
        <v>500000</v>
      </c>
      <c r="AI29" s="104">
        <f t="shared" si="10"/>
        <v>425000</v>
      </c>
      <c r="AJ29" s="105">
        <f t="shared" si="11"/>
        <v>63510.970569036996</v>
      </c>
      <c r="AK29" s="106"/>
      <c r="AL29" s="107">
        <f t="shared" si="20"/>
        <v>0</v>
      </c>
      <c r="AM29" s="20"/>
    </row>
    <row r="30" spans="1:39" x14ac:dyDescent="0.2">
      <c r="A30" s="8">
        <v>1001551445</v>
      </c>
      <c r="B30" s="9" t="s">
        <v>105</v>
      </c>
      <c r="C30" s="94">
        <f>VLOOKUP($A30,'[2]נתונים מהעמותות'!$A$4:$AA$48,6,FALSE)</f>
        <v>0</v>
      </c>
      <c r="D30" s="94">
        <f>VLOOKUP($A30,'[2]נתונים מהעמותות'!$A$4:$AA$48,7,FALSE)</f>
        <v>3</v>
      </c>
      <c r="E30" s="94">
        <f>VLOOKUP($A30,'[2]נתונים מהעמותות'!$A$4:$AA$48,8,FALSE)</f>
        <v>1</v>
      </c>
      <c r="F30" s="95">
        <f t="shared" si="0"/>
        <v>4</v>
      </c>
      <c r="G30" s="96">
        <f t="shared" si="1"/>
        <v>0</v>
      </c>
      <c r="H30" s="96">
        <f t="shared" si="2"/>
        <v>6</v>
      </c>
      <c r="I30" s="96">
        <f t="shared" si="3"/>
        <v>1</v>
      </c>
      <c r="J30" s="94">
        <f>VLOOKUP($A30,'[2]נתונים מהעמותות'!$A$4:$AA$48,11,FALSE)</f>
        <v>0.42857142857142855</v>
      </c>
      <c r="K30" s="97">
        <f t="shared" si="21"/>
        <v>3</v>
      </c>
      <c r="L30" s="98">
        <f t="shared" si="5"/>
        <v>1.5711329663128351E-3</v>
      </c>
      <c r="M30" s="99">
        <f>VLOOKUP($A30,'[2]נתונים מהעמותות'!$A$4:$AA$48,12,FALSE)</f>
        <v>0</v>
      </c>
      <c r="N30" s="99">
        <f t="shared" si="6"/>
        <v>0</v>
      </c>
      <c r="O30" s="99">
        <f>VLOOKUP(A30,'[2]נתונים מהעמותות'!$A$4:$AE$48,29,FALSE)</f>
        <v>0</v>
      </c>
      <c r="P30" s="99">
        <f t="shared" si="12"/>
        <v>0</v>
      </c>
      <c r="Q30" s="100">
        <f t="shared" si="7"/>
        <v>0</v>
      </c>
      <c r="R30" s="99">
        <f>VLOOKUP($A30,'[2]נתונים מהעמותות'!$A$4:$AA$48,13,FALSE)</f>
        <v>0</v>
      </c>
      <c r="S30" s="99">
        <f>VLOOKUP($A30,'[2]נתונים מהעמותות'!$A$4:$AA$48,15,FALSE)</f>
        <v>0</v>
      </c>
      <c r="T30" s="99">
        <f>VLOOKUP($A30,'[2]נתונים מהעמותות'!$A$4:$AA$48,18,FALSE)</f>
        <v>0</v>
      </c>
      <c r="U30" s="99">
        <f t="shared" si="13"/>
        <v>0</v>
      </c>
      <c r="V30" s="100">
        <f t="shared" si="14"/>
        <v>0</v>
      </c>
      <c r="W30" s="62">
        <f>VLOOKUP(B30,'[2]ייחודיות ונחיצות'!$B$3:$D$50,2,FALSE)</f>
        <v>1</v>
      </c>
      <c r="X30" s="100">
        <f t="shared" si="15"/>
        <v>1.4084507042253521E-2</v>
      </c>
      <c r="Y30" s="94">
        <f>VLOOKUP('[2]קריטריונים וניקוד'!A30,'[2]נתונים מהעמותות'!$A$3:$AE$48,26,FALSE)</f>
        <v>1</v>
      </c>
      <c r="Z30" s="100">
        <f t="shared" si="16"/>
        <v>1.3245033112582781E-2</v>
      </c>
      <c r="AA30" s="94">
        <f>VLOOKUP('[2]קריטריונים וניקוד'!A30,'[2]נתונים מהעמותות'!$A$3:$AE$48,29,FALSE)</f>
        <v>0</v>
      </c>
      <c r="AB30" s="100">
        <f t="shared" si="17"/>
        <v>0</v>
      </c>
      <c r="AC30" s="101">
        <f t="shared" si="18"/>
        <v>2.5420422497483418E-3</v>
      </c>
      <c r="AD30" s="102">
        <f t="shared" si="8"/>
        <v>8024.0222776544624</v>
      </c>
      <c r="AE30" s="103">
        <f t="shared" si="19"/>
        <v>400000</v>
      </c>
      <c r="AF30" s="87">
        <f>VLOOKUP(A30,[3]Sheet1!$A$3:$E$51,5,FALSE)</f>
        <v>80000</v>
      </c>
      <c r="AG30" s="103">
        <f t="shared" si="9"/>
        <v>80000</v>
      </c>
      <c r="AH30" s="87">
        <f>VLOOKUP(A30,[3]Sheet1!$A$3:$E$51,4,FALSE)</f>
        <v>250000</v>
      </c>
      <c r="AI30" s="104">
        <f t="shared" si="10"/>
        <v>212500</v>
      </c>
      <c r="AJ30" s="105">
        <f t="shared" si="11"/>
        <v>8024.0222776544624</v>
      </c>
      <c r="AK30" s="106"/>
      <c r="AL30" s="107">
        <f t="shared" si="20"/>
        <v>0</v>
      </c>
      <c r="AM30" s="20"/>
    </row>
    <row r="31" spans="1:39" x14ac:dyDescent="0.2">
      <c r="A31" s="8">
        <v>1001551452</v>
      </c>
      <c r="B31" s="9" t="s">
        <v>54</v>
      </c>
      <c r="C31" s="94">
        <f>VLOOKUP($A31,'[2]נתונים מהעמותות'!$A$4:$AA$48,6,FALSE)</f>
        <v>1</v>
      </c>
      <c r="D31" s="94">
        <f>VLOOKUP($A31,'[2]נתונים מהעמותות'!$A$4:$AA$48,7,FALSE)</f>
        <v>25</v>
      </c>
      <c r="E31" s="94">
        <f>VLOOKUP($A31,'[2]נתונים מהעמותות'!$A$4:$AA$48,8,FALSE)</f>
        <v>15</v>
      </c>
      <c r="F31" s="95">
        <f t="shared" si="0"/>
        <v>41</v>
      </c>
      <c r="G31" s="96">
        <f t="shared" si="1"/>
        <v>4</v>
      </c>
      <c r="H31" s="96">
        <f t="shared" si="2"/>
        <v>50</v>
      </c>
      <c r="I31" s="96">
        <f t="shared" si="3"/>
        <v>15</v>
      </c>
      <c r="J31" s="94">
        <f>VLOOKUP($A31,'[2]נתונים מהעמותות'!$A$4:$AA$48,11,FALSE)</f>
        <v>0.44444444444444442</v>
      </c>
      <c r="K31" s="97">
        <f t="shared" si="21"/>
        <v>30.666666666666664</v>
      </c>
      <c r="L31" s="98">
        <f t="shared" si="5"/>
        <v>1.6060470322308982E-2</v>
      </c>
      <c r="M31" s="99">
        <f>VLOOKUP($A31,'[2]נתונים מהעמותות'!$A$4:$AA$48,12,FALSE)</f>
        <v>0</v>
      </c>
      <c r="N31" s="99">
        <f t="shared" si="6"/>
        <v>0</v>
      </c>
      <c r="O31" s="99">
        <f>VLOOKUP(A31,'[2]נתונים מהעמותות'!$A$4:$AE$48,29,FALSE)</f>
        <v>3</v>
      </c>
      <c r="P31" s="99">
        <f t="shared" si="12"/>
        <v>3</v>
      </c>
      <c r="Q31" s="100">
        <f t="shared" si="7"/>
        <v>3.7974683544303799E-2</v>
      </c>
      <c r="R31" s="99">
        <f>VLOOKUP($A31,'[2]נתונים מהעמותות'!$A$4:$AA$48,13,FALSE)</f>
        <v>5</v>
      </c>
      <c r="S31" s="99">
        <f>VLOOKUP($A31,'[2]נתונים מהעמותות'!$A$4:$AA$48,15,FALSE)</f>
        <v>0</v>
      </c>
      <c r="T31" s="99">
        <f>VLOOKUP($A31,'[2]נתונים מהעמותות'!$A$4:$AA$48,18,FALSE)</f>
        <v>0</v>
      </c>
      <c r="U31" s="99">
        <f t="shared" si="13"/>
        <v>5</v>
      </c>
      <c r="V31" s="100">
        <f t="shared" si="14"/>
        <v>5.2553026003237266E-5</v>
      </c>
      <c r="W31" s="62">
        <f>VLOOKUP(B31,'[2]ייחודיות ונחיצות'!$B$3:$D$50,2,FALSE)</f>
        <v>2</v>
      </c>
      <c r="X31" s="100">
        <f t="shared" si="15"/>
        <v>2.8169014084507043E-2</v>
      </c>
      <c r="Y31" s="94">
        <f>VLOOKUP('[2]קריטריונים וניקוד'!A31,'[2]נתונים מהעמותות'!$A$3:$AE$48,26,FALSE)</f>
        <v>1.5</v>
      </c>
      <c r="Z31" s="100">
        <f t="shared" si="16"/>
        <v>1.9867549668874173E-2</v>
      </c>
      <c r="AA31" s="94">
        <f>VLOOKUP('[2]קריטריונים וניקוד'!A31,'[2]נתונים מהעמותות'!$A$3:$AE$48,29,FALSE)</f>
        <v>3</v>
      </c>
      <c r="AB31" s="100">
        <f t="shared" si="17"/>
        <v>6.25E-2</v>
      </c>
      <c r="AC31" s="101">
        <f t="shared" si="18"/>
        <v>1.8694281902118623E-2</v>
      </c>
      <c r="AD31" s="102">
        <f t="shared" si="8"/>
        <v>59008.985575358776</v>
      </c>
      <c r="AE31" s="103">
        <f t="shared" si="19"/>
        <v>4100000</v>
      </c>
      <c r="AF31" s="87">
        <f>VLOOKUP(A31,[3]Sheet1!$A$3:$E$51,5,FALSE)</f>
        <v>398646</v>
      </c>
      <c r="AG31" s="103">
        <f t="shared" si="9"/>
        <v>398646</v>
      </c>
      <c r="AH31" s="87">
        <f>VLOOKUP(A31,[3]Sheet1!$A$3:$E$51,4,FALSE)</f>
        <v>468996</v>
      </c>
      <c r="AI31" s="104">
        <f t="shared" si="10"/>
        <v>398646.6</v>
      </c>
      <c r="AJ31" s="105">
        <f t="shared" si="11"/>
        <v>59008.985575358776</v>
      </c>
      <c r="AK31" s="106"/>
      <c r="AL31" s="107">
        <f t="shared" si="20"/>
        <v>0</v>
      </c>
      <c r="AM31" s="20"/>
    </row>
    <row r="32" spans="1:39" x14ac:dyDescent="0.2">
      <c r="A32" s="8">
        <v>1001551458</v>
      </c>
      <c r="B32" s="9" t="s">
        <v>12</v>
      </c>
      <c r="C32" s="94">
        <f>VLOOKUP($A32,'[2]נתונים מהעמותות'!$A$4:$AA$48,6,FALSE)</f>
        <v>1.5</v>
      </c>
      <c r="D32" s="94">
        <f>VLOOKUP($A32,'[2]נתונים מהעמותות'!$A$4:$AA$48,7,FALSE)</f>
        <v>1</v>
      </c>
      <c r="E32" s="94">
        <f>VLOOKUP($A32,'[2]נתונים מהעמותות'!$A$4:$AA$48,8,FALSE)</f>
        <v>12</v>
      </c>
      <c r="F32" s="95">
        <f t="shared" si="0"/>
        <v>14.5</v>
      </c>
      <c r="G32" s="96">
        <f t="shared" si="1"/>
        <v>6</v>
      </c>
      <c r="H32" s="96">
        <f t="shared" si="2"/>
        <v>2</v>
      </c>
      <c r="I32" s="96">
        <f t="shared" si="3"/>
        <v>12</v>
      </c>
      <c r="J32" s="94">
        <f>VLOOKUP($A32,'[2]נתונים מהעמותות'!$A$4:$AA$48,11,FALSE)</f>
        <v>1</v>
      </c>
      <c r="K32" s="97">
        <f t="shared" si="21"/>
        <v>20</v>
      </c>
      <c r="L32" s="98">
        <f t="shared" si="5"/>
        <v>1.0474219775418901E-2</v>
      </c>
      <c r="M32" s="99">
        <f>VLOOKUP($A32,'[2]נתונים מהעמותות'!$A$4:$AA$48,12,FALSE)</f>
        <v>11</v>
      </c>
      <c r="N32" s="99">
        <f t="shared" si="6"/>
        <v>0</v>
      </c>
      <c r="O32" s="99">
        <f>VLOOKUP(A32,'[2]נתונים מהעמותות'!$A$4:$AE$48,29,FALSE)</f>
        <v>3</v>
      </c>
      <c r="P32" s="99">
        <f t="shared" si="12"/>
        <v>3</v>
      </c>
      <c r="Q32" s="100">
        <f t="shared" si="7"/>
        <v>3.7974683544303799E-2</v>
      </c>
      <c r="R32" s="99">
        <f>VLOOKUP($A32,'[2]נתונים מהעמותות'!$A$4:$AA$48,13,FALSE)</f>
        <v>0</v>
      </c>
      <c r="S32" s="99">
        <f>VLOOKUP($A32,'[2]נתונים מהעמותות'!$A$4:$AA$48,15,FALSE)</f>
        <v>3300</v>
      </c>
      <c r="T32" s="99">
        <f>VLOOKUP($A32,'[2]נתונים מהעמותות'!$A$4:$AA$48,18,FALSE)</f>
        <v>5775</v>
      </c>
      <c r="U32" s="99">
        <f t="shared" si="13"/>
        <v>9075</v>
      </c>
      <c r="V32" s="100">
        <f t="shared" si="14"/>
        <v>9.5383742195875643E-2</v>
      </c>
      <c r="W32" s="62">
        <f>VLOOKUP(B32,'[2]ייחודיות ונחיצות'!$B$3:$D$50,2,FALSE)</f>
        <v>3</v>
      </c>
      <c r="X32" s="100">
        <f t="shared" si="15"/>
        <v>4.2253521126760563E-2</v>
      </c>
      <c r="Y32" s="94">
        <f>VLOOKUP('[2]קריטריונים וניקוד'!A32,'[2]נתונים מהעמותות'!$A$3:$AE$48,26,FALSE)</f>
        <v>2</v>
      </c>
      <c r="Z32" s="100">
        <f t="shared" si="16"/>
        <v>2.6490066225165563E-2</v>
      </c>
      <c r="AA32" s="94">
        <f>VLOOKUP('[2]קריטריונים וניקוד'!A32,'[2]נתונים מהעמותות'!$A$3:$AE$48,29,FALSE)</f>
        <v>3</v>
      </c>
      <c r="AB32" s="100">
        <f t="shared" si="17"/>
        <v>6.25E-2</v>
      </c>
      <c r="AC32" s="101">
        <f t="shared" si="18"/>
        <v>5.2123899479546855E-2</v>
      </c>
      <c r="AD32" s="102">
        <f t="shared" si="8"/>
        <v>164530.44030385854</v>
      </c>
      <c r="AE32" s="103">
        <f t="shared" si="19"/>
        <v>1450000</v>
      </c>
      <c r="AF32" s="87">
        <f>VLOOKUP(A32,[3]Sheet1!$A$3:$E$51,5,FALSE)</f>
        <v>600000</v>
      </c>
      <c r="AG32" s="103">
        <f t="shared" si="9"/>
        <v>600000</v>
      </c>
      <c r="AH32" s="87">
        <f>VLOOKUP(A32,[3]Sheet1!$A$3:$E$51,4,FALSE)</f>
        <v>750000</v>
      </c>
      <c r="AI32" s="104">
        <f t="shared" si="10"/>
        <v>637500</v>
      </c>
      <c r="AJ32" s="105">
        <f t="shared" si="11"/>
        <v>164530.44030385854</v>
      </c>
      <c r="AK32" s="106"/>
      <c r="AL32" s="107">
        <f t="shared" si="20"/>
        <v>0</v>
      </c>
      <c r="AM32" s="20"/>
    </row>
    <row r="33" spans="1:39" x14ac:dyDescent="0.2">
      <c r="A33" s="8">
        <v>1001551526</v>
      </c>
      <c r="B33" s="9" t="s">
        <v>25</v>
      </c>
      <c r="C33" s="94">
        <f>VLOOKUP($A33,'[2]נתונים מהעמותות'!$A$4:$AA$48,6,FALSE)</f>
        <v>7</v>
      </c>
      <c r="D33" s="94">
        <f>VLOOKUP($A33,'[2]נתונים מהעמותות'!$A$4:$AA$48,7,FALSE)</f>
        <v>9</v>
      </c>
      <c r="E33" s="94">
        <f>VLOOKUP($A33,'[2]נתונים מהעמותות'!$A$4:$AA$48,8,FALSE)</f>
        <v>13</v>
      </c>
      <c r="F33" s="95">
        <f t="shared" si="0"/>
        <v>29</v>
      </c>
      <c r="G33" s="96">
        <f t="shared" si="1"/>
        <v>28</v>
      </c>
      <c r="H33" s="96">
        <f t="shared" si="2"/>
        <v>18</v>
      </c>
      <c r="I33" s="96">
        <f t="shared" si="3"/>
        <v>13</v>
      </c>
      <c r="J33" s="94">
        <f>VLOOKUP($A33,'[2]נתונים מהעמותות'!$A$4:$AA$48,11,FALSE)</f>
        <v>1</v>
      </c>
      <c r="K33" s="97">
        <f t="shared" si="21"/>
        <v>59</v>
      </c>
      <c r="L33" s="98">
        <f t="shared" si="5"/>
        <v>3.0898948337485761E-2</v>
      </c>
      <c r="M33" s="99">
        <f>VLOOKUP($A33,'[2]נתונים מהעמותות'!$A$4:$AA$48,12,FALSE)</f>
        <v>492</v>
      </c>
      <c r="N33" s="99">
        <f t="shared" si="6"/>
        <v>3</v>
      </c>
      <c r="O33" s="99">
        <f>VLOOKUP(A33,'[2]נתונים מהעמותות'!$A$4:$AE$48,29,FALSE)</f>
        <v>3</v>
      </c>
      <c r="P33" s="99">
        <f t="shared" si="12"/>
        <v>6</v>
      </c>
      <c r="Q33" s="100">
        <f t="shared" si="7"/>
        <v>7.5949367088607597E-2</v>
      </c>
      <c r="R33" s="99">
        <f>VLOOKUP($A33,'[2]נתונים מהעמותות'!$A$4:$AA$48,13,FALSE)</f>
        <v>115</v>
      </c>
      <c r="S33" s="99">
        <f>VLOOKUP($A33,'[2]נתונים מהעמותות'!$A$4:$AA$48,15,FALSE)</f>
        <v>0</v>
      </c>
      <c r="T33" s="99">
        <f>VLOOKUP($A33,'[2]נתונים מהעמותות'!$A$4:$AA$48,18,FALSE)</f>
        <v>1355</v>
      </c>
      <c r="U33" s="99">
        <f t="shared" si="13"/>
        <v>1470</v>
      </c>
      <c r="V33" s="100">
        <f t="shared" si="14"/>
        <v>1.5450589644951756E-2</v>
      </c>
      <c r="W33" s="62">
        <f>VLOOKUP(B33,'[2]ייחודיות ונחיצות'!$B$3:$D$50,2,FALSE)</f>
        <v>2</v>
      </c>
      <c r="X33" s="100">
        <f t="shared" si="15"/>
        <v>2.8169014084507043E-2</v>
      </c>
      <c r="Y33" s="94">
        <f>VLOOKUP('[2]קריטריונים וניקוד'!A33,'[2]נתונים מהעמותות'!$A$3:$AE$48,26,FALSE)</f>
        <v>2</v>
      </c>
      <c r="Z33" s="100">
        <f t="shared" si="16"/>
        <v>2.6490066225165563E-2</v>
      </c>
      <c r="AA33" s="94">
        <f>VLOOKUP('[2]קריטריונים וניקוד'!A33,'[2]נתונים מהעמותות'!$A$3:$AE$48,29,FALSE)</f>
        <v>3</v>
      </c>
      <c r="AB33" s="100">
        <f t="shared" si="17"/>
        <v>6.25E-2</v>
      </c>
      <c r="AC33" s="101">
        <f t="shared" si="18"/>
        <v>3.266373230554858E-2</v>
      </c>
      <c r="AD33" s="102">
        <f t="shared" si="8"/>
        <v>103103.91800805455</v>
      </c>
      <c r="AE33" s="103">
        <f t="shared" si="19"/>
        <v>2900000</v>
      </c>
      <c r="AF33" s="87">
        <f>VLOOKUP(A33,[3]Sheet1!$A$3:$E$51,5,FALSE)</f>
        <v>450000</v>
      </c>
      <c r="AG33" s="103">
        <f t="shared" si="9"/>
        <v>450000</v>
      </c>
      <c r="AH33" s="87">
        <f>VLOOKUP(A33,[3]Sheet1!$A$3:$E$51,4,FALSE)</f>
        <v>1800000</v>
      </c>
      <c r="AI33" s="104">
        <f t="shared" si="10"/>
        <v>1530000</v>
      </c>
      <c r="AJ33" s="105">
        <f t="shared" si="11"/>
        <v>103103.91800805455</v>
      </c>
      <c r="AK33" s="106"/>
      <c r="AL33" s="107">
        <f t="shared" si="20"/>
        <v>0</v>
      </c>
      <c r="AM33" s="20"/>
    </row>
    <row r="34" spans="1:39" x14ac:dyDescent="0.2">
      <c r="A34" s="8">
        <v>1001551882</v>
      </c>
      <c r="B34" s="9" t="s">
        <v>26</v>
      </c>
      <c r="C34" s="94">
        <f>VLOOKUP($A34,'[2]נתונים מהעמותות'!$A$4:$AA$48,6,FALSE)</f>
        <v>6</v>
      </c>
      <c r="D34" s="94">
        <f>VLOOKUP($A34,'[2]נתונים מהעמותות'!$A$4:$AA$48,7,FALSE)</f>
        <v>48</v>
      </c>
      <c r="E34" s="94">
        <f>VLOOKUP($A34,'[2]נתונים מהעמותות'!$A$4:$AA$48,8,FALSE)</f>
        <v>5</v>
      </c>
      <c r="F34" s="95">
        <f t="shared" si="0"/>
        <v>59</v>
      </c>
      <c r="G34" s="96">
        <f t="shared" si="1"/>
        <v>24</v>
      </c>
      <c r="H34" s="96">
        <f t="shared" si="2"/>
        <v>96</v>
      </c>
      <c r="I34" s="96">
        <f t="shared" si="3"/>
        <v>5</v>
      </c>
      <c r="J34" s="94">
        <f>VLOOKUP($A34,'[2]נתונים מהעמותות'!$A$4:$AA$48,11,FALSE)</f>
        <v>0.64</v>
      </c>
      <c r="K34" s="97">
        <f t="shared" si="21"/>
        <v>80</v>
      </c>
      <c r="L34" s="98">
        <f t="shared" si="5"/>
        <v>4.1896879101675603E-2</v>
      </c>
      <c r="M34" s="99">
        <f>VLOOKUP($A34,'[2]נתונים מהעמותות'!$A$4:$AA$48,12,FALSE)</f>
        <v>0</v>
      </c>
      <c r="N34" s="99">
        <f t="shared" si="6"/>
        <v>0</v>
      </c>
      <c r="O34" s="99">
        <f>VLOOKUP(A34,'[2]נתונים מהעמותות'!$A$4:$AE$48,29,FALSE)</f>
        <v>0</v>
      </c>
      <c r="P34" s="99">
        <f t="shared" si="12"/>
        <v>0</v>
      </c>
      <c r="Q34" s="100">
        <f t="shared" si="7"/>
        <v>0</v>
      </c>
      <c r="R34" s="99">
        <f>VLOOKUP($A34,'[2]נתונים מהעמותות'!$A$4:$AA$48,13,FALSE)</f>
        <v>360</v>
      </c>
      <c r="S34" s="99">
        <f>VLOOKUP($A34,'[2]נתונים מהעמותות'!$A$4:$AA$48,15,FALSE)</f>
        <v>45</v>
      </c>
      <c r="T34" s="99">
        <f>VLOOKUP($A34,'[2]נתונים מהעמותות'!$A$4:$AA$48,18,FALSE)</f>
        <v>79</v>
      </c>
      <c r="U34" s="99">
        <f t="shared" si="13"/>
        <v>484</v>
      </c>
      <c r="V34" s="100">
        <f t="shared" si="14"/>
        <v>5.0871329171133673E-3</v>
      </c>
      <c r="W34" s="62">
        <f>VLOOKUP(B34,'[2]ייחודיות ונחיצות'!$B$3:$D$50,2,FALSE)</f>
        <v>1</v>
      </c>
      <c r="X34" s="100">
        <f t="shared" si="15"/>
        <v>1.4084507042253521E-2</v>
      </c>
      <c r="Y34" s="94">
        <f>VLOOKUP('[2]קריטריונים וניקוד'!A34,'[2]נתונים מהעמותות'!$A$3:$AE$48,26,FALSE)</f>
        <v>1</v>
      </c>
      <c r="Z34" s="100">
        <f t="shared" si="16"/>
        <v>1.3245033112582781E-2</v>
      </c>
      <c r="AA34" s="94">
        <f>VLOOKUP('[2]קריטריונים וניקוד'!A34,'[2]נתונים מהעמותות'!$A$3:$AE$48,29,FALSE)</f>
        <v>0</v>
      </c>
      <c r="AB34" s="100">
        <f t="shared" si="17"/>
        <v>0</v>
      </c>
      <c r="AC34" s="101">
        <f t="shared" si="18"/>
        <v>1.6420262611346853E-2</v>
      </c>
      <c r="AD34" s="102">
        <f t="shared" si="8"/>
        <v>51830.984717672371</v>
      </c>
      <c r="AE34" s="103">
        <f t="shared" si="19"/>
        <v>5900000</v>
      </c>
      <c r="AF34" s="87">
        <f>VLOOKUP(A34,[3]Sheet1!$A$3:$E$51,5,FALSE)</f>
        <v>150000</v>
      </c>
      <c r="AG34" s="103">
        <f t="shared" si="9"/>
        <v>150000</v>
      </c>
      <c r="AH34" s="87">
        <f>VLOOKUP(A34,[3]Sheet1!$A$3:$E$51,4,FALSE)</f>
        <v>200000</v>
      </c>
      <c r="AI34" s="104">
        <f t="shared" si="10"/>
        <v>170000</v>
      </c>
      <c r="AJ34" s="105">
        <f t="shared" si="11"/>
        <v>51830.984717672371</v>
      </c>
      <c r="AK34" s="106"/>
      <c r="AL34" s="107">
        <f t="shared" si="20"/>
        <v>0</v>
      </c>
      <c r="AM34" s="20"/>
    </row>
    <row r="35" spans="1:39" x14ac:dyDescent="0.2">
      <c r="A35" s="8">
        <v>1001551888</v>
      </c>
      <c r="B35" s="9" t="s">
        <v>106</v>
      </c>
      <c r="C35" s="94">
        <f>VLOOKUP($A35,'[2]נתונים מהעמותות'!$A$4:$AA$48,6,FALSE)</f>
        <v>0</v>
      </c>
      <c r="D35" s="94">
        <f>VLOOKUP($A35,'[2]נתונים מהעמותות'!$A$4:$AA$48,7,FALSE)</f>
        <v>1</v>
      </c>
      <c r="E35" s="94">
        <f>VLOOKUP($A35,'[2]נתונים מהעמותות'!$A$4:$AA$48,8,FALSE)</f>
        <v>0</v>
      </c>
      <c r="F35" s="95">
        <f t="shared" si="0"/>
        <v>1</v>
      </c>
      <c r="G35" s="96">
        <f t="shared" si="1"/>
        <v>0</v>
      </c>
      <c r="H35" s="96">
        <f t="shared" si="2"/>
        <v>2</v>
      </c>
      <c r="I35" s="96">
        <f t="shared" si="3"/>
        <v>0</v>
      </c>
      <c r="J35" s="94">
        <f>VLOOKUP($A35,'[2]נתונים מהעמותות'!$A$4:$AA$48,11,FALSE)</f>
        <v>1</v>
      </c>
      <c r="K35" s="97">
        <f t="shared" si="21"/>
        <v>2</v>
      </c>
      <c r="L35" s="98">
        <f t="shared" si="5"/>
        <v>1.0474219775418901E-3</v>
      </c>
      <c r="M35" s="99">
        <f>VLOOKUP($A35,'[2]נתונים מהעמותות'!$A$4:$AA$48,12,FALSE)</f>
        <v>0</v>
      </c>
      <c r="N35" s="99">
        <f t="shared" si="6"/>
        <v>0</v>
      </c>
      <c r="O35" s="99">
        <f>VLOOKUP(A35,'[2]נתונים מהעמותות'!$A$4:$AE$48,29,FALSE)</f>
        <v>0</v>
      </c>
      <c r="P35" s="99">
        <f t="shared" si="12"/>
        <v>0</v>
      </c>
      <c r="Q35" s="100">
        <f t="shared" si="7"/>
        <v>0</v>
      </c>
      <c r="R35" s="99">
        <f>VLOOKUP($A35,'[2]נתונים מהעמותות'!$A$4:$AA$48,13,FALSE)</f>
        <v>0</v>
      </c>
      <c r="S35" s="99">
        <f>VLOOKUP($A35,'[2]נתונים מהעמותות'!$A$4:$AA$48,15,FALSE)</f>
        <v>0</v>
      </c>
      <c r="T35" s="99">
        <f>VLOOKUP($A35,'[2]נתונים מהעמותות'!$A$4:$AA$48,18,FALSE)</f>
        <v>0</v>
      </c>
      <c r="U35" s="99">
        <f t="shared" si="13"/>
        <v>0</v>
      </c>
      <c r="V35" s="100">
        <f t="shared" si="14"/>
        <v>0</v>
      </c>
      <c r="W35" s="62">
        <v>3</v>
      </c>
      <c r="X35" s="100">
        <f t="shared" si="15"/>
        <v>4.2253521126760563E-2</v>
      </c>
      <c r="Y35" s="94">
        <f>VLOOKUP('[2]קריטריונים וניקוד'!A35,'[2]נתונים מהעמותות'!$A$3:$AE$48,26,FALSE)</f>
        <v>3</v>
      </c>
      <c r="Z35" s="100">
        <f t="shared" si="16"/>
        <v>3.9735099337748346E-2</v>
      </c>
      <c r="AA35" s="94">
        <f>VLOOKUP('[2]קריטריונים וניקוד'!A35,'[2]נתונים מהעמותות'!$A$3:$AE$48,29,FALSE)</f>
        <v>0</v>
      </c>
      <c r="AB35" s="100">
        <f t="shared" si="17"/>
        <v>0</v>
      </c>
      <c r="AC35" s="101">
        <f t="shared" si="18"/>
        <v>6.5263336728260419E-3</v>
      </c>
      <c r="AD35" s="102">
        <f t="shared" si="8"/>
        <v>20600.541469106945</v>
      </c>
      <c r="AE35" s="103">
        <f t="shared" si="19"/>
        <v>100000</v>
      </c>
      <c r="AF35" s="87">
        <f>VLOOKUP(A35,[3]Sheet1!$A$3:$E$51,5,FALSE)</f>
        <v>100000</v>
      </c>
      <c r="AG35" s="103">
        <f t="shared" si="9"/>
        <v>100000</v>
      </c>
      <c r="AH35" s="87">
        <f>VLOOKUP(A35,[3]Sheet1!$A$3:$E$51,4,FALSE)</f>
        <v>300000</v>
      </c>
      <c r="AI35" s="104">
        <f t="shared" si="10"/>
        <v>255000</v>
      </c>
      <c r="AJ35" s="105">
        <f t="shared" si="11"/>
        <v>20600.541469106945</v>
      </c>
      <c r="AK35" s="109"/>
      <c r="AL35" s="107">
        <f t="shared" si="20"/>
        <v>0</v>
      </c>
      <c r="AM35" s="109"/>
    </row>
    <row r="36" spans="1:39" x14ac:dyDescent="0.2">
      <c r="A36" s="8">
        <v>1001552411</v>
      </c>
      <c r="B36" s="9" t="s">
        <v>27</v>
      </c>
      <c r="C36" s="94">
        <f>VLOOKUP($A36,'[2]נתונים מהעמותות'!$A$4:$AA$48,6,FALSE)</f>
        <v>4</v>
      </c>
      <c r="D36" s="94">
        <f>VLOOKUP($A36,'[2]נתונים מהעמותות'!$A$4:$AA$48,7,FALSE)</f>
        <v>3</v>
      </c>
      <c r="E36" s="94">
        <f>VLOOKUP($A36,'[2]נתונים מהעמותות'!$A$4:$AA$48,8,FALSE)</f>
        <v>0</v>
      </c>
      <c r="F36" s="95">
        <f t="shared" si="0"/>
        <v>7</v>
      </c>
      <c r="G36" s="96">
        <f t="shared" si="1"/>
        <v>16</v>
      </c>
      <c r="H36" s="96">
        <f t="shared" si="2"/>
        <v>6</v>
      </c>
      <c r="I36" s="96">
        <f t="shared" si="3"/>
        <v>0</v>
      </c>
      <c r="J36" s="94">
        <f>VLOOKUP($A36,'[2]נתונים מהעמותות'!$A$4:$AA$48,11,FALSE)</f>
        <v>1</v>
      </c>
      <c r="K36" s="97">
        <f t="shared" si="21"/>
        <v>22</v>
      </c>
      <c r="L36" s="98">
        <f t="shared" si="5"/>
        <v>1.1521641752960792E-2</v>
      </c>
      <c r="M36" s="99">
        <f>VLOOKUP($A36,'[2]נתונים מהעמותות'!$A$4:$AA$48,12,FALSE)</f>
        <v>180</v>
      </c>
      <c r="N36" s="99">
        <f t="shared" si="6"/>
        <v>2</v>
      </c>
      <c r="O36" s="99">
        <f>VLOOKUP(A36,'[2]נתונים מהעמותות'!$A$4:$AE$48,29,FALSE)</f>
        <v>0</v>
      </c>
      <c r="P36" s="99">
        <f t="shared" si="12"/>
        <v>2</v>
      </c>
      <c r="Q36" s="100">
        <f t="shared" si="7"/>
        <v>2.5316455696202531E-2</v>
      </c>
      <c r="R36" s="99">
        <f>VLOOKUP($A36,'[2]נתונים מהעמותות'!$A$4:$AA$48,13,FALSE)</f>
        <v>210</v>
      </c>
      <c r="S36" s="99">
        <f>VLOOKUP($A36,'[2]נתונים מהעמותות'!$A$4:$AA$48,15,FALSE)</f>
        <v>438</v>
      </c>
      <c r="T36" s="99">
        <f>VLOOKUP($A36,'[2]נתונים מהעמותות'!$A$4:$AA$48,18,FALSE)</f>
        <v>211</v>
      </c>
      <c r="U36" s="99">
        <f t="shared" si="13"/>
        <v>859</v>
      </c>
      <c r="V36" s="100">
        <f t="shared" si="14"/>
        <v>9.0286098673561625E-3</v>
      </c>
      <c r="W36" s="62">
        <f>VLOOKUP(B36,'[2]ייחודיות ונחיצות'!$B$3:$D$50,2,FALSE)</f>
        <v>1</v>
      </c>
      <c r="X36" s="100">
        <f t="shared" si="15"/>
        <v>1.4084507042253521E-2</v>
      </c>
      <c r="Y36" s="94">
        <f>VLOOKUP('[2]קריטריונים וניקוד'!A36,'[2]נתונים מהעמותות'!$A$3:$AE$48,26,FALSE)</f>
        <v>3</v>
      </c>
      <c r="Z36" s="100">
        <f t="shared" si="16"/>
        <v>3.9735099337748346E-2</v>
      </c>
      <c r="AA36" s="94">
        <f>VLOOKUP('[2]קריטריונים וניקוד'!A36,'[2]נתונים מהעמותות'!$A$3:$AE$48,29,FALSE)</f>
        <v>0</v>
      </c>
      <c r="AB36" s="100">
        <f t="shared" si="17"/>
        <v>0</v>
      </c>
      <c r="AC36" s="101">
        <f t="shared" si="18"/>
        <v>1.2543357220195917E-2</v>
      </c>
      <c r="AD36" s="102">
        <f t="shared" si="8"/>
        <v>39593.432320565873</v>
      </c>
      <c r="AE36" s="103">
        <f t="shared" si="19"/>
        <v>700000</v>
      </c>
      <c r="AF36" s="87">
        <f>VLOOKUP(A36,[3]Sheet1!$A$3:$E$51,5,FALSE)</f>
        <v>100800</v>
      </c>
      <c r="AG36" s="103">
        <f t="shared" si="9"/>
        <v>100800</v>
      </c>
      <c r="AH36" s="87">
        <f>VLOOKUP(A36,[3]Sheet1!$A$3:$E$51,4,FALSE)</f>
        <v>223344</v>
      </c>
      <c r="AI36" s="104">
        <f t="shared" si="10"/>
        <v>189842.4</v>
      </c>
      <c r="AJ36" s="105">
        <f t="shared" si="11"/>
        <v>39593.432320565873</v>
      </c>
      <c r="AK36" s="106"/>
      <c r="AL36" s="107">
        <f t="shared" si="20"/>
        <v>0</v>
      </c>
      <c r="AM36" s="20"/>
    </row>
    <row r="37" spans="1:39" x14ac:dyDescent="0.2">
      <c r="A37" s="8">
        <v>1001552453</v>
      </c>
      <c r="B37" s="9" t="s">
        <v>40</v>
      </c>
      <c r="C37" s="94">
        <f>VLOOKUP($A37,'[2]נתונים מהעמותות'!$A$4:$AA$48,6,FALSE)</f>
        <v>0.5</v>
      </c>
      <c r="D37" s="94">
        <f>VLOOKUP($A37,'[2]נתונים מהעמותות'!$A$4:$AA$48,7,FALSE)</f>
        <v>2</v>
      </c>
      <c r="E37" s="94">
        <f>VLOOKUP($A37,'[2]נתונים מהעמותות'!$A$4:$AA$48,8,FALSE)</f>
        <v>2</v>
      </c>
      <c r="F37" s="95">
        <f t="shared" si="0"/>
        <v>4.5</v>
      </c>
      <c r="G37" s="96">
        <f t="shared" si="1"/>
        <v>2</v>
      </c>
      <c r="H37" s="96">
        <f t="shared" si="2"/>
        <v>4</v>
      </c>
      <c r="I37" s="96">
        <f t="shared" si="3"/>
        <v>2</v>
      </c>
      <c r="J37" s="94">
        <f>VLOOKUP($A37,'[2]נתונים מהעמותות'!$A$4:$AA$48,11,FALSE)</f>
        <v>0.94339622641509435</v>
      </c>
      <c r="K37" s="97">
        <f t="shared" si="21"/>
        <v>7.5471698113207548</v>
      </c>
      <c r="L37" s="98">
        <f t="shared" si="5"/>
        <v>3.9525357643090198E-3</v>
      </c>
      <c r="M37" s="99">
        <f>VLOOKUP($A37,'[2]נתונים מהעמותות'!$A$4:$AA$48,12,FALSE)</f>
        <v>0</v>
      </c>
      <c r="N37" s="99">
        <f t="shared" si="6"/>
        <v>0</v>
      </c>
      <c r="O37" s="99">
        <f>VLOOKUP(A37,'[2]נתונים מהעמותות'!$A$4:$AE$48,29,FALSE)</f>
        <v>3</v>
      </c>
      <c r="P37" s="99">
        <f t="shared" si="12"/>
        <v>3</v>
      </c>
      <c r="Q37" s="100">
        <f t="shared" si="7"/>
        <v>3.7974683544303799E-2</v>
      </c>
      <c r="R37" s="99">
        <f>VLOOKUP($A37,'[2]נתונים מהעמותות'!$A$4:$AA$48,13,FALSE)</f>
        <v>0</v>
      </c>
      <c r="S37" s="99">
        <f>VLOOKUP($A37,'[2]נתונים מהעמותות'!$A$4:$AA$48,15,FALSE)</f>
        <v>0</v>
      </c>
      <c r="T37" s="99">
        <f>VLOOKUP($A37,'[2]נתונים מהעמותות'!$A$4:$AA$48,18,FALSE)</f>
        <v>103</v>
      </c>
      <c r="U37" s="99">
        <f t="shared" si="13"/>
        <v>103</v>
      </c>
      <c r="V37" s="100">
        <f t="shared" si="14"/>
        <v>1.0825923356666876E-3</v>
      </c>
      <c r="W37" s="62">
        <f>VLOOKUP(B37,'[2]ייחודיות ונחיצות'!$B$3:$D$50,2,FALSE)</f>
        <v>1</v>
      </c>
      <c r="X37" s="100">
        <f t="shared" si="15"/>
        <v>1.4084507042253521E-2</v>
      </c>
      <c r="Y37" s="94">
        <f>VLOOKUP('[2]קריטריונים וניקוד'!A37,'[2]נתונים מהעמותות'!$A$3:$AE$48,26,FALSE)</f>
        <v>1</v>
      </c>
      <c r="Z37" s="100">
        <f t="shared" si="16"/>
        <v>1.3245033112582781E-2</v>
      </c>
      <c r="AA37" s="94">
        <f>VLOOKUP('[2]קריטריונים וניקוד'!A37,'[2]נתונים מהעמותות'!$A$3:$AE$48,29,FALSE)</f>
        <v>3</v>
      </c>
      <c r="AB37" s="100">
        <f t="shared" si="17"/>
        <v>6.25E-2</v>
      </c>
      <c r="AC37" s="101">
        <f t="shared" si="18"/>
        <v>1.3682838761060918E-2</v>
      </c>
      <c r="AD37" s="102">
        <f t="shared" si="8"/>
        <v>43190.2353515863</v>
      </c>
      <c r="AE37" s="103">
        <f t="shared" si="19"/>
        <v>450000</v>
      </c>
      <c r="AF37" s="87">
        <f>VLOOKUP(A37,[3]Sheet1!$A$3:$E$51,5,FALSE)</f>
        <v>50000</v>
      </c>
      <c r="AG37" s="103">
        <f t="shared" si="9"/>
        <v>50000</v>
      </c>
      <c r="AH37" s="87">
        <f>VLOOKUP(A37,[3]Sheet1!$A$3:$E$51,4,FALSE)</f>
        <v>100000</v>
      </c>
      <c r="AI37" s="104">
        <f t="shared" si="10"/>
        <v>85000</v>
      </c>
      <c r="AJ37" s="105">
        <f t="shared" si="11"/>
        <v>43190.2353515863</v>
      </c>
      <c r="AK37" s="109"/>
      <c r="AL37" s="107">
        <f t="shared" si="20"/>
        <v>0</v>
      </c>
      <c r="AM37" s="109"/>
    </row>
    <row r="38" spans="1:39" x14ac:dyDescent="0.2">
      <c r="A38" s="8">
        <v>1001552723</v>
      </c>
      <c r="B38" s="9" t="s">
        <v>17</v>
      </c>
      <c r="C38" s="94">
        <f>VLOOKUP($A38,'[2]נתונים מהעמותות'!$A$4:$AA$48,6,FALSE)</f>
        <v>2.56</v>
      </c>
      <c r="D38" s="94">
        <f>VLOOKUP($A38,'[2]נתונים מהעמותות'!$A$4:$AA$48,7,FALSE)</f>
        <v>58</v>
      </c>
      <c r="E38" s="94">
        <f>VLOOKUP($A38,'[2]נתונים מהעמותות'!$A$4:$AA$48,8,FALSE)</f>
        <v>21.14</v>
      </c>
      <c r="F38" s="95">
        <f t="shared" si="0"/>
        <v>81.7</v>
      </c>
      <c r="G38" s="96">
        <f t="shared" si="1"/>
        <v>10.24</v>
      </c>
      <c r="H38" s="96">
        <f t="shared" si="2"/>
        <v>116</v>
      </c>
      <c r="I38" s="96">
        <f t="shared" si="3"/>
        <v>21.14</v>
      </c>
      <c r="J38" s="94">
        <f>VLOOKUP($A38,'[2]נתונים מהעמותות'!$A$4:$AA$48,11,FALSE)</f>
        <v>0.8571428571428571</v>
      </c>
      <c r="K38" s="97">
        <f t="shared" si="21"/>
        <v>126.32571428571427</v>
      </c>
      <c r="L38" s="98">
        <f t="shared" si="5"/>
        <v>6.6158164735767327E-2</v>
      </c>
      <c r="M38" s="99">
        <f>VLOOKUP($A38,'[2]נתונים מהעמותות'!$A$4:$AA$48,12,FALSE)</f>
        <v>5</v>
      </c>
      <c r="N38" s="99">
        <f t="shared" si="6"/>
        <v>0</v>
      </c>
      <c r="O38" s="99">
        <f>VLOOKUP(A38,'[2]נתונים מהעמותות'!$A$4:$AE$48,29,FALSE)</f>
        <v>0</v>
      </c>
      <c r="P38" s="99">
        <f t="shared" si="12"/>
        <v>0</v>
      </c>
      <c r="Q38" s="100">
        <f t="shared" si="7"/>
        <v>0</v>
      </c>
      <c r="R38" s="99">
        <f>VLOOKUP($A38,'[2]נתונים מהעמותות'!$A$4:$AA$48,13,FALSE)</f>
        <v>40</v>
      </c>
      <c r="S38" s="99">
        <f>VLOOKUP($A38,'[2]נתונים מהעמותות'!$A$4:$AA$48,15,FALSE)</f>
        <v>516</v>
      </c>
      <c r="T38" s="99">
        <f>VLOOKUP($A38,'[2]נתונים מהעמותות'!$A$4:$AA$48,18,FALSE)</f>
        <v>351</v>
      </c>
      <c r="U38" s="99">
        <f t="shared" si="13"/>
        <v>907</v>
      </c>
      <c r="V38" s="100">
        <f t="shared" si="14"/>
        <v>9.5331189169872398E-3</v>
      </c>
      <c r="W38" s="62">
        <f>VLOOKUP(B38,'[2]ייחודיות ונחיצות'!$B$3:$D$50,2,FALSE)</f>
        <v>1</v>
      </c>
      <c r="X38" s="100">
        <f t="shared" si="15"/>
        <v>1.4084507042253521E-2</v>
      </c>
      <c r="Y38" s="94">
        <f>VLOOKUP('[2]קריטריונים וניקוד'!A38,'[2]נתונים מהעמותות'!$A$3:$AE$48,26,FALSE)</f>
        <v>2</v>
      </c>
      <c r="Z38" s="100">
        <f t="shared" si="16"/>
        <v>2.6490066225165563E-2</v>
      </c>
      <c r="AA38" s="94">
        <f>VLOOKUP('[2]קריטריונים וניקוד'!A38,'[2]נתונים מהעמותות'!$A$3:$AE$48,29,FALSE)</f>
        <v>0</v>
      </c>
      <c r="AB38" s="100">
        <f t="shared" si="17"/>
        <v>0</v>
      </c>
      <c r="AC38" s="101">
        <f t="shared" si="18"/>
        <v>2.5916995057159362E-2</v>
      </c>
      <c r="AD38" s="102">
        <f t="shared" si="8"/>
        <v>81807.666937516435</v>
      </c>
      <c r="AE38" s="103">
        <f t="shared" si="19"/>
        <v>8170000</v>
      </c>
      <c r="AF38" s="87">
        <f>VLOOKUP(A38,[3]Sheet1!$A$3:$E$51,5,FALSE)</f>
        <v>929490</v>
      </c>
      <c r="AG38" s="103">
        <f t="shared" si="9"/>
        <v>929490</v>
      </c>
      <c r="AH38" s="87">
        <f>VLOOKUP(A38,[3]Sheet1!$A$3:$E$51,4,FALSE)</f>
        <v>1093517</v>
      </c>
      <c r="AI38" s="104">
        <f t="shared" si="10"/>
        <v>929489.45</v>
      </c>
      <c r="AJ38" s="105">
        <f t="shared" si="11"/>
        <v>81807.666937516435</v>
      </c>
      <c r="AK38" s="106"/>
      <c r="AL38" s="107">
        <f t="shared" si="20"/>
        <v>0</v>
      </c>
      <c r="AM38" s="20"/>
    </row>
    <row r="39" spans="1:39" x14ac:dyDescent="0.2">
      <c r="A39" s="8">
        <v>1001553333</v>
      </c>
      <c r="B39" s="9" t="s">
        <v>107</v>
      </c>
      <c r="C39" s="94">
        <f>VLOOKUP($A39,'[2]נתונים מהעמותות'!$A$4:$AA$48,6,FALSE)</f>
        <v>0</v>
      </c>
      <c r="D39" s="94">
        <f>VLOOKUP($A39,'[2]נתונים מהעמותות'!$A$4:$AA$48,7,FALSE)</f>
        <v>4.24</v>
      </c>
      <c r="E39" s="94">
        <f>VLOOKUP($A39,'[2]נתונים מהעמותות'!$A$4:$AA$48,8,FALSE)</f>
        <v>0</v>
      </c>
      <c r="F39" s="95">
        <f t="shared" si="0"/>
        <v>4.24</v>
      </c>
      <c r="G39" s="96">
        <f t="shared" si="1"/>
        <v>0</v>
      </c>
      <c r="H39" s="96">
        <f t="shared" si="2"/>
        <v>8.48</v>
      </c>
      <c r="I39" s="96">
        <f t="shared" si="3"/>
        <v>0</v>
      </c>
      <c r="J39" s="94">
        <f>VLOOKUP($A39,'[2]נתונים מהעמותות'!$A$4:$AA$48,11,FALSE)</f>
        <v>1</v>
      </c>
      <c r="K39" s="97">
        <f t="shared" si="21"/>
        <v>8.48</v>
      </c>
      <c r="L39" s="98">
        <f t="shared" si="5"/>
        <v>4.4410691847776148E-3</v>
      </c>
      <c r="M39" s="99">
        <f>VLOOKUP($A39,'[2]נתונים מהעמותות'!$A$4:$AA$48,12,FALSE)</f>
        <v>0</v>
      </c>
      <c r="N39" s="99">
        <f t="shared" si="6"/>
        <v>0</v>
      </c>
      <c r="O39" s="99">
        <f>VLOOKUP(A39,'[2]נתונים מהעמותות'!$A$4:$AE$48,29,FALSE)</f>
        <v>0</v>
      </c>
      <c r="P39" s="99">
        <f t="shared" si="12"/>
        <v>0</v>
      </c>
      <c r="Q39" s="100">
        <f t="shared" si="7"/>
        <v>0</v>
      </c>
      <c r="R39" s="99">
        <f>VLOOKUP($A39,'[2]נתונים מהעמותות'!$A$4:$AA$48,13,FALSE)</f>
        <v>0</v>
      </c>
      <c r="S39" s="99">
        <f>VLOOKUP($A39,'[2]נתונים מהעמותות'!$A$4:$AA$48,15,FALSE)</f>
        <v>0</v>
      </c>
      <c r="T39" s="99">
        <f>VLOOKUP($A39,'[2]נתונים מהעמותות'!$A$4:$AA$48,18,FALSE)</f>
        <v>0</v>
      </c>
      <c r="U39" s="99">
        <f t="shared" si="13"/>
        <v>0</v>
      </c>
      <c r="V39" s="100">
        <f t="shared" si="14"/>
        <v>0</v>
      </c>
      <c r="W39" s="62">
        <f>VLOOKUP(B39,'[2]ייחודיות ונחיצות'!$B$3:$D$50,2,FALSE)</f>
        <v>1</v>
      </c>
      <c r="X39" s="100">
        <f t="shared" si="15"/>
        <v>1.4084507042253521E-2</v>
      </c>
      <c r="Y39" s="94">
        <f>VLOOKUP('[2]קריטריונים וניקוד'!A39,'[2]נתונים מהעמותות'!$A$3:$AE$48,26,FALSE)</f>
        <v>1.5</v>
      </c>
      <c r="Z39" s="100">
        <f t="shared" si="16"/>
        <v>1.9867549668874173E-2</v>
      </c>
      <c r="AA39" s="94">
        <f>VLOOKUP('[2]קריטריונים וניקוד'!A39,'[2]נתונים מהעמותות'!$A$3:$AE$48,29,FALSE)</f>
        <v>0</v>
      </c>
      <c r="AB39" s="100">
        <f t="shared" si="17"/>
        <v>0</v>
      </c>
      <c r="AC39" s="101">
        <f t="shared" si="18"/>
        <v>3.734148943102345E-3</v>
      </c>
      <c r="AD39" s="102">
        <f t="shared" si="8"/>
        <v>11786.937967100806</v>
      </c>
      <c r="AE39" s="103">
        <f t="shared" si="19"/>
        <v>424000</v>
      </c>
      <c r="AF39" s="87">
        <f>VLOOKUP(A39,[3]Sheet1!$A$3:$E$51,5,FALSE)</f>
        <v>1031612</v>
      </c>
      <c r="AG39" s="103">
        <f t="shared" si="9"/>
        <v>424000</v>
      </c>
      <c r="AH39" s="87">
        <f>VLOOKUP(A39,[3]Sheet1!$A$3:$E$51,4,FALSE)</f>
        <v>1213662</v>
      </c>
      <c r="AI39" s="104">
        <f t="shared" si="10"/>
        <v>1031612.7</v>
      </c>
      <c r="AJ39" s="105">
        <f t="shared" si="11"/>
        <v>11786.937967100806</v>
      </c>
      <c r="AK39" s="32"/>
      <c r="AL39" s="107">
        <f t="shared" si="20"/>
        <v>0</v>
      </c>
      <c r="AM39" s="20"/>
    </row>
    <row r="40" spans="1:39" x14ac:dyDescent="0.2">
      <c r="A40" s="8">
        <v>1001553346</v>
      </c>
      <c r="B40" s="9" t="s">
        <v>44</v>
      </c>
      <c r="C40" s="94">
        <f>VLOOKUP($A40,'[2]נתונים מהעמותות'!$A$4:$AA$48,6,FALSE)</f>
        <v>0.3</v>
      </c>
      <c r="D40" s="94">
        <f>VLOOKUP($A40,'[2]נתונים מהעמותות'!$A$4:$AA$48,7,FALSE)</f>
        <v>0.5</v>
      </c>
      <c r="E40" s="94">
        <f>VLOOKUP($A40,'[2]נתונים מהעמותות'!$A$4:$AA$48,8,FALSE)</f>
        <v>0.15</v>
      </c>
      <c r="F40" s="95">
        <f t="shared" si="0"/>
        <v>0.95000000000000007</v>
      </c>
      <c r="G40" s="96">
        <f t="shared" si="1"/>
        <v>1.2</v>
      </c>
      <c r="H40" s="96">
        <f t="shared" si="2"/>
        <v>1</v>
      </c>
      <c r="I40" s="96">
        <f t="shared" si="3"/>
        <v>0.15</v>
      </c>
      <c r="J40" s="94">
        <f>VLOOKUP($A40,'[2]נתונים מהעמותות'!$A$4:$AA$48,11,FALSE)</f>
        <v>1</v>
      </c>
      <c r="K40" s="97">
        <f t="shared" si="21"/>
        <v>2.35</v>
      </c>
      <c r="L40" s="98">
        <f t="shared" si="5"/>
        <v>1.230720823611721E-3</v>
      </c>
      <c r="M40" s="99">
        <f>VLOOKUP($A40,'[2]נתונים מהעמותות'!$A$4:$AA$48,12,FALSE)</f>
        <v>5</v>
      </c>
      <c r="N40" s="99">
        <f t="shared" si="6"/>
        <v>0</v>
      </c>
      <c r="O40" s="99">
        <f>VLOOKUP(A40,'[2]נתונים מהעמותות'!$A$4:$AE$48,29,FALSE)</f>
        <v>0</v>
      </c>
      <c r="P40" s="99">
        <f t="shared" si="12"/>
        <v>0</v>
      </c>
      <c r="Q40" s="100">
        <f t="shared" si="7"/>
        <v>0</v>
      </c>
      <c r="R40" s="99">
        <f>VLOOKUP($A40,'[2]נתונים מהעמותות'!$A$4:$AA$48,13,FALSE)</f>
        <v>0</v>
      </c>
      <c r="S40" s="99">
        <f>VLOOKUP($A40,'[2]נתונים מהעמותות'!$A$4:$AA$48,15,FALSE)</f>
        <v>432</v>
      </c>
      <c r="T40" s="99">
        <f>VLOOKUP($A40,'[2]נתונים מהעמותות'!$A$4:$AA$48,18,FALSE)</f>
        <v>66</v>
      </c>
      <c r="U40" s="99">
        <f t="shared" si="13"/>
        <v>498</v>
      </c>
      <c r="V40" s="100">
        <f t="shared" si="14"/>
        <v>5.2342813899224315E-3</v>
      </c>
      <c r="W40" s="62">
        <f>VLOOKUP(B40,'[2]ייחודיות ונחיצות'!$B$3:$D$50,2,FALSE)</f>
        <v>2</v>
      </c>
      <c r="X40" s="100">
        <f t="shared" si="15"/>
        <v>2.8169014084507043E-2</v>
      </c>
      <c r="Y40" s="94">
        <f>VLOOKUP('[2]קריטריונים וניקוד'!A40,'[2]נתונים מהעמותות'!$A$3:$AE$48,26,FALSE)</f>
        <v>2</v>
      </c>
      <c r="Z40" s="100">
        <f t="shared" si="16"/>
        <v>2.6490066225165563E-2</v>
      </c>
      <c r="AA40" s="94">
        <f>VLOOKUP('[2]קריטריונים וניקוד'!A40,'[2]נתונים מהעמותות'!$A$3:$AE$48,29,FALSE)</f>
        <v>0</v>
      </c>
      <c r="AB40" s="100">
        <f t="shared" si="17"/>
        <v>0</v>
      </c>
      <c r="AC40" s="101">
        <f t="shared" si="18"/>
        <v>6.3426194532653496E-3</v>
      </c>
      <c r="AD40" s="102">
        <f t="shared" si="8"/>
        <v>20020.642771269475</v>
      </c>
      <c r="AE40" s="103">
        <f t="shared" si="19"/>
        <v>95000</v>
      </c>
      <c r="AF40" s="87">
        <f>VLOOKUP(A40,[3]Sheet1!$A$3:$E$51,5,FALSE)</f>
        <v>219721</v>
      </c>
      <c r="AG40" s="103">
        <f t="shared" si="9"/>
        <v>95000</v>
      </c>
      <c r="AH40" s="87">
        <f>VLOOKUP(A40,[3]Sheet1!$A$3:$E$51,4,FALSE)</f>
        <v>258496</v>
      </c>
      <c r="AI40" s="104">
        <f t="shared" si="10"/>
        <v>219721.60000000001</v>
      </c>
      <c r="AJ40" s="105">
        <f t="shared" si="11"/>
        <v>20020.642771269475</v>
      </c>
      <c r="AK40" s="111"/>
      <c r="AL40" s="107">
        <f t="shared" si="20"/>
        <v>0</v>
      </c>
      <c r="AM40" s="115"/>
    </row>
    <row r="41" spans="1:39" x14ac:dyDescent="0.2">
      <c r="A41" s="8">
        <v>1001553418</v>
      </c>
      <c r="B41" s="9" t="s">
        <v>49</v>
      </c>
      <c r="C41" s="94">
        <f>VLOOKUP($A41,'[2]נתונים מהעמותות'!$A$4:$AA$48,6,FALSE)</f>
        <v>0.83</v>
      </c>
      <c r="D41" s="94">
        <f>VLOOKUP($A41,'[2]נתונים מהעמותות'!$A$4:$AA$48,7,FALSE)</f>
        <v>1.29</v>
      </c>
      <c r="E41" s="94">
        <f>VLOOKUP($A41,'[2]נתונים מהעמותות'!$A$4:$AA$48,8,FALSE)</f>
        <v>0.25</v>
      </c>
      <c r="F41" s="95">
        <f t="shared" si="0"/>
        <v>2.37</v>
      </c>
      <c r="G41" s="96">
        <f t="shared" si="1"/>
        <v>3.32</v>
      </c>
      <c r="H41" s="96">
        <f t="shared" si="2"/>
        <v>2.58</v>
      </c>
      <c r="I41" s="96">
        <f t="shared" si="3"/>
        <v>0.25</v>
      </c>
      <c r="J41" s="94">
        <f>VLOOKUP($A41,'[2]נתונים מהעמותות'!$A$4:$AA$48,11,FALSE)</f>
        <v>1</v>
      </c>
      <c r="K41" s="97">
        <f t="shared" si="21"/>
        <v>6.15</v>
      </c>
      <c r="L41" s="98">
        <f t="shared" si="5"/>
        <v>3.2208225809413123E-3</v>
      </c>
      <c r="M41" s="99">
        <f>VLOOKUP($A41,'[2]נתונים מהעמותות'!$A$4:$AA$48,12,FALSE)</f>
        <v>10</v>
      </c>
      <c r="N41" s="99">
        <f t="shared" si="6"/>
        <v>0</v>
      </c>
      <c r="O41" s="99">
        <f>VLOOKUP(A41,'[2]נתונים מהעמותות'!$A$4:$AE$48,29,FALSE)</f>
        <v>0</v>
      </c>
      <c r="P41" s="99">
        <f t="shared" si="12"/>
        <v>0</v>
      </c>
      <c r="Q41" s="100">
        <f t="shared" si="7"/>
        <v>0</v>
      </c>
      <c r="R41" s="99">
        <f>VLOOKUP($A41,'[2]נתונים מהעמותות'!$A$4:$AA$48,13,FALSE)</f>
        <v>50</v>
      </c>
      <c r="S41" s="99">
        <f>VLOOKUP($A41,'[2]נתונים מהעמותות'!$A$4:$AA$48,15,FALSE)</f>
        <v>45</v>
      </c>
      <c r="T41" s="99">
        <f>VLOOKUP($A41,'[2]נתונים מהעמותות'!$A$4:$AA$48,18,FALSE)</f>
        <v>0</v>
      </c>
      <c r="U41" s="99">
        <f t="shared" si="13"/>
        <v>95</v>
      </c>
      <c r="V41" s="100">
        <f t="shared" si="14"/>
        <v>9.9850749406150811E-4</v>
      </c>
      <c r="W41" s="62">
        <f>VLOOKUP(B41,'[2]ייחודיות ונחיצות'!$B$3:$D$50,2,FALSE)</f>
        <v>1</v>
      </c>
      <c r="X41" s="100">
        <f t="shared" si="15"/>
        <v>1.4084507042253521E-2</v>
      </c>
      <c r="Y41" s="94">
        <f>VLOOKUP('[2]קריטריונים וניקוד'!A41,'[2]נתונים מהעמותות'!$A$3:$AE$48,26,FALSE)</f>
        <v>2</v>
      </c>
      <c r="Z41" s="100">
        <f t="shared" si="16"/>
        <v>2.6490066225165563E-2</v>
      </c>
      <c r="AA41" s="94">
        <f>VLOOKUP('[2]קריטריונים וניקוד'!A41,'[2]נתונים מהעמותות'!$A$3:$AE$48,29,FALSE)</f>
        <v>0</v>
      </c>
      <c r="AB41" s="100">
        <f t="shared" si="17"/>
        <v>0</v>
      </c>
      <c r="AC41" s="101">
        <f t="shared" si="18"/>
        <v>4.0486784126875517E-3</v>
      </c>
      <c r="AD41" s="102">
        <f t="shared" si="8"/>
        <v>12779.758393740212</v>
      </c>
      <c r="AE41" s="103">
        <f t="shared" si="19"/>
        <v>237000</v>
      </c>
      <c r="AF41" s="87">
        <f>VLOOKUP(A41,[3]Sheet1!$A$3:$E$51,5,FALSE)</f>
        <v>670000</v>
      </c>
      <c r="AG41" s="103">
        <f t="shared" si="9"/>
        <v>237000</v>
      </c>
      <c r="AH41" s="87">
        <f>VLOOKUP(A41,[3]Sheet1!$A$3:$E$51,4,FALSE)</f>
        <v>790000</v>
      </c>
      <c r="AI41" s="104">
        <f t="shared" si="10"/>
        <v>671500</v>
      </c>
      <c r="AJ41" s="105">
        <f t="shared" si="11"/>
        <v>12779.758393740212</v>
      </c>
      <c r="AK41" s="106"/>
      <c r="AL41" s="107">
        <f t="shared" si="20"/>
        <v>0</v>
      </c>
      <c r="AM41" s="20"/>
    </row>
    <row r="42" spans="1:39" x14ac:dyDescent="0.2">
      <c r="A42" s="8">
        <v>1001553637</v>
      </c>
      <c r="B42" s="9" t="s">
        <v>38</v>
      </c>
      <c r="C42" s="94">
        <f>VLOOKUP($A42,'[2]נתונים מהעמותות'!$A$4:$AA$48,6,FALSE)</f>
        <v>0</v>
      </c>
      <c r="D42" s="94">
        <f>VLOOKUP($A42,'[2]נתונים מהעמותות'!$A$4:$AA$48,7,FALSE)</f>
        <v>1.5</v>
      </c>
      <c r="E42" s="94">
        <f>VLOOKUP($A42,'[2]נתונים מהעמותות'!$A$4:$AA$48,8,FALSE)</f>
        <v>20</v>
      </c>
      <c r="F42" s="95">
        <f t="shared" si="0"/>
        <v>21.5</v>
      </c>
      <c r="G42" s="96">
        <f t="shared" si="1"/>
        <v>0</v>
      </c>
      <c r="H42" s="96">
        <f t="shared" si="2"/>
        <v>3</v>
      </c>
      <c r="I42" s="96">
        <f t="shared" si="3"/>
        <v>20</v>
      </c>
      <c r="J42" s="94">
        <f>VLOOKUP($A42,'[2]נתונים מהעמותות'!$A$4:$AA$48,11,FALSE)</f>
        <v>1</v>
      </c>
      <c r="K42" s="97">
        <f t="shared" si="21"/>
        <v>23</v>
      </c>
      <c r="L42" s="98">
        <f t="shared" si="5"/>
        <v>1.2045352741731737E-2</v>
      </c>
      <c r="M42" s="99">
        <f>VLOOKUP($A42,'[2]נתונים מהעמותות'!$A$4:$AA$48,12,FALSE)</f>
        <v>0</v>
      </c>
      <c r="N42" s="99">
        <f t="shared" si="6"/>
        <v>0</v>
      </c>
      <c r="O42" s="99">
        <f>VLOOKUP(A42,'[2]נתונים מהעמותות'!$A$4:$AE$48,29,FALSE)</f>
        <v>0</v>
      </c>
      <c r="P42" s="99">
        <f t="shared" si="12"/>
        <v>0</v>
      </c>
      <c r="Q42" s="100">
        <f t="shared" si="7"/>
        <v>0</v>
      </c>
      <c r="R42" s="99">
        <f>VLOOKUP($A42,'[2]נתונים מהעמותות'!$A$4:$AA$48,13,FALSE)</f>
        <v>125</v>
      </c>
      <c r="S42" s="99">
        <f>VLOOKUP($A42,'[2]נתונים מהעמותות'!$A$4:$AA$48,15,FALSE)</f>
        <v>120</v>
      </c>
      <c r="T42" s="99">
        <f>VLOOKUP($A42,'[2]נתונים מהעמותות'!$A$4:$AA$48,18,FALSE)</f>
        <v>0</v>
      </c>
      <c r="U42" s="99">
        <f t="shared" si="13"/>
        <v>245</v>
      </c>
      <c r="V42" s="100">
        <f t="shared" si="14"/>
        <v>2.575098274158626E-3</v>
      </c>
      <c r="W42" s="62">
        <f>VLOOKUP(B42,'[2]ייחודיות ונחיצות'!$B$3:$D$50,2,FALSE)</f>
        <v>1</v>
      </c>
      <c r="X42" s="100">
        <f t="shared" si="15"/>
        <v>1.4084507042253521E-2</v>
      </c>
      <c r="Y42" s="94">
        <f>VLOOKUP('[2]קריטריונים וניקוד'!A42,'[2]נתונים מהעמותות'!$A$3:$AE$48,26,FALSE)</f>
        <v>2</v>
      </c>
      <c r="Z42" s="100">
        <f t="shared" si="16"/>
        <v>2.6490066225165563E-2</v>
      </c>
      <c r="AA42" s="94">
        <f>VLOOKUP('[2]קריטריונים וניקוד'!A42,'[2]נתונים מהעמותות'!$A$3:$AE$48,29,FALSE)</f>
        <v>0</v>
      </c>
      <c r="AB42" s="100">
        <f t="shared" si="17"/>
        <v>0</v>
      </c>
      <c r="AC42" s="101">
        <f t="shared" si="18"/>
        <v>7.24784423395867E-3</v>
      </c>
      <c r="AD42" s="102">
        <f t="shared" si="8"/>
        <v>22878.008264422533</v>
      </c>
      <c r="AE42" s="103">
        <f t="shared" si="19"/>
        <v>2150000</v>
      </c>
      <c r="AF42" s="87">
        <f>VLOOKUP(A42,[3]Sheet1!$A$3:$E$51,5,FALSE)</f>
        <v>850000</v>
      </c>
      <c r="AG42" s="103">
        <f t="shared" si="9"/>
        <v>850000</v>
      </c>
      <c r="AH42" s="87">
        <f>VLOOKUP(A42,[3]Sheet1!$A$3:$E$51,4,FALSE)</f>
        <v>1000000</v>
      </c>
      <c r="AI42" s="104">
        <f t="shared" si="10"/>
        <v>850000</v>
      </c>
      <c r="AJ42" s="105">
        <f t="shared" si="11"/>
        <v>22878.008264422533</v>
      </c>
      <c r="AK42" s="106"/>
      <c r="AL42" s="107">
        <f t="shared" si="20"/>
        <v>0</v>
      </c>
      <c r="AM42" s="20"/>
    </row>
    <row r="43" spans="1:39" x14ac:dyDescent="0.2">
      <c r="A43" s="8">
        <v>1001553650</v>
      </c>
      <c r="B43" s="9" t="s">
        <v>35</v>
      </c>
      <c r="C43" s="94">
        <f>VLOOKUP($A43,'[2]נתונים מהעמותות'!$A$4:$AA$48,6,FALSE)</f>
        <v>1</v>
      </c>
      <c r="D43" s="94">
        <f>VLOOKUP($A43,'[2]נתונים מהעמותות'!$A$4:$AA$48,7,FALSE)</f>
        <v>2.75</v>
      </c>
      <c r="E43" s="94">
        <f>VLOOKUP($A43,'[2]נתונים מהעמותות'!$A$4:$AA$48,8,FALSE)</f>
        <v>17</v>
      </c>
      <c r="F43" s="95">
        <f t="shared" si="0"/>
        <v>20.75</v>
      </c>
      <c r="G43" s="96">
        <f t="shared" si="1"/>
        <v>4</v>
      </c>
      <c r="H43" s="96">
        <f t="shared" si="2"/>
        <v>5.5</v>
      </c>
      <c r="I43" s="96">
        <f t="shared" si="3"/>
        <v>17</v>
      </c>
      <c r="J43" s="94">
        <f>VLOOKUP($A43,'[2]נתונים מהעמותות'!$A$4:$AA$48,11,FALSE)</f>
        <v>1</v>
      </c>
      <c r="K43" s="97">
        <f t="shared" si="21"/>
        <v>26.5</v>
      </c>
      <c r="L43" s="98">
        <f t="shared" si="5"/>
        <v>1.3878341202430044E-2</v>
      </c>
      <c r="M43" s="99">
        <f>VLOOKUP($A43,'[2]נתונים מהעמותות'!$A$4:$AA$48,12,FALSE)</f>
        <v>0</v>
      </c>
      <c r="N43" s="99">
        <f t="shared" si="6"/>
        <v>0</v>
      </c>
      <c r="O43" s="99">
        <f>VLOOKUP(A43,'[2]נתונים מהעמותות'!$A$4:$AE$48,29,FALSE)</f>
        <v>0</v>
      </c>
      <c r="P43" s="99">
        <f t="shared" si="12"/>
        <v>0</v>
      </c>
      <c r="Q43" s="100">
        <f t="shared" si="7"/>
        <v>0</v>
      </c>
      <c r="R43" s="99">
        <f>VLOOKUP($A43,'[2]נתונים מהעמותות'!$A$4:$AA$48,13,FALSE)</f>
        <v>65</v>
      </c>
      <c r="S43" s="99">
        <f>VLOOKUP($A43,'[2]נתונים מהעמותות'!$A$4:$AA$48,15,FALSE)</f>
        <v>30</v>
      </c>
      <c r="T43" s="99">
        <f>VLOOKUP($A43,'[2]נתונים מהעמותות'!$A$4:$AA$48,18,FALSE)</f>
        <v>69</v>
      </c>
      <c r="U43" s="99">
        <f t="shared" si="13"/>
        <v>164</v>
      </c>
      <c r="V43" s="100">
        <f t="shared" si="14"/>
        <v>1.7237392529061823E-3</v>
      </c>
      <c r="W43" s="62">
        <f>VLOOKUP(B43,'[2]ייחודיות ונחיצות'!$B$3:$D$50,2,FALSE)</f>
        <v>1</v>
      </c>
      <c r="X43" s="100">
        <f t="shared" si="15"/>
        <v>1.4084507042253521E-2</v>
      </c>
      <c r="Y43" s="94">
        <f>VLOOKUP('[2]קריטריונים וניקוד'!A43,'[2]נתונים מהעמותות'!$A$3:$AE$48,26,FALSE)</f>
        <v>1.5</v>
      </c>
      <c r="Z43" s="100">
        <f t="shared" si="16"/>
        <v>1.9867549668874173E-2</v>
      </c>
      <c r="AA43" s="94">
        <f>VLOOKUP('[2]קריטריונים וניקוד'!A43,'[2]נתונים מהעמותות'!$A$3:$AE$48,29,FALSE)</f>
        <v>0</v>
      </c>
      <c r="AB43" s="100">
        <f t="shared" si="17"/>
        <v>0</v>
      </c>
      <c r="AC43" s="101">
        <f t="shared" si="18"/>
        <v>7.1686392869152373E-3</v>
      </c>
      <c r="AD43" s="102">
        <f t="shared" si="8"/>
        <v>22627.995795259259</v>
      </c>
      <c r="AE43" s="103">
        <f t="shared" si="19"/>
        <v>2075000</v>
      </c>
      <c r="AF43" s="87">
        <f>VLOOKUP(A43,[3]Sheet1!$A$3:$E$51,5,FALSE)</f>
        <v>85000</v>
      </c>
      <c r="AG43" s="103">
        <f t="shared" si="9"/>
        <v>85000</v>
      </c>
      <c r="AH43" s="87">
        <f>VLOOKUP(A43,[3]Sheet1!$A$3:$E$51,4,FALSE)</f>
        <v>110000</v>
      </c>
      <c r="AI43" s="104">
        <f t="shared" si="10"/>
        <v>93500</v>
      </c>
      <c r="AJ43" s="105">
        <f t="shared" si="11"/>
        <v>22627.995795259259</v>
      </c>
      <c r="AK43" s="106"/>
      <c r="AL43" s="107">
        <f t="shared" si="20"/>
        <v>0</v>
      </c>
      <c r="AM43" s="20"/>
    </row>
    <row r="44" spans="1:39" x14ac:dyDescent="0.2">
      <c r="A44" s="8">
        <v>1001553658</v>
      </c>
      <c r="B44" s="9" t="s">
        <v>39</v>
      </c>
      <c r="C44" s="94">
        <f>VLOOKUP($A44,'[2]נתונים מהעמותות'!$A$4:$AA$48,6,FALSE)</f>
        <v>1.6</v>
      </c>
      <c r="D44" s="94">
        <f>VLOOKUP($A44,'[2]נתונים מהעמותות'!$A$4:$AA$48,7,FALSE)</f>
        <v>3.2</v>
      </c>
      <c r="E44" s="94">
        <f>VLOOKUP($A44,'[2]נתונים מהעמותות'!$A$4:$AA$48,8,FALSE)</f>
        <v>1</v>
      </c>
      <c r="F44" s="95">
        <f t="shared" si="0"/>
        <v>5.8000000000000007</v>
      </c>
      <c r="G44" s="96">
        <f t="shared" si="1"/>
        <v>6.4</v>
      </c>
      <c r="H44" s="96">
        <f t="shared" si="2"/>
        <v>6.4</v>
      </c>
      <c r="I44" s="96">
        <f t="shared" si="3"/>
        <v>1</v>
      </c>
      <c r="J44" s="94">
        <f>VLOOKUP($A44,'[2]נתונים מהעמותות'!$A$4:$AA$48,11,FALSE)</f>
        <v>1</v>
      </c>
      <c r="K44" s="97">
        <f t="shared" si="21"/>
        <v>13.8</v>
      </c>
      <c r="L44" s="98">
        <f t="shared" si="5"/>
        <v>7.227211645039042E-3</v>
      </c>
      <c r="M44" s="99">
        <f>VLOOKUP($A44,'[2]נתונים מהעמותות'!$A$4:$AA$48,12,FALSE)</f>
        <v>0</v>
      </c>
      <c r="N44" s="99">
        <f t="shared" si="6"/>
        <v>0</v>
      </c>
      <c r="O44" s="99">
        <f>VLOOKUP(A44,'[2]נתונים מהעמותות'!$A$4:$AE$48,29,FALSE)</f>
        <v>0</v>
      </c>
      <c r="P44" s="99">
        <f t="shared" si="12"/>
        <v>0</v>
      </c>
      <c r="Q44" s="100">
        <f t="shared" si="7"/>
        <v>0</v>
      </c>
      <c r="R44" s="99">
        <f>VLOOKUP($A44,'[2]נתונים מהעמותות'!$A$4:$AA$48,13,FALSE)</f>
        <v>320</v>
      </c>
      <c r="S44" s="99">
        <f>VLOOKUP($A44,'[2]נתונים מהעמותות'!$A$4:$AA$48,15,FALSE)</f>
        <v>360</v>
      </c>
      <c r="T44" s="99">
        <f>VLOOKUP($A44,'[2]נתונים מהעמותות'!$A$4:$AA$48,18,FALSE)</f>
        <v>0</v>
      </c>
      <c r="U44" s="99">
        <f t="shared" si="13"/>
        <v>680</v>
      </c>
      <c r="V44" s="100">
        <f t="shared" si="14"/>
        <v>7.1472115364402686E-3</v>
      </c>
      <c r="W44" s="62">
        <f>VLOOKUP(B44,'[2]ייחודיות ונחיצות'!$B$3:$D$50,2,FALSE)</f>
        <v>1</v>
      </c>
      <c r="X44" s="100">
        <f t="shared" si="15"/>
        <v>1.4084507042253521E-2</v>
      </c>
      <c r="Y44" s="94">
        <f>VLOOKUP('[2]קריטריונים וניקוד'!A44,'[2]נתונים מהעמותות'!$A$3:$AE$48,26,FALSE)</f>
        <v>2</v>
      </c>
      <c r="Z44" s="100">
        <f t="shared" si="16"/>
        <v>2.6490066225165563E-2</v>
      </c>
      <c r="AA44" s="94">
        <f>VLOOKUP('[2]קריטריונים וניקוד'!A44,'[2]נתונים מהעמותות'!$A$3:$AE$48,29,FALSE)</f>
        <v>0</v>
      </c>
      <c r="AB44" s="100">
        <f t="shared" si="17"/>
        <v>0</v>
      </c>
      <c r="AC44" s="101">
        <f t="shared" si="18"/>
        <v>7.4026415467494363E-3</v>
      </c>
      <c r="AD44" s="102">
        <f t="shared" si="8"/>
        <v>23366.62999621205</v>
      </c>
      <c r="AE44" s="103">
        <f t="shared" si="19"/>
        <v>580000.00000000012</v>
      </c>
      <c r="AF44" s="87">
        <f>VLOOKUP(A44,[3]Sheet1!$A$3:$E$51,5,FALSE)</f>
        <v>1044000</v>
      </c>
      <c r="AG44" s="103">
        <f t="shared" si="9"/>
        <v>580000.00000000012</v>
      </c>
      <c r="AH44" s="87">
        <f>VLOOKUP(A44,[3]Sheet1!$A$3:$E$51,4,FALSE)</f>
        <v>1160000</v>
      </c>
      <c r="AI44" s="104">
        <f t="shared" si="10"/>
        <v>986000</v>
      </c>
      <c r="AJ44" s="105">
        <f t="shared" si="11"/>
        <v>23366.62999621205</v>
      </c>
      <c r="AK44" s="106"/>
      <c r="AL44" s="107">
        <f t="shared" si="20"/>
        <v>0</v>
      </c>
      <c r="AM44" s="20"/>
    </row>
    <row r="45" spans="1:39" x14ac:dyDescent="0.2">
      <c r="A45" s="8">
        <v>1001553780</v>
      </c>
      <c r="B45" s="9" t="s">
        <v>18</v>
      </c>
      <c r="C45" s="94">
        <f>VLOOKUP($A45,'[2]נתונים מהעמותות'!$A$4:$AA$48,6,FALSE)</f>
        <v>4</v>
      </c>
      <c r="D45" s="94">
        <f>VLOOKUP($A45,'[2]נתונים מהעמותות'!$A$4:$AA$48,7,FALSE)</f>
        <v>12.5</v>
      </c>
      <c r="E45" s="94">
        <f>VLOOKUP($A45,'[2]נתונים מהעמותות'!$A$4:$AA$48,8,FALSE)</f>
        <v>22</v>
      </c>
      <c r="F45" s="95">
        <f t="shared" si="0"/>
        <v>38.5</v>
      </c>
      <c r="G45" s="96">
        <f t="shared" si="1"/>
        <v>16</v>
      </c>
      <c r="H45" s="96">
        <f t="shared" si="2"/>
        <v>25</v>
      </c>
      <c r="I45" s="96">
        <f t="shared" si="3"/>
        <v>22</v>
      </c>
      <c r="J45" s="94">
        <f>VLOOKUP($A45,'[2]נתונים מהעמותות'!$A$4:$AA$48,11,FALSE)</f>
        <v>1</v>
      </c>
      <c r="K45" s="97">
        <f t="shared" si="21"/>
        <v>63</v>
      </c>
      <c r="L45" s="98">
        <f t="shared" si="5"/>
        <v>3.2993792292569539E-2</v>
      </c>
      <c r="M45" s="99">
        <f>VLOOKUP($A45,'[2]נתונים מהעמותות'!$A$4:$AA$48,12,FALSE)</f>
        <v>0</v>
      </c>
      <c r="N45" s="99">
        <f t="shared" si="6"/>
        <v>0</v>
      </c>
      <c r="O45" s="99">
        <f>VLOOKUP(A45,'[2]נתונים מהעמותות'!$A$4:$AE$48,29,FALSE)</f>
        <v>0</v>
      </c>
      <c r="P45" s="99">
        <f t="shared" si="12"/>
        <v>0</v>
      </c>
      <c r="Q45" s="100">
        <f t="shared" si="7"/>
        <v>0</v>
      </c>
      <c r="R45" s="99">
        <f>VLOOKUP($A45,'[2]נתונים מהעמותות'!$A$4:$AA$48,13,FALSE)</f>
        <v>470</v>
      </c>
      <c r="S45" s="99">
        <f>VLOOKUP($A45,'[2]נתונים מהעמותות'!$A$4:$AA$48,15,FALSE)</f>
        <v>90</v>
      </c>
      <c r="T45" s="99">
        <f>VLOOKUP($A45,'[2]נתונים מהעמותות'!$A$4:$AA$48,18,FALSE)</f>
        <v>93</v>
      </c>
      <c r="U45" s="99">
        <f t="shared" si="13"/>
        <v>653</v>
      </c>
      <c r="V45" s="100">
        <f t="shared" si="14"/>
        <v>6.8634251960227868E-3</v>
      </c>
      <c r="W45" s="62">
        <f>VLOOKUP(B45,'[2]ייחודיות ונחיצות'!$B$3:$D$50,2,FALSE)</f>
        <v>0</v>
      </c>
      <c r="X45" s="100">
        <f t="shared" si="15"/>
        <v>0</v>
      </c>
      <c r="Y45" s="94">
        <f>VLOOKUP('[2]קריטריונים וניקוד'!A45,'[2]נתונים מהעמותות'!$A$3:$AE$48,26,FALSE)</f>
        <v>3</v>
      </c>
      <c r="Z45" s="100">
        <f t="shared" si="16"/>
        <v>3.9735099337748346E-2</v>
      </c>
      <c r="AA45" s="94">
        <f>VLOOKUP('[2]קריטריונים וניקוד'!A45,'[2]נתונים מהעמותות'!$A$3:$AE$48,29,FALSE)</f>
        <v>0</v>
      </c>
      <c r="AB45" s="100">
        <f t="shared" si="17"/>
        <v>0</v>
      </c>
      <c r="AC45" s="101">
        <f t="shared" si="18"/>
        <v>1.4287091473266254E-2</v>
      </c>
      <c r="AD45" s="102">
        <f t="shared" si="8"/>
        <v>45097.574706212974</v>
      </c>
      <c r="AE45" s="103">
        <f t="shared" si="19"/>
        <v>3850000</v>
      </c>
      <c r="AF45" s="87">
        <f>VLOOKUP(A45,[3]Sheet1!$A$3:$E$51,5,FALSE)</f>
        <v>170000</v>
      </c>
      <c r="AG45" s="103">
        <f t="shared" si="9"/>
        <v>170000</v>
      </c>
      <c r="AH45" s="87">
        <f>VLOOKUP(A45,[3]Sheet1!$A$3:$E$51,4,FALSE)</f>
        <v>210000</v>
      </c>
      <c r="AI45" s="104">
        <f t="shared" si="10"/>
        <v>178500</v>
      </c>
      <c r="AJ45" s="105">
        <f t="shared" si="11"/>
        <v>45097.574706212974</v>
      </c>
      <c r="AK45" s="106"/>
      <c r="AL45" s="107">
        <f t="shared" si="20"/>
        <v>0</v>
      </c>
      <c r="AM45" s="20"/>
    </row>
    <row r="46" spans="1:39" x14ac:dyDescent="0.2">
      <c r="A46" s="8">
        <v>1001553798</v>
      </c>
      <c r="B46" s="9" t="s">
        <v>28</v>
      </c>
      <c r="C46" s="94">
        <f>VLOOKUP($A46,'[2]נתונים מהעמותות'!$A$4:$AA$48,6,FALSE)</f>
        <v>1</v>
      </c>
      <c r="D46" s="94">
        <f>VLOOKUP($A46,'[2]נתונים מהעמותות'!$A$4:$AA$48,7,FALSE)</f>
        <v>0</v>
      </c>
      <c r="E46" s="94">
        <f>VLOOKUP($A46,'[2]נתונים מהעמותות'!$A$4:$AA$48,8,FALSE)</f>
        <v>1.5</v>
      </c>
      <c r="F46" s="95">
        <f t="shared" si="0"/>
        <v>2.5</v>
      </c>
      <c r="G46" s="96">
        <f t="shared" si="1"/>
        <v>4</v>
      </c>
      <c r="H46" s="96">
        <f t="shared" si="2"/>
        <v>0</v>
      </c>
      <c r="I46" s="96">
        <f t="shared" si="3"/>
        <v>1.5</v>
      </c>
      <c r="J46" s="94">
        <f>VLOOKUP($A46,'[2]נתונים מהעמותות'!$A$4:$AA$48,11,FALSE)</f>
        <v>1</v>
      </c>
      <c r="K46" s="97">
        <f t="shared" si="21"/>
        <v>5.5</v>
      </c>
      <c r="L46" s="98">
        <f t="shared" si="5"/>
        <v>2.880410438240198E-3</v>
      </c>
      <c r="M46" s="99">
        <f>VLOOKUP($A46,'[2]נתונים מהעמותות'!$A$4:$AA$48,12,FALSE)</f>
        <v>0</v>
      </c>
      <c r="N46" s="99">
        <f t="shared" si="6"/>
        <v>0</v>
      </c>
      <c r="O46" s="99">
        <f>VLOOKUP(A46,'[2]נתונים מהעמותות'!$A$4:$AE$48,29,FALSE)</f>
        <v>0</v>
      </c>
      <c r="P46" s="99">
        <f t="shared" si="12"/>
        <v>0</v>
      </c>
      <c r="Q46" s="100">
        <f t="shared" si="7"/>
        <v>0</v>
      </c>
      <c r="R46" s="99">
        <f>VLOOKUP($A46,'[2]נתונים מהעמותות'!$A$4:$AA$48,13,FALSE)</f>
        <v>0</v>
      </c>
      <c r="S46" s="99">
        <f>VLOOKUP($A46,'[2]נתונים מהעמותות'!$A$4:$AA$48,15,FALSE)</f>
        <v>0</v>
      </c>
      <c r="T46" s="99">
        <f>VLOOKUP($A46,'[2]נתונים מהעמותות'!$A$4:$AA$48,18,FALSE)</f>
        <v>287</v>
      </c>
      <c r="U46" s="99">
        <f t="shared" si="13"/>
        <v>287</v>
      </c>
      <c r="V46" s="100">
        <f t="shared" si="14"/>
        <v>3.016543692585819E-3</v>
      </c>
      <c r="W46" s="62">
        <f>VLOOKUP(B46,'[2]ייחודיות ונחיצות'!$B$3:$D$50,2,FALSE)</f>
        <v>2</v>
      </c>
      <c r="X46" s="100">
        <f t="shared" si="15"/>
        <v>2.8169014084507043E-2</v>
      </c>
      <c r="Y46" s="94">
        <f>VLOOKUP('[2]קריטריונים וניקוד'!A46,'[2]נתונים מהעמותות'!$A$3:$AE$48,26,FALSE)</f>
        <v>2</v>
      </c>
      <c r="Z46" s="100">
        <f t="shared" si="16"/>
        <v>2.6490066225165563E-2</v>
      </c>
      <c r="AA46" s="94">
        <f>VLOOKUP('[2]קריטריונים וניקוד'!A46,'[2]נתונים מהעמותות'!$A$3:$AE$48,29,FALSE)</f>
        <v>0</v>
      </c>
      <c r="AB46" s="100">
        <f t="shared" si="17"/>
        <v>0</v>
      </c>
      <c r="AC46" s="101">
        <f t="shared" si="18"/>
        <v>6.0613181435860784E-3</v>
      </c>
      <c r="AD46" s="102">
        <f t="shared" si="8"/>
        <v>19132.707892994615</v>
      </c>
      <c r="AE46" s="103">
        <f t="shared" si="19"/>
        <v>250000</v>
      </c>
      <c r="AF46" s="87">
        <f>VLOOKUP(A46,[3]Sheet1!$A$3:$E$51,5,FALSE)</f>
        <v>150000</v>
      </c>
      <c r="AG46" s="103">
        <f t="shared" si="9"/>
        <v>150000</v>
      </c>
      <c r="AH46" s="87">
        <f>VLOOKUP(A46,[3]Sheet1!$A$3:$E$51,4,FALSE)</f>
        <v>400000</v>
      </c>
      <c r="AI46" s="104">
        <f t="shared" si="10"/>
        <v>340000</v>
      </c>
      <c r="AJ46" s="105">
        <f t="shared" si="11"/>
        <v>19132.707892994615</v>
      </c>
      <c r="AK46" s="113"/>
      <c r="AL46" s="107">
        <f t="shared" si="20"/>
        <v>0</v>
      </c>
      <c r="AM46" s="114"/>
    </row>
    <row r="47" spans="1:39" x14ac:dyDescent="0.2">
      <c r="A47" s="8">
        <v>1001553914</v>
      </c>
      <c r="B47" s="9" t="s">
        <v>36</v>
      </c>
      <c r="C47" s="94">
        <f>VLOOKUP($A47,'[2]נתונים מהעמותות'!$A$4:$AA$48,6,FALSE)</f>
        <v>0</v>
      </c>
      <c r="D47" s="94">
        <f>VLOOKUP($A47,'[2]נתונים מהעמותות'!$A$4:$AA$48,7,FALSE)</f>
        <v>5.3</v>
      </c>
      <c r="E47" s="94">
        <f>VLOOKUP($A47,'[2]נתונים מהעמותות'!$A$4:$AA$48,8,FALSE)</f>
        <v>6.2</v>
      </c>
      <c r="F47" s="95">
        <f t="shared" si="0"/>
        <v>11.5</v>
      </c>
      <c r="G47" s="96">
        <f t="shared" si="1"/>
        <v>0</v>
      </c>
      <c r="H47" s="96">
        <f t="shared" si="2"/>
        <v>10.6</v>
      </c>
      <c r="I47" s="96">
        <f t="shared" si="3"/>
        <v>6.2</v>
      </c>
      <c r="J47" s="94">
        <f>VLOOKUP($A47,'[2]נתונים מהעמותות'!$A$4:$AA$48,11,FALSE)</f>
        <v>0.83139534883720934</v>
      </c>
      <c r="K47" s="97">
        <f t="shared" si="21"/>
        <v>13.967441860465117</v>
      </c>
      <c r="L47" s="98">
        <f t="shared" si="5"/>
        <v>7.3149027873448749E-3</v>
      </c>
      <c r="M47" s="99">
        <f>VLOOKUP($A47,'[2]נתונים מהעמותות'!$A$4:$AA$48,12,FALSE)</f>
        <v>0</v>
      </c>
      <c r="N47" s="99">
        <f t="shared" si="6"/>
        <v>0</v>
      </c>
      <c r="O47" s="99">
        <f>VLOOKUP(A47,'[2]נתונים מהעמותות'!$A$4:$AE$48,29,FALSE)</f>
        <v>3</v>
      </c>
      <c r="P47" s="99">
        <f t="shared" si="12"/>
        <v>3</v>
      </c>
      <c r="Q47" s="100">
        <f t="shared" si="7"/>
        <v>3.7974683544303799E-2</v>
      </c>
      <c r="R47" s="99">
        <f>VLOOKUP($A47,'[2]נתונים מהעמותות'!$A$4:$AA$48,13,FALSE)</f>
        <v>613</v>
      </c>
      <c r="S47" s="99">
        <f>VLOOKUP($A47,'[2]נתונים מהעמותות'!$A$4:$AA$48,15,FALSE)</f>
        <v>45</v>
      </c>
      <c r="T47" s="99">
        <f>VLOOKUP($A47,'[2]נתונים מהעמותות'!$A$4:$AA$48,18,FALSE)</f>
        <v>149</v>
      </c>
      <c r="U47" s="99">
        <f t="shared" si="13"/>
        <v>807</v>
      </c>
      <c r="V47" s="100">
        <f t="shared" si="14"/>
        <v>8.4820583969224955E-3</v>
      </c>
      <c r="W47" s="62">
        <f>VLOOKUP(B47,'[2]ייחודיות ונחיצות'!$B$3:$D$50,2,FALSE)</f>
        <v>1</v>
      </c>
      <c r="X47" s="100">
        <f t="shared" si="15"/>
        <v>1.4084507042253521E-2</v>
      </c>
      <c r="Y47" s="94">
        <f>VLOOKUP('[2]קריטריונים וניקוד'!A47,'[2]נתונים מהעמותות'!$A$3:$AE$48,26,FALSE)</f>
        <v>2</v>
      </c>
      <c r="Z47" s="100">
        <f t="shared" si="16"/>
        <v>2.6490066225165563E-2</v>
      </c>
      <c r="AA47" s="94">
        <f>VLOOKUP('[2]קריטריונים וניקוד'!A47,'[2]נתונים מהעמותות'!$A$3:$AE$48,29,FALSE)</f>
        <v>3</v>
      </c>
      <c r="AB47" s="100">
        <f t="shared" si="17"/>
        <v>6.25E-2</v>
      </c>
      <c r="AC47" s="101">
        <f t="shared" si="18"/>
        <v>1.7943613645040345E-2</v>
      </c>
      <c r="AD47" s="102">
        <f t="shared" si="8"/>
        <v>56639.481756718291</v>
      </c>
      <c r="AE47" s="103">
        <f t="shared" si="19"/>
        <v>1150000</v>
      </c>
      <c r="AF47" s="87">
        <f>VLOOKUP(A47,[3]Sheet1!$A$3:$E$51,5,FALSE)</f>
        <v>300000</v>
      </c>
      <c r="AG47" s="103">
        <f t="shared" si="9"/>
        <v>300000</v>
      </c>
      <c r="AH47" s="87">
        <f>VLOOKUP(A47,[3]Sheet1!$A$3:$E$51,4,FALSE)</f>
        <v>355000</v>
      </c>
      <c r="AI47" s="104">
        <f t="shared" si="10"/>
        <v>301750</v>
      </c>
      <c r="AJ47" s="105">
        <f t="shared" si="11"/>
        <v>56639.481756718291</v>
      </c>
      <c r="AK47" s="115">
        <f>SUM(AK7:AK46)</f>
        <v>0</v>
      </c>
      <c r="AL47" s="107">
        <f t="shared" si="20"/>
        <v>0</v>
      </c>
      <c r="AM47" s="20"/>
    </row>
    <row r="48" spans="1:39" x14ac:dyDescent="0.2">
      <c r="A48" s="8">
        <v>1001553922</v>
      </c>
      <c r="B48" s="9" t="s">
        <v>51</v>
      </c>
      <c r="C48" s="94">
        <f>VLOOKUP($A48,'[2]נתונים מהעמותות'!$A$4:$AA$48,6,FALSE)</f>
        <v>1.5</v>
      </c>
      <c r="D48" s="94">
        <f>VLOOKUP($A48,'[2]נתונים מהעמותות'!$A$4:$AA$48,7,FALSE)</f>
        <v>8</v>
      </c>
      <c r="E48" s="94">
        <f>VLOOKUP($A48,'[2]נתונים מהעמותות'!$A$4:$AA$48,8,FALSE)</f>
        <v>17.5</v>
      </c>
      <c r="F48" s="95">
        <f t="shared" si="0"/>
        <v>27</v>
      </c>
      <c r="G48" s="96">
        <f t="shared" si="1"/>
        <v>6</v>
      </c>
      <c r="H48" s="96">
        <f t="shared" si="2"/>
        <v>16</v>
      </c>
      <c r="I48" s="96">
        <f t="shared" si="3"/>
        <v>17.5</v>
      </c>
      <c r="J48" s="94">
        <f>VLOOKUP($A48,'[2]נתונים מהעמותות'!$A$4:$AA$48,11,FALSE)</f>
        <v>1</v>
      </c>
      <c r="K48" s="97">
        <f t="shared" si="21"/>
        <v>39.5</v>
      </c>
      <c r="L48" s="98">
        <f t="shared" si="5"/>
        <v>2.068658405645233E-2</v>
      </c>
      <c r="M48" s="99">
        <f>VLOOKUP($A48,'[2]נתונים מהעמותות'!$A$4:$AA$48,12,FALSE)</f>
        <v>0</v>
      </c>
      <c r="N48" s="99">
        <f t="shared" si="6"/>
        <v>0</v>
      </c>
      <c r="O48" s="99">
        <f>VLOOKUP(A48,'[2]נתונים מהעמותות'!$A$4:$AE$48,29,FALSE)</f>
        <v>0</v>
      </c>
      <c r="P48" s="99">
        <f t="shared" si="12"/>
        <v>0</v>
      </c>
      <c r="Q48" s="100">
        <f t="shared" si="7"/>
        <v>0</v>
      </c>
      <c r="R48" s="99">
        <f>VLOOKUP($A48,'[2]נתונים מהעמותות'!$A$4:$AA$48,13,FALSE)</f>
        <v>110</v>
      </c>
      <c r="S48" s="99">
        <f>VLOOKUP($A48,'[2]נתונים מהעמותות'!$A$4:$AA$48,15,FALSE)</f>
        <v>120</v>
      </c>
      <c r="T48" s="99">
        <f>VLOOKUP($A48,'[2]נתונים מהעמותות'!$A$4:$AA$48,18,FALSE)</f>
        <v>334</v>
      </c>
      <c r="U48" s="99">
        <f t="shared" si="13"/>
        <v>564</v>
      </c>
      <c r="V48" s="100">
        <f t="shared" si="14"/>
        <v>5.9279813331651636E-3</v>
      </c>
      <c r="W48" s="62">
        <f>VLOOKUP(B48,'[2]ייחודיות ונחיצות'!$B$3:$D$50,2,FALSE)</f>
        <v>1</v>
      </c>
      <c r="X48" s="100">
        <f t="shared" si="15"/>
        <v>1.4084507042253521E-2</v>
      </c>
      <c r="Y48" s="94">
        <f>VLOOKUP('[2]קריטריונים וניקוד'!A48,'[2]נתונים מהעמותות'!$A$3:$AE$48,26,FALSE)</f>
        <v>2</v>
      </c>
      <c r="Z48" s="100">
        <f t="shared" si="16"/>
        <v>2.6490066225165563E-2</v>
      </c>
      <c r="AA48" s="94">
        <f>VLOOKUP('[2]קריטריונים וניקוד'!A48,'[2]נתונים מהעמותות'!$A$3:$AE$48,29,FALSE)</f>
        <v>0</v>
      </c>
      <c r="AB48" s="100">
        <f>AA48/$AA$53</f>
        <v>0</v>
      </c>
      <c r="AC48" s="101">
        <f>(L48*$C$4)+(Q48*$M$4)+(V48*$R$4)+(X48*$W$4)+(Z48*$Y$4)+(AB48*$AA$4)</f>
        <v>1.1013722699027135E-2</v>
      </c>
      <c r="AD48" s="102">
        <f t="shared" si="8"/>
        <v>34765.101290370483</v>
      </c>
      <c r="AE48" s="103">
        <f t="shared" si="19"/>
        <v>2700000</v>
      </c>
      <c r="AF48" s="87">
        <f>VLOOKUP(A48,[3]Sheet1!$A$3:$E$51,5,FALSE)</f>
        <v>140000</v>
      </c>
      <c r="AG48" s="103">
        <f t="shared" si="9"/>
        <v>140000</v>
      </c>
      <c r="AH48" s="87">
        <f>VLOOKUP(A48,[3]Sheet1!$A$3:$E$51,4,FALSE)</f>
        <v>170000</v>
      </c>
      <c r="AI48" s="104">
        <f t="shared" si="10"/>
        <v>144500</v>
      </c>
      <c r="AJ48" s="105">
        <f t="shared" si="11"/>
        <v>34765.101290370483</v>
      </c>
      <c r="AK48" s="32"/>
      <c r="AL48" s="107">
        <f t="shared" si="20"/>
        <v>0</v>
      </c>
      <c r="AM48" s="20"/>
    </row>
    <row r="49" spans="1:39" x14ac:dyDescent="0.2">
      <c r="A49" s="8">
        <v>1001553966</v>
      </c>
      <c r="B49" s="9" t="s">
        <v>108</v>
      </c>
      <c r="C49" s="94">
        <f>VLOOKUP($A49,'[2]נתונים מהעמותות'!$A$4:$AA$48,6,FALSE)</f>
        <v>0.5</v>
      </c>
      <c r="D49" s="94">
        <f>VLOOKUP($A49,'[2]נתונים מהעמותות'!$A$4:$AA$48,7,FALSE)</f>
        <v>0.5</v>
      </c>
      <c r="E49" s="94">
        <f>VLOOKUP($A49,'[2]נתונים מהעמותות'!$A$4:$AA$48,8,FALSE)</f>
        <v>2.5</v>
      </c>
      <c r="F49" s="95">
        <f t="shared" si="0"/>
        <v>3.5</v>
      </c>
      <c r="G49" s="96">
        <f t="shared" si="1"/>
        <v>2</v>
      </c>
      <c r="H49" s="96">
        <f t="shared" si="2"/>
        <v>1</v>
      </c>
      <c r="I49" s="96">
        <f t="shared" si="3"/>
        <v>2.5</v>
      </c>
      <c r="J49" s="94">
        <f>VLOOKUP($A49,'[2]נתונים מהעמותות'!$A$4:$AA$48,11,FALSE)</f>
        <v>0.89217758985200846</v>
      </c>
      <c r="K49" s="97">
        <f t="shared" si="21"/>
        <v>4.9069767441860463</v>
      </c>
      <c r="L49" s="98">
        <f t="shared" si="5"/>
        <v>2.5698376425737071E-3</v>
      </c>
      <c r="M49" s="99">
        <f>VLOOKUP($A49,'[2]נתונים מהעמותות'!$A$4:$AA$48,12,FALSE)</f>
        <v>5</v>
      </c>
      <c r="N49" s="99">
        <f t="shared" si="6"/>
        <v>0</v>
      </c>
      <c r="O49" s="99">
        <f>VLOOKUP(A49,'[2]נתונים מהעמותות'!$A$4:$AE$48,29,FALSE)</f>
        <v>3</v>
      </c>
      <c r="P49" s="99">
        <f t="shared" si="12"/>
        <v>3</v>
      </c>
      <c r="Q49" s="100">
        <f t="shared" si="7"/>
        <v>3.7974683544303799E-2</v>
      </c>
      <c r="R49" s="99">
        <f>VLOOKUP($A49,'[2]נתונים מהעמותות'!$A$4:$AA$48,13,FALSE)</f>
        <v>0</v>
      </c>
      <c r="S49" s="99">
        <f>VLOOKUP($A49,'[2]נתונים מהעמותות'!$A$4:$AA$48,15,FALSE)</f>
        <v>420</v>
      </c>
      <c r="T49" s="99">
        <f>VLOOKUP($A49,'[2]נתונים מהעמותות'!$A$4:$AA$48,18,FALSE)</f>
        <v>384</v>
      </c>
      <c r="U49" s="99">
        <f t="shared" si="13"/>
        <v>804</v>
      </c>
      <c r="V49" s="100">
        <f t="shared" si="14"/>
        <v>8.4505265813205523E-3</v>
      </c>
      <c r="W49" s="62">
        <f>VLOOKUP(B49,'[2]ייחודיות ונחיצות'!$B$3:$D$50,2,FALSE)</f>
        <v>2</v>
      </c>
      <c r="X49" s="100">
        <f t="shared" si="15"/>
        <v>2.8169014084507043E-2</v>
      </c>
      <c r="Y49" s="94">
        <f>VLOOKUP('[2]קריטריונים וניקוד'!A49,'[2]נתונים מהעמותות'!$A$3:$AE$48,26,FALSE)</f>
        <v>2</v>
      </c>
      <c r="Z49" s="100">
        <f t="shared" si="16"/>
        <v>2.6490066225165563E-2</v>
      </c>
      <c r="AA49" s="94">
        <f>VLOOKUP('[2]קריטריונים וניקוד'!A49,'[2]נתונים מהעמותות'!$A$3:$AE$48,29,FALSE)</f>
        <v>3</v>
      </c>
      <c r="AB49" s="100">
        <f t="shared" si="17"/>
        <v>6.25E-2</v>
      </c>
      <c r="AC49" s="101">
        <f t="shared" si="18"/>
        <v>1.7917508670373665E-2</v>
      </c>
      <c r="AD49" s="102">
        <f t="shared" si="8"/>
        <v>56557.080727268927</v>
      </c>
      <c r="AE49" s="103">
        <f t="shared" si="19"/>
        <v>350000</v>
      </c>
      <c r="AF49" s="87">
        <f>VLOOKUP(A49,[3]Sheet1!$A$3:$E$51,5,FALSE)</f>
        <v>190000</v>
      </c>
      <c r="AG49" s="103">
        <f t="shared" si="9"/>
        <v>190000</v>
      </c>
      <c r="AH49" s="87">
        <f>VLOOKUP(A49,[3]Sheet1!$A$3:$E$51,4,FALSE)</f>
        <v>260000</v>
      </c>
      <c r="AI49" s="104">
        <f t="shared" si="10"/>
        <v>221000</v>
      </c>
      <c r="AJ49" s="105">
        <f t="shared" si="11"/>
        <v>56557.080727268927</v>
      </c>
      <c r="AK49" s="32"/>
      <c r="AL49" s="107">
        <f t="shared" si="20"/>
        <v>0</v>
      </c>
      <c r="AM49" s="20"/>
    </row>
    <row r="50" spans="1:39" x14ac:dyDescent="0.2">
      <c r="A50" s="8">
        <v>1001553996</v>
      </c>
      <c r="B50" s="9" t="s">
        <v>109</v>
      </c>
      <c r="C50" s="94">
        <f>VLOOKUP($A50,'[2]נתונים מהעמותות'!$A$4:$AA$48,6,FALSE)</f>
        <v>1.0900000000000001</v>
      </c>
      <c r="D50" s="94">
        <f>VLOOKUP($A50,'[2]נתונים מהעמותות'!$A$4:$AA$48,7,FALSE)</f>
        <v>6.7571428571428562</v>
      </c>
      <c r="E50" s="94">
        <f>VLOOKUP($A50,'[2]נתונים מהעמותות'!$A$4:$AA$48,8,FALSE)</f>
        <v>12.9</v>
      </c>
      <c r="F50" s="95">
        <f t="shared" si="0"/>
        <v>20.747142857142855</v>
      </c>
      <c r="G50" s="96">
        <f t="shared" si="1"/>
        <v>4.3600000000000003</v>
      </c>
      <c r="H50" s="96">
        <f t="shared" si="2"/>
        <v>13.514285714285712</v>
      </c>
      <c r="I50" s="96">
        <f t="shared" si="3"/>
        <v>12.9</v>
      </c>
      <c r="J50" s="94">
        <f>VLOOKUP($A50,'[2]נתונים מהעמותות'!$A$4:$AA$48,11,FALSE)</f>
        <v>1</v>
      </c>
      <c r="K50" s="97">
        <f t="shared" si="21"/>
        <v>30.77428571428571</v>
      </c>
      <c r="L50" s="98">
        <f t="shared" si="5"/>
        <v>1.6116831600148138E-2</v>
      </c>
      <c r="M50" s="99">
        <f>VLOOKUP($A50,'[2]נתונים מהעמותות'!$A$4:$AA$48,12,FALSE)</f>
        <v>52</v>
      </c>
      <c r="N50" s="99">
        <f t="shared" si="6"/>
        <v>1</v>
      </c>
      <c r="O50" s="99">
        <f>VLOOKUP(A50,'[2]נתונים מהעמותות'!$A$4:$AE$48,29,FALSE)</f>
        <v>0</v>
      </c>
      <c r="P50" s="99">
        <f t="shared" si="12"/>
        <v>1</v>
      </c>
      <c r="Q50" s="100">
        <f t="shared" si="7"/>
        <v>1.2658227848101266E-2</v>
      </c>
      <c r="R50" s="99">
        <f>VLOOKUP($A50,'[2]נתונים מהעמותות'!$A$4:$AA$48,13,FALSE)</f>
        <v>72</v>
      </c>
      <c r="S50" s="99">
        <f>VLOOKUP($A50,'[2]נתונים מהעמותות'!$A$4:$AA$48,15,FALSE)</f>
        <v>66</v>
      </c>
      <c r="T50" s="99">
        <f>VLOOKUP($A50,'[2]נתונים מהעמותות'!$A$4:$AA$48,18,FALSE)</f>
        <v>371</v>
      </c>
      <c r="U50" s="99">
        <f t="shared" si="13"/>
        <v>509</v>
      </c>
      <c r="V50" s="100">
        <f t="shared" si="14"/>
        <v>5.3498980471295534E-3</v>
      </c>
      <c r="W50" s="62">
        <f>VLOOKUP(B50,'[2]ייחודיות ונחיצות'!$B$3:$D$50,2,FALSE)</f>
        <v>1</v>
      </c>
      <c r="X50" s="100">
        <f t="shared" si="15"/>
        <v>1.4084507042253521E-2</v>
      </c>
      <c r="Y50" s="94">
        <f>VLOOKUP('[2]קריטריונים וניקוד'!A50,'[2]נתונים מהעמותות'!$A$3:$AE$48,26,FALSE)</f>
        <v>1</v>
      </c>
      <c r="Z50" s="100">
        <f t="shared" si="16"/>
        <v>1.3245033112582781E-2</v>
      </c>
      <c r="AA50" s="94">
        <f>VLOOKUP('[2]קריטריונים וניקוד'!A50,'[2]נתונים מהעמותות'!$A$3:$AE$48,29,FALSE)</f>
        <v>0</v>
      </c>
      <c r="AB50" s="100">
        <f t="shared" si="17"/>
        <v>0</v>
      </c>
      <c r="AC50" s="101">
        <f t="shared" si="18"/>
        <v>1.0044038941204401E-2</v>
      </c>
      <c r="AD50" s="102">
        <f t="shared" si="8"/>
        <v>31704.26936445753</v>
      </c>
      <c r="AE50" s="103">
        <f t="shared" si="19"/>
        <v>2074714.2857142854</v>
      </c>
      <c r="AF50" s="87">
        <f>VLOOKUP(A50,[3]Sheet1!$A$3:$E$51,5,FALSE)</f>
        <v>270000</v>
      </c>
      <c r="AG50" s="103">
        <f t="shared" si="9"/>
        <v>270000</v>
      </c>
      <c r="AH50" s="87">
        <f>VLOOKUP(A50,[3]Sheet1!$A$3:$E$51,4,FALSE)</f>
        <v>620000</v>
      </c>
      <c r="AI50" s="104">
        <f t="shared" si="10"/>
        <v>527000</v>
      </c>
      <c r="AJ50" s="105">
        <f t="shared" si="11"/>
        <v>31704.26936445753</v>
      </c>
      <c r="AK50" s="32"/>
      <c r="AL50" s="107">
        <f t="shared" si="20"/>
        <v>0</v>
      </c>
      <c r="AM50" s="20"/>
    </row>
    <row r="51" spans="1:39" x14ac:dyDescent="0.2">
      <c r="A51" s="8">
        <v>1001554250</v>
      </c>
      <c r="B51" s="9" t="s">
        <v>47</v>
      </c>
      <c r="C51" s="94">
        <f>VLOOKUP($A51,'[2]נתונים מהעמותות'!$A$4:$AA$48,6,FALSE)</f>
        <v>2</v>
      </c>
      <c r="D51" s="94">
        <f>VLOOKUP($A51,'[2]נתונים מהעמותות'!$A$4:$AA$49,7,FALSE)</f>
        <v>2</v>
      </c>
      <c r="E51" s="94">
        <f>VLOOKUP($A51,'[2]נתונים מהעמותות'!$A$4:$AA$48,8,FALSE)</f>
        <v>15</v>
      </c>
      <c r="F51" s="95">
        <f t="shared" si="0"/>
        <v>19</v>
      </c>
      <c r="G51" s="96">
        <f t="shared" si="1"/>
        <v>8</v>
      </c>
      <c r="H51" s="96">
        <f t="shared" si="2"/>
        <v>4</v>
      </c>
      <c r="I51" s="96">
        <f t="shared" si="3"/>
        <v>15</v>
      </c>
      <c r="J51" s="94">
        <f>VLOOKUP($A51,'[2]נתונים מהעמותות'!$A$4:$AA$48,11,FALSE)</f>
        <v>1</v>
      </c>
      <c r="K51" s="97">
        <f t="shared" si="21"/>
        <v>27</v>
      </c>
      <c r="L51" s="98">
        <f t="shared" si="5"/>
        <v>1.4140196696815517E-2</v>
      </c>
      <c r="M51" s="117">
        <f>VLOOKUP($A51,'[2]נתונים מהעמותות'!$A$4:$AA$48,12,FALSE)</f>
        <v>50</v>
      </c>
      <c r="N51" s="117">
        <f t="shared" si="6"/>
        <v>1</v>
      </c>
      <c r="O51" s="117">
        <f>VLOOKUP(A51,'[2]נתונים מהעמותות'!$A$4:$AE$48,29,FALSE)</f>
        <v>0</v>
      </c>
      <c r="P51" s="117">
        <f t="shared" si="12"/>
        <v>1</v>
      </c>
      <c r="Q51" s="151">
        <f t="shared" si="7"/>
        <v>1.2658227848101266E-2</v>
      </c>
      <c r="R51" s="152">
        <f>SUM(R11:R50)</f>
        <v>12076</v>
      </c>
      <c r="S51" s="99">
        <f>VLOOKUP($A51,'[2]נתונים מהעמותות'!$A$4:$AA$48,15,FALSE)</f>
        <v>72</v>
      </c>
      <c r="T51" s="99">
        <f>VLOOKUP($A51,'[2]נתונים מהעמותות'!$A$4:$AA$48,18,FALSE)</f>
        <v>201</v>
      </c>
      <c r="U51" s="117">
        <f t="shared" si="13"/>
        <v>12349</v>
      </c>
      <c r="V51" s="151">
        <f t="shared" si="14"/>
        <v>0.1297954636227954</v>
      </c>
      <c r="W51" s="153">
        <f>VLOOKUP(B51,'[2]ייחודיות ונחיצות'!$B$3:$D$50,2,FALSE)</f>
        <v>1</v>
      </c>
      <c r="X51" s="151">
        <f t="shared" si="15"/>
        <v>1.4084507042253521E-2</v>
      </c>
      <c r="Y51" s="154">
        <f>VLOOKUP('[2]קריטריונים וניקוד'!A51,'[2]נתונים מהעמותות'!$A$3:$AE$48,26,FALSE)</f>
        <v>2</v>
      </c>
      <c r="Z51" s="151">
        <f t="shared" si="16"/>
        <v>2.6490066225165563E-2</v>
      </c>
      <c r="AA51" s="154">
        <f>VLOOKUP('[2]קריטריונים וניקוד'!A51,'[2]נתונים מהעמותות'!$A$3:$AE$48,29,FALSE)</f>
        <v>0</v>
      </c>
      <c r="AB51" s="151">
        <f t="shared" si="17"/>
        <v>0</v>
      </c>
      <c r="AC51" s="118">
        <f>(L51*$C$4)+(Q51*$M$4)+(V51*$R$4)+(X51*$W$4)+(Z51*$Y$4)+(AB51*$AA$4)</f>
        <v>5.3669248077316795E-2</v>
      </c>
      <c r="AD51" s="119">
        <f t="shared" si="8"/>
        <v>169408.37322431873</v>
      </c>
      <c r="AE51" s="120">
        <f t="shared" si="19"/>
        <v>1900000</v>
      </c>
      <c r="AF51" s="155">
        <f>VLOOKUP(A51,[3]Sheet1!$A$3:$E$51,5,FALSE)</f>
        <v>360000</v>
      </c>
      <c r="AG51" s="120">
        <f t="shared" si="9"/>
        <v>360000</v>
      </c>
      <c r="AH51" s="155">
        <f>VLOOKUP(A51,[3]Sheet1!$A$3:$E$51,4,FALSE)</f>
        <v>400000</v>
      </c>
      <c r="AI51" s="121">
        <f t="shared" si="10"/>
        <v>340000</v>
      </c>
      <c r="AJ51" s="122">
        <f t="shared" si="11"/>
        <v>169408.37322431873</v>
      </c>
      <c r="AK51" s="32"/>
      <c r="AL51" s="107">
        <f t="shared" si="20"/>
        <v>0</v>
      </c>
      <c r="AM51" s="20"/>
    </row>
    <row r="52" spans="1:39" x14ac:dyDescent="0.2">
      <c r="A52" s="156" t="s">
        <v>110</v>
      </c>
      <c r="B52" s="150" t="s">
        <v>55</v>
      </c>
      <c r="C52" s="94">
        <f>VLOOKUP($A52,'[2]נתונים מהעמותות'!$A$4:$AA$49,6,FALSE)</f>
        <v>0</v>
      </c>
      <c r="D52" s="94">
        <f>VLOOKUP($A52,'[2]נתונים מהעמותות'!$A$4:$AA$49,7,FALSE)</f>
        <v>0</v>
      </c>
      <c r="E52" s="94">
        <v>0</v>
      </c>
      <c r="F52" s="95">
        <f t="shared" si="0"/>
        <v>0</v>
      </c>
      <c r="G52" s="96">
        <f>C52*4</f>
        <v>0</v>
      </c>
      <c r="H52" s="96">
        <f>D52*2</f>
        <v>0</v>
      </c>
      <c r="I52" s="96">
        <f>E52</f>
        <v>0</v>
      </c>
      <c r="J52" s="94">
        <v>0</v>
      </c>
      <c r="K52" s="97">
        <f>SUM(G52:I52)*J52</f>
        <v>0</v>
      </c>
      <c r="L52" s="98">
        <f>K52/$K$53</f>
        <v>0</v>
      </c>
      <c r="M52" s="117">
        <f>VLOOKUP($A52,'[2]נתונים מהעמותות'!$A$4:$AA$49,12,FALSE)</f>
        <v>0</v>
      </c>
      <c r="N52" s="117">
        <f>IF(M52&lt;50,0,IF(M52&lt;=100,1,IF(M52&lt;=200,2,IF(M52&gt;200,3,FALSE))))</f>
        <v>0</v>
      </c>
      <c r="O52" s="117">
        <f>VLOOKUP(A52,'[2]נתונים מהעמותות'!$A$4:$AE$49,29,FALSE)</f>
        <v>0</v>
      </c>
      <c r="P52" s="117">
        <f>N52+O52</f>
        <v>0</v>
      </c>
      <c r="Q52" s="151">
        <f>P52/$P$53</f>
        <v>0</v>
      </c>
      <c r="R52" s="152">
        <f>SUM(R12:R51)</f>
        <v>24146</v>
      </c>
      <c r="S52" s="99">
        <v>0</v>
      </c>
      <c r="T52" s="99">
        <v>0</v>
      </c>
      <c r="U52" s="117">
        <v>0</v>
      </c>
      <c r="V52" s="151">
        <f>U52/$U$53</f>
        <v>0</v>
      </c>
      <c r="W52" s="153">
        <v>0</v>
      </c>
      <c r="X52" s="151">
        <f>W52/$W$53</f>
        <v>0</v>
      </c>
      <c r="Y52" s="154">
        <f>VLOOKUP('[2]קריטריונים וניקוד'!A52,'[2]נתונים מהעמותות'!$A$3:$AE$49,26,FALSE)</f>
        <v>0</v>
      </c>
      <c r="Z52" s="151">
        <f>Y52/$Y$53</f>
        <v>0</v>
      </c>
      <c r="AA52" s="154">
        <f>VLOOKUP('[2]קריטריונים וניקוד'!A52,'[2]נתונים מהעמותות'!$A$3:$AE$49,29,FALSE)</f>
        <v>0</v>
      </c>
      <c r="AB52" s="151">
        <f>AA52/$AA$53</f>
        <v>0</v>
      </c>
      <c r="AC52" s="118">
        <f>(L52*$C$4)+(Q52*$M$4)+(V52*$R$4)+(X52*$W$4)+(Z52*$Y$4)+(AB52*$AA$4)</f>
        <v>0</v>
      </c>
      <c r="AD52" s="119">
        <v>200000</v>
      </c>
      <c r="AE52" s="120">
        <f>F52*100000</f>
        <v>0</v>
      </c>
      <c r="AF52" s="87">
        <v>200000</v>
      </c>
      <c r="AG52" s="120">
        <f t="shared" si="9"/>
        <v>0</v>
      </c>
      <c r="AH52" s="155">
        <v>241700</v>
      </c>
      <c r="AI52" s="121">
        <f>0.85*AH52</f>
        <v>205445</v>
      </c>
      <c r="AJ52" s="157">
        <v>200000</v>
      </c>
      <c r="AK52" s="32"/>
      <c r="AL52" s="107">
        <f t="shared" si="20"/>
        <v>0</v>
      </c>
      <c r="AM52" s="20"/>
    </row>
    <row r="53" spans="1:39" x14ac:dyDescent="0.2">
      <c r="A53" s="20"/>
      <c r="B53" s="7" t="s">
        <v>56</v>
      </c>
      <c r="C53" s="95">
        <f t="shared" ref="C53:AK53" si="22">SUM(C7:C51)</f>
        <v>133.45000000000002</v>
      </c>
      <c r="D53" s="95">
        <f t="shared" si="22"/>
        <v>449.92714285714288</v>
      </c>
      <c r="E53" s="95">
        <f t="shared" si="22"/>
        <v>497.30999999999995</v>
      </c>
      <c r="F53" s="95">
        <f t="shared" si="22"/>
        <v>1080.6871428571428</v>
      </c>
      <c r="G53" s="95">
        <f t="shared" si="22"/>
        <v>533.80000000000007</v>
      </c>
      <c r="H53" s="95">
        <f t="shared" si="22"/>
        <v>894.85428571428577</v>
      </c>
      <c r="I53" s="95">
        <f t="shared" si="22"/>
        <v>618.31000000000006</v>
      </c>
      <c r="J53" s="95">
        <f t="shared" si="22"/>
        <v>40.783047638380246</v>
      </c>
      <c r="K53" s="95">
        <f t="shared" si="22"/>
        <v>1909.4501002295542</v>
      </c>
      <c r="L53" s="95">
        <f t="shared" si="22"/>
        <v>0.99999999999999967</v>
      </c>
      <c r="M53" s="95">
        <f t="shared" si="22"/>
        <v>4769</v>
      </c>
      <c r="N53" s="95">
        <f t="shared" si="22"/>
        <v>31</v>
      </c>
      <c r="O53" s="95">
        <f t="shared" si="22"/>
        <v>48</v>
      </c>
      <c r="P53" s="95">
        <f t="shared" si="22"/>
        <v>79</v>
      </c>
      <c r="Q53" s="95">
        <f t="shared" si="22"/>
        <v>0.99999999999999967</v>
      </c>
      <c r="R53" s="95">
        <f t="shared" si="22"/>
        <v>24193</v>
      </c>
      <c r="S53" s="95">
        <f t="shared" si="22"/>
        <v>47502</v>
      </c>
      <c r="T53" s="95">
        <f t="shared" si="22"/>
        <v>23447</v>
      </c>
      <c r="U53" s="95">
        <f t="shared" si="22"/>
        <v>95142</v>
      </c>
      <c r="V53" s="95">
        <f t="shared" si="22"/>
        <v>1</v>
      </c>
      <c r="W53" s="95">
        <f t="shared" si="22"/>
        <v>71</v>
      </c>
      <c r="X53" s="95">
        <f t="shared" si="22"/>
        <v>0.99999999999999956</v>
      </c>
      <c r="Y53" s="95">
        <f t="shared" si="22"/>
        <v>75.5</v>
      </c>
      <c r="Z53" s="95">
        <f t="shared" si="22"/>
        <v>1.0000000000000002</v>
      </c>
      <c r="AA53" s="95">
        <f t="shared" si="22"/>
        <v>48</v>
      </c>
      <c r="AB53" s="95">
        <f t="shared" si="22"/>
        <v>1</v>
      </c>
      <c r="AC53" s="95">
        <f t="shared" si="22"/>
        <v>0.99999999999999978</v>
      </c>
      <c r="AD53" s="115">
        <f t="shared" si="22"/>
        <v>3156525.930459585</v>
      </c>
      <c r="AE53" s="115">
        <f t="shared" si="22"/>
        <v>108068714.28571428</v>
      </c>
      <c r="AF53" s="115">
        <f t="shared" si="22"/>
        <v>19701331</v>
      </c>
      <c r="AG53" s="158">
        <f t="shared" si="22"/>
        <v>16052148</v>
      </c>
      <c r="AH53" s="158">
        <f t="shared" si="22"/>
        <v>30649643</v>
      </c>
      <c r="AI53" s="158">
        <f t="shared" si="22"/>
        <v>26052196.549999997</v>
      </c>
      <c r="AJ53" s="158">
        <f>SUM(AJ7:AJ52)</f>
        <v>3000000</v>
      </c>
      <c r="AK53" s="95">
        <f t="shared" si="22"/>
        <v>0</v>
      </c>
      <c r="AL53" s="107"/>
      <c r="AM53" s="20"/>
    </row>
    <row r="54" spans="1:39" x14ac:dyDescent="0.2">
      <c r="A54" s="20">
        <v>1</v>
      </c>
      <c r="B54" s="7">
        <v>2</v>
      </c>
      <c r="C54" s="20">
        <v>3</v>
      </c>
      <c r="D54" s="7">
        <v>4</v>
      </c>
      <c r="E54" s="20">
        <v>5</v>
      </c>
      <c r="F54" s="7">
        <v>6</v>
      </c>
      <c r="G54" s="20">
        <v>7</v>
      </c>
      <c r="H54" s="7">
        <v>8</v>
      </c>
      <c r="I54" s="20">
        <v>9</v>
      </c>
      <c r="J54" s="7">
        <v>10</v>
      </c>
      <c r="K54" s="20">
        <v>11</v>
      </c>
      <c r="L54" s="7">
        <v>12</v>
      </c>
      <c r="M54" s="20">
        <v>13</v>
      </c>
      <c r="N54" s="7">
        <v>14</v>
      </c>
      <c r="O54" s="20">
        <v>15</v>
      </c>
      <c r="P54" s="7">
        <v>16</v>
      </c>
      <c r="Q54" s="20">
        <v>17</v>
      </c>
      <c r="R54" s="7">
        <v>18</v>
      </c>
      <c r="S54" s="99" t="e">
        <f>VLOOKUP($A54,'[2]נתונים מהעמותות'!$A$4:$AA$48,15,FALSE)</f>
        <v>#N/A</v>
      </c>
      <c r="T54" s="99" t="e">
        <f>VLOOKUP($A54,'[2]נתונים מהעמותות'!$A$4:$AA$48,18,FALSE)</f>
        <v>#N/A</v>
      </c>
      <c r="U54" s="20">
        <v>21</v>
      </c>
      <c r="V54" s="7">
        <v>22</v>
      </c>
      <c r="W54" s="20">
        <v>23</v>
      </c>
      <c r="X54" s="7">
        <v>24</v>
      </c>
      <c r="Y54" s="20">
        <v>25</v>
      </c>
      <c r="Z54" s="7">
        <v>26</v>
      </c>
      <c r="AA54" s="20">
        <v>27</v>
      </c>
      <c r="AB54" s="7">
        <v>28</v>
      </c>
      <c r="AC54" s="20">
        <v>29</v>
      </c>
      <c r="AD54" s="7">
        <v>30</v>
      </c>
      <c r="AE54" s="20">
        <v>31</v>
      </c>
      <c r="AF54" s="7">
        <v>32</v>
      </c>
      <c r="AG54" s="20">
        <v>33</v>
      </c>
      <c r="AH54" s="7">
        <v>34</v>
      </c>
      <c r="AI54" s="20">
        <v>35</v>
      </c>
      <c r="AJ54" s="7">
        <v>36</v>
      </c>
      <c r="AK54" s="20">
        <v>37</v>
      </c>
      <c r="AL54" s="7">
        <v>38</v>
      </c>
      <c r="AM54" s="20">
        <v>39</v>
      </c>
    </row>
  </sheetData>
  <mergeCells count="11">
    <mergeCell ref="AA4:AB4"/>
    <mergeCell ref="C5:E5"/>
    <mergeCell ref="C3:E3"/>
    <mergeCell ref="W3:X3"/>
    <mergeCell ref="Y3:Z3"/>
    <mergeCell ref="AA3:AB3"/>
    <mergeCell ref="C4:L4"/>
    <mergeCell ref="M4:Q4"/>
    <mergeCell ref="R4:V4"/>
    <mergeCell ref="W4:X4"/>
    <mergeCell ref="Y4:Z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תקציב לשנת 2023</vt:lpstr>
      <vt:lpstr>קריטריונים ונקודות לשנת 2023 </vt:lpstr>
      <vt:lpstr>תקציב 2022</vt:lpstr>
      <vt:lpstr>קריטריונים ונקודות לשנת 2022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עדי לנג</dc:creator>
  <cp:lastModifiedBy>עדי לנג</cp:lastModifiedBy>
  <dcterms:created xsi:type="dcterms:W3CDTF">2024-03-17T12:38:31Z</dcterms:created>
  <dcterms:modified xsi:type="dcterms:W3CDTF">2024-03-17T12:42:40Z</dcterms:modified>
</cp:coreProperties>
</file>