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050" activeTab="3"/>
  </bookViews>
  <sheets>
    <sheet name="שצ&quot;פים (2)" sheetId="13" r:id="rId1"/>
    <sheet name="שטחים " sheetId="9" r:id="rId2"/>
    <sheet name="ריכוז שטחים" sheetId="10" r:id="rId3"/>
    <sheet name="חישוב היטל" sheetId="3" r:id="rId4"/>
    <sheet name="השוואה" sheetId="8" r:id="rId5"/>
  </sheets>
  <externalReferences>
    <externalReference r:id="rId6"/>
    <externalReference r:id="rId7"/>
  </externalReferences>
  <definedNames>
    <definedName name="_xlnm._FilterDatabase" localSheetId="2" hidden="1">'ריכוז שטחים'!#REF!</definedName>
    <definedName name="_xlnm.Print_Area" localSheetId="3">'חישוב היטל'!$A$2:$E$26</definedName>
    <definedName name="_xlnm.Print_Area" localSheetId="2">'ריכוז שטחים'!#REF!</definedName>
    <definedName name="_xlnm.Print_Area" localSheetId="1">'שטחים '!#REF!</definedName>
    <definedName name="_xlnm.Print_Area" localSheetId="0">'שצ"פים (2)'!$A$1:$K$109</definedName>
    <definedName name="הצמדה">'[1]עלות מדרכה'!$G$18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0" i="13" l="1"/>
  <c r="C129" i="13"/>
  <c r="D113" i="13" s="1"/>
  <c r="E113" i="13" s="1"/>
  <c r="F108" i="13"/>
  <c r="G108" i="13" s="1"/>
  <c r="H108" i="13" s="1"/>
  <c r="F107" i="13"/>
  <c r="G107" i="13" s="1"/>
  <c r="H107" i="13" s="1"/>
  <c r="F106" i="13"/>
  <c r="G106" i="13" s="1"/>
  <c r="H106" i="13" s="1"/>
  <c r="F105" i="13"/>
  <c r="G105" i="13" s="1"/>
  <c r="H105" i="13" s="1"/>
  <c r="F104" i="13"/>
  <c r="G104" i="13" s="1"/>
  <c r="H104" i="13" s="1"/>
  <c r="F103" i="13"/>
  <c r="G103" i="13" s="1"/>
  <c r="H103" i="13" s="1"/>
  <c r="F102" i="13"/>
  <c r="G102" i="13" s="1"/>
  <c r="H102" i="13" s="1"/>
  <c r="F101" i="13"/>
  <c r="G101" i="13" s="1"/>
  <c r="H101" i="13" s="1"/>
  <c r="F100" i="13"/>
  <c r="G100" i="13" s="1"/>
  <c r="H100" i="13" s="1"/>
  <c r="F99" i="13"/>
  <c r="G99" i="13" s="1"/>
  <c r="H99" i="13" s="1"/>
  <c r="F98" i="13"/>
  <c r="G98" i="13" s="1"/>
  <c r="H98" i="13" s="1"/>
  <c r="F97" i="13"/>
  <c r="G97" i="13" s="1"/>
  <c r="H97" i="13" s="1"/>
  <c r="F96" i="13"/>
  <c r="G96" i="13" s="1"/>
  <c r="H96" i="13" s="1"/>
  <c r="F95" i="13"/>
  <c r="G95" i="13" s="1"/>
  <c r="H95" i="13" s="1"/>
  <c r="F94" i="13"/>
  <c r="G94" i="13" s="1"/>
  <c r="H94" i="13" s="1"/>
  <c r="F93" i="13"/>
  <c r="G93" i="13" s="1"/>
  <c r="H93" i="13" s="1"/>
  <c r="F92" i="13"/>
  <c r="G92" i="13" s="1"/>
  <c r="H92" i="13" s="1"/>
  <c r="F91" i="13"/>
  <c r="G91" i="13" s="1"/>
  <c r="H91" i="13" s="1"/>
  <c r="F90" i="13"/>
  <c r="G90" i="13" s="1"/>
  <c r="H90" i="13" s="1"/>
  <c r="F89" i="13"/>
  <c r="G89" i="13" s="1"/>
  <c r="H89" i="13" s="1"/>
  <c r="F88" i="13"/>
  <c r="G88" i="13" s="1"/>
  <c r="H88" i="13" s="1"/>
  <c r="F87" i="13"/>
  <c r="G87" i="13" s="1"/>
  <c r="H87" i="13" s="1"/>
  <c r="F86" i="13"/>
  <c r="G86" i="13" s="1"/>
  <c r="H86" i="13" s="1"/>
  <c r="F85" i="13"/>
  <c r="G85" i="13" s="1"/>
  <c r="H85" i="13" s="1"/>
  <c r="F84" i="13"/>
  <c r="G84" i="13" s="1"/>
  <c r="H84" i="13" s="1"/>
  <c r="F83" i="13"/>
  <c r="G83" i="13" s="1"/>
  <c r="H83" i="13" s="1"/>
  <c r="F82" i="13"/>
  <c r="G82" i="13" s="1"/>
  <c r="H82" i="13" s="1"/>
  <c r="F81" i="13"/>
  <c r="G81" i="13" s="1"/>
  <c r="H81" i="13" s="1"/>
  <c r="F80" i="13"/>
  <c r="G80" i="13" s="1"/>
  <c r="H80" i="13" s="1"/>
  <c r="F79" i="13"/>
  <c r="G79" i="13" s="1"/>
  <c r="H79" i="13" s="1"/>
  <c r="F78" i="13"/>
  <c r="G78" i="13" s="1"/>
  <c r="H78" i="13" s="1"/>
  <c r="F77" i="13"/>
  <c r="G77" i="13" s="1"/>
  <c r="H77" i="13" s="1"/>
  <c r="F76" i="13"/>
  <c r="G76" i="13" s="1"/>
  <c r="H76" i="13" s="1"/>
  <c r="F75" i="13"/>
  <c r="G75" i="13" s="1"/>
  <c r="H75" i="13" s="1"/>
  <c r="F74" i="13"/>
  <c r="G74" i="13" s="1"/>
  <c r="H74" i="13" s="1"/>
  <c r="F73" i="13"/>
  <c r="G73" i="13" s="1"/>
  <c r="H73" i="13" s="1"/>
  <c r="F72" i="13"/>
  <c r="G72" i="13" s="1"/>
  <c r="H72" i="13" s="1"/>
  <c r="F71" i="13"/>
  <c r="G71" i="13" s="1"/>
  <c r="H71" i="13" s="1"/>
  <c r="F70" i="13"/>
  <c r="G70" i="13" s="1"/>
  <c r="H70" i="13" s="1"/>
  <c r="F69" i="13"/>
  <c r="G69" i="13" s="1"/>
  <c r="H69" i="13" s="1"/>
  <c r="F68" i="13"/>
  <c r="G68" i="13" s="1"/>
  <c r="H68" i="13" s="1"/>
  <c r="F67" i="13"/>
  <c r="G67" i="13" s="1"/>
  <c r="H67" i="13" s="1"/>
  <c r="F66" i="13"/>
  <c r="G66" i="13" s="1"/>
  <c r="H66" i="13" s="1"/>
  <c r="F65" i="13"/>
  <c r="G65" i="13" s="1"/>
  <c r="H65" i="13" s="1"/>
  <c r="F64" i="13"/>
  <c r="G64" i="13" s="1"/>
  <c r="H64" i="13" s="1"/>
  <c r="F63" i="13"/>
  <c r="G63" i="13" s="1"/>
  <c r="H63" i="13" s="1"/>
  <c r="F62" i="13"/>
  <c r="G62" i="13" s="1"/>
  <c r="H62" i="13" s="1"/>
  <c r="F61" i="13"/>
  <c r="G61" i="13" s="1"/>
  <c r="H61" i="13" s="1"/>
  <c r="F60" i="13"/>
  <c r="G60" i="13" s="1"/>
  <c r="H60" i="13" s="1"/>
  <c r="F59" i="13"/>
  <c r="G59" i="13" s="1"/>
  <c r="H59" i="13" s="1"/>
  <c r="F58" i="13"/>
  <c r="G58" i="13" s="1"/>
  <c r="H58" i="13" s="1"/>
  <c r="F57" i="13"/>
  <c r="G57" i="13" s="1"/>
  <c r="H57" i="13" s="1"/>
  <c r="F56" i="13"/>
  <c r="G56" i="13" s="1"/>
  <c r="H56" i="13" s="1"/>
  <c r="F55" i="13"/>
  <c r="G55" i="13" s="1"/>
  <c r="H55" i="13" s="1"/>
  <c r="F54" i="13"/>
  <c r="G54" i="13" s="1"/>
  <c r="H54" i="13" s="1"/>
  <c r="F53" i="13"/>
  <c r="G53" i="13" s="1"/>
  <c r="H53" i="13" s="1"/>
  <c r="F52" i="13"/>
  <c r="G52" i="13" s="1"/>
  <c r="H52" i="13" s="1"/>
  <c r="F51" i="13"/>
  <c r="G51" i="13" s="1"/>
  <c r="H51" i="13" s="1"/>
  <c r="F50" i="13"/>
  <c r="G50" i="13" s="1"/>
  <c r="H50" i="13" s="1"/>
  <c r="F49" i="13"/>
  <c r="G49" i="13" s="1"/>
  <c r="H49" i="13" s="1"/>
  <c r="F36" i="13"/>
  <c r="G36" i="13" s="1"/>
  <c r="H36" i="13" s="1"/>
  <c r="F35" i="13"/>
  <c r="G35" i="13" s="1"/>
  <c r="H35" i="13" s="1"/>
  <c r="F34" i="13"/>
  <c r="G34" i="13" s="1"/>
  <c r="H34" i="13" s="1"/>
  <c r="E33" i="13"/>
  <c r="E34" i="13" s="1"/>
  <c r="E35" i="13" s="1"/>
  <c r="E36" i="13" s="1"/>
  <c r="F32" i="13"/>
  <c r="G32" i="13" s="1"/>
  <c r="H32" i="13" s="1"/>
  <c r="F31" i="13"/>
  <c r="G31" i="13" s="1"/>
  <c r="H31" i="13" s="1"/>
  <c r="F30" i="13"/>
  <c r="G30" i="13" s="1"/>
  <c r="H30" i="13" s="1"/>
  <c r="F29" i="13"/>
  <c r="G29" i="13" s="1"/>
  <c r="H29" i="13" s="1"/>
  <c r="E29" i="13"/>
  <c r="E30" i="13" s="1"/>
  <c r="E31" i="13" s="1"/>
  <c r="E32" i="13" s="1"/>
  <c r="F28" i="13"/>
  <c r="G28" i="13" s="1"/>
  <c r="H28" i="13" s="1"/>
  <c r="I28" i="13" s="1"/>
  <c r="J28" i="13" s="1"/>
  <c r="F27" i="13"/>
  <c r="G27" i="13" s="1"/>
  <c r="H27" i="13" s="1"/>
  <c r="F26" i="13"/>
  <c r="G26" i="13" s="1"/>
  <c r="H26" i="13" s="1"/>
  <c r="F25" i="13"/>
  <c r="G25" i="13" s="1"/>
  <c r="H25" i="13" s="1"/>
  <c r="F24" i="13"/>
  <c r="G24" i="13" s="1"/>
  <c r="H24" i="13" s="1"/>
  <c r="F23" i="13"/>
  <c r="G23" i="13" s="1"/>
  <c r="H23" i="13" s="1"/>
  <c r="F22" i="13"/>
  <c r="G22" i="13" s="1"/>
  <c r="H22" i="13" s="1"/>
  <c r="F21" i="13"/>
  <c r="G21" i="13" s="1"/>
  <c r="H21" i="13" s="1"/>
  <c r="F20" i="13"/>
  <c r="G20" i="13" s="1"/>
  <c r="H20" i="13" s="1"/>
  <c r="F19" i="13"/>
  <c r="G19" i="13" s="1"/>
  <c r="H19" i="13" s="1"/>
  <c r="F18" i="13"/>
  <c r="G18" i="13" s="1"/>
  <c r="H18" i="13" s="1"/>
  <c r="F17" i="13"/>
  <c r="G17" i="13" s="1"/>
  <c r="H17" i="13" s="1"/>
  <c r="F16" i="13"/>
  <c r="G16" i="13" s="1"/>
  <c r="H16" i="13" s="1"/>
  <c r="F15" i="13"/>
  <c r="G15" i="13" s="1"/>
  <c r="H15" i="13" s="1"/>
  <c r="F14" i="13"/>
  <c r="G14" i="13" s="1"/>
  <c r="H14" i="13" s="1"/>
  <c r="F13" i="13"/>
  <c r="G13" i="13" s="1"/>
  <c r="H13" i="13" s="1"/>
  <c r="F12" i="13"/>
  <c r="G12" i="13" s="1"/>
  <c r="H12" i="13" s="1"/>
  <c r="F11" i="13"/>
  <c r="G11" i="13" s="1"/>
  <c r="H11" i="13" s="1"/>
  <c r="F10" i="13"/>
  <c r="G10" i="13" s="1"/>
  <c r="H10" i="13" s="1"/>
  <c r="F9" i="13"/>
  <c r="G9" i="13" s="1"/>
  <c r="H9" i="13" s="1"/>
  <c r="F8" i="13"/>
  <c r="G8" i="13" s="1"/>
  <c r="H8" i="13" s="1"/>
  <c r="E8" i="13"/>
  <c r="E9" i="13" s="1"/>
  <c r="E10" i="13" s="1"/>
  <c r="E11" i="13" s="1"/>
  <c r="E12" i="13" s="1"/>
  <c r="E13" i="13" s="1"/>
  <c r="E14" i="13" s="1"/>
  <c r="E15" i="13" s="1"/>
  <c r="E16" i="13" s="1"/>
  <c r="E17" i="13" s="1"/>
  <c r="E18" i="13" s="1"/>
  <c r="E19" i="13" s="1"/>
  <c r="E20" i="13" s="1"/>
  <c r="E21" i="13" s="1"/>
  <c r="E22" i="13" s="1"/>
  <c r="E23" i="13" s="1"/>
  <c r="E24" i="13" s="1"/>
  <c r="E25" i="13" s="1"/>
  <c r="E26" i="13" s="1"/>
  <c r="E27" i="13" s="1"/>
  <c r="F7" i="13"/>
  <c r="G7" i="13" s="1"/>
  <c r="H7" i="13" s="1"/>
  <c r="I7" i="13" s="1"/>
  <c r="J7" i="13" s="1"/>
  <c r="C8" i="8"/>
  <c r="C7" i="8"/>
  <c r="C4" i="8"/>
  <c r="C3" i="8"/>
  <c r="L5" i="8"/>
  <c r="L4" i="8"/>
  <c r="C4" i="3"/>
  <c r="B4" i="3"/>
  <c r="F10" i="10"/>
  <c r="E10" i="10"/>
  <c r="D10" i="10"/>
  <c r="H10" i="10" s="1"/>
  <c r="C10" i="10"/>
  <c r="G10" i="10" s="1"/>
  <c r="F9" i="10"/>
  <c r="E9" i="10"/>
  <c r="D9" i="10"/>
  <c r="H9" i="10" s="1"/>
  <c r="C9" i="10"/>
  <c r="G9" i="10" s="1"/>
  <c r="D8" i="10"/>
  <c r="H8" i="10" s="1"/>
  <c r="C8" i="10"/>
  <c r="C11" i="10" s="1"/>
  <c r="F7" i="10"/>
  <c r="F11" i="10" s="1"/>
  <c r="E7" i="10"/>
  <c r="E11" i="10" s="1"/>
  <c r="D7" i="10"/>
  <c r="C7" i="10"/>
  <c r="G7" i="10" s="1"/>
  <c r="G6" i="10"/>
  <c r="D6" i="10"/>
  <c r="D11" i="10" s="1"/>
  <c r="C6" i="10"/>
  <c r="D93" i="9"/>
  <c r="E91" i="9"/>
  <c r="E90" i="9"/>
  <c r="E93" i="9" s="1"/>
  <c r="C85" i="9"/>
  <c r="E84" i="9"/>
  <c r="E83" i="9"/>
  <c r="E82" i="9"/>
  <c r="E81" i="9"/>
  <c r="D80" i="9"/>
  <c r="E80" i="9" s="1"/>
  <c r="E79" i="9"/>
  <c r="D79" i="9"/>
  <c r="E78" i="9"/>
  <c r="D77" i="9"/>
  <c r="E77" i="9" s="1"/>
  <c r="D76" i="9"/>
  <c r="E76" i="9" s="1"/>
  <c r="D75" i="9"/>
  <c r="D85" i="9" s="1"/>
  <c r="G69" i="9"/>
  <c r="F68" i="9"/>
  <c r="F67" i="9"/>
  <c r="F66" i="9"/>
  <c r="F65" i="9"/>
  <c r="F64" i="9"/>
  <c r="C64" i="9"/>
  <c r="F63" i="9"/>
  <c r="F62" i="9"/>
  <c r="C62" i="9"/>
  <c r="F61" i="9"/>
  <c r="F69" i="9" s="1"/>
  <c r="E56" i="9"/>
  <c r="D55" i="9"/>
  <c r="D54" i="9"/>
  <c r="D53" i="9"/>
  <c r="D52" i="9"/>
  <c r="D51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56" i="9" s="1"/>
  <c r="D27" i="9"/>
  <c r="D20" i="9"/>
  <c r="D22" i="9" s="1"/>
  <c r="D19" i="9"/>
  <c r="C19" i="9"/>
  <c r="C22" i="9" s="1"/>
  <c r="C11" i="9"/>
  <c r="D10" i="9"/>
  <c r="D9" i="9"/>
  <c r="D8" i="9"/>
  <c r="D7" i="9"/>
  <c r="D6" i="9"/>
  <c r="D11" i="9" s="1"/>
  <c r="C33" i="13" l="1"/>
  <c r="F33" i="13" s="1"/>
  <c r="G33" i="13" s="1"/>
  <c r="D128" i="13"/>
  <c r="E128" i="13" s="1"/>
  <c r="D126" i="13"/>
  <c r="E126" i="13" s="1"/>
  <c r="D124" i="13"/>
  <c r="E124" i="13" s="1"/>
  <c r="C44" i="13" s="1"/>
  <c r="F44" i="13" s="1"/>
  <c r="G44" i="13" s="1"/>
  <c r="H44" i="13" s="1"/>
  <c r="D122" i="13"/>
  <c r="E122" i="13" s="1"/>
  <c r="C42" i="13" s="1"/>
  <c r="F42" i="13" s="1"/>
  <c r="G42" i="13" s="1"/>
  <c r="H42" i="13" s="1"/>
  <c r="D120" i="13"/>
  <c r="E120" i="13" s="1"/>
  <c r="D118" i="13"/>
  <c r="E118" i="13" s="1"/>
  <c r="D116" i="13"/>
  <c r="E116" i="13" s="1"/>
  <c r="D114" i="13"/>
  <c r="E114" i="13" s="1"/>
  <c r="E129" i="13" s="1"/>
  <c r="D129" i="13"/>
  <c r="D127" i="13"/>
  <c r="E127" i="13" s="1"/>
  <c r="D125" i="13"/>
  <c r="E125" i="13" s="1"/>
  <c r="C45" i="13" s="1"/>
  <c r="F45" i="13" s="1"/>
  <c r="D123" i="13"/>
  <c r="E123" i="13" s="1"/>
  <c r="C43" i="13" s="1"/>
  <c r="F43" i="13" s="1"/>
  <c r="G43" i="13" s="1"/>
  <c r="H43" i="13" s="1"/>
  <c r="D121" i="13"/>
  <c r="E121" i="13" s="1"/>
  <c r="C41" i="13" s="1"/>
  <c r="D119" i="13"/>
  <c r="E119" i="13" s="1"/>
  <c r="D117" i="13"/>
  <c r="E117" i="13" s="1"/>
  <c r="C37" i="13" s="1"/>
  <c r="F37" i="13" s="1"/>
  <c r="D115" i="13"/>
  <c r="E115" i="13" s="1"/>
  <c r="I8" i="13"/>
  <c r="J8" i="13" s="1"/>
  <c r="I29" i="13"/>
  <c r="J29" i="13" s="1"/>
  <c r="I9" i="13"/>
  <c r="J9" i="13" s="1"/>
  <c r="I30" i="13"/>
  <c r="J30" i="13" s="1"/>
  <c r="I35" i="13"/>
  <c r="J35" i="13" s="1"/>
  <c r="C38" i="13"/>
  <c r="C46" i="13"/>
  <c r="F46" i="13" s="1"/>
  <c r="G46" i="13" s="1"/>
  <c r="H46" i="13" s="1"/>
  <c r="C39" i="13"/>
  <c r="C47" i="13"/>
  <c r="F47" i="13" s="1"/>
  <c r="C40" i="13"/>
  <c r="F40" i="13" s="1"/>
  <c r="G40" i="13" s="1"/>
  <c r="H40" i="13" s="1"/>
  <c r="I40" i="13" s="1"/>
  <c r="J40" i="13" s="1"/>
  <c r="C48" i="13"/>
  <c r="I34" i="13"/>
  <c r="J34" i="13" s="1"/>
  <c r="I12" i="13"/>
  <c r="J12" i="13" s="1"/>
  <c r="I10" i="13"/>
  <c r="J10" i="13" s="1"/>
  <c r="I13" i="13"/>
  <c r="J13" i="13" s="1"/>
  <c r="I11" i="13"/>
  <c r="J11" i="13" s="1"/>
  <c r="I14" i="13"/>
  <c r="J14" i="13" s="1"/>
  <c r="I18" i="13"/>
  <c r="J18" i="13" s="1"/>
  <c r="I22" i="13"/>
  <c r="J22" i="13" s="1"/>
  <c r="I24" i="13"/>
  <c r="J24" i="13" s="1"/>
  <c r="I19" i="13"/>
  <c r="J19" i="13" s="1"/>
  <c r="I25" i="13"/>
  <c r="J25" i="13" s="1"/>
  <c r="E37" i="13"/>
  <c r="E38" i="13" s="1"/>
  <c r="E39" i="13" s="1"/>
  <c r="E41" i="13" s="1"/>
  <c r="E42" i="13" s="1"/>
  <c r="E43" i="13" s="1"/>
  <c r="E44" i="13" s="1"/>
  <c r="E45" i="13" s="1"/>
  <c r="E46" i="13" s="1"/>
  <c r="E47" i="13" s="1"/>
  <c r="E48" i="13" s="1"/>
  <c r="E49" i="13" s="1"/>
  <c r="E50" i="13" s="1"/>
  <c r="E51" i="13" s="1"/>
  <c r="E52" i="13" s="1"/>
  <c r="E53" i="13" s="1"/>
  <c r="E54" i="13" s="1"/>
  <c r="E55" i="13" s="1"/>
  <c r="E56" i="13" s="1"/>
  <c r="E57" i="13" s="1"/>
  <c r="E58" i="13" s="1"/>
  <c r="E59" i="13" s="1"/>
  <c r="E60" i="13" s="1"/>
  <c r="E61" i="13" s="1"/>
  <c r="E62" i="13" s="1"/>
  <c r="E63" i="13" s="1"/>
  <c r="E64" i="13" s="1"/>
  <c r="E65" i="13" s="1"/>
  <c r="E66" i="13" s="1"/>
  <c r="E67" i="13" s="1"/>
  <c r="E68" i="13" s="1"/>
  <c r="E69" i="13" s="1"/>
  <c r="E70" i="13" s="1"/>
  <c r="E71" i="13" s="1"/>
  <c r="E72" i="13" s="1"/>
  <c r="E73" i="13" s="1"/>
  <c r="E74" i="13" s="1"/>
  <c r="E75" i="13" s="1"/>
  <c r="E76" i="13" s="1"/>
  <c r="E77" i="13" s="1"/>
  <c r="E78" i="13" s="1"/>
  <c r="E79" i="13" s="1"/>
  <c r="E80" i="13" s="1"/>
  <c r="E81" i="13" s="1"/>
  <c r="E82" i="13" s="1"/>
  <c r="E83" i="13" s="1"/>
  <c r="E84" i="13" s="1"/>
  <c r="E85" i="13" s="1"/>
  <c r="E86" i="13" s="1"/>
  <c r="E87" i="13" s="1"/>
  <c r="E88" i="13" s="1"/>
  <c r="E89" i="13" s="1"/>
  <c r="E90" i="13" s="1"/>
  <c r="E91" i="13" s="1"/>
  <c r="E92" i="13" s="1"/>
  <c r="E93" i="13" s="1"/>
  <c r="E94" i="13" s="1"/>
  <c r="E95" i="13" s="1"/>
  <c r="E96" i="13" s="1"/>
  <c r="E97" i="13" s="1"/>
  <c r="E98" i="13" s="1"/>
  <c r="E99" i="13" s="1"/>
  <c r="E100" i="13" s="1"/>
  <c r="E101" i="13" s="1"/>
  <c r="E102" i="13" s="1"/>
  <c r="E103" i="13" s="1"/>
  <c r="E104" i="13" s="1"/>
  <c r="E105" i="13" s="1"/>
  <c r="E106" i="13" s="1"/>
  <c r="E107" i="13" s="1"/>
  <c r="E108" i="13" s="1"/>
  <c r="I108" i="13" s="1"/>
  <c r="J108" i="13" s="1"/>
  <c r="I36" i="13"/>
  <c r="J36" i="13" s="1"/>
  <c r="I16" i="13"/>
  <c r="J16" i="13" s="1"/>
  <c r="I20" i="13"/>
  <c r="J20" i="13" s="1"/>
  <c r="I26" i="13"/>
  <c r="J26" i="13" s="1"/>
  <c r="I17" i="13"/>
  <c r="J17" i="13" s="1"/>
  <c r="I21" i="13"/>
  <c r="J21" i="13" s="1"/>
  <c r="I15" i="13"/>
  <c r="J15" i="13" s="1"/>
  <c r="I23" i="13"/>
  <c r="J23" i="13" s="1"/>
  <c r="F41" i="13"/>
  <c r="G41" i="13" s="1"/>
  <c r="H41" i="13" s="1"/>
  <c r="I27" i="13"/>
  <c r="J27" i="13" s="1"/>
  <c r="I31" i="13"/>
  <c r="J31" i="13" s="1"/>
  <c r="F39" i="13"/>
  <c r="G39" i="13" s="1"/>
  <c r="H39" i="13" s="1"/>
  <c r="I39" i="13" s="1"/>
  <c r="J39" i="13" s="1"/>
  <c r="G37" i="13"/>
  <c r="H37" i="13" s="1"/>
  <c r="I32" i="13"/>
  <c r="J32" i="13" s="1"/>
  <c r="G45" i="13"/>
  <c r="H45" i="13" s="1"/>
  <c r="F48" i="13"/>
  <c r="G48" i="13" s="1"/>
  <c r="H48" i="13"/>
  <c r="G8" i="10"/>
  <c r="G11" i="10" s="1"/>
  <c r="H7" i="10"/>
  <c r="H6" i="10"/>
  <c r="H11" i="10" s="1"/>
  <c r="E75" i="9"/>
  <c r="F79" i="9"/>
  <c r="G47" i="13" l="1"/>
  <c r="H47" i="13" s="1"/>
  <c r="H33" i="13"/>
  <c r="I33" i="13" s="1"/>
  <c r="J33" i="13" s="1"/>
  <c r="C109" i="13"/>
  <c r="I37" i="13"/>
  <c r="J37" i="13" s="1"/>
  <c r="F38" i="13"/>
  <c r="G38" i="13" s="1"/>
  <c r="H38" i="13" s="1"/>
  <c r="I38" i="13" s="1"/>
  <c r="J38" i="13" s="1"/>
  <c r="I47" i="13"/>
  <c r="J47" i="13" s="1"/>
  <c r="I42" i="13"/>
  <c r="J42" i="13" s="1"/>
  <c r="I96" i="13"/>
  <c r="J96" i="13" s="1"/>
  <c r="I43" i="13"/>
  <c r="J43" i="13" s="1"/>
  <c r="I62" i="13"/>
  <c r="J62" i="13" s="1"/>
  <c r="I88" i="13"/>
  <c r="J88" i="13" s="1"/>
  <c r="I45" i="13"/>
  <c r="J45" i="13" s="1"/>
  <c r="I95" i="13"/>
  <c r="J95" i="13" s="1"/>
  <c r="I50" i="13"/>
  <c r="J50" i="13" s="1"/>
  <c r="I58" i="13"/>
  <c r="J58" i="13" s="1"/>
  <c r="I104" i="13"/>
  <c r="J104" i="13" s="1"/>
  <c r="I79" i="13"/>
  <c r="J79" i="13" s="1"/>
  <c r="I70" i="13"/>
  <c r="J70" i="13" s="1"/>
  <c r="I103" i="13"/>
  <c r="J103" i="13" s="1"/>
  <c r="I48" i="13"/>
  <c r="J48" i="13" s="1"/>
  <c r="I80" i="13"/>
  <c r="J80" i="13" s="1"/>
  <c r="I46" i="13"/>
  <c r="J46" i="13" s="1"/>
  <c r="I87" i="13"/>
  <c r="J87" i="13" s="1"/>
  <c r="I44" i="13"/>
  <c r="J44" i="13" s="1"/>
  <c r="I55" i="13"/>
  <c r="J55" i="13" s="1"/>
  <c r="I41" i="13"/>
  <c r="J41" i="13" s="1"/>
  <c r="I94" i="13"/>
  <c r="J94" i="13" s="1"/>
  <c r="I93" i="13"/>
  <c r="J93" i="13" s="1"/>
  <c r="I56" i="13"/>
  <c r="J56" i="13" s="1"/>
  <c r="I77" i="13"/>
  <c r="J77" i="13" s="1"/>
  <c r="I61" i="13"/>
  <c r="J61" i="13" s="1"/>
  <c r="I100" i="13"/>
  <c r="J100" i="13" s="1"/>
  <c r="I92" i="13"/>
  <c r="J92" i="13" s="1"/>
  <c r="I84" i="13"/>
  <c r="J84" i="13" s="1"/>
  <c r="I107" i="13"/>
  <c r="J107" i="13" s="1"/>
  <c r="I99" i="13"/>
  <c r="J99" i="13" s="1"/>
  <c r="I91" i="13"/>
  <c r="J91" i="13" s="1"/>
  <c r="I83" i="13"/>
  <c r="J83" i="13" s="1"/>
  <c r="I74" i="13"/>
  <c r="J74" i="13" s="1"/>
  <c r="I66" i="13"/>
  <c r="J66" i="13" s="1"/>
  <c r="I54" i="13"/>
  <c r="J54" i="13" s="1"/>
  <c r="I75" i="13"/>
  <c r="J75" i="13" s="1"/>
  <c r="I67" i="13"/>
  <c r="J67" i="13" s="1"/>
  <c r="I59" i="13"/>
  <c r="J59" i="13" s="1"/>
  <c r="I51" i="13"/>
  <c r="J51" i="13" s="1"/>
  <c r="I71" i="13"/>
  <c r="J71" i="13" s="1"/>
  <c r="I63" i="13"/>
  <c r="J63" i="13" s="1"/>
  <c r="I102" i="13"/>
  <c r="J102" i="13" s="1"/>
  <c r="I86" i="13"/>
  <c r="J86" i="13" s="1"/>
  <c r="I78" i="13"/>
  <c r="J78" i="13" s="1"/>
  <c r="I101" i="13"/>
  <c r="J101" i="13" s="1"/>
  <c r="I85" i="13"/>
  <c r="J85" i="13" s="1"/>
  <c r="I76" i="13"/>
  <c r="J76" i="13" s="1"/>
  <c r="I68" i="13"/>
  <c r="J68" i="13" s="1"/>
  <c r="I69" i="13"/>
  <c r="J69" i="13" s="1"/>
  <c r="I53" i="13"/>
  <c r="J53" i="13" s="1"/>
  <c r="I106" i="13"/>
  <c r="J106" i="13" s="1"/>
  <c r="I98" i="13"/>
  <c r="J98" i="13" s="1"/>
  <c r="I90" i="13"/>
  <c r="J90" i="13" s="1"/>
  <c r="I82" i="13"/>
  <c r="J82" i="13" s="1"/>
  <c r="I105" i="13"/>
  <c r="J105" i="13" s="1"/>
  <c r="I97" i="13"/>
  <c r="J97" i="13" s="1"/>
  <c r="I89" i="13"/>
  <c r="J89" i="13" s="1"/>
  <c r="I81" i="13"/>
  <c r="J81" i="13" s="1"/>
  <c r="I72" i="13"/>
  <c r="J72" i="13" s="1"/>
  <c r="I64" i="13"/>
  <c r="J64" i="13" s="1"/>
  <c r="I52" i="13"/>
  <c r="J52" i="13" s="1"/>
  <c r="I73" i="13"/>
  <c r="J73" i="13" s="1"/>
  <c r="I65" i="13"/>
  <c r="J65" i="13" s="1"/>
  <c r="I57" i="13"/>
  <c r="J57" i="13" s="1"/>
  <c r="I49" i="13"/>
  <c r="J49" i="13" s="1"/>
  <c r="I60" i="13"/>
  <c r="J60" i="13" s="1"/>
  <c r="I109" i="13" l="1"/>
  <c r="C9" i="3" s="1"/>
  <c r="C11" i="3" l="1"/>
  <c r="C10" i="3"/>
  <c r="C12" i="3" s="1"/>
  <c r="C13" i="3" l="1"/>
  <c r="C14" i="3" l="1"/>
  <c r="C15" i="3" s="1"/>
  <c r="C20" i="3" l="1"/>
  <c r="D20" i="3" s="1"/>
  <c r="C21" i="3"/>
  <c r="D21" i="3" s="1"/>
  <c r="D22" i="3" s="1"/>
  <c r="D8" i="8" s="1"/>
  <c r="E8" i="8" s="1"/>
  <c r="D4" i="8" l="1"/>
  <c r="E4" i="8" s="1"/>
  <c r="D3" i="8"/>
  <c r="E3" i="8" s="1"/>
  <c r="D7" i="8"/>
  <c r="E7" i="8" s="1"/>
</calcChain>
</file>

<file path=xl/comments1.xml><?xml version="1.0" encoding="utf-8"?>
<comments xmlns="http://schemas.openxmlformats.org/spreadsheetml/2006/main">
  <authors>
    <author>alex</author>
  </authors>
  <commentList>
    <comment ref="B101" authorId="0">
      <text>
        <r>
          <rPr>
            <b/>
            <sz val="8"/>
            <color indexed="81"/>
            <rFont val="Tahoma"/>
            <family val="2"/>
          </rPr>
          <t>alex:</t>
        </r>
        <r>
          <rPr>
            <sz val="8"/>
            <color indexed="81"/>
            <rFont val="Tahoma"/>
            <family val="2"/>
          </rPr>
          <t xml:space="preserve">
שפ"פ שהפך להיות שצ"פ בגלל התנגדויות - זאת לפי המתכננים</t>
        </r>
      </text>
    </comment>
  </commentList>
</comments>
</file>

<file path=xl/sharedStrings.xml><?xml version="1.0" encoding="utf-8"?>
<sst xmlns="http://schemas.openxmlformats.org/spreadsheetml/2006/main" count="266" uniqueCount="121">
  <si>
    <t xml:space="preserve"> </t>
  </si>
  <si>
    <t>מכ 448 שכ דרום ז'בוטינסקי</t>
  </si>
  <si>
    <t>מגורים</t>
  </si>
  <si>
    <t>סה"כ</t>
  </si>
  <si>
    <t>מתחם גלי כרמל - מכ/518</t>
  </si>
  <si>
    <t>תב"ע</t>
  </si>
  <si>
    <t>בנוי</t>
  </si>
  <si>
    <t>קרקע</t>
  </si>
  <si>
    <t>חישוב היטל</t>
  </si>
  <si>
    <t>סה"כ קרקע</t>
  </si>
  <si>
    <t>סה"כ בנוי</t>
  </si>
  <si>
    <t>העמסת עלויות עקיפות</t>
  </si>
  <si>
    <t>אחוז</t>
  </si>
  <si>
    <t xml:space="preserve"> סכום ₪ </t>
  </si>
  <si>
    <t xml:space="preserve">סה"כ עלות ישירה </t>
  </si>
  <si>
    <t>בצ"מ</t>
  </si>
  <si>
    <t>ניהול ופיקוח</t>
  </si>
  <si>
    <t>סה"כ ביניים</t>
  </si>
  <si>
    <t>מע"מ</t>
  </si>
  <si>
    <t>מימון</t>
  </si>
  <si>
    <t>סה"כ עלויות</t>
  </si>
  <si>
    <t xml:space="preserve">חישוב תעריף </t>
  </si>
  <si>
    <t>שיעורי העמסה</t>
  </si>
  <si>
    <t>תעריף מוצע</t>
  </si>
  <si>
    <t xml:space="preserve">צמוד למדד </t>
  </si>
  <si>
    <t>מוצע</t>
  </si>
  <si>
    <t>פער</t>
  </si>
  <si>
    <t>המדדים הרלוונטיים:</t>
  </si>
  <si>
    <t>אחוז שינוי</t>
  </si>
  <si>
    <t>מקדם קשר</t>
  </si>
  <si>
    <t>הבסיס</t>
  </si>
  <si>
    <t>גודל השטח האינטנסיבי במ"ר</t>
  </si>
  <si>
    <t>אחוז שיפוע</t>
  </si>
  <si>
    <t xml:space="preserve">גודל עד 5,000 מ"ר </t>
  </si>
  <si>
    <t>סה"כ עלות לפי נוהל בש"ח</t>
  </si>
  <si>
    <t>עלות למ"ר עפ"י נוהל</t>
  </si>
  <si>
    <t>גודל השטח במ"ר</t>
  </si>
  <si>
    <t>טבלה מס' 3- ריכוז שצ"פים</t>
  </si>
  <si>
    <t>אסמכתאות א'-ד'</t>
  </si>
  <si>
    <t>מספר התב"ע</t>
  </si>
  <si>
    <t>מס' מגרש</t>
  </si>
  <si>
    <t xml:space="preserve">מכ /448 </t>
  </si>
  <si>
    <t>ה1</t>
  </si>
  <si>
    <t>0%-6%</t>
  </si>
  <si>
    <t>ה2</t>
  </si>
  <si>
    <t>ה3</t>
  </si>
  <si>
    <t>ה4</t>
  </si>
  <si>
    <t>ה5</t>
  </si>
  <si>
    <t>צמוד לכביש</t>
  </si>
  <si>
    <t xml:space="preserve"> מכ/518</t>
  </si>
  <si>
    <t>מכ / 331</t>
  </si>
  <si>
    <t>21%-30%</t>
  </si>
  <si>
    <t>מכ / 298</t>
  </si>
  <si>
    <t>עתיקות</t>
  </si>
  <si>
    <t>מגורים 24 שפותחו כשצ"פ</t>
  </si>
  <si>
    <t>מגורים 25 שפותחו כשצ"פ</t>
  </si>
  <si>
    <t>בין המגרשים 42 -43</t>
  </si>
  <si>
    <t>6+55+62+51</t>
  </si>
  <si>
    <t>66+16+17</t>
  </si>
  <si>
    <t>90+63</t>
  </si>
  <si>
    <t>מסחר ומשרדים</t>
  </si>
  <si>
    <t>בניה</t>
  </si>
  <si>
    <t xml:space="preserve">בניה </t>
  </si>
  <si>
    <t>מכ /298</t>
  </si>
  <si>
    <t>תעריף קודם</t>
  </si>
  <si>
    <t xml:space="preserve">בנוי </t>
  </si>
  <si>
    <t xml:space="preserve">קוב לבנוי </t>
  </si>
  <si>
    <t xml:space="preserve">גודל מ- 5,000 מ"ר עד 15,000 מ"ר  </t>
  </si>
  <si>
    <t>טבלה מס' 1 -שטחים</t>
  </si>
  <si>
    <t>סיווג</t>
  </si>
  <si>
    <t>שטח קרקע במ"ר</t>
  </si>
  <si>
    <t>שטח בנוי עיקרי + שירות במ"ר</t>
  </si>
  <si>
    <t>מגורים ב'</t>
  </si>
  <si>
    <t>מגורים ג'</t>
  </si>
  <si>
    <t>מגורים מיוחד</t>
  </si>
  <si>
    <t>מגורים מעורב מסחר</t>
  </si>
  <si>
    <t>דיור מוגן</t>
  </si>
  <si>
    <t>סה"כ שטח במ"ר:</t>
  </si>
  <si>
    <t>מגורים א'</t>
  </si>
  <si>
    <t>פארק עסקים</t>
  </si>
  <si>
    <t>פארק עסקים - חניה</t>
  </si>
  <si>
    <t>תב"ע מכ / 331</t>
  </si>
  <si>
    <t>מגרש מס'</t>
  </si>
  <si>
    <t>אחוז בניה כולל</t>
  </si>
  <si>
    <t>תב"ע מכ / 298</t>
  </si>
  <si>
    <t xml:space="preserve">מס' יח''ד </t>
  </si>
  <si>
    <t xml:space="preserve">שטח ליח''ד </t>
  </si>
  <si>
    <t xml:space="preserve">אחוז בניה כולל </t>
  </si>
  <si>
    <t>מגורים ג' 1</t>
  </si>
  <si>
    <t>*</t>
  </si>
  <si>
    <t>מגורים ג' 2</t>
  </si>
  <si>
    <t>מגורים ג' 3</t>
  </si>
  <si>
    <t>שטח מסחרי</t>
  </si>
  <si>
    <t>המגרשים 24 ו- 25 למגורים נפסלו ע"י רשות עתיקות ויהפכו לפארק.</t>
  </si>
  <si>
    <t>מכ/582</t>
  </si>
  <si>
    <t>שטח קרקע למ"ר</t>
  </si>
  <si>
    <t>שטח בנוי במ"ר</t>
  </si>
  <si>
    <t>אחוזי בנייה</t>
  </si>
  <si>
    <t>מגורים ב' 1</t>
  </si>
  <si>
    <t>מגורים ד' 1</t>
  </si>
  <si>
    <t>מגוריס ד' 2</t>
  </si>
  <si>
    <t>תעסוקה</t>
  </si>
  <si>
    <t>מסחר</t>
  </si>
  <si>
    <t>ספורט ונופש</t>
  </si>
  <si>
    <t>מסחר ותחבורה</t>
  </si>
  <si>
    <t>????</t>
  </si>
  <si>
    <t>קרקע במ"ר</t>
  </si>
  <si>
    <t>שטח בנוי</t>
  </si>
  <si>
    <t>חד משפחתי</t>
  </si>
  <si>
    <t>דו משפחתי</t>
  </si>
  <si>
    <t>מסחרי</t>
  </si>
  <si>
    <t>ריכוז שטחים לחיוב</t>
  </si>
  <si>
    <t>החוטרים מכ/582</t>
  </si>
  <si>
    <t>סה"כ:</t>
  </si>
  <si>
    <t>נכס אחר</t>
  </si>
  <si>
    <t>ממוצע 2008=100.0</t>
  </si>
  <si>
    <t xml:space="preserve"> עלות למ"ר לפי נוהל</t>
  </si>
  <si>
    <t>9002A</t>
  </si>
  <si>
    <t>סה"כ שצ"פים בתב"עות</t>
  </si>
  <si>
    <t xml:space="preserve">גודל  מ- 15,000 מ"ר </t>
  </si>
  <si>
    <t>תיחור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</si>
</sst>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&quot;₪&quot;\ #,##0"/>
    <numFmt numFmtId="167" formatCode="&quot;₪&quot;\ #,##0.00"/>
    <numFmt numFmtId="168" formatCode="#,##0.000"/>
    <numFmt numFmtId="169" formatCode="_(* #,##0_);_(* \(#,##0\);_(* &quot;-&quot;??_);_(@_)"/>
    <numFmt numFmtId="170" formatCode="_ * #,##0.0_ ;_ * \-#,##0.0_ ;_ * &quot;-&quot;??_ ;_ @_ "/>
  </numFmts>
  <fonts count="37" x14ac:knownFonts="1">
    <font>
      <sz val="11"/>
      <color theme="1"/>
      <name val="Arial"/>
      <family val="2"/>
      <charset val="177"/>
      <scheme val="minor"/>
    </font>
    <font>
      <sz val="10"/>
      <name val="Times New Roman (Hebrew)"/>
      <charset val="177"/>
    </font>
    <font>
      <sz val="1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  <scheme val="minor"/>
    </font>
    <font>
      <sz val="12"/>
      <name val="Arial"/>
      <family val="2"/>
    </font>
    <font>
      <b/>
      <u val="singleAccounting"/>
      <sz val="10"/>
      <name val="Arial"/>
      <family val="2"/>
    </font>
    <font>
      <sz val="12"/>
      <name val="Arial"/>
      <family val="2"/>
      <scheme val="minor"/>
    </font>
    <font>
      <sz val="11"/>
      <color theme="1"/>
      <name val="Times New Roman"/>
      <family val="1"/>
    </font>
    <font>
      <sz val="10"/>
      <color rgb="FF000080"/>
      <name val="Arial"/>
      <family val="2"/>
    </font>
    <font>
      <b/>
      <u/>
      <sz val="10"/>
      <color rgb="FF000080"/>
      <name val="Arial"/>
      <family val="2"/>
    </font>
    <font>
      <sz val="10"/>
      <name val="Arial"/>
      <charset val="177"/>
    </font>
    <font>
      <b/>
      <u/>
      <sz val="14"/>
      <color indexed="8"/>
      <name val="David"/>
      <charset val="177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David"/>
      <charset val="177"/>
    </font>
    <font>
      <sz val="12"/>
      <color indexed="8"/>
      <name val="David"/>
      <charset val="177"/>
    </font>
    <font>
      <sz val="12"/>
      <name val="David"/>
      <charset val="177"/>
    </font>
    <font>
      <sz val="10"/>
      <color indexed="8"/>
      <name val="David"/>
      <family val="2"/>
    </font>
    <font>
      <sz val="10"/>
      <name val="David"/>
      <family val="2"/>
    </font>
    <font>
      <b/>
      <sz val="10"/>
      <name val="David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indexed="17"/>
      <name val="David"/>
      <family val="2"/>
    </font>
    <font>
      <b/>
      <u/>
      <sz val="14"/>
      <color indexed="8"/>
      <name val="David"/>
      <family val="2"/>
    </font>
    <font>
      <b/>
      <u/>
      <sz val="16"/>
      <color indexed="17"/>
      <name val="David"/>
      <family val="2"/>
    </font>
    <font>
      <b/>
      <u/>
      <sz val="12"/>
      <color indexed="17"/>
      <name val="David"/>
      <family val="2"/>
    </font>
    <font>
      <b/>
      <sz val="10"/>
      <color indexed="17"/>
      <name val="David"/>
      <family val="2"/>
    </font>
    <font>
      <b/>
      <sz val="12"/>
      <name val="David"/>
      <family val="2"/>
    </font>
    <font>
      <sz val="11"/>
      <color theme="1"/>
      <name val="David"/>
      <family val="2"/>
    </font>
    <font>
      <b/>
      <sz val="8"/>
      <color indexed="8"/>
      <name val="David"/>
      <family val="2"/>
    </font>
    <font>
      <sz val="8"/>
      <color indexed="8"/>
      <name val="Times New Roman (Hebrew)"/>
      <charset val="177"/>
    </font>
    <font>
      <sz val="8"/>
      <color indexed="8"/>
      <name val="David"/>
      <family val="2"/>
    </font>
    <font>
      <sz val="8"/>
      <name val="David"/>
      <family val="2"/>
    </font>
    <font>
      <sz val="8"/>
      <name val="Times New Roman (Hebrew)"/>
      <charset val="177"/>
    </font>
    <font>
      <b/>
      <sz val="8"/>
      <name val="David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</cellStyleXfs>
  <cellXfs count="237">
    <xf numFmtId="0" fontId="0" fillId="0" borderId="0" xfId="0"/>
    <xf numFmtId="0" fontId="2" fillId="0" borderId="0" xfId="4" applyFill="1" applyBorder="1" applyAlignment="1">
      <alignment horizontal="center" vertical="center"/>
    </xf>
    <xf numFmtId="3" fontId="2" fillId="0" borderId="0" xfId="4" applyNumberFormat="1" applyFill="1" applyBorder="1" applyAlignment="1">
      <alignment horizontal="center" vertical="center"/>
    </xf>
    <xf numFmtId="164" fontId="0" fillId="0" borderId="0" xfId="5" applyNumberFormat="1" applyFont="1" applyFill="1" applyBorder="1" applyAlignment="1">
      <alignment horizontal="center" vertical="center"/>
    </xf>
    <xf numFmtId="0" fontId="2" fillId="0" borderId="0" xfId="4" applyAlignment="1">
      <alignment horizontal="center" vertical="center"/>
    </xf>
    <xf numFmtId="0" fontId="4" fillId="4" borderId="1" xfId="4" applyFont="1" applyFill="1" applyBorder="1" applyAlignment="1">
      <alignment horizontal="center" vertical="center"/>
    </xf>
    <xf numFmtId="0" fontId="2" fillId="0" borderId="1" xfId="4" applyBorder="1" applyAlignment="1">
      <alignment horizontal="center" vertical="center"/>
    </xf>
    <xf numFmtId="0" fontId="2" fillId="0" borderId="1" xfId="4" applyFill="1" applyBorder="1" applyAlignment="1">
      <alignment horizontal="center" vertical="center"/>
    </xf>
    <xf numFmtId="43" fontId="5" fillId="5" borderId="1" xfId="5" applyFont="1" applyFill="1" applyBorder="1" applyAlignment="1">
      <alignment horizontal="center" vertical="center"/>
    </xf>
    <xf numFmtId="3" fontId="6" fillId="3" borderId="1" xfId="4" applyNumberFormat="1" applyFont="1" applyFill="1" applyBorder="1" applyAlignment="1">
      <alignment horizontal="center" vertical="center"/>
    </xf>
    <xf numFmtId="3" fontId="2" fillId="0" borderId="0" xfId="4" applyNumberFormat="1" applyAlignment="1">
      <alignment horizontal="center" vertical="center"/>
    </xf>
    <xf numFmtId="164" fontId="3" fillId="0" borderId="0" xfId="4" applyNumberFormat="1" applyFont="1" applyFill="1" applyBorder="1" applyAlignment="1">
      <alignment horizontal="center" vertical="center"/>
    </xf>
    <xf numFmtId="43" fontId="7" fillId="0" borderId="0" xfId="4" applyNumberFormat="1" applyFont="1" applyBorder="1" applyAlignment="1">
      <alignment vertical="center"/>
    </xf>
    <xf numFmtId="43" fontId="2" fillId="0" borderId="0" xfId="4" applyNumberFormat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9" fontId="8" fillId="3" borderId="1" xfId="4" applyNumberFormat="1" applyFont="1" applyFill="1" applyBorder="1" applyAlignment="1">
      <alignment horizontal="center" vertical="center"/>
    </xf>
    <xf numFmtId="166" fontId="5" fillId="3" borderId="1" xfId="4" applyNumberFormat="1" applyFont="1" applyFill="1" applyBorder="1" applyAlignment="1">
      <alignment horizontal="center" vertical="center"/>
    </xf>
    <xf numFmtId="167" fontId="5" fillId="3" borderId="1" xfId="4" applyNumberFormat="1" applyFont="1" applyFill="1" applyBorder="1" applyAlignment="1">
      <alignment horizontal="center" vertical="center"/>
    </xf>
    <xf numFmtId="2" fontId="5" fillId="3" borderId="1" xfId="7" applyNumberFormat="1" applyFont="1" applyFill="1" applyBorder="1" applyAlignment="1">
      <alignment horizontal="center" vertical="center"/>
    </xf>
    <xf numFmtId="9" fontId="5" fillId="3" borderId="1" xfId="7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wrapText="1"/>
    </xf>
    <xf numFmtId="0" fontId="9" fillId="6" borderId="0" xfId="0" applyFont="1" applyFill="1" applyAlignment="1">
      <alignment vertical="center" wrapText="1"/>
    </xf>
    <xf numFmtId="17" fontId="11" fillId="6" borderId="0" xfId="0" applyNumberFormat="1" applyFont="1" applyFill="1" applyAlignment="1">
      <alignment horizontal="center" readingOrder="2"/>
    </xf>
    <xf numFmtId="0" fontId="10" fillId="6" borderId="0" xfId="0" applyFont="1" applyFill="1" applyAlignment="1">
      <alignment horizontal="center" vertical="top" wrapText="1"/>
    </xf>
    <xf numFmtId="0" fontId="10" fillId="6" borderId="0" xfId="0" applyFont="1" applyFill="1" applyAlignment="1">
      <alignment horizontal="center" vertical="top"/>
    </xf>
    <xf numFmtId="10" fontId="0" fillId="0" borderId="0" xfId="0" applyNumberFormat="1"/>
    <xf numFmtId="0" fontId="11" fillId="6" borderId="0" xfId="0" applyFont="1" applyFill="1" applyAlignment="1">
      <alignment horizontal="center" wrapText="1" readingOrder="2"/>
    </xf>
    <xf numFmtId="0" fontId="11" fillId="6" borderId="0" xfId="0" applyFont="1" applyFill="1" applyAlignment="1">
      <alignment horizontal="center" wrapText="1" readingOrder="2"/>
    </xf>
    <xf numFmtId="0" fontId="5" fillId="4" borderId="4" xfId="4" applyFont="1" applyFill="1" applyBorder="1" applyAlignment="1">
      <alignment horizontal="center" vertical="center"/>
    </xf>
    <xf numFmtId="0" fontId="5" fillId="4" borderId="2" xfId="4" applyFont="1" applyFill="1" applyBorder="1" applyAlignment="1">
      <alignment horizontal="center" vertical="center"/>
    </xf>
    <xf numFmtId="0" fontId="5" fillId="4" borderId="1" xfId="4" applyFont="1" applyFill="1" applyBorder="1" applyAlignment="1">
      <alignment horizontal="center" vertical="center"/>
    </xf>
    <xf numFmtId="0" fontId="13" fillId="0" borderId="0" xfId="12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1" applyFont="1"/>
    <xf numFmtId="0" fontId="2" fillId="0" borderId="0" xfId="1" applyFont="1" applyBorder="1"/>
    <xf numFmtId="0" fontId="3" fillId="5" borderId="8" xfId="1" applyFont="1" applyFill="1" applyBorder="1" applyAlignment="1">
      <alignment horizontal="center"/>
    </xf>
    <xf numFmtId="0" fontId="3" fillId="5" borderId="9" xfId="1" applyFont="1" applyFill="1" applyBorder="1" applyAlignment="1">
      <alignment horizontal="center"/>
    </xf>
    <xf numFmtId="0" fontId="3" fillId="5" borderId="10" xfId="1" applyFont="1" applyFill="1" applyBorder="1" applyAlignment="1">
      <alignment horizontal="center"/>
    </xf>
    <xf numFmtId="0" fontId="2" fillId="0" borderId="11" xfId="1" applyFont="1" applyBorder="1" applyAlignment="1">
      <alignment horizontal="right"/>
    </xf>
    <xf numFmtId="3" fontId="2" fillId="2" borderId="12" xfId="1" applyNumberFormat="1" applyFont="1" applyFill="1" applyBorder="1" applyAlignment="1">
      <alignment horizontal="center"/>
    </xf>
    <xf numFmtId="3" fontId="2" fillId="3" borderId="13" xfId="1" applyNumberFormat="1" applyFont="1" applyFill="1" applyBorder="1" applyAlignment="1">
      <alignment horizontal="center"/>
    </xf>
    <xf numFmtId="0" fontId="2" fillId="0" borderId="14" xfId="1" applyFont="1" applyBorder="1" applyAlignment="1">
      <alignment horizontal="right"/>
    </xf>
    <xf numFmtId="3" fontId="2" fillId="2" borderId="15" xfId="1" applyNumberFormat="1" applyFont="1" applyFill="1" applyBorder="1" applyAlignment="1">
      <alignment horizontal="center"/>
    </xf>
    <xf numFmtId="3" fontId="2" fillId="3" borderId="16" xfId="1" applyNumberFormat="1" applyFont="1" applyFill="1" applyBorder="1" applyAlignment="1">
      <alignment horizontal="center"/>
    </xf>
    <xf numFmtId="0" fontId="2" fillId="0" borderId="17" xfId="1" applyFont="1" applyBorder="1" applyAlignment="1">
      <alignment horizontal="right"/>
    </xf>
    <xf numFmtId="3" fontId="2" fillId="2" borderId="18" xfId="1" applyNumberFormat="1" applyFont="1" applyFill="1" applyBorder="1" applyAlignment="1">
      <alignment horizontal="center"/>
    </xf>
    <xf numFmtId="3" fontId="2" fillId="3" borderId="19" xfId="1" applyNumberFormat="1" applyFont="1" applyFill="1" applyBorder="1" applyAlignment="1">
      <alignment horizontal="center"/>
    </xf>
    <xf numFmtId="0" fontId="3" fillId="0" borderId="20" xfId="1" applyFont="1" applyBorder="1"/>
    <xf numFmtId="3" fontId="3" fillId="3" borderId="21" xfId="1" applyNumberFormat="1" applyFont="1" applyFill="1" applyBorder="1" applyAlignment="1">
      <alignment horizontal="center"/>
    </xf>
    <xf numFmtId="3" fontId="3" fillId="3" borderId="22" xfId="1" applyNumberFormat="1" applyFont="1" applyFill="1" applyBorder="1" applyAlignment="1">
      <alignment horizontal="center"/>
    </xf>
    <xf numFmtId="0" fontId="2" fillId="0" borderId="17" xfId="1" applyFont="1" applyBorder="1"/>
    <xf numFmtId="0" fontId="14" fillId="0" borderId="0" xfId="1" applyFont="1"/>
    <xf numFmtId="0" fontId="3" fillId="5" borderId="23" xfId="1" applyFont="1" applyFill="1" applyBorder="1" applyAlignment="1">
      <alignment horizontal="center"/>
    </xf>
    <xf numFmtId="0" fontId="3" fillId="5" borderId="24" xfId="1" applyFont="1" applyFill="1" applyBorder="1" applyAlignment="1">
      <alignment horizontal="center"/>
    </xf>
    <xf numFmtId="0" fontId="2" fillId="0" borderId="25" xfId="1" applyFont="1" applyBorder="1"/>
    <xf numFmtId="9" fontId="2" fillId="2" borderId="25" xfId="1" applyNumberFormat="1" applyFont="1" applyFill="1" applyBorder="1"/>
    <xf numFmtId="164" fontId="2" fillId="3" borderId="25" xfId="1" applyNumberFormat="1" applyFont="1" applyFill="1" applyBorder="1"/>
    <xf numFmtId="164" fontId="2" fillId="2" borderId="26" xfId="13" applyNumberFormat="1" applyFont="1" applyFill="1" applyBorder="1" applyAlignment="1">
      <alignment horizontal="center"/>
    </xf>
    <xf numFmtId="0" fontId="2" fillId="0" borderId="15" xfId="1" applyFont="1" applyBorder="1"/>
    <xf numFmtId="9" fontId="2" fillId="2" borderId="15" xfId="1" applyNumberFormat="1" applyFont="1" applyFill="1" applyBorder="1"/>
    <xf numFmtId="164" fontId="2" fillId="3" borderId="15" xfId="1" applyNumberFormat="1" applyFont="1" applyFill="1" applyBorder="1"/>
    <xf numFmtId="164" fontId="2" fillId="2" borderId="16" xfId="13" applyNumberFormat="1" applyFont="1" applyFill="1" applyBorder="1" applyAlignment="1">
      <alignment horizontal="center"/>
    </xf>
    <xf numFmtId="0" fontId="2" fillId="0" borderId="27" xfId="1" applyFont="1" applyBorder="1"/>
    <xf numFmtId="9" fontId="2" fillId="2" borderId="27" xfId="1" applyNumberFormat="1" applyFont="1" applyFill="1" applyBorder="1"/>
    <xf numFmtId="164" fontId="2" fillId="3" borderId="27" xfId="1" applyNumberFormat="1" applyFont="1" applyFill="1" applyBorder="1"/>
    <xf numFmtId="164" fontId="2" fillId="2" borderId="28" xfId="13" applyNumberFormat="1" applyFont="1" applyFill="1" applyBorder="1" applyAlignment="1">
      <alignment horizontal="center"/>
    </xf>
    <xf numFmtId="0" fontId="3" fillId="0" borderId="23" xfId="1" applyFont="1" applyBorder="1"/>
    <xf numFmtId="164" fontId="3" fillId="3" borderId="23" xfId="1" applyNumberFormat="1" applyFont="1" applyFill="1" applyBorder="1"/>
    <xf numFmtId="164" fontId="3" fillId="3" borderId="24" xfId="1" applyNumberFormat="1" applyFont="1" applyFill="1" applyBorder="1" applyAlignment="1">
      <alignment horizontal="center"/>
    </xf>
    <xf numFmtId="0" fontId="2" fillId="0" borderId="0" xfId="1" applyFont="1" applyFill="1"/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/>
    <xf numFmtId="0" fontId="3" fillId="0" borderId="0" xfId="1" applyFont="1" applyFill="1" applyBorder="1" applyAlignment="1">
      <alignment horizontal="center"/>
    </xf>
    <xf numFmtId="9" fontId="2" fillId="0" borderId="0" xfId="1" applyNumberFormat="1" applyFont="1" applyFill="1" applyBorder="1"/>
    <xf numFmtId="41" fontId="14" fillId="0" borderId="0" xfId="1" applyNumberFormat="1" applyFont="1" applyFill="1" applyBorder="1"/>
    <xf numFmtId="0" fontId="2" fillId="0" borderId="0" xfId="1" applyFont="1" applyFill="1" applyAlignment="1">
      <alignment horizontal="center"/>
    </xf>
    <xf numFmtId="0" fontId="3" fillId="5" borderId="29" xfId="1" applyFont="1" applyFill="1" applyBorder="1"/>
    <xf numFmtId="0" fontId="3" fillId="5" borderId="30" xfId="1" applyFont="1" applyFill="1" applyBorder="1" applyAlignment="1">
      <alignment horizontal="center"/>
    </xf>
    <xf numFmtId="0" fontId="2" fillId="0" borderId="31" xfId="1" applyFont="1" applyBorder="1"/>
    <xf numFmtId="0" fontId="2" fillId="0" borderId="25" xfId="1" applyFont="1" applyFill="1" applyBorder="1" applyAlignment="1">
      <alignment horizontal="center"/>
    </xf>
    <xf numFmtId="0" fontId="2" fillId="0" borderId="32" xfId="1" applyFont="1" applyBorder="1" applyAlignment="1">
      <alignment horizontal="center"/>
    </xf>
    <xf numFmtId="164" fontId="2" fillId="3" borderId="32" xfId="13" applyNumberFormat="1" applyFont="1" applyFill="1" applyBorder="1" applyAlignment="1">
      <alignment horizontal="center"/>
    </xf>
    <xf numFmtId="164" fontId="15" fillId="2" borderId="25" xfId="13" applyNumberFormat="1" applyFont="1" applyFill="1" applyBorder="1" applyAlignment="1">
      <alignment horizontal="center"/>
    </xf>
    <xf numFmtId="0" fontId="2" fillId="0" borderId="14" xfId="1" applyFont="1" applyBorder="1"/>
    <xf numFmtId="0" fontId="2" fillId="0" borderId="15" xfId="1" applyFont="1" applyBorder="1" applyAlignment="1">
      <alignment horizontal="center"/>
    </xf>
    <xf numFmtId="0" fontId="2" fillId="0" borderId="33" xfId="1" applyFont="1" applyBorder="1" applyAlignment="1">
      <alignment horizontal="center"/>
    </xf>
    <xf numFmtId="9" fontId="2" fillId="2" borderId="15" xfId="1" applyNumberFormat="1" applyFont="1" applyFill="1" applyBorder="1" applyAlignment="1">
      <alignment horizontal="center"/>
    </xf>
    <xf numFmtId="169" fontId="2" fillId="3" borderId="33" xfId="1" applyNumberFormat="1" applyFont="1" applyFill="1" applyBorder="1" applyAlignment="1">
      <alignment horizontal="center"/>
    </xf>
    <xf numFmtId="164" fontId="15" fillId="2" borderId="15" xfId="13" applyNumberFormat="1" applyFont="1" applyFill="1" applyBorder="1" applyAlignment="1">
      <alignment horizontal="center"/>
    </xf>
    <xf numFmtId="0" fontId="2" fillId="0" borderId="34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34" xfId="1" applyFont="1" applyBorder="1"/>
    <xf numFmtId="0" fontId="2" fillId="0" borderId="27" xfId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9" fontId="2" fillId="2" borderId="27" xfId="1" applyNumberFormat="1" applyFont="1" applyFill="1" applyBorder="1" applyAlignment="1">
      <alignment horizontal="center"/>
    </xf>
    <xf numFmtId="169" fontId="2" fillId="3" borderId="36" xfId="1" applyNumberFormat="1" applyFont="1" applyFill="1" applyBorder="1" applyAlignment="1">
      <alignment horizontal="center"/>
    </xf>
    <xf numFmtId="164" fontId="15" fillId="2" borderId="27" xfId="13" applyNumberFormat="1" applyFont="1" applyFill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3" fillId="0" borderId="30" xfId="1" applyFont="1" applyBorder="1"/>
    <xf numFmtId="164" fontId="3" fillId="3" borderId="30" xfId="1" applyNumberFormat="1" applyFont="1" applyFill="1" applyBorder="1" applyAlignment="1">
      <alignment horizontal="center"/>
    </xf>
    <xf numFmtId="164" fontId="3" fillId="3" borderId="23" xfId="13" applyNumberFormat="1" applyFont="1" applyFill="1" applyBorder="1" applyAlignment="1">
      <alignment horizontal="center"/>
    </xf>
    <xf numFmtId="0" fontId="2" fillId="0" borderId="0" xfId="1" applyFont="1" applyBorder="1" applyAlignment="1">
      <alignment horizontal="right"/>
    </xf>
    <xf numFmtId="0" fontId="3" fillId="5" borderId="8" xfId="1" applyFont="1" applyFill="1" applyBorder="1"/>
    <xf numFmtId="0" fontId="3" fillId="5" borderId="9" xfId="1" applyFont="1" applyFill="1" applyBorder="1"/>
    <xf numFmtId="0" fontId="3" fillId="5" borderId="37" xfId="1" applyFont="1" applyFill="1" applyBorder="1" applyAlignment="1">
      <alignment horizontal="center"/>
    </xf>
    <xf numFmtId="0" fontId="2" fillId="0" borderId="11" xfId="1" applyFont="1" applyBorder="1"/>
    <xf numFmtId="3" fontId="2" fillId="3" borderId="38" xfId="1" applyNumberFormat="1" applyFont="1" applyFill="1" applyBorder="1" applyAlignment="1">
      <alignment horizontal="center"/>
    </xf>
    <xf numFmtId="9" fontId="2" fillId="3" borderId="25" xfId="14" applyFont="1" applyFill="1" applyBorder="1" applyAlignment="1">
      <alignment horizontal="center"/>
    </xf>
    <xf numFmtId="3" fontId="2" fillId="3" borderId="33" xfId="1" applyNumberFormat="1" applyFont="1" applyFill="1" applyBorder="1" applyAlignment="1">
      <alignment horizontal="center"/>
    </xf>
    <xf numFmtId="9" fontId="2" fillId="3" borderId="15" xfId="14" applyFont="1" applyFill="1" applyBorder="1" applyAlignment="1">
      <alignment horizontal="center"/>
    </xf>
    <xf numFmtId="9" fontId="2" fillId="0" borderId="0" xfId="14" applyFont="1" applyAlignment="1">
      <alignment horizontal="center"/>
    </xf>
    <xf numFmtId="3" fontId="2" fillId="3" borderId="39" xfId="1" applyNumberFormat="1" applyFont="1" applyFill="1" applyBorder="1" applyAlignment="1">
      <alignment horizontal="center"/>
    </xf>
    <xf numFmtId="9" fontId="2" fillId="3" borderId="27" xfId="14" applyFont="1" applyFill="1" applyBorder="1" applyAlignment="1">
      <alignment horizontal="center"/>
    </xf>
    <xf numFmtId="3" fontId="3" fillId="3" borderId="40" xfId="1" applyNumberFormat="1" applyFont="1" applyFill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5" borderId="29" xfId="1" applyFont="1" applyFill="1" applyBorder="1" applyAlignment="1">
      <alignment horizontal="center"/>
    </xf>
    <xf numFmtId="3" fontId="2" fillId="2" borderId="25" xfId="1" applyNumberFormat="1" applyFont="1" applyFill="1" applyBorder="1" applyAlignment="1">
      <alignment horizontal="center"/>
    </xf>
    <xf numFmtId="3" fontId="2" fillId="3" borderId="26" xfId="1" applyNumberFormat="1" applyFont="1" applyFill="1" applyBorder="1" applyAlignment="1">
      <alignment horizontal="center"/>
    </xf>
    <xf numFmtId="3" fontId="2" fillId="2" borderId="27" xfId="1" applyNumberFormat="1" applyFont="1" applyFill="1" applyBorder="1" applyAlignment="1">
      <alignment horizontal="center"/>
    </xf>
    <xf numFmtId="3" fontId="2" fillId="3" borderId="28" xfId="1" applyNumberFormat="1" applyFont="1" applyFill="1" applyBorder="1" applyAlignment="1">
      <alignment horizontal="center"/>
    </xf>
    <xf numFmtId="0" fontId="3" fillId="0" borderId="29" xfId="1" applyFont="1" applyBorder="1"/>
    <xf numFmtId="3" fontId="3" fillId="3" borderId="23" xfId="1" applyNumberFormat="1" applyFont="1" applyFill="1" applyBorder="1" applyAlignment="1">
      <alignment horizontal="center"/>
    </xf>
    <xf numFmtId="3" fontId="3" fillId="3" borderId="24" xfId="1" applyNumberFormat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2" fontId="16" fillId="5" borderId="12" xfId="15" applyNumberFormat="1" applyFont="1" applyFill="1" applyBorder="1" applyAlignment="1">
      <alignment horizontal="center" vertical="center"/>
    </xf>
    <xf numFmtId="2" fontId="16" fillId="5" borderId="41" xfId="15" applyNumberFormat="1" applyFont="1" applyFill="1" applyBorder="1" applyAlignment="1">
      <alignment horizontal="center" vertical="center"/>
    </xf>
    <xf numFmtId="2" fontId="16" fillId="5" borderId="42" xfId="15" applyNumberFormat="1" applyFont="1" applyFill="1" applyBorder="1" applyAlignment="1">
      <alignment horizontal="center" vertical="center"/>
    </xf>
    <xf numFmtId="2" fontId="16" fillId="5" borderId="43" xfId="15" applyNumberFormat="1" applyFont="1" applyFill="1" applyBorder="1" applyAlignment="1">
      <alignment horizontal="center" vertical="center"/>
    </xf>
    <xf numFmtId="2" fontId="16" fillId="5" borderId="18" xfId="15" applyNumberFormat="1" applyFont="1" applyFill="1" applyBorder="1" applyAlignment="1">
      <alignment horizontal="center" vertical="center"/>
    </xf>
    <xf numFmtId="2" fontId="16" fillId="5" borderId="44" xfId="15" applyNumberFormat="1" applyFont="1" applyFill="1" applyBorder="1" applyAlignment="1">
      <alignment horizontal="center" vertical="center"/>
    </xf>
    <xf numFmtId="2" fontId="16" fillId="5" borderId="45" xfId="15" applyNumberFormat="1" applyFont="1" applyFill="1" applyBorder="1" applyAlignment="1">
      <alignment horizontal="center" vertical="center"/>
    </xf>
    <xf numFmtId="2" fontId="16" fillId="5" borderId="46" xfId="15" applyNumberFormat="1" applyFont="1" applyFill="1" applyBorder="1" applyAlignment="1">
      <alignment horizontal="center" vertical="center"/>
    </xf>
    <xf numFmtId="0" fontId="3" fillId="0" borderId="47" xfId="1" applyFont="1" applyBorder="1"/>
    <xf numFmtId="164" fontId="17" fillId="3" borderId="48" xfId="13" applyNumberFormat="1" applyFont="1" applyFill="1" applyBorder="1" applyAlignment="1">
      <alignment horizontal="center"/>
    </xf>
    <xf numFmtId="164" fontId="17" fillId="3" borderId="49" xfId="13" applyNumberFormat="1" applyFont="1" applyFill="1" applyBorder="1" applyAlignment="1">
      <alignment horizontal="center"/>
    </xf>
    <xf numFmtId="164" fontId="17" fillId="3" borderId="5" xfId="15" applyNumberFormat="1" applyFont="1" applyFill="1" applyBorder="1" applyAlignment="1">
      <alignment horizontal="center"/>
    </xf>
    <xf numFmtId="164" fontId="17" fillId="3" borderId="50" xfId="15" applyNumberFormat="1" applyFont="1" applyFill="1" applyBorder="1" applyAlignment="1">
      <alignment horizontal="center"/>
    </xf>
    <xf numFmtId="164" fontId="17" fillId="3" borderId="51" xfId="13" applyNumberFormat="1" applyFont="1" applyFill="1" applyBorder="1" applyAlignment="1">
      <alignment horizontal="center"/>
    </xf>
    <xf numFmtId="164" fontId="17" fillId="3" borderId="52" xfId="13" applyNumberFormat="1" applyFont="1" applyFill="1" applyBorder="1" applyAlignment="1">
      <alignment horizontal="center"/>
    </xf>
    <xf numFmtId="164" fontId="18" fillId="3" borderId="51" xfId="13" applyNumberFormat="1" applyFont="1" applyFill="1" applyBorder="1" applyAlignment="1">
      <alignment horizontal="center"/>
    </xf>
    <xf numFmtId="164" fontId="17" fillId="3" borderId="6" xfId="15" applyNumberFormat="1" applyFont="1" applyFill="1" applyBorder="1" applyAlignment="1">
      <alignment horizontal="center"/>
    </xf>
    <xf numFmtId="164" fontId="17" fillId="3" borderId="52" xfId="15" applyNumberFormat="1" applyFont="1" applyFill="1" applyBorder="1" applyAlignment="1">
      <alignment horizontal="center"/>
    </xf>
    <xf numFmtId="0" fontId="14" fillId="0" borderId="15" xfId="1" applyFont="1" applyBorder="1"/>
    <xf numFmtId="164" fontId="17" fillId="3" borderId="53" xfId="13" applyNumberFormat="1" applyFont="1" applyFill="1" applyBorder="1" applyAlignment="1">
      <alignment horizontal="center"/>
    </xf>
    <xf numFmtId="164" fontId="17" fillId="3" borderId="54" xfId="13" applyNumberFormat="1" applyFont="1" applyFill="1" applyBorder="1" applyAlignment="1">
      <alignment horizontal="center"/>
    </xf>
    <xf numFmtId="164" fontId="17" fillId="3" borderId="2" xfId="15" applyNumberFormat="1" applyFont="1" applyFill="1" applyBorder="1" applyAlignment="1">
      <alignment horizontal="center"/>
    </xf>
    <xf numFmtId="164" fontId="17" fillId="3" borderId="54" xfId="15" applyNumberFormat="1" applyFont="1" applyFill="1" applyBorder="1" applyAlignment="1">
      <alignment horizontal="center"/>
    </xf>
    <xf numFmtId="0" fontId="3" fillId="0" borderId="25" xfId="1" applyFont="1" applyBorder="1"/>
    <xf numFmtId="0" fontId="3" fillId="0" borderId="15" xfId="1" applyFont="1" applyBorder="1"/>
    <xf numFmtId="164" fontId="17" fillId="3" borderId="2" xfId="13" applyNumberFormat="1" applyFont="1" applyFill="1" applyBorder="1" applyAlignment="1">
      <alignment horizontal="center"/>
    </xf>
    <xf numFmtId="164" fontId="17" fillId="3" borderId="16" xfId="13" applyNumberFormat="1" applyFont="1" applyFill="1" applyBorder="1" applyAlignment="1">
      <alignment horizontal="center"/>
    </xf>
    <xf numFmtId="0" fontId="16" fillId="0" borderId="23" xfId="15" applyFont="1" applyBorder="1" applyAlignment="1">
      <alignment horizontal="center"/>
    </xf>
    <xf numFmtId="164" fontId="16" fillId="3" borderId="7" xfId="15" applyNumberFormat="1" applyFont="1" applyFill="1" applyBorder="1" applyAlignment="1">
      <alignment horizontal="center"/>
    </xf>
    <xf numFmtId="0" fontId="24" fillId="0" borderId="0" xfId="9" applyFont="1"/>
    <xf numFmtId="0" fontId="25" fillId="0" borderId="0" xfId="2" applyFont="1" applyAlignment="1"/>
    <xf numFmtId="0" fontId="26" fillId="0" borderId="0" xfId="9" applyFont="1" applyAlignment="1">
      <alignment horizontal="right"/>
    </xf>
    <xf numFmtId="0" fontId="27" fillId="0" borderId="0" xfId="9" applyFont="1" applyAlignment="1">
      <alignment horizontal="left"/>
    </xf>
    <xf numFmtId="0" fontId="20" fillId="0" borderId="0" xfId="9" applyFont="1"/>
    <xf numFmtId="0" fontId="28" fillId="0" borderId="0" xfId="9" applyFont="1"/>
    <xf numFmtId="0" fontId="19" fillId="0" borderId="0" xfId="9" applyFont="1"/>
    <xf numFmtId="0" fontId="20" fillId="0" borderId="0" xfId="9" applyFont="1" applyBorder="1"/>
    <xf numFmtId="164" fontId="20" fillId="0" borderId="0" xfId="3" applyNumberFormat="1" applyFont="1" applyBorder="1"/>
    <xf numFmtId="164" fontId="20" fillId="0" borderId="0" xfId="9" applyNumberFormat="1" applyFont="1" applyBorder="1"/>
    <xf numFmtId="9" fontId="20" fillId="0" borderId="0" xfId="11" applyFont="1"/>
    <xf numFmtId="164" fontId="20" fillId="0" borderId="0" xfId="3" applyNumberFormat="1" applyFont="1"/>
    <xf numFmtId="43" fontId="29" fillId="5" borderId="1" xfId="5" applyFont="1" applyFill="1" applyBorder="1" applyAlignment="1">
      <alignment horizontal="center" vertical="center"/>
    </xf>
    <xf numFmtId="0" fontId="20" fillId="0" borderId="1" xfId="4" applyFont="1" applyBorder="1" applyAlignment="1">
      <alignment horizontal="center" vertical="center"/>
    </xf>
    <xf numFmtId="164" fontId="30" fillId="3" borderId="1" xfId="5" applyNumberFormat="1" applyFont="1" applyFill="1" applyBorder="1" applyAlignment="1">
      <alignment horizontal="center" vertical="center"/>
    </xf>
    <xf numFmtId="9" fontId="30" fillId="2" borderId="1" xfId="6" applyFont="1" applyFill="1" applyBorder="1" applyAlignment="1">
      <alignment horizontal="center" vertical="center"/>
    </xf>
    <xf numFmtId="170" fontId="30" fillId="3" borderId="1" xfId="5" applyNumberFormat="1" applyFont="1" applyFill="1" applyBorder="1" applyAlignment="1">
      <alignment horizontal="center" vertical="center"/>
    </xf>
    <xf numFmtId="0" fontId="21" fillId="0" borderId="1" xfId="4" applyFont="1" applyBorder="1" applyAlignment="1">
      <alignment horizontal="center" vertical="center"/>
    </xf>
    <xf numFmtId="9" fontId="21" fillId="2" borderId="1" xfId="6" applyFont="1" applyFill="1" applyBorder="1" applyAlignment="1">
      <alignment horizontal="center" vertical="center"/>
    </xf>
    <xf numFmtId="170" fontId="21" fillId="3" borderId="1" xfId="5" applyNumberFormat="1" applyFont="1" applyFill="1" applyBorder="1" applyAlignment="1">
      <alignment horizontal="center" vertical="center"/>
    </xf>
    <xf numFmtId="165" fontId="30" fillId="2" borderId="1" xfId="6" applyNumberFormat="1" applyFont="1" applyFill="1" applyBorder="1" applyAlignment="1">
      <alignment horizontal="center" vertical="center"/>
    </xf>
    <xf numFmtId="0" fontId="31" fillId="5" borderId="9" xfId="9" applyFont="1" applyFill="1" applyBorder="1" applyAlignment="1">
      <alignment horizontal="center" vertical="center" wrapText="1"/>
    </xf>
    <xf numFmtId="0" fontId="31" fillId="5" borderId="37" xfId="9" applyFont="1" applyFill="1" applyBorder="1" applyAlignment="1">
      <alignment horizontal="center" vertical="center" wrapText="1"/>
    </xf>
    <xf numFmtId="0" fontId="31" fillId="5" borderId="10" xfId="9" applyFont="1" applyFill="1" applyBorder="1" applyAlignment="1">
      <alignment horizontal="center" vertical="center" wrapText="1"/>
    </xf>
    <xf numFmtId="0" fontId="32" fillId="5" borderId="21" xfId="2" applyFont="1" applyFill="1" applyBorder="1" applyAlignment="1">
      <alignment horizontal="center" vertical="center" wrapText="1"/>
    </xf>
    <xf numFmtId="0" fontId="32" fillId="5" borderId="40" xfId="2" applyFont="1" applyFill="1" applyBorder="1" applyAlignment="1">
      <alignment horizontal="center" vertical="center" wrapText="1"/>
    </xf>
    <xf numFmtId="0" fontId="32" fillId="5" borderId="22" xfId="2" applyFont="1" applyFill="1" applyBorder="1" applyAlignment="1">
      <alignment horizontal="center" vertical="center" wrapText="1"/>
    </xf>
    <xf numFmtId="0" fontId="33" fillId="0" borderId="47" xfId="9" applyFont="1" applyBorder="1" applyAlignment="1">
      <alignment horizontal="center" vertical="center"/>
    </xf>
    <xf numFmtId="0" fontId="33" fillId="0" borderId="32" xfId="9" applyFont="1" applyBorder="1"/>
    <xf numFmtId="3" fontId="33" fillId="2" borderId="25" xfId="9" applyNumberFormat="1" applyFont="1" applyFill="1" applyBorder="1" applyAlignment="1">
      <alignment horizontal="center"/>
    </xf>
    <xf numFmtId="3" fontId="34" fillId="2" borderId="32" xfId="9" applyNumberFormat="1" applyFont="1" applyFill="1" applyBorder="1" applyAlignment="1">
      <alignment horizontal="center"/>
    </xf>
    <xf numFmtId="168" fontId="34" fillId="2" borderId="25" xfId="9" applyNumberFormat="1" applyFont="1" applyFill="1" applyBorder="1" applyAlignment="1">
      <alignment horizontal="center"/>
    </xf>
    <xf numFmtId="3" fontId="34" fillId="3" borderId="32" xfId="9" applyNumberFormat="1" applyFont="1" applyFill="1" applyBorder="1" applyAlignment="1">
      <alignment horizontal="center"/>
    </xf>
    <xf numFmtId="3" fontId="34" fillId="3" borderId="25" xfId="9" applyNumberFormat="1" applyFont="1" applyFill="1" applyBorder="1" applyAlignment="1">
      <alignment horizontal="center"/>
    </xf>
    <xf numFmtId="3" fontId="34" fillId="3" borderId="26" xfId="9" applyNumberFormat="1" applyFont="1" applyFill="1" applyBorder="1" applyAlignment="1">
      <alignment horizontal="center"/>
    </xf>
    <xf numFmtId="0" fontId="33" fillId="0" borderId="33" xfId="9" applyFont="1" applyBorder="1"/>
    <xf numFmtId="3" fontId="33" fillId="2" borderId="15" xfId="9" applyNumberFormat="1" applyFont="1" applyFill="1" applyBorder="1" applyAlignment="1">
      <alignment horizontal="center"/>
    </xf>
    <xf numFmtId="3" fontId="34" fillId="2" borderId="33" xfId="9" applyNumberFormat="1" applyFont="1" applyFill="1" applyBorder="1" applyAlignment="1">
      <alignment horizontal="center"/>
    </xf>
    <xf numFmtId="168" fontId="34" fillId="2" borderId="15" xfId="9" applyNumberFormat="1" applyFont="1" applyFill="1" applyBorder="1" applyAlignment="1">
      <alignment horizontal="center"/>
    </xf>
    <xf numFmtId="3" fontId="34" fillId="3" borderId="33" xfId="9" applyNumberFormat="1" applyFont="1" applyFill="1" applyBorder="1" applyAlignment="1">
      <alignment horizontal="center"/>
    </xf>
    <xf numFmtId="3" fontId="34" fillId="3" borderId="15" xfId="9" applyNumberFormat="1" applyFont="1" applyFill="1" applyBorder="1" applyAlignment="1">
      <alignment horizontal="center"/>
    </xf>
    <xf numFmtId="3" fontId="34" fillId="3" borderId="16" xfId="9" applyNumberFormat="1" applyFont="1" applyFill="1" applyBorder="1" applyAlignment="1">
      <alignment horizontal="center"/>
    </xf>
    <xf numFmtId="0" fontId="33" fillId="0" borderId="36" xfId="9" applyFont="1" applyBorder="1"/>
    <xf numFmtId="3" fontId="33" fillId="2" borderId="27" xfId="9" applyNumberFormat="1" applyFont="1" applyFill="1" applyBorder="1" applyAlignment="1">
      <alignment horizontal="center"/>
    </xf>
    <xf numFmtId="3" fontId="34" fillId="2" borderId="36" xfId="9" applyNumberFormat="1" applyFont="1" applyFill="1" applyBorder="1" applyAlignment="1">
      <alignment horizontal="center"/>
    </xf>
    <xf numFmtId="168" fontId="34" fillId="2" borderId="27" xfId="9" applyNumberFormat="1" applyFont="1" applyFill="1" applyBorder="1" applyAlignment="1">
      <alignment horizontal="center"/>
    </xf>
    <xf numFmtId="3" fontId="34" fillId="3" borderId="36" xfId="9" applyNumberFormat="1" applyFont="1" applyFill="1" applyBorder="1" applyAlignment="1">
      <alignment horizontal="center"/>
    </xf>
    <xf numFmtId="3" fontId="34" fillId="3" borderId="27" xfId="9" applyNumberFormat="1" applyFont="1" applyFill="1" applyBorder="1" applyAlignment="1">
      <alignment horizontal="center"/>
    </xf>
    <xf numFmtId="3" fontId="34" fillId="3" borderId="28" xfId="9" applyNumberFormat="1" applyFont="1" applyFill="1" applyBorder="1" applyAlignment="1">
      <alignment horizontal="center"/>
    </xf>
    <xf numFmtId="0" fontId="33" fillId="0" borderId="9" xfId="9" applyFont="1" applyBorder="1" applyAlignment="1">
      <alignment horizontal="center" vertical="center"/>
    </xf>
    <xf numFmtId="0" fontId="33" fillId="0" borderId="37" xfId="9" applyFont="1" applyBorder="1"/>
    <xf numFmtId="3" fontId="33" fillId="2" borderId="9" xfId="9" applyNumberFormat="1" applyFont="1" applyFill="1" applyBorder="1" applyAlignment="1">
      <alignment horizontal="center"/>
    </xf>
    <xf numFmtId="3" fontId="34" fillId="2" borderId="38" xfId="9" applyNumberFormat="1" applyFont="1" applyFill="1" applyBorder="1" applyAlignment="1">
      <alignment horizontal="center"/>
    </xf>
    <xf numFmtId="168" fontId="34" fillId="2" borderId="12" xfId="9" applyNumberFormat="1" applyFont="1" applyFill="1" applyBorder="1" applyAlignment="1">
      <alignment horizontal="center"/>
    </xf>
    <xf numFmtId="3" fontId="34" fillId="3" borderId="37" xfId="9" applyNumberFormat="1" applyFont="1" applyFill="1" applyBorder="1" applyAlignment="1">
      <alignment horizontal="center"/>
    </xf>
    <xf numFmtId="3" fontId="34" fillId="3" borderId="9" xfId="9" applyNumberFormat="1" applyFont="1" applyFill="1" applyBorder="1" applyAlignment="1">
      <alignment horizontal="center"/>
    </xf>
    <xf numFmtId="3" fontId="34" fillId="3" borderId="12" xfId="9" applyNumberFormat="1" applyFont="1" applyFill="1" applyBorder="1" applyAlignment="1">
      <alignment horizontal="center"/>
    </xf>
    <xf numFmtId="3" fontId="34" fillId="3" borderId="13" xfId="9" applyNumberFormat="1" applyFont="1" applyFill="1" applyBorder="1" applyAlignment="1">
      <alignment horizontal="center"/>
    </xf>
    <xf numFmtId="0" fontId="33" fillId="0" borderId="21" xfId="9" applyFont="1" applyBorder="1" applyAlignment="1">
      <alignment horizontal="center" vertical="center"/>
    </xf>
    <xf numFmtId="0" fontId="33" fillId="0" borderId="39" xfId="9" applyFont="1" applyBorder="1"/>
    <xf numFmtId="3" fontId="33" fillId="2" borderId="18" xfId="9" applyNumberFormat="1" applyFont="1" applyFill="1" applyBorder="1" applyAlignment="1">
      <alignment horizontal="center"/>
    </xf>
    <xf numFmtId="3" fontId="34" fillId="2" borderId="39" xfId="9" applyNumberFormat="1" applyFont="1" applyFill="1" applyBorder="1" applyAlignment="1">
      <alignment horizontal="center"/>
    </xf>
    <xf numFmtId="168" fontId="34" fillId="2" borderId="18" xfId="9" applyNumberFormat="1" applyFont="1" applyFill="1" applyBorder="1" applyAlignment="1">
      <alignment horizontal="center"/>
    </xf>
    <xf numFmtId="3" fontId="34" fillId="3" borderId="39" xfId="9" applyNumberFormat="1" applyFont="1" applyFill="1" applyBorder="1" applyAlignment="1">
      <alignment horizontal="center"/>
    </xf>
    <xf numFmtId="3" fontId="34" fillId="3" borderId="18" xfId="9" applyNumberFormat="1" applyFont="1" applyFill="1" applyBorder="1" applyAlignment="1">
      <alignment horizontal="center"/>
    </xf>
    <xf numFmtId="3" fontId="34" fillId="3" borderId="19" xfId="9" applyNumberFormat="1" applyFont="1" applyFill="1" applyBorder="1" applyAlignment="1">
      <alignment horizontal="center"/>
    </xf>
    <xf numFmtId="0" fontId="33" fillId="0" borderId="36" xfId="9" applyFont="1" applyBorder="1" applyAlignment="1">
      <alignment horizontal="right"/>
    </xf>
    <xf numFmtId="0" fontId="31" fillId="0" borderId="9" xfId="9" applyFont="1" applyBorder="1" applyAlignment="1">
      <alignment horizontal="center" vertical="center"/>
    </xf>
    <xf numFmtId="0" fontId="35" fillId="0" borderId="1" xfId="2" quotePrefix="1" applyNumberFormat="1" applyFont="1" applyBorder="1"/>
    <xf numFmtId="3" fontId="34" fillId="3" borderId="0" xfId="9" applyNumberFormat="1" applyFont="1" applyFill="1" applyBorder="1" applyAlignment="1">
      <alignment horizontal="center"/>
    </xf>
    <xf numFmtId="3" fontId="34" fillId="3" borderId="47" xfId="9" applyNumberFormat="1" applyFont="1" applyFill="1" applyBorder="1" applyAlignment="1">
      <alignment horizontal="center"/>
    </xf>
    <xf numFmtId="0" fontId="31" fillId="0" borderId="47" xfId="9" applyFont="1" applyBorder="1" applyAlignment="1">
      <alignment horizontal="center" vertical="center"/>
    </xf>
    <xf numFmtId="3" fontId="34" fillId="2" borderId="14" xfId="9" applyNumberFormat="1" applyFont="1" applyFill="1" applyBorder="1" applyAlignment="1">
      <alignment horizontal="center"/>
    </xf>
    <xf numFmtId="0" fontId="35" fillId="0" borderId="1" xfId="2" quotePrefix="1" applyNumberFormat="1" applyFont="1" applyBorder="1" applyAlignment="1">
      <alignment horizontal="right"/>
    </xf>
    <xf numFmtId="0" fontId="35" fillId="0" borderId="3" xfId="2" quotePrefix="1" applyNumberFormat="1" applyFont="1" applyBorder="1"/>
    <xf numFmtId="3" fontId="34" fillId="2" borderId="34" xfId="9" applyNumberFormat="1" applyFont="1" applyFill="1" applyBorder="1" applyAlignment="1">
      <alignment horizontal="center"/>
    </xf>
    <xf numFmtId="0" fontId="34" fillId="0" borderId="1" xfId="9" applyFont="1" applyBorder="1"/>
    <xf numFmtId="0" fontId="36" fillId="0" borderId="1" xfId="9" applyFont="1" applyBorder="1"/>
    <xf numFmtId="3" fontId="36" fillId="3" borderId="1" xfId="9" applyNumberFormat="1" applyFont="1" applyFill="1" applyBorder="1" applyAlignment="1">
      <alignment horizontal="center"/>
    </xf>
    <xf numFmtId="3" fontId="34" fillId="3" borderId="1" xfId="9" applyNumberFormat="1" applyFont="1" applyFill="1" applyBorder="1" applyAlignment="1">
      <alignment horizontal="center"/>
    </xf>
    <xf numFmtId="3" fontId="34" fillId="3" borderId="1" xfId="9" applyNumberFormat="1" applyFont="1" applyFill="1" applyBorder="1" applyAlignment="1">
      <alignment horizontal="center"/>
    </xf>
  </cellXfs>
  <cellStyles count="16">
    <cellStyle name="Comma 2" xfId="3"/>
    <cellStyle name="Comma 3" xfId="10"/>
    <cellStyle name="Comma 4" xfId="5"/>
    <cellStyle name="Comma 5" xfId="13"/>
    <cellStyle name="Normal" xfId="0" builtinId="0"/>
    <cellStyle name="Normal 2" xfId="2"/>
    <cellStyle name="Normal 2 2" xfId="4"/>
    <cellStyle name="Normal 3" xfId="8"/>
    <cellStyle name="Normal 4" xfId="12"/>
    <cellStyle name="Normal_היטל טירת כרמל טיוטה ד 5.01.03 2" xfId="15"/>
    <cellStyle name="Normal_מקור" xfId="1"/>
    <cellStyle name="Normal_שטחים לפי תבע 5.8.04" xfId="9"/>
    <cellStyle name="Percent 2" xfId="6"/>
    <cellStyle name="Percent 3" xfId="7"/>
    <cellStyle name="Percent 4" xfId="11"/>
    <cellStyle name="Percent 5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ffice/&#1508;&#1512;&#1493;&#1497;&#1497;&#1511;&#1496;&#1497;&#1501;/&#1508;&#1512;&#1493;&#1497;&#1497;&#1511;&#1496;&#1497;&#1501;%20&#1489;&#1506;&#1489;&#1493;&#1491;&#1492;/&#1496;&#1497;&#1512;&#1514;%20&#1499;&#1512;&#1502;&#1500;/&#1492;&#1497;&#1496;&#1500;%20&#1505;&#1500;&#1497;&#1500;&#1492;/&#1506;&#1489;&#1493;&#1491;&#1492;/&#1502;&#1511;&#1493;&#151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492;&#1497;&#1496;&#1500;%20&#1505;&#1500;&#1497;&#1500;&#1492;%20&#1514;&#1513;&#1514;&#1497;&#1493;&#1514;%20&#1508;&#1504;&#1497;&#1501;%20&#1493;&#1506;&#1500;%20-&#1502;&#1506;&#1493;&#1491;&#1499;&#1503;/&#1492;&#1497;&#1496;&#1500;%20&#1505;&#1500;&#1497;&#1500;&#1514;%20&#1499;&#1489;&#1497;&#1513;&#1497;&#1501;%20&#1493;&#1502;&#1491;&#1512;&#1499;&#1493;&#1514;%20&#1496;&#1497;&#1512;&#1514;%20-%20&#1499;&#1512;&#1502;&#1500;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שטחים קיימים"/>
      <sheetName val="תוספת שטחים  "/>
      <sheetName val="עלות מדרכה"/>
      <sheetName val="עלות אי תנועה"/>
      <sheetName val="עלות מיסעה או חניה"/>
      <sheetName val="עלות גינון"/>
      <sheetName val="עלות עמוד תאורה 12 מ' "/>
      <sheetName val="עלות עמוד תאורה 10 מ"/>
      <sheetName val="זכויות דרך"/>
      <sheetName val="סיכום זכויות דרך"/>
      <sheetName val="תוספת שטחים "/>
    </sheetNames>
    <sheetDataSet>
      <sheetData sheetId="0" refreshError="1"/>
      <sheetData sheetId="1" refreshError="1"/>
      <sheetData sheetId="2">
        <row r="18">
          <cell r="G18">
            <v>1.3777815010756931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שטחים "/>
      <sheetName val="ריכוז שטחים"/>
      <sheetName val="סקר דרכים"/>
      <sheetName val="עלויות סלילה ל מ&quot;ר דרך"/>
      <sheetName val="סיכום עלויות ישירות"/>
      <sheetName val="חישוב היטל סלילת כבישים"/>
      <sheetName val="חישוב היטל סלילת מדרכות"/>
      <sheetName val="אחוזי שינוי "/>
    </sheetNames>
    <sheetDataSet>
      <sheetData sheetId="0">
        <row r="11">
          <cell r="C11">
            <v>50853</v>
          </cell>
          <cell r="D11">
            <v>88763.035999999993</v>
          </cell>
        </row>
        <row r="16">
          <cell r="C16">
            <v>32243</v>
          </cell>
          <cell r="D16">
            <v>21688</v>
          </cell>
        </row>
        <row r="17">
          <cell r="C17">
            <v>75115</v>
          </cell>
          <cell r="D17">
            <v>177625</v>
          </cell>
        </row>
        <row r="18">
          <cell r="C18">
            <v>20539</v>
          </cell>
          <cell r="D18">
            <v>94620</v>
          </cell>
        </row>
        <row r="19">
          <cell r="C19">
            <v>17054</v>
          </cell>
          <cell r="D19">
            <v>63460</v>
          </cell>
        </row>
        <row r="20">
          <cell r="C20">
            <v>29290</v>
          </cell>
          <cell r="D20">
            <v>275326</v>
          </cell>
        </row>
        <row r="21">
          <cell r="C21">
            <v>7620</v>
          </cell>
          <cell r="D21">
            <v>32240</v>
          </cell>
        </row>
        <row r="56">
          <cell r="D56">
            <v>43120</v>
          </cell>
          <cell r="E56">
            <v>51700</v>
          </cell>
        </row>
        <row r="68">
          <cell r="F68">
            <v>678</v>
          </cell>
          <cell r="G68">
            <v>1130</v>
          </cell>
        </row>
        <row r="69">
          <cell r="F69">
            <v>54020</v>
          </cell>
          <cell r="G69">
            <v>62553</v>
          </cell>
        </row>
        <row r="75">
          <cell r="C75">
            <v>8581.15</v>
          </cell>
          <cell r="D75">
            <v>7952</v>
          </cell>
        </row>
        <row r="76">
          <cell r="C76">
            <v>105525.75</v>
          </cell>
          <cell r="D76">
            <v>183940</v>
          </cell>
        </row>
        <row r="77">
          <cell r="C77">
            <v>1322.72</v>
          </cell>
          <cell r="D77">
            <v>1491</v>
          </cell>
        </row>
        <row r="78">
          <cell r="C78">
            <v>5864.25</v>
          </cell>
          <cell r="D78">
            <v>11810</v>
          </cell>
        </row>
        <row r="79">
          <cell r="C79">
            <v>16093.65</v>
          </cell>
          <cell r="D79">
            <v>40628</v>
          </cell>
        </row>
        <row r="80">
          <cell r="C80">
            <v>27875.15</v>
          </cell>
          <cell r="D80">
            <v>164212</v>
          </cell>
        </row>
        <row r="81">
          <cell r="C81">
            <v>47686.94</v>
          </cell>
          <cell r="D81">
            <v>232669</v>
          </cell>
        </row>
        <row r="82">
          <cell r="C82">
            <v>5392.34</v>
          </cell>
          <cell r="D82">
            <v>2960</v>
          </cell>
        </row>
        <row r="83">
          <cell r="C83">
            <v>21084.51</v>
          </cell>
          <cell r="D83">
            <v>1054.2</v>
          </cell>
        </row>
        <row r="84">
          <cell r="C84">
            <v>8258.93</v>
          </cell>
          <cell r="D84">
            <v>16518</v>
          </cell>
        </row>
      </sheetData>
      <sheetData sheetId="1"/>
      <sheetData sheetId="2" refreshError="1"/>
      <sheetData sheetId="3" refreshError="1"/>
      <sheetData sheetId="4" refreshError="1"/>
      <sheetData sheetId="5">
        <row r="18">
          <cell r="E18">
            <v>54.041932311219448</v>
          </cell>
        </row>
      </sheetData>
      <sheetData sheetId="6">
        <row r="16">
          <cell r="E16">
            <v>13.510483077804862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29"/>
  <sheetViews>
    <sheetView rightToLeft="1" zoomScaleNormal="100" zoomScaleSheetLayoutView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J110" sqref="A5:J110"/>
    </sheetView>
  </sheetViews>
  <sheetFormatPr defaultColWidth="8" defaultRowHeight="12.75" x14ac:dyDescent="0.2"/>
  <cols>
    <col min="1" max="1" width="10.25" style="160" bestFit="1" customWidth="1"/>
    <col min="2" max="2" width="6.5" style="160" customWidth="1"/>
    <col min="3" max="3" width="8" style="160" customWidth="1"/>
    <col min="4" max="4" width="8.5" style="160" bestFit="1" customWidth="1"/>
    <col min="5" max="5" width="5.625" style="160" customWidth="1"/>
    <col min="6" max="6" width="7.125" style="160" customWidth="1"/>
    <col min="7" max="7" width="5.25" style="160" customWidth="1"/>
    <col min="8" max="8" width="5.625" style="160" customWidth="1"/>
    <col min="9" max="9" width="7.625" style="160" customWidth="1"/>
    <col min="10" max="10" width="6.625" style="160" customWidth="1"/>
    <col min="11" max="11" width="3.25" style="160" customWidth="1"/>
    <col min="12" max="256" width="8" style="160"/>
    <col min="257" max="257" width="10.25" style="160" bestFit="1" customWidth="1"/>
    <col min="258" max="258" width="16.75" style="160" bestFit="1" customWidth="1"/>
    <col min="259" max="259" width="12.875" style="160" customWidth="1"/>
    <col min="260" max="260" width="8.5" style="160" bestFit="1" customWidth="1"/>
    <col min="261" max="261" width="10.875" style="160" customWidth="1"/>
    <col min="262" max="262" width="9" style="160" customWidth="1"/>
    <col min="263" max="263" width="13.875" style="160" customWidth="1"/>
    <col min="264" max="264" width="10.625" style="160" customWidth="1"/>
    <col min="265" max="265" width="9.625" style="160" customWidth="1"/>
    <col min="266" max="266" width="8.375" style="160" customWidth="1"/>
    <col min="267" max="267" width="3.25" style="160" customWidth="1"/>
    <col min="268" max="512" width="8" style="160"/>
    <col min="513" max="513" width="10.25" style="160" bestFit="1" customWidth="1"/>
    <col min="514" max="514" width="16.75" style="160" bestFit="1" customWidth="1"/>
    <col min="515" max="515" width="12.875" style="160" customWidth="1"/>
    <col min="516" max="516" width="8.5" style="160" bestFit="1" customWidth="1"/>
    <col min="517" max="517" width="10.875" style="160" customWidth="1"/>
    <col min="518" max="518" width="9" style="160" customWidth="1"/>
    <col min="519" max="519" width="13.875" style="160" customWidth="1"/>
    <col min="520" max="520" width="10.625" style="160" customWidth="1"/>
    <col min="521" max="521" width="9.625" style="160" customWidth="1"/>
    <col min="522" max="522" width="8.375" style="160" customWidth="1"/>
    <col min="523" max="523" width="3.25" style="160" customWidth="1"/>
    <col min="524" max="768" width="8" style="160"/>
    <col min="769" max="769" width="10.25" style="160" bestFit="1" customWidth="1"/>
    <col min="770" max="770" width="16.75" style="160" bestFit="1" customWidth="1"/>
    <col min="771" max="771" width="12.875" style="160" customWidth="1"/>
    <col min="772" max="772" width="8.5" style="160" bestFit="1" customWidth="1"/>
    <col min="773" max="773" width="10.875" style="160" customWidth="1"/>
    <col min="774" max="774" width="9" style="160" customWidth="1"/>
    <col min="775" max="775" width="13.875" style="160" customWidth="1"/>
    <col min="776" max="776" width="10.625" style="160" customWidth="1"/>
    <col min="777" max="777" width="9.625" style="160" customWidth="1"/>
    <col min="778" max="778" width="8.375" style="160" customWidth="1"/>
    <col min="779" max="779" width="3.25" style="160" customWidth="1"/>
    <col min="780" max="1024" width="8" style="160"/>
    <col min="1025" max="1025" width="10.25" style="160" bestFit="1" customWidth="1"/>
    <col min="1026" max="1026" width="16.75" style="160" bestFit="1" customWidth="1"/>
    <col min="1027" max="1027" width="12.875" style="160" customWidth="1"/>
    <col min="1028" max="1028" width="8.5" style="160" bestFit="1" customWidth="1"/>
    <col min="1029" max="1029" width="10.875" style="160" customWidth="1"/>
    <col min="1030" max="1030" width="9" style="160" customWidth="1"/>
    <col min="1031" max="1031" width="13.875" style="160" customWidth="1"/>
    <col min="1032" max="1032" width="10.625" style="160" customWidth="1"/>
    <col min="1033" max="1033" width="9.625" style="160" customWidth="1"/>
    <col min="1034" max="1034" width="8.375" style="160" customWidth="1"/>
    <col min="1035" max="1035" width="3.25" style="160" customWidth="1"/>
    <col min="1036" max="1280" width="8" style="160"/>
    <col min="1281" max="1281" width="10.25" style="160" bestFit="1" customWidth="1"/>
    <col min="1282" max="1282" width="16.75" style="160" bestFit="1" customWidth="1"/>
    <col min="1283" max="1283" width="12.875" style="160" customWidth="1"/>
    <col min="1284" max="1284" width="8.5" style="160" bestFit="1" customWidth="1"/>
    <col min="1285" max="1285" width="10.875" style="160" customWidth="1"/>
    <col min="1286" max="1286" width="9" style="160" customWidth="1"/>
    <col min="1287" max="1287" width="13.875" style="160" customWidth="1"/>
    <col min="1288" max="1288" width="10.625" style="160" customWidth="1"/>
    <col min="1289" max="1289" width="9.625" style="160" customWidth="1"/>
    <col min="1290" max="1290" width="8.375" style="160" customWidth="1"/>
    <col min="1291" max="1291" width="3.25" style="160" customWidth="1"/>
    <col min="1292" max="1536" width="8" style="160"/>
    <col min="1537" max="1537" width="10.25" style="160" bestFit="1" customWidth="1"/>
    <col min="1538" max="1538" width="16.75" style="160" bestFit="1" customWidth="1"/>
    <col min="1539" max="1539" width="12.875" style="160" customWidth="1"/>
    <col min="1540" max="1540" width="8.5" style="160" bestFit="1" customWidth="1"/>
    <col min="1541" max="1541" width="10.875" style="160" customWidth="1"/>
    <col min="1542" max="1542" width="9" style="160" customWidth="1"/>
    <col min="1543" max="1543" width="13.875" style="160" customWidth="1"/>
    <col min="1544" max="1544" width="10.625" style="160" customWidth="1"/>
    <col min="1545" max="1545" width="9.625" style="160" customWidth="1"/>
    <col min="1546" max="1546" width="8.375" style="160" customWidth="1"/>
    <col min="1547" max="1547" width="3.25" style="160" customWidth="1"/>
    <col min="1548" max="1792" width="8" style="160"/>
    <col min="1793" max="1793" width="10.25" style="160" bestFit="1" customWidth="1"/>
    <col min="1794" max="1794" width="16.75" style="160" bestFit="1" customWidth="1"/>
    <col min="1795" max="1795" width="12.875" style="160" customWidth="1"/>
    <col min="1796" max="1796" width="8.5" style="160" bestFit="1" customWidth="1"/>
    <col min="1797" max="1797" width="10.875" style="160" customWidth="1"/>
    <col min="1798" max="1798" width="9" style="160" customWidth="1"/>
    <col min="1799" max="1799" width="13.875" style="160" customWidth="1"/>
    <col min="1800" max="1800" width="10.625" style="160" customWidth="1"/>
    <col min="1801" max="1801" width="9.625" style="160" customWidth="1"/>
    <col min="1802" max="1802" width="8.375" style="160" customWidth="1"/>
    <col min="1803" max="1803" width="3.25" style="160" customWidth="1"/>
    <col min="1804" max="2048" width="8" style="160"/>
    <col min="2049" max="2049" width="10.25" style="160" bestFit="1" customWidth="1"/>
    <col min="2050" max="2050" width="16.75" style="160" bestFit="1" customWidth="1"/>
    <col min="2051" max="2051" width="12.875" style="160" customWidth="1"/>
    <col min="2052" max="2052" width="8.5" style="160" bestFit="1" customWidth="1"/>
    <col min="2053" max="2053" width="10.875" style="160" customWidth="1"/>
    <col min="2054" max="2054" width="9" style="160" customWidth="1"/>
    <col min="2055" max="2055" width="13.875" style="160" customWidth="1"/>
    <col min="2056" max="2056" width="10.625" style="160" customWidth="1"/>
    <col min="2057" max="2057" width="9.625" style="160" customWidth="1"/>
    <col min="2058" max="2058" width="8.375" style="160" customWidth="1"/>
    <col min="2059" max="2059" width="3.25" style="160" customWidth="1"/>
    <col min="2060" max="2304" width="8" style="160"/>
    <col min="2305" max="2305" width="10.25" style="160" bestFit="1" customWidth="1"/>
    <col min="2306" max="2306" width="16.75" style="160" bestFit="1" customWidth="1"/>
    <col min="2307" max="2307" width="12.875" style="160" customWidth="1"/>
    <col min="2308" max="2308" width="8.5" style="160" bestFit="1" customWidth="1"/>
    <col min="2309" max="2309" width="10.875" style="160" customWidth="1"/>
    <col min="2310" max="2310" width="9" style="160" customWidth="1"/>
    <col min="2311" max="2311" width="13.875" style="160" customWidth="1"/>
    <col min="2312" max="2312" width="10.625" style="160" customWidth="1"/>
    <col min="2313" max="2313" width="9.625" style="160" customWidth="1"/>
    <col min="2314" max="2314" width="8.375" style="160" customWidth="1"/>
    <col min="2315" max="2315" width="3.25" style="160" customWidth="1"/>
    <col min="2316" max="2560" width="8" style="160"/>
    <col min="2561" max="2561" width="10.25" style="160" bestFit="1" customWidth="1"/>
    <col min="2562" max="2562" width="16.75" style="160" bestFit="1" customWidth="1"/>
    <col min="2563" max="2563" width="12.875" style="160" customWidth="1"/>
    <col min="2564" max="2564" width="8.5" style="160" bestFit="1" customWidth="1"/>
    <col min="2565" max="2565" width="10.875" style="160" customWidth="1"/>
    <col min="2566" max="2566" width="9" style="160" customWidth="1"/>
    <col min="2567" max="2567" width="13.875" style="160" customWidth="1"/>
    <col min="2568" max="2568" width="10.625" style="160" customWidth="1"/>
    <col min="2569" max="2569" width="9.625" style="160" customWidth="1"/>
    <col min="2570" max="2570" width="8.375" style="160" customWidth="1"/>
    <col min="2571" max="2571" width="3.25" style="160" customWidth="1"/>
    <col min="2572" max="2816" width="8" style="160"/>
    <col min="2817" max="2817" width="10.25" style="160" bestFit="1" customWidth="1"/>
    <col min="2818" max="2818" width="16.75" style="160" bestFit="1" customWidth="1"/>
    <col min="2819" max="2819" width="12.875" style="160" customWidth="1"/>
    <col min="2820" max="2820" width="8.5" style="160" bestFit="1" customWidth="1"/>
    <col min="2821" max="2821" width="10.875" style="160" customWidth="1"/>
    <col min="2822" max="2822" width="9" style="160" customWidth="1"/>
    <col min="2823" max="2823" width="13.875" style="160" customWidth="1"/>
    <col min="2824" max="2824" width="10.625" style="160" customWidth="1"/>
    <col min="2825" max="2825" width="9.625" style="160" customWidth="1"/>
    <col min="2826" max="2826" width="8.375" style="160" customWidth="1"/>
    <col min="2827" max="2827" width="3.25" style="160" customWidth="1"/>
    <col min="2828" max="3072" width="8" style="160"/>
    <col min="3073" max="3073" width="10.25" style="160" bestFit="1" customWidth="1"/>
    <col min="3074" max="3074" width="16.75" style="160" bestFit="1" customWidth="1"/>
    <col min="3075" max="3075" width="12.875" style="160" customWidth="1"/>
    <col min="3076" max="3076" width="8.5" style="160" bestFit="1" customWidth="1"/>
    <col min="3077" max="3077" width="10.875" style="160" customWidth="1"/>
    <col min="3078" max="3078" width="9" style="160" customWidth="1"/>
    <col min="3079" max="3079" width="13.875" style="160" customWidth="1"/>
    <col min="3080" max="3080" width="10.625" style="160" customWidth="1"/>
    <col min="3081" max="3081" width="9.625" style="160" customWidth="1"/>
    <col min="3082" max="3082" width="8.375" style="160" customWidth="1"/>
    <col min="3083" max="3083" width="3.25" style="160" customWidth="1"/>
    <col min="3084" max="3328" width="8" style="160"/>
    <col min="3329" max="3329" width="10.25" style="160" bestFit="1" customWidth="1"/>
    <col min="3330" max="3330" width="16.75" style="160" bestFit="1" customWidth="1"/>
    <col min="3331" max="3331" width="12.875" style="160" customWidth="1"/>
    <col min="3332" max="3332" width="8.5" style="160" bestFit="1" customWidth="1"/>
    <col min="3333" max="3333" width="10.875" style="160" customWidth="1"/>
    <col min="3334" max="3334" width="9" style="160" customWidth="1"/>
    <col min="3335" max="3335" width="13.875" style="160" customWidth="1"/>
    <col min="3336" max="3336" width="10.625" style="160" customWidth="1"/>
    <col min="3337" max="3337" width="9.625" style="160" customWidth="1"/>
    <col min="3338" max="3338" width="8.375" style="160" customWidth="1"/>
    <col min="3339" max="3339" width="3.25" style="160" customWidth="1"/>
    <col min="3340" max="3584" width="8" style="160"/>
    <col min="3585" max="3585" width="10.25" style="160" bestFit="1" customWidth="1"/>
    <col min="3586" max="3586" width="16.75" style="160" bestFit="1" customWidth="1"/>
    <col min="3587" max="3587" width="12.875" style="160" customWidth="1"/>
    <col min="3588" max="3588" width="8.5" style="160" bestFit="1" customWidth="1"/>
    <col min="3589" max="3589" width="10.875" style="160" customWidth="1"/>
    <col min="3590" max="3590" width="9" style="160" customWidth="1"/>
    <col min="3591" max="3591" width="13.875" style="160" customWidth="1"/>
    <col min="3592" max="3592" width="10.625" style="160" customWidth="1"/>
    <col min="3593" max="3593" width="9.625" style="160" customWidth="1"/>
    <col min="3594" max="3594" width="8.375" style="160" customWidth="1"/>
    <col min="3595" max="3595" width="3.25" style="160" customWidth="1"/>
    <col min="3596" max="3840" width="8" style="160"/>
    <col min="3841" max="3841" width="10.25" style="160" bestFit="1" customWidth="1"/>
    <col min="3842" max="3842" width="16.75" style="160" bestFit="1" customWidth="1"/>
    <col min="3843" max="3843" width="12.875" style="160" customWidth="1"/>
    <col min="3844" max="3844" width="8.5" style="160" bestFit="1" customWidth="1"/>
    <col min="3845" max="3845" width="10.875" style="160" customWidth="1"/>
    <col min="3846" max="3846" width="9" style="160" customWidth="1"/>
    <col min="3847" max="3847" width="13.875" style="160" customWidth="1"/>
    <col min="3848" max="3848" width="10.625" style="160" customWidth="1"/>
    <col min="3849" max="3849" width="9.625" style="160" customWidth="1"/>
    <col min="3850" max="3850" width="8.375" style="160" customWidth="1"/>
    <col min="3851" max="3851" width="3.25" style="160" customWidth="1"/>
    <col min="3852" max="4096" width="8" style="160"/>
    <col min="4097" max="4097" width="10.25" style="160" bestFit="1" customWidth="1"/>
    <col min="4098" max="4098" width="16.75" style="160" bestFit="1" customWidth="1"/>
    <col min="4099" max="4099" width="12.875" style="160" customWidth="1"/>
    <col min="4100" max="4100" width="8.5" style="160" bestFit="1" customWidth="1"/>
    <col min="4101" max="4101" width="10.875" style="160" customWidth="1"/>
    <col min="4102" max="4102" width="9" style="160" customWidth="1"/>
    <col min="4103" max="4103" width="13.875" style="160" customWidth="1"/>
    <col min="4104" max="4104" width="10.625" style="160" customWidth="1"/>
    <col min="4105" max="4105" width="9.625" style="160" customWidth="1"/>
    <col min="4106" max="4106" width="8.375" style="160" customWidth="1"/>
    <col min="4107" max="4107" width="3.25" style="160" customWidth="1"/>
    <col min="4108" max="4352" width="8" style="160"/>
    <col min="4353" max="4353" width="10.25" style="160" bestFit="1" customWidth="1"/>
    <col min="4354" max="4354" width="16.75" style="160" bestFit="1" customWidth="1"/>
    <col min="4355" max="4355" width="12.875" style="160" customWidth="1"/>
    <col min="4356" max="4356" width="8.5" style="160" bestFit="1" customWidth="1"/>
    <col min="4357" max="4357" width="10.875" style="160" customWidth="1"/>
    <col min="4358" max="4358" width="9" style="160" customWidth="1"/>
    <col min="4359" max="4359" width="13.875" style="160" customWidth="1"/>
    <col min="4360" max="4360" width="10.625" style="160" customWidth="1"/>
    <col min="4361" max="4361" width="9.625" style="160" customWidth="1"/>
    <col min="4362" max="4362" width="8.375" style="160" customWidth="1"/>
    <col min="4363" max="4363" width="3.25" style="160" customWidth="1"/>
    <col min="4364" max="4608" width="8" style="160"/>
    <col min="4609" max="4609" width="10.25" style="160" bestFit="1" customWidth="1"/>
    <col min="4610" max="4610" width="16.75" style="160" bestFit="1" customWidth="1"/>
    <col min="4611" max="4611" width="12.875" style="160" customWidth="1"/>
    <col min="4612" max="4612" width="8.5" style="160" bestFit="1" customWidth="1"/>
    <col min="4613" max="4613" width="10.875" style="160" customWidth="1"/>
    <col min="4614" max="4614" width="9" style="160" customWidth="1"/>
    <col min="4615" max="4615" width="13.875" style="160" customWidth="1"/>
    <col min="4616" max="4616" width="10.625" style="160" customWidth="1"/>
    <col min="4617" max="4617" width="9.625" style="160" customWidth="1"/>
    <col min="4618" max="4618" width="8.375" style="160" customWidth="1"/>
    <col min="4619" max="4619" width="3.25" style="160" customWidth="1"/>
    <col min="4620" max="4864" width="8" style="160"/>
    <col min="4865" max="4865" width="10.25" style="160" bestFit="1" customWidth="1"/>
    <col min="4866" max="4866" width="16.75" style="160" bestFit="1" customWidth="1"/>
    <col min="4867" max="4867" width="12.875" style="160" customWidth="1"/>
    <col min="4868" max="4868" width="8.5" style="160" bestFit="1" customWidth="1"/>
    <col min="4869" max="4869" width="10.875" style="160" customWidth="1"/>
    <col min="4870" max="4870" width="9" style="160" customWidth="1"/>
    <col min="4871" max="4871" width="13.875" style="160" customWidth="1"/>
    <col min="4872" max="4872" width="10.625" style="160" customWidth="1"/>
    <col min="4873" max="4873" width="9.625" style="160" customWidth="1"/>
    <col min="4874" max="4874" width="8.375" style="160" customWidth="1"/>
    <col min="4875" max="4875" width="3.25" style="160" customWidth="1"/>
    <col min="4876" max="5120" width="8" style="160"/>
    <col min="5121" max="5121" width="10.25" style="160" bestFit="1" customWidth="1"/>
    <col min="5122" max="5122" width="16.75" style="160" bestFit="1" customWidth="1"/>
    <col min="5123" max="5123" width="12.875" style="160" customWidth="1"/>
    <col min="5124" max="5124" width="8.5" style="160" bestFit="1" customWidth="1"/>
    <col min="5125" max="5125" width="10.875" style="160" customWidth="1"/>
    <col min="5126" max="5126" width="9" style="160" customWidth="1"/>
    <col min="5127" max="5127" width="13.875" style="160" customWidth="1"/>
    <col min="5128" max="5128" width="10.625" style="160" customWidth="1"/>
    <col min="5129" max="5129" width="9.625" style="160" customWidth="1"/>
    <col min="5130" max="5130" width="8.375" style="160" customWidth="1"/>
    <col min="5131" max="5131" width="3.25" style="160" customWidth="1"/>
    <col min="5132" max="5376" width="8" style="160"/>
    <col min="5377" max="5377" width="10.25" style="160" bestFit="1" customWidth="1"/>
    <col min="5378" max="5378" width="16.75" style="160" bestFit="1" customWidth="1"/>
    <col min="5379" max="5379" width="12.875" style="160" customWidth="1"/>
    <col min="5380" max="5380" width="8.5" style="160" bestFit="1" customWidth="1"/>
    <col min="5381" max="5381" width="10.875" style="160" customWidth="1"/>
    <col min="5382" max="5382" width="9" style="160" customWidth="1"/>
    <col min="5383" max="5383" width="13.875" style="160" customWidth="1"/>
    <col min="5384" max="5384" width="10.625" style="160" customWidth="1"/>
    <col min="5385" max="5385" width="9.625" style="160" customWidth="1"/>
    <col min="5386" max="5386" width="8.375" style="160" customWidth="1"/>
    <col min="5387" max="5387" width="3.25" style="160" customWidth="1"/>
    <col min="5388" max="5632" width="8" style="160"/>
    <col min="5633" max="5633" width="10.25" style="160" bestFit="1" customWidth="1"/>
    <col min="5634" max="5634" width="16.75" style="160" bestFit="1" customWidth="1"/>
    <col min="5635" max="5635" width="12.875" style="160" customWidth="1"/>
    <col min="5636" max="5636" width="8.5" style="160" bestFit="1" customWidth="1"/>
    <col min="5637" max="5637" width="10.875" style="160" customWidth="1"/>
    <col min="5638" max="5638" width="9" style="160" customWidth="1"/>
    <col min="5639" max="5639" width="13.875" style="160" customWidth="1"/>
    <col min="5640" max="5640" width="10.625" style="160" customWidth="1"/>
    <col min="5641" max="5641" width="9.625" style="160" customWidth="1"/>
    <col min="5642" max="5642" width="8.375" style="160" customWidth="1"/>
    <col min="5643" max="5643" width="3.25" style="160" customWidth="1"/>
    <col min="5644" max="5888" width="8" style="160"/>
    <col min="5889" max="5889" width="10.25" style="160" bestFit="1" customWidth="1"/>
    <col min="5890" max="5890" width="16.75" style="160" bestFit="1" customWidth="1"/>
    <col min="5891" max="5891" width="12.875" style="160" customWidth="1"/>
    <col min="5892" max="5892" width="8.5" style="160" bestFit="1" customWidth="1"/>
    <col min="5893" max="5893" width="10.875" style="160" customWidth="1"/>
    <col min="5894" max="5894" width="9" style="160" customWidth="1"/>
    <col min="5895" max="5895" width="13.875" style="160" customWidth="1"/>
    <col min="5896" max="5896" width="10.625" style="160" customWidth="1"/>
    <col min="5897" max="5897" width="9.625" style="160" customWidth="1"/>
    <col min="5898" max="5898" width="8.375" style="160" customWidth="1"/>
    <col min="5899" max="5899" width="3.25" style="160" customWidth="1"/>
    <col min="5900" max="6144" width="8" style="160"/>
    <col min="6145" max="6145" width="10.25" style="160" bestFit="1" customWidth="1"/>
    <col min="6146" max="6146" width="16.75" style="160" bestFit="1" customWidth="1"/>
    <col min="6147" max="6147" width="12.875" style="160" customWidth="1"/>
    <col min="6148" max="6148" width="8.5" style="160" bestFit="1" customWidth="1"/>
    <col min="6149" max="6149" width="10.875" style="160" customWidth="1"/>
    <col min="6150" max="6150" width="9" style="160" customWidth="1"/>
    <col min="6151" max="6151" width="13.875" style="160" customWidth="1"/>
    <col min="6152" max="6152" width="10.625" style="160" customWidth="1"/>
    <col min="6153" max="6153" width="9.625" style="160" customWidth="1"/>
    <col min="6154" max="6154" width="8.375" style="160" customWidth="1"/>
    <col min="6155" max="6155" width="3.25" style="160" customWidth="1"/>
    <col min="6156" max="6400" width="8" style="160"/>
    <col min="6401" max="6401" width="10.25" style="160" bestFit="1" customWidth="1"/>
    <col min="6402" max="6402" width="16.75" style="160" bestFit="1" customWidth="1"/>
    <col min="6403" max="6403" width="12.875" style="160" customWidth="1"/>
    <col min="6404" max="6404" width="8.5" style="160" bestFit="1" customWidth="1"/>
    <col min="6405" max="6405" width="10.875" style="160" customWidth="1"/>
    <col min="6406" max="6406" width="9" style="160" customWidth="1"/>
    <col min="6407" max="6407" width="13.875" style="160" customWidth="1"/>
    <col min="6408" max="6408" width="10.625" style="160" customWidth="1"/>
    <col min="6409" max="6409" width="9.625" style="160" customWidth="1"/>
    <col min="6410" max="6410" width="8.375" style="160" customWidth="1"/>
    <col min="6411" max="6411" width="3.25" style="160" customWidth="1"/>
    <col min="6412" max="6656" width="8" style="160"/>
    <col min="6657" max="6657" width="10.25" style="160" bestFit="1" customWidth="1"/>
    <col min="6658" max="6658" width="16.75" style="160" bestFit="1" customWidth="1"/>
    <col min="6659" max="6659" width="12.875" style="160" customWidth="1"/>
    <col min="6660" max="6660" width="8.5" style="160" bestFit="1" customWidth="1"/>
    <col min="6661" max="6661" width="10.875" style="160" customWidth="1"/>
    <col min="6662" max="6662" width="9" style="160" customWidth="1"/>
    <col min="6663" max="6663" width="13.875" style="160" customWidth="1"/>
    <col min="6664" max="6664" width="10.625" style="160" customWidth="1"/>
    <col min="6665" max="6665" width="9.625" style="160" customWidth="1"/>
    <col min="6666" max="6666" width="8.375" style="160" customWidth="1"/>
    <col min="6667" max="6667" width="3.25" style="160" customWidth="1"/>
    <col min="6668" max="6912" width="8" style="160"/>
    <col min="6913" max="6913" width="10.25" style="160" bestFit="1" customWidth="1"/>
    <col min="6914" max="6914" width="16.75" style="160" bestFit="1" customWidth="1"/>
    <col min="6915" max="6915" width="12.875" style="160" customWidth="1"/>
    <col min="6916" max="6916" width="8.5" style="160" bestFit="1" customWidth="1"/>
    <col min="6917" max="6917" width="10.875" style="160" customWidth="1"/>
    <col min="6918" max="6918" width="9" style="160" customWidth="1"/>
    <col min="6919" max="6919" width="13.875" style="160" customWidth="1"/>
    <col min="6920" max="6920" width="10.625" style="160" customWidth="1"/>
    <col min="6921" max="6921" width="9.625" style="160" customWidth="1"/>
    <col min="6922" max="6922" width="8.375" style="160" customWidth="1"/>
    <col min="6923" max="6923" width="3.25" style="160" customWidth="1"/>
    <col min="6924" max="7168" width="8" style="160"/>
    <col min="7169" max="7169" width="10.25" style="160" bestFit="1" customWidth="1"/>
    <col min="7170" max="7170" width="16.75" style="160" bestFit="1" customWidth="1"/>
    <col min="7171" max="7171" width="12.875" style="160" customWidth="1"/>
    <col min="7172" max="7172" width="8.5" style="160" bestFit="1" customWidth="1"/>
    <col min="7173" max="7173" width="10.875" style="160" customWidth="1"/>
    <col min="7174" max="7174" width="9" style="160" customWidth="1"/>
    <col min="7175" max="7175" width="13.875" style="160" customWidth="1"/>
    <col min="7176" max="7176" width="10.625" style="160" customWidth="1"/>
    <col min="7177" max="7177" width="9.625" style="160" customWidth="1"/>
    <col min="7178" max="7178" width="8.375" style="160" customWidth="1"/>
    <col min="7179" max="7179" width="3.25" style="160" customWidth="1"/>
    <col min="7180" max="7424" width="8" style="160"/>
    <col min="7425" max="7425" width="10.25" style="160" bestFit="1" customWidth="1"/>
    <col min="7426" max="7426" width="16.75" style="160" bestFit="1" customWidth="1"/>
    <col min="7427" max="7427" width="12.875" style="160" customWidth="1"/>
    <col min="7428" max="7428" width="8.5" style="160" bestFit="1" customWidth="1"/>
    <col min="7429" max="7429" width="10.875" style="160" customWidth="1"/>
    <col min="7430" max="7430" width="9" style="160" customWidth="1"/>
    <col min="7431" max="7431" width="13.875" style="160" customWidth="1"/>
    <col min="7432" max="7432" width="10.625" style="160" customWidth="1"/>
    <col min="7433" max="7433" width="9.625" style="160" customWidth="1"/>
    <col min="7434" max="7434" width="8.375" style="160" customWidth="1"/>
    <col min="7435" max="7435" width="3.25" style="160" customWidth="1"/>
    <col min="7436" max="7680" width="8" style="160"/>
    <col min="7681" max="7681" width="10.25" style="160" bestFit="1" customWidth="1"/>
    <col min="7682" max="7682" width="16.75" style="160" bestFit="1" customWidth="1"/>
    <col min="7683" max="7683" width="12.875" style="160" customWidth="1"/>
    <col min="7684" max="7684" width="8.5" style="160" bestFit="1" customWidth="1"/>
    <col min="7685" max="7685" width="10.875" style="160" customWidth="1"/>
    <col min="7686" max="7686" width="9" style="160" customWidth="1"/>
    <col min="7687" max="7687" width="13.875" style="160" customWidth="1"/>
    <col min="7688" max="7688" width="10.625" style="160" customWidth="1"/>
    <col min="7689" max="7689" width="9.625" style="160" customWidth="1"/>
    <col min="7690" max="7690" width="8.375" style="160" customWidth="1"/>
    <col min="7691" max="7691" width="3.25" style="160" customWidth="1"/>
    <col min="7692" max="7936" width="8" style="160"/>
    <col min="7937" max="7937" width="10.25" style="160" bestFit="1" customWidth="1"/>
    <col min="7938" max="7938" width="16.75" style="160" bestFit="1" customWidth="1"/>
    <col min="7939" max="7939" width="12.875" style="160" customWidth="1"/>
    <col min="7940" max="7940" width="8.5" style="160" bestFit="1" customWidth="1"/>
    <col min="7941" max="7941" width="10.875" style="160" customWidth="1"/>
    <col min="7942" max="7942" width="9" style="160" customWidth="1"/>
    <col min="7943" max="7943" width="13.875" style="160" customWidth="1"/>
    <col min="7944" max="7944" width="10.625" style="160" customWidth="1"/>
    <col min="7945" max="7945" width="9.625" style="160" customWidth="1"/>
    <col min="7946" max="7946" width="8.375" style="160" customWidth="1"/>
    <col min="7947" max="7947" width="3.25" style="160" customWidth="1"/>
    <col min="7948" max="8192" width="8" style="160"/>
    <col min="8193" max="8193" width="10.25" style="160" bestFit="1" customWidth="1"/>
    <col min="8194" max="8194" width="16.75" style="160" bestFit="1" customWidth="1"/>
    <col min="8195" max="8195" width="12.875" style="160" customWidth="1"/>
    <col min="8196" max="8196" width="8.5" style="160" bestFit="1" customWidth="1"/>
    <col min="8197" max="8197" width="10.875" style="160" customWidth="1"/>
    <col min="8198" max="8198" width="9" style="160" customWidth="1"/>
    <col min="8199" max="8199" width="13.875" style="160" customWidth="1"/>
    <col min="8200" max="8200" width="10.625" style="160" customWidth="1"/>
    <col min="8201" max="8201" width="9.625" style="160" customWidth="1"/>
    <col min="8202" max="8202" width="8.375" style="160" customWidth="1"/>
    <col min="8203" max="8203" width="3.25" style="160" customWidth="1"/>
    <col min="8204" max="8448" width="8" style="160"/>
    <col min="8449" max="8449" width="10.25" style="160" bestFit="1" customWidth="1"/>
    <col min="8450" max="8450" width="16.75" style="160" bestFit="1" customWidth="1"/>
    <col min="8451" max="8451" width="12.875" style="160" customWidth="1"/>
    <col min="8452" max="8452" width="8.5" style="160" bestFit="1" customWidth="1"/>
    <col min="8453" max="8453" width="10.875" style="160" customWidth="1"/>
    <col min="8454" max="8454" width="9" style="160" customWidth="1"/>
    <col min="8455" max="8455" width="13.875" style="160" customWidth="1"/>
    <col min="8456" max="8456" width="10.625" style="160" customWidth="1"/>
    <col min="8457" max="8457" width="9.625" style="160" customWidth="1"/>
    <col min="8458" max="8458" width="8.375" style="160" customWidth="1"/>
    <col min="8459" max="8459" width="3.25" style="160" customWidth="1"/>
    <col min="8460" max="8704" width="8" style="160"/>
    <col min="8705" max="8705" width="10.25" style="160" bestFit="1" customWidth="1"/>
    <col min="8706" max="8706" width="16.75" style="160" bestFit="1" customWidth="1"/>
    <col min="8707" max="8707" width="12.875" style="160" customWidth="1"/>
    <col min="8708" max="8708" width="8.5" style="160" bestFit="1" customWidth="1"/>
    <col min="8709" max="8709" width="10.875" style="160" customWidth="1"/>
    <col min="8710" max="8710" width="9" style="160" customWidth="1"/>
    <col min="8711" max="8711" width="13.875" style="160" customWidth="1"/>
    <col min="8712" max="8712" width="10.625" style="160" customWidth="1"/>
    <col min="8713" max="8713" width="9.625" style="160" customWidth="1"/>
    <col min="8714" max="8714" width="8.375" style="160" customWidth="1"/>
    <col min="8715" max="8715" width="3.25" style="160" customWidth="1"/>
    <col min="8716" max="8960" width="8" style="160"/>
    <col min="8961" max="8961" width="10.25" style="160" bestFit="1" customWidth="1"/>
    <col min="8962" max="8962" width="16.75" style="160" bestFit="1" customWidth="1"/>
    <col min="8963" max="8963" width="12.875" style="160" customWidth="1"/>
    <col min="8964" max="8964" width="8.5" style="160" bestFit="1" customWidth="1"/>
    <col min="8965" max="8965" width="10.875" style="160" customWidth="1"/>
    <col min="8966" max="8966" width="9" style="160" customWidth="1"/>
    <col min="8967" max="8967" width="13.875" style="160" customWidth="1"/>
    <col min="8968" max="8968" width="10.625" style="160" customWidth="1"/>
    <col min="8969" max="8969" width="9.625" style="160" customWidth="1"/>
    <col min="8970" max="8970" width="8.375" style="160" customWidth="1"/>
    <col min="8971" max="8971" width="3.25" style="160" customWidth="1"/>
    <col min="8972" max="9216" width="8" style="160"/>
    <col min="9217" max="9217" width="10.25" style="160" bestFit="1" customWidth="1"/>
    <col min="9218" max="9218" width="16.75" style="160" bestFit="1" customWidth="1"/>
    <col min="9219" max="9219" width="12.875" style="160" customWidth="1"/>
    <col min="9220" max="9220" width="8.5" style="160" bestFit="1" customWidth="1"/>
    <col min="9221" max="9221" width="10.875" style="160" customWidth="1"/>
    <col min="9222" max="9222" width="9" style="160" customWidth="1"/>
    <col min="9223" max="9223" width="13.875" style="160" customWidth="1"/>
    <col min="9224" max="9224" width="10.625" style="160" customWidth="1"/>
    <col min="9225" max="9225" width="9.625" style="160" customWidth="1"/>
    <col min="9226" max="9226" width="8.375" style="160" customWidth="1"/>
    <col min="9227" max="9227" width="3.25" style="160" customWidth="1"/>
    <col min="9228" max="9472" width="8" style="160"/>
    <col min="9473" max="9473" width="10.25" style="160" bestFit="1" customWidth="1"/>
    <col min="9474" max="9474" width="16.75" style="160" bestFit="1" customWidth="1"/>
    <col min="9475" max="9475" width="12.875" style="160" customWidth="1"/>
    <col min="9476" max="9476" width="8.5" style="160" bestFit="1" customWidth="1"/>
    <col min="9477" max="9477" width="10.875" style="160" customWidth="1"/>
    <col min="9478" max="9478" width="9" style="160" customWidth="1"/>
    <col min="9479" max="9479" width="13.875" style="160" customWidth="1"/>
    <col min="9480" max="9480" width="10.625" style="160" customWidth="1"/>
    <col min="9481" max="9481" width="9.625" style="160" customWidth="1"/>
    <col min="9482" max="9482" width="8.375" style="160" customWidth="1"/>
    <col min="9483" max="9483" width="3.25" style="160" customWidth="1"/>
    <col min="9484" max="9728" width="8" style="160"/>
    <col min="9729" max="9729" width="10.25" style="160" bestFit="1" customWidth="1"/>
    <col min="9730" max="9730" width="16.75" style="160" bestFit="1" customWidth="1"/>
    <col min="9731" max="9731" width="12.875" style="160" customWidth="1"/>
    <col min="9732" max="9732" width="8.5" style="160" bestFit="1" customWidth="1"/>
    <col min="9733" max="9733" width="10.875" style="160" customWidth="1"/>
    <col min="9734" max="9734" width="9" style="160" customWidth="1"/>
    <col min="9735" max="9735" width="13.875" style="160" customWidth="1"/>
    <col min="9736" max="9736" width="10.625" style="160" customWidth="1"/>
    <col min="9737" max="9737" width="9.625" style="160" customWidth="1"/>
    <col min="9738" max="9738" width="8.375" style="160" customWidth="1"/>
    <col min="9739" max="9739" width="3.25" style="160" customWidth="1"/>
    <col min="9740" max="9984" width="8" style="160"/>
    <col min="9985" max="9985" width="10.25" style="160" bestFit="1" customWidth="1"/>
    <col min="9986" max="9986" width="16.75" style="160" bestFit="1" customWidth="1"/>
    <col min="9987" max="9987" width="12.875" style="160" customWidth="1"/>
    <col min="9988" max="9988" width="8.5" style="160" bestFit="1" customWidth="1"/>
    <col min="9989" max="9989" width="10.875" style="160" customWidth="1"/>
    <col min="9990" max="9990" width="9" style="160" customWidth="1"/>
    <col min="9991" max="9991" width="13.875" style="160" customWidth="1"/>
    <col min="9992" max="9992" width="10.625" style="160" customWidth="1"/>
    <col min="9993" max="9993" width="9.625" style="160" customWidth="1"/>
    <col min="9994" max="9994" width="8.375" style="160" customWidth="1"/>
    <col min="9995" max="9995" width="3.25" style="160" customWidth="1"/>
    <col min="9996" max="10240" width="8" style="160"/>
    <col min="10241" max="10241" width="10.25" style="160" bestFit="1" customWidth="1"/>
    <col min="10242" max="10242" width="16.75" style="160" bestFit="1" customWidth="1"/>
    <col min="10243" max="10243" width="12.875" style="160" customWidth="1"/>
    <col min="10244" max="10244" width="8.5" style="160" bestFit="1" customWidth="1"/>
    <col min="10245" max="10245" width="10.875" style="160" customWidth="1"/>
    <col min="10246" max="10246" width="9" style="160" customWidth="1"/>
    <col min="10247" max="10247" width="13.875" style="160" customWidth="1"/>
    <col min="10248" max="10248" width="10.625" style="160" customWidth="1"/>
    <col min="10249" max="10249" width="9.625" style="160" customWidth="1"/>
    <col min="10250" max="10250" width="8.375" style="160" customWidth="1"/>
    <col min="10251" max="10251" width="3.25" style="160" customWidth="1"/>
    <col min="10252" max="10496" width="8" style="160"/>
    <col min="10497" max="10497" width="10.25" style="160" bestFit="1" customWidth="1"/>
    <col min="10498" max="10498" width="16.75" style="160" bestFit="1" customWidth="1"/>
    <col min="10499" max="10499" width="12.875" style="160" customWidth="1"/>
    <col min="10500" max="10500" width="8.5" style="160" bestFit="1" customWidth="1"/>
    <col min="10501" max="10501" width="10.875" style="160" customWidth="1"/>
    <col min="10502" max="10502" width="9" style="160" customWidth="1"/>
    <col min="10503" max="10503" width="13.875" style="160" customWidth="1"/>
    <col min="10504" max="10504" width="10.625" style="160" customWidth="1"/>
    <col min="10505" max="10505" width="9.625" style="160" customWidth="1"/>
    <col min="10506" max="10506" width="8.375" style="160" customWidth="1"/>
    <col min="10507" max="10507" width="3.25" style="160" customWidth="1"/>
    <col min="10508" max="10752" width="8" style="160"/>
    <col min="10753" max="10753" width="10.25" style="160" bestFit="1" customWidth="1"/>
    <col min="10754" max="10754" width="16.75" style="160" bestFit="1" customWidth="1"/>
    <col min="10755" max="10755" width="12.875" style="160" customWidth="1"/>
    <col min="10756" max="10756" width="8.5" style="160" bestFit="1" customWidth="1"/>
    <col min="10757" max="10757" width="10.875" style="160" customWidth="1"/>
    <col min="10758" max="10758" width="9" style="160" customWidth="1"/>
    <col min="10759" max="10759" width="13.875" style="160" customWidth="1"/>
    <col min="10760" max="10760" width="10.625" style="160" customWidth="1"/>
    <col min="10761" max="10761" width="9.625" style="160" customWidth="1"/>
    <col min="10762" max="10762" width="8.375" style="160" customWidth="1"/>
    <col min="10763" max="10763" width="3.25" style="160" customWidth="1"/>
    <col min="10764" max="11008" width="8" style="160"/>
    <col min="11009" max="11009" width="10.25" style="160" bestFit="1" customWidth="1"/>
    <col min="11010" max="11010" width="16.75" style="160" bestFit="1" customWidth="1"/>
    <col min="11011" max="11011" width="12.875" style="160" customWidth="1"/>
    <col min="11012" max="11012" width="8.5" style="160" bestFit="1" customWidth="1"/>
    <col min="11013" max="11013" width="10.875" style="160" customWidth="1"/>
    <col min="11014" max="11014" width="9" style="160" customWidth="1"/>
    <col min="11015" max="11015" width="13.875" style="160" customWidth="1"/>
    <col min="11016" max="11016" width="10.625" style="160" customWidth="1"/>
    <col min="11017" max="11017" width="9.625" style="160" customWidth="1"/>
    <col min="11018" max="11018" width="8.375" style="160" customWidth="1"/>
    <col min="11019" max="11019" width="3.25" style="160" customWidth="1"/>
    <col min="11020" max="11264" width="8" style="160"/>
    <col min="11265" max="11265" width="10.25" style="160" bestFit="1" customWidth="1"/>
    <col min="11266" max="11266" width="16.75" style="160" bestFit="1" customWidth="1"/>
    <col min="11267" max="11267" width="12.875" style="160" customWidth="1"/>
    <col min="11268" max="11268" width="8.5" style="160" bestFit="1" customWidth="1"/>
    <col min="11269" max="11269" width="10.875" style="160" customWidth="1"/>
    <col min="11270" max="11270" width="9" style="160" customWidth="1"/>
    <col min="11271" max="11271" width="13.875" style="160" customWidth="1"/>
    <col min="11272" max="11272" width="10.625" style="160" customWidth="1"/>
    <col min="11273" max="11273" width="9.625" style="160" customWidth="1"/>
    <col min="11274" max="11274" width="8.375" style="160" customWidth="1"/>
    <col min="11275" max="11275" width="3.25" style="160" customWidth="1"/>
    <col min="11276" max="11520" width="8" style="160"/>
    <col min="11521" max="11521" width="10.25" style="160" bestFit="1" customWidth="1"/>
    <col min="11522" max="11522" width="16.75" style="160" bestFit="1" customWidth="1"/>
    <col min="11523" max="11523" width="12.875" style="160" customWidth="1"/>
    <col min="11524" max="11524" width="8.5" style="160" bestFit="1" customWidth="1"/>
    <col min="11525" max="11525" width="10.875" style="160" customWidth="1"/>
    <col min="11526" max="11526" width="9" style="160" customWidth="1"/>
    <col min="11527" max="11527" width="13.875" style="160" customWidth="1"/>
    <col min="11528" max="11528" width="10.625" style="160" customWidth="1"/>
    <col min="11529" max="11529" width="9.625" style="160" customWidth="1"/>
    <col min="11530" max="11530" width="8.375" style="160" customWidth="1"/>
    <col min="11531" max="11531" width="3.25" style="160" customWidth="1"/>
    <col min="11532" max="11776" width="8" style="160"/>
    <col min="11777" max="11777" width="10.25" style="160" bestFit="1" customWidth="1"/>
    <col min="11778" max="11778" width="16.75" style="160" bestFit="1" customWidth="1"/>
    <col min="11779" max="11779" width="12.875" style="160" customWidth="1"/>
    <col min="11780" max="11780" width="8.5" style="160" bestFit="1" customWidth="1"/>
    <col min="11781" max="11781" width="10.875" style="160" customWidth="1"/>
    <col min="11782" max="11782" width="9" style="160" customWidth="1"/>
    <col min="11783" max="11783" width="13.875" style="160" customWidth="1"/>
    <col min="11784" max="11784" width="10.625" style="160" customWidth="1"/>
    <col min="11785" max="11785" width="9.625" style="160" customWidth="1"/>
    <col min="11786" max="11786" width="8.375" style="160" customWidth="1"/>
    <col min="11787" max="11787" width="3.25" style="160" customWidth="1"/>
    <col min="11788" max="12032" width="8" style="160"/>
    <col min="12033" max="12033" width="10.25" style="160" bestFit="1" customWidth="1"/>
    <col min="12034" max="12034" width="16.75" style="160" bestFit="1" customWidth="1"/>
    <col min="12035" max="12035" width="12.875" style="160" customWidth="1"/>
    <col min="12036" max="12036" width="8.5" style="160" bestFit="1" customWidth="1"/>
    <col min="12037" max="12037" width="10.875" style="160" customWidth="1"/>
    <col min="12038" max="12038" width="9" style="160" customWidth="1"/>
    <col min="12039" max="12039" width="13.875" style="160" customWidth="1"/>
    <col min="12040" max="12040" width="10.625" style="160" customWidth="1"/>
    <col min="12041" max="12041" width="9.625" style="160" customWidth="1"/>
    <col min="12042" max="12042" width="8.375" style="160" customWidth="1"/>
    <col min="12043" max="12043" width="3.25" style="160" customWidth="1"/>
    <col min="12044" max="12288" width="8" style="160"/>
    <col min="12289" max="12289" width="10.25" style="160" bestFit="1" customWidth="1"/>
    <col min="12290" max="12290" width="16.75" style="160" bestFit="1" customWidth="1"/>
    <col min="12291" max="12291" width="12.875" style="160" customWidth="1"/>
    <col min="12292" max="12292" width="8.5" style="160" bestFit="1" customWidth="1"/>
    <col min="12293" max="12293" width="10.875" style="160" customWidth="1"/>
    <col min="12294" max="12294" width="9" style="160" customWidth="1"/>
    <col min="12295" max="12295" width="13.875" style="160" customWidth="1"/>
    <col min="12296" max="12296" width="10.625" style="160" customWidth="1"/>
    <col min="12297" max="12297" width="9.625" style="160" customWidth="1"/>
    <col min="12298" max="12298" width="8.375" style="160" customWidth="1"/>
    <col min="12299" max="12299" width="3.25" style="160" customWidth="1"/>
    <col min="12300" max="12544" width="8" style="160"/>
    <col min="12545" max="12545" width="10.25" style="160" bestFit="1" customWidth="1"/>
    <col min="12546" max="12546" width="16.75" style="160" bestFit="1" customWidth="1"/>
    <col min="12547" max="12547" width="12.875" style="160" customWidth="1"/>
    <col min="12548" max="12548" width="8.5" style="160" bestFit="1" customWidth="1"/>
    <col min="12549" max="12549" width="10.875" style="160" customWidth="1"/>
    <col min="12550" max="12550" width="9" style="160" customWidth="1"/>
    <col min="12551" max="12551" width="13.875" style="160" customWidth="1"/>
    <col min="12552" max="12552" width="10.625" style="160" customWidth="1"/>
    <col min="12553" max="12553" width="9.625" style="160" customWidth="1"/>
    <col min="12554" max="12554" width="8.375" style="160" customWidth="1"/>
    <col min="12555" max="12555" width="3.25" style="160" customWidth="1"/>
    <col min="12556" max="12800" width="8" style="160"/>
    <col min="12801" max="12801" width="10.25" style="160" bestFit="1" customWidth="1"/>
    <col min="12802" max="12802" width="16.75" style="160" bestFit="1" customWidth="1"/>
    <col min="12803" max="12803" width="12.875" style="160" customWidth="1"/>
    <col min="12804" max="12804" width="8.5" style="160" bestFit="1" customWidth="1"/>
    <col min="12805" max="12805" width="10.875" style="160" customWidth="1"/>
    <col min="12806" max="12806" width="9" style="160" customWidth="1"/>
    <col min="12807" max="12807" width="13.875" style="160" customWidth="1"/>
    <col min="12808" max="12808" width="10.625" style="160" customWidth="1"/>
    <col min="12809" max="12809" width="9.625" style="160" customWidth="1"/>
    <col min="12810" max="12810" width="8.375" style="160" customWidth="1"/>
    <col min="12811" max="12811" width="3.25" style="160" customWidth="1"/>
    <col min="12812" max="13056" width="8" style="160"/>
    <col min="13057" max="13057" width="10.25" style="160" bestFit="1" customWidth="1"/>
    <col min="13058" max="13058" width="16.75" style="160" bestFit="1" customWidth="1"/>
    <col min="13059" max="13059" width="12.875" style="160" customWidth="1"/>
    <col min="13060" max="13060" width="8.5" style="160" bestFit="1" customWidth="1"/>
    <col min="13061" max="13061" width="10.875" style="160" customWidth="1"/>
    <col min="13062" max="13062" width="9" style="160" customWidth="1"/>
    <col min="13063" max="13063" width="13.875" style="160" customWidth="1"/>
    <col min="13064" max="13064" width="10.625" style="160" customWidth="1"/>
    <col min="13065" max="13065" width="9.625" style="160" customWidth="1"/>
    <col min="13066" max="13066" width="8.375" style="160" customWidth="1"/>
    <col min="13067" max="13067" width="3.25" style="160" customWidth="1"/>
    <col min="13068" max="13312" width="8" style="160"/>
    <col min="13313" max="13313" width="10.25" style="160" bestFit="1" customWidth="1"/>
    <col min="13314" max="13314" width="16.75" style="160" bestFit="1" customWidth="1"/>
    <col min="13315" max="13315" width="12.875" style="160" customWidth="1"/>
    <col min="13316" max="13316" width="8.5" style="160" bestFit="1" customWidth="1"/>
    <col min="13317" max="13317" width="10.875" style="160" customWidth="1"/>
    <col min="13318" max="13318" width="9" style="160" customWidth="1"/>
    <col min="13319" max="13319" width="13.875" style="160" customWidth="1"/>
    <col min="13320" max="13320" width="10.625" style="160" customWidth="1"/>
    <col min="13321" max="13321" width="9.625" style="160" customWidth="1"/>
    <col min="13322" max="13322" width="8.375" style="160" customWidth="1"/>
    <col min="13323" max="13323" width="3.25" style="160" customWidth="1"/>
    <col min="13324" max="13568" width="8" style="160"/>
    <col min="13569" max="13569" width="10.25" style="160" bestFit="1" customWidth="1"/>
    <col min="13570" max="13570" width="16.75" style="160" bestFit="1" customWidth="1"/>
    <col min="13571" max="13571" width="12.875" style="160" customWidth="1"/>
    <col min="13572" max="13572" width="8.5" style="160" bestFit="1" customWidth="1"/>
    <col min="13573" max="13573" width="10.875" style="160" customWidth="1"/>
    <col min="13574" max="13574" width="9" style="160" customWidth="1"/>
    <col min="13575" max="13575" width="13.875" style="160" customWidth="1"/>
    <col min="13576" max="13576" width="10.625" style="160" customWidth="1"/>
    <col min="13577" max="13577" width="9.625" style="160" customWidth="1"/>
    <col min="13578" max="13578" width="8.375" style="160" customWidth="1"/>
    <col min="13579" max="13579" width="3.25" style="160" customWidth="1"/>
    <col min="13580" max="13824" width="8" style="160"/>
    <col min="13825" max="13825" width="10.25" style="160" bestFit="1" customWidth="1"/>
    <col min="13826" max="13826" width="16.75" style="160" bestFit="1" customWidth="1"/>
    <col min="13827" max="13827" width="12.875" style="160" customWidth="1"/>
    <col min="13828" max="13828" width="8.5" style="160" bestFit="1" customWidth="1"/>
    <col min="13829" max="13829" width="10.875" style="160" customWidth="1"/>
    <col min="13830" max="13830" width="9" style="160" customWidth="1"/>
    <col min="13831" max="13831" width="13.875" style="160" customWidth="1"/>
    <col min="13832" max="13832" width="10.625" style="160" customWidth="1"/>
    <col min="13833" max="13833" width="9.625" style="160" customWidth="1"/>
    <col min="13834" max="13834" width="8.375" style="160" customWidth="1"/>
    <col min="13835" max="13835" width="3.25" style="160" customWidth="1"/>
    <col min="13836" max="14080" width="8" style="160"/>
    <col min="14081" max="14081" width="10.25" style="160" bestFit="1" customWidth="1"/>
    <col min="14082" max="14082" width="16.75" style="160" bestFit="1" customWidth="1"/>
    <col min="14083" max="14083" width="12.875" style="160" customWidth="1"/>
    <col min="14084" max="14084" width="8.5" style="160" bestFit="1" customWidth="1"/>
    <col min="14085" max="14085" width="10.875" style="160" customWidth="1"/>
    <col min="14086" max="14086" width="9" style="160" customWidth="1"/>
    <col min="14087" max="14087" width="13.875" style="160" customWidth="1"/>
    <col min="14088" max="14088" width="10.625" style="160" customWidth="1"/>
    <col min="14089" max="14089" width="9.625" style="160" customWidth="1"/>
    <col min="14090" max="14090" width="8.375" style="160" customWidth="1"/>
    <col min="14091" max="14091" width="3.25" style="160" customWidth="1"/>
    <col min="14092" max="14336" width="8" style="160"/>
    <col min="14337" max="14337" width="10.25" style="160" bestFit="1" customWidth="1"/>
    <col min="14338" max="14338" width="16.75" style="160" bestFit="1" customWidth="1"/>
    <col min="14339" max="14339" width="12.875" style="160" customWidth="1"/>
    <col min="14340" max="14340" width="8.5" style="160" bestFit="1" customWidth="1"/>
    <col min="14341" max="14341" width="10.875" style="160" customWidth="1"/>
    <col min="14342" max="14342" width="9" style="160" customWidth="1"/>
    <col min="14343" max="14343" width="13.875" style="160" customWidth="1"/>
    <col min="14344" max="14344" width="10.625" style="160" customWidth="1"/>
    <col min="14345" max="14345" width="9.625" style="160" customWidth="1"/>
    <col min="14346" max="14346" width="8.375" style="160" customWidth="1"/>
    <col min="14347" max="14347" width="3.25" style="160" customWidth="1"/>
    <col min="14348" max="14592" width="8" style="160"/>
    <col min="14593" max="14593" width="10.25" style="160" bestFit="1" customWidth="1"/>
    <col min="14594" max="14594" width="16.75" style="160" bestFit="1" customWidth="1"/>
    <col min="14595" max="14595" width="12.875" style="160" customWidth="1"/>
    <col min="14596" max="14596" width="8.5" style="160" bestFit="1" customWidth="1"/>
    <col min="14597" max="14597" width="10.875" style="160" customWidth="1"/>
    <col min="14598" max="14598" width="9" style="160" customWidth="1"/>
    <col min="14599" max="14599" width="13.875" style="160" customWidth="1"/>
    <col min="14600" max="14600" width="10.625" style="160" customWidth="1"/>
    <col min="14601" max="14601" width="9.625" style="160" customWidth="1"/>
    <col min="14602" max="14602" width="8.375" style="160" customWidth="1"/>
    <col min="14603" max="14603" width="3.25" style="160" customWidth="1"/>
    <col min="14604" max="14848" width="8" style="160"/>
    <col min="14849" max="14849" width="10.25" style="160" bestFit="1" customWidth="1"/>
    <col min="14850" max="14850" width="16.75" style="160" bestFit="1" customWidth="1"/>
    <col min="14851" max="14851" width="12.875" style="160" customWidth="1"/>
    <col min="14852" max="14852" width="8.5" style="160" bestFit="1" customWidth="1"/>
    <col min="14853" max="14853" width="10.875" style="160" customWidth="1"/>
    <col min="14854" max="14854" width="9" style="160" customWidth="1"/>
    <col min="14855" max="14855" width="13.875" style="160" customWidth="1"/>
    <col min="14856" max="14856" width="10.625" style="160" customWidth="1"/>
    <col min="14857" max="14857" width="9.625" style="160" customWidth="1"/>
    <col min="14858" max="14858" width="8.375" style="160" customWidth="1"/>
    <col min="14859" max="14859" width="3.25" style="160" customWidth="1"/>
    <col min="14860" max="15104" width="8" style="160"/>
    <col min="15105" max="15105" width="10.25" style="160" bestFit="1" customWidth="1"/>
    <col min="15106" max="15106" width="16.75" style="160" bestFit="1" customWidth="1"/>
    <col min="15107" max="15107" width="12.875" style="160" customWidth="1"/>
    <col min="15108" max="15108" width="8.5" style="160" bestFit="1" customWidth="1"/>
    <col min="15109" max="15109" width="10.875" style="160" customWidth="1"/>
    <col min="15110" max="15110" width="9" style="160" customWidth="1"/>
    <col min="15111" max="15111" width="13.875" style="160" customWidth="1"/>
    <col min="15112" max="15112" width="10.625" style="160" customWidth="1"/>
    <col min="15113" max="15113" width="9.625" style="160" customWidth="1"/>
    <col min="15114" max="15114" width="8.375" style="160" customWidth="1"/>
    <col min="15115" max="15115" width="3.25" style="160" customWidth="1"/>
    <col min="15116" max="15360" width="8" style="160"/>
    <col min="15361" max="15361" width="10.25" style="160" bestFit="1" customWidth="1"/>
    <col min="15362" max="15362" width="16.75" style="160" bestFit="1" customWidth="1"/>
    <col min="15363" max="15363" width="12.875" style="160" customWidth="1"/>
    <col min="15364" max="15364" width="8.5" style="160" bestFit="1" customWidth="1"/>
    <col min="15365" max="15365" width="10.875" style="160" customWidth="1"/>
    <col min="15366" max="15366" width="9" style="160" customWidth="1"/>
    <col min="15367" max="15367" width="13.875" style="160" customWidth="1"/>
    <col min="15368" max="15368" width="10.625" style="160" customWidth="1"/>
    <col min="15369" max="15369" width="9.625" style="160" customWidth="1"/>
    <col min="15370" max="15370" width="8.375" style="160" customWidth="1"/>
    <col min="15371" max="15371" width="3.25" style="160" customWidth="1"/>
    <col min="15372" max="15616" width="8" style="160"/>
    <col min="15617" max="15617" width="10.25" style="160" bestFit="1" customWidth="1"/>
    <col min="15618" max="15618" width="16.75" style="160" bestFit="1" customWidth="1"/>
    <col min="15619" max="15619" width="12.875" style="160" customWidth="1"/>
    <col min="15620" max="15620" width="8.5" style="160" bestFit="1" customWidth="1"/>
    <col min="15621" max="15621" width="10.875" style="160" customWidth="1"/>
    <col min="15622" max="15622" width="9" style="160" customWidth="1"/>
    <col min="15623" max="15623" width="13.875" style="160" customWidth="1"/>
    <col min="15624" max="15624" width="10.625" style="160" customWidth="1"/>
    <col min="15625" max="15625" width="9.625" style="160" customWidth="1"/>
    <col min="15626" max="15626" width="8.375" style="160" customWidth="1"/>
    <col min="15627" max="15627" width="3.25" style="160" customWidth="1"/>
    <col min="15628" max="15872" width="8" style="160"/>
    <col min="15873" max="15873" width="10.25" style="160" bestFit="1" customWidth="1"/>
    <col min="15874" max="15874" width="16.75" style="160" bestFit="1" customWidth="1"/>
    <col min="15875" max="15875" width="12.875" style="160" customWidth="1"/>
    <col min="15876" max="15876" width="8.5" style="160" bestFit="1" customWidth="1"/>
    <col min="15877" max="15877" width="10.875" style="160" customWidth="1"/>
    <col min="15878" max="15878" width="9" style="160" customWidth="1"/>
    <col min="15879" max="15879" width="13.875" style="160" customWidth="1"/>
    <col min="15880" max="15880" width="10.625" style="160" customWidth="1"/>
    <col min="15881" max="15881" width="9.625" style="160" customWidth="1"/>
    <col min="15882" max="15882" width="8.375" style="160" customWidth="1"/>
    <col min="15883" max="15883" width="3.25" style="160" customWidth="1"/>
    <col min="15884" max="16128" width="8" style="160"/>
    <col min="16129" max="16129" width="10.25" style="160" bestFit="1" customWidth="1"/>
    <col min="16130" max="16130" width="16.75" style="160" bestFit="1" customWidth="1"/>
    <col min="16131" max="16131" width="12.875" style="160" customWidth="1"/>
    <col min="16132" max="16132" width="8.5" style="160" bestFit="1" customWidth="1"/>
    <col min="16133" max="16133" width="10.875" style="160" customWidth="1"/>
    <col min="16134" max="16134" width="9" style="160" customWidth="1"/>
    <col min="16135" max="16135" width="13.875" style="160" customWidth="1"/>
    <col min="16136" max="16136" width="10.625" style="160" customWidth="1"/>
    <col min="16137" max="16137" width="9.625" style="160" customWidth="1"/>
    <col min="16138" max="16138" width="8.375" style="160" customWidth="1"/>
    <col min="16139" max="16139" width="3.25" style="160" customWidth="1"/>
    <col min="16140" max="16384" width="8" style="160"/>
  </cols>
  <sheetData>
    <row r="1" spans="1:10" ht="20.25" x14ac:dyDescent="0.3">
      <c r="A1" s="156"/>
      <c r="B1" s="156"/>
      <c r="C1" s="156"/>
      <c r="D1" s="156"/>
      <c r="E1" s="157" t="s">
        <v>37</v>
      </c>
      <c r="F1" s="158"/>
      <c r="G1" s="158"/>
      <c r="H1" s="159"/>
      <c r="I1" s="159"/>
      <c r="J1" s="159"/>
    </row>
    <row r="2" spans="1:10" x14ac:dyDescent="0.2">
      <c r="A2" s="156"/>
      <c r="B2" s="156"/>
      <c r="C2" s="156" t="s">
        <v>0</v>
      </c>
      <c r="D2" s="156" t="s">
        <v>0</v>
      </c>
      <c r="E2" s="156"/>
      <c r="F2" s="156"/>
      <c r="G2" s="156"/>
      <c r="H2" s="156"/>
      <c r="I2" s="156"/>
      <c r="J2" s="156"/>
    </row>
    <row r="3" spans="1:10" x14ac:dyDescent="0.2">
      <c r="A3" s="156"/>
      <c r="B3" s="161" t="s">
        <v>0</v>
      </c>
      <c r="C3" s="161"/>
      <c r="D3" s="156"/>
      <c r="E3" s="156"/>
      <c r="F3" s="156"/>
      <c r="G3" s="156"/>
      <c r="H3" s="156"/>
      <c r="I3" s="156"/>
      <c r="J3" s="162" t="s">
        <v>38</v>
      </c>
    </row>
    <row r="4" spans="1:10" ht="13.5" thickBot="1" x14ac:dyDescent="0.25">
      <c r="A4" s="156"/>
      <c r="B4" s="156"/>
      <c r="C4" s="156"/>
      <c r="D4" s="156"/>
      <c r="E4" s="156"/>
      <c r="F4" s="156"/>
      <c r="G4" s="156"/>
      <c r="H4" s="156"/>
      <c r="I4" s="156"/>
      <c r="J4" s="156" t="s">
        <v>0</v>
      </c>
    </row>
    <row r="5" spans="1:10" ht="19.5" customHeight="1" x14ac:dyDescent="0.2">
      <c r="A5" s="177" t="s">
        <v>39</v>
      </c>
      <c r="B5" s="178" t="s">
        <v>40</v>
      </c>
      <c r="C5" s="177" t="s">
        <v>31</v>
      </c>
      <c r="D5" s="178" t="s">
        <v>32</v>
      </c>
      <c r="E5" s="177" t="s">
        <v>116</v>
      </c>
      <c r="F5" s="178" t="s">
        <v>33</v>
      </c>
      <c r="G5" s="177" t="s">
        <v>67</v>
      </c>
      <c r="H5" s="178" t="s">
        <v>119</v>
      </c>
      <c r="I5" s="177" t="s">
        <v>34</v>
      </c>
      <c r="J5" s="179" t="s">
        <v>35</v>
      </c>
    </row>
    <row r="6" spans="1:10" ht="13.5" customHeight="1" thickBot="1" x14ac:dyDescent="0.25">
      <c r="A6" s="180"/>
      <c r="B6" s="181"/>
      <c r="C6" s="180" t="s">
        <v>36</v>
      </c>
      <c r="D6" s="181"/>
      <c r="E6" s="180"/>
      <c r="F6" s="181"/>
      <c r="G6" s="180"/>
      <c r="H6" s="181"/>
      <c r="I6" s="180"/>
      <c r="J6" s="182"/>
    </row>
    <row r="7" spans="1:10" x14ac:dyDescent="0.2">
      <c r="A7" s="183" t="s">
        <v>41</v>
      </c>
      <c r="B7" s="184" t="s">
        <v>42</v>
      </c>
      <c r="C7" s="185">
        <v>630</v>
      </c>
      <c r="D7" s="186" t="s">
        <v>43</v>
      </c>
      <c r="E7" s="187">
        <v>478</v>
      </c>
      <c r="F7" s="188">
        <f t="shared" ref="F7:F47" si="0">MIN(5000,C7)</f>
        <v>630</v>
      </c>
      <c r="G7" s="189">
        <f t="shared" ref="G7:G47" si="1">MIN(5000,C7-F7)</f>
        <v>0</v>
      </c>
      <c r="H7" s="188">
        <f t="shared" ref="H7:H47" si="2">C7-G7-F7</f>
        <v>0</v>
      </c>
      <c r="I7" s="189">
        <f t="shared" ref="I7:I47" si="3">IF(H7&gt;0,2/3*E7*C7,IF(G7&gt;0,F7*E7+0.5*G7*E7,F7*E7))</f>
        <v>301140</v>
      </c>
      <c r="J7" s="190">
        <f t="shared" ref="J7:J47" si="4">I7/C7</f>
        <v>478</v>
      </c>
    </row>
    <row r="8" spans="1:10" x14ac:dyDescent="0.2">
      <c r="A8" s="183"/>
      <c r="B8" s="191" t="s">
        <v>44</v>
      </c>
      <c r="C8" s="192">
        <v>2400</v>
      </c>
      <c r="D8" s="193" t="s">
        <v>43</v>
      </c>
      <c r="E8" s="194">
        <f>E7</f>
        <v>478</v>
      </c>
      <c r="F8" s="195">
        <f t="shared" si="0"/>
        <v>2400</v>
      </c>
      <c r="G8" s="196">
        <f t="shared" si="1"/>
        <v>0</v>
      </c>
      <c r="H8" s="195">
        <f t="shared" si="2"/>
        <v>0</v>
      </c>
      <c r="I8" s="196">
        <f t="shared" si="3"/>
        <v>1147200</v>
      </c>
      <c r="J8" s="197">
        <f t="shared" si="4"/>
        <v>478</v>
      </c>
    </row>
    <row r="9" spans="1:10" x14ac:dyDescent="0.2">
      <c r="A9" s="183"/>
      <c r="B9" s="191" t="s">
        <v>45</v>
      </c>
      <c r="C9" s="192">
        <v>2550</v>
      </c>
      <c r="D9" s="193" t="s">
        <v>43</v>
      </c>
      <c r="E9" s="194">
        <f t="shared" ref="E9:E27" si="5">E8</f>
        <v>478</v>
      </c>
      <c r="F9" s="195">
        <f t="shared" si="0"/>
        <v>2550</v>
      </c>
      <c r="G9" s="196">
        <f t="shared" si="1"/>
        <v>0</v>
      </c>
      <c r="H9" s="195">
        <f t="shared" si="2"/>
        <v>0</v>
      </c>
      <c r="I9" s="196">
        <f t="shared" si="3"/>
        <v>1218900</v>
      </c>
      <c r="J9" s="197">
        <f t="shared" si="4"/>
        <v>478</v>
      </c>
    </row>
    <row r="10" spans="1:10" x14ac:dyDescent="0.2">
      <c r="A10" s="183"/>
      <c r="B10" s="191" t="s">
        <v>46</v>
      </c>
      <c r="C10" s="192">
        <v>2100</v>
      </c>
      <c r="D10" s="193" t="s">
        <v>43</v>
      </c>
      <c r="E10" s="194">
        <f t="shared" si="5"/>
        <v>478</v>
      </c>
      <c r="F10" s="195">
        <f t="shared" si="0"/>
        <v>2100</v>
      </c>
      <c r="G10" s="196">
        <f t="shared" si="1"/>
        <v>0</v>
      </c>
      <c r="H10" s="195">
        <f t="shared" si="2"/>
        <v>0</v>
      </c>
      <c r="I10" s="196">
        <f t="shared" si="3"/>
        <v>1003800</v>
      </c>
      <c r="J10" s="197">
        <f t="shared" si="4"/>
        <v>478</v>
      </c>
    </row>
    <row r="11" spans="1:10" x14ac:dyDescent="0.2">
      <c r="A11" s="183"/>
      <c r="B11" s="191" t="s">
        <v>47</v>
      </c>
      <c r="C11" s="192">
        <v>900</v>
      </c>
      <c r="D11" s="193" t="s">
        <v>43</v>
      </c>
      <c r="E11" s="194">
        <f t="shared" si="5"/>
        <v>478</v>
      </c>
      <c r="F11" s="195">
        <f t="shared" si="0"/>
        <v>900</v>
      </c>
      <c r="G11" s="196">
        <f t="shared" si="1"/>
        <v>0</v>
      </c>
      <c r="H11" s="195">
        <f t="shared" si="2"/>
        <v>0</v>
      </c>
      <c r="I11" s="196">
        <f t="shared" si="3"/>
        <v>430200</v>
      </c>
      <c r="J11" s="197">
        <f t="shared" si="4"/>
        <v>478</v>
      </c>
    </row>
    <row r="12" spans="1:10" x14ac:dyDescent="0.2">
      <c r="A12" s="183"/>
      <c r="B12" s="191">
        <v>2019</v>
      </c>
      <c r="C12" s="192">
        <v>3036</v>
      </c>
      <c r="D12" s="193" t="s">
        <v>43</v>
      </c>
      <c r="E12" s="194">
        <f t="shared" si="5"/>
        <v>478</v>
      </c>
      <c r="F12" s="195">
        <f t="shared" si="0"/>
        <v>3036</v>
      </c>
      <c r="G12" s="196">
        <f t="shared" si="1"/>
        <v>0</v>
      </c>
      <c r="H12" s="195">
        <f t="shared" si="2"/>
        <v>0</v>
      </c>
      <c r="I12" s="196">
        <f t="shared" si="3"/>
        <v>1451208</v>
      </c>
      <c r="J12" s="197">
        <f t="shared" si="4"/>
        <v>478</v>
      </c>
    </row>
    <row r="13" spans="1:10" ht="13.5" thickBot="1" x14ac:dyDescent="0.25">
      <c r="A13" s="183"/>
      <c r="B13" s="198" t="s">
        <v>48</v>
      </c>
      <c r="C13" s="199">
        <v>2956</v>
      </c>
      <c r="D13" s="200" t="s">
        <v>43</v>
      </c>
      <c r="E13" s="201">
        <f t="shared" si="5"/>
        <v>478</v>
      </c>
      <c r="F13" s="202">
        <f t="shared" si="0"/>
        <v>2956</v>
      </c>
      <c r="G13" s="203">
        <f t="shared" si="1"/>
        <v>0</v>
      </c>
      <c r="H13" s="202">
        <f t="shared" si="2"/>
        <v>0</v>
      </c>
      <c r="I13" s="203">
        <f t="shared" si="3"/>
        <v>1412968</v>
      </c>
      <c r="J13" s="204">
        <f t="shared" si="4"/>
        <v>478</v>
      </c>
    </row>
    <row r="14" spans="1:10" x14ac:dyDescent="0.2">
      <c r="A14" s="205" t="s">
        <v>49</v>
      </c>
      <c r="B14" s="206">
        <v>301</v>
      </c>
      <c r="C14" s="207">
        <v>16044</v>
      </c>
      <c r="D14" s="208" t="s">
        <v>43</v>
      </c>
      <c r="E14" s="209">
        <f>E13</f>
        <v>478</v>
      </c>
      <c r="F14" s="210">
        <f t="shared" si="0"/>
        <v>5000</v>
      </c>
      <c r="G14" s="211">
        <f t="shared" si="1"/>
        <v>5000</v>
      </c>
      <c r="H14" s="210">
        <f t="shared" si="2"/>
        <v>6044</v>
      </c>
      <c r="I14" s="212">
        <f t="shared" si="3"/>
        <v>5112687.9999999991</v>
      </c>
      <c r="J14" s="213">
        <f t="shared" si="4"/>
        <v>318.66666666666663</v>
      </c>
    </row>
    <row r="15" spans="1:10" x14ac:dyDescent="0.2">
      <c r="A15" s="183"/>
      <c r="B15" s="198">
        <v>302</v>
      </c>
      <c r="C15" s="199">
        <v>3813</v>
      </c>
      <c r="D15" s="193" t="s">
        <v>43</v>
      </c>
      <c r="E15" s="194">
        <f t="shared" si="5"/>
        <v>478</v>
      </c>
      <c r="F15" s="202">
        <f t="shared" si="0"/>
        <v>3813</v>
      </c>
      <c r="G15" s="203">
        <f t="shared" si="1"/>
        <v>0</v>
      </c>
      <c r="H15" s="202">
        <f t="shared" si="2"/>
        <v>0</v>
      </c>
      <c r="I15" s="196">
        <f t="shared" si="3"/>
        <v>1822614</v>
      </c>
      <c r="J15" s="197">
        <f t="shared" si="4"/>
        <v>478</v>
      </c>
    </row>
    <row r="16" spans="1:10" x14ac:dyDescent="0.2">
      <c r="A16" s="183"/>
      <c r="B16" s="198">
        <v>303</v>
      </c>
      <c r="C16" s="199">
        <v>6475</v>
      </c>
      <c r="D16" s="193" t="s">
        <v>43</v>
      </c>
      <c r="E16" s="194">
        <f t="shared" si="5"/>
        <v>478</v>
      </c>
      <c r="F16" s="202">
        <f t="shared" si="0"/>
        <v>5000</v>
      </c>
      <c r="G16" s="203">
        <f t="shared" si="1"/>
        <v>1475</v>
      </c>
      <c r="H16" s="202">
        <f t="shared" si="2"/>
        <v>0</v>
      </c>
      <c r="I16" s="196">
        <f t="shared" si="3"/>
        <v>2742525</v>
      </c>
      <c r="J16" s="197">
        <f t="shared" si="4"/>
        <v>423.55598455598454</v>
      </c>
    </row>
    <row r="17" spans="1:10" x14ac:dyDescent="0.2">
      <c r="A17" s="183"/>
      <c r="B17" s="198">
        <v>304</v>
      </c>
      <c r="C17" s="199">
        <v>1536</v>
      </c>
      <c r="D17" s="193" t="s">
        <v>43</v>
      </c>
      <c r="E17" s="194">
        <f t="shared" si="5"/>
        <v>478</v>
      </c>
      <c r="F17" s="202">
        <f t="shared" si="0"/>
        <v>1536</v>
      </c>
      <c r="G17" s="203">
        <f t="shared" si="1"/>
        <v>0</v>
      </c>
      <c r="H17" s="202">
        <f t="shared" si="2"/>
        <v>0</v>
      </c>
      <c r="I17" s="196">
        <f t="shared" si="3"/>
        <v>734208</v>
      </c>
      <c r="J17" s="197">
        <f t="shared" si="4"/>
        <v>478</v>
      </c>
    </row>
    <row r="18" spans="1:10" x14ac:dyDescent="0.2">
      <c r="A18" s="183"/>
      <c r="B18" s="198">
        <v>305</v>
      </c>
      <c r="C18" s="199">
        <v>393</v>
      </c>
      <c r="D18" s="193" t="s">
        <v>43</v>
      </c>
      <c r="E18" s="194">
        <f t="shared" si="5"/>
        <v>478</v>
      </c>
      <c r="F18" s="202">
        <f t="shared" si="0"/>
        <v>393</v>
      </c>
      <c r="G18" s="203">
        <f t="shared" si="1"/>
        <v>0</v>
      </c>
      <c r="H18" s="202">
        <f t="shared" si="2"/>
        <v>0</v>
      </c>
      <c r="I18" s="196">
        <f t="shared" si="3"/>
        <v>187854</v>
      </c>
      <c r="J18" s="197">
        <f t="shared" si="4"/>
        <v>478</v>
      </c>
    </row>
    <row r="19" spans="1:10" x14ac:dyDescent="0.2">
      <c r="A19" s="183"/>
      <c r="B19" s="198">
        <v>306</v>
      </c>
      <c r="C19" s="199">
        <v>1446</v>
      </c>
      <c r="D19" s="193" t="s">
        <v>43</v>
      </c>
      <c r="E19" s="194">
        <f t="shared" si="5"/>
        <v>478</v>
      </c>
      <c r="F19" s="202">
        <f t="shared" si="0"/>
        <v>1446</v>
      </c>
      <c r="G19" s="203">
        <f t="shared" si="1"/>
        <v>0</v>
      </c>
      <c r="H19" s="202">
        <f t="shared" si="2"/>
        <v>0</v>
      </c>
      <c r="I19" s="196">
        <f t="shared" si="3"/>
        <v>691188</v>
      </c>
      <c r="J19" s="197">
        <f t="shared" si="4"/>
        <v>478</v>
      </c>
    </row>
    <row r="20" spans="1:10" x14ac:dyDescent="0.2">
      <c r="A20" s="183"/>
      <c r="B20" s="198">
        <v>307</v>
      </c>
      <c r="C20" s="199">
        <v>551</v>
      </c>
      <c r="D20" s="193" t="s">
        <v>43</v>
      </c>
      <c r="E20" s="194">
        <f t="shared" si="5"/>
        <v>478</v>
      </c>
      <c r="F20" s="202">
        <f t="shared" si="0"/>
        <v>551</v>
      </c>
      <c r="G20" s="203">
        <f t="shared" si="1"/>
        <v>0</v>
      </c>
      <c r="H20" s="202">
        <f t="shared" si="2"/>
        <v>0</v>
      </c>
      <c r="I20" s="196">
        <f t="shared" si="3"/>
        <v>263378</v>
      </c>
      <c r="J20" s="197">
        <f t="shared" si="4"/>
        <v>478</v>
      </c>
    </row>
    <row r="21" spans="1:10" x14ac:dyDescent="0.2">
      <c r="A21" s="183"/>
      <c r="B21" s="198">
        <v>308</v>
      </c>
      <c r="C21" s="199">
        <v>570</v>
      </c>
      <c r="D21" s="193" t="s">
        <v>43</v>
      </c>
      <c r="E21" s="194">
        <f t="shared" si="5"/>
        <v>478</v>
      </c>
      <c r="F21" s="202">
        <f t="shared" si="0"/>
        <v>570</v>
      </c>
      <c r="G21" s="203">
        <f t="shared" si="1"/>
        <v>0</v>
      </c>
      <c r="H21" s="202">
        <f t="shared" si="2"/>
        <v>0</v>
      </c>
      <c r="I21" s="196">
        <f t="shared" si="3"/>
        <v>272460</v>
      </c>
      <c r="J21" s="197">
        <f t="shared" si="4"/>
        <v>478</v>
      </c>
    </row>
    <row r="22" spans="1:10" x14ac:dyDescent="0.2">
      <c r="A22" s="183"/>
      <c r="B22" s="198">
        <v>309</v>
      </c>
      <c r="C22" s="199">
        <v>4558</v>
      </c>
      <c r="D22" s="193" t="s">
        <v>43</v>
      </c>
      <c r="E22" s="194">
        <f t="shared" si="5"/>
        <v>478</v>
      </c>
      <c r="F22" s="202">
        <f t="shared" si="0"/>
        <v>4558</v>
      </c>
      <c r="G22" s="203">
        <f t="shared" si="1"/>
        <v>0</v>
      </c>
      <c r="H22" s="202">
        <f t="shared" si="2"/>
        <v>0</v>
      </c>
      <c r="I22" s="196">
        <f t="shared" si="3"/>
        <v>2178724</v>
      </c>
      <c r="J22" s="197">
        <f t="shared" si="4"/>
        <v>478</v>
      </c>
    </row>
    <row r="23" spans="1:10" x14ac:dyDescent="0.2">
      <c r="A23" s="183"/>
      <c r="B23" s="198">
        <v>310</v>
      </c>
      <c r="C23" s="199">
        <v>1133</v>
      </c>
      <c r="D23" s="193" t="s">
        <v>43</v>
      </c>
      <c r="E23" s="194">
        <f t="shared" si="5"/>
        <v>478</v>
      </c>
      <c r="F23" s="202">
        <f t="shared" si="0"/>
        <v>1133</v>
      </c>
      <c r="G23" s="203">
        <f t="shared" si="1"/>
        <v>0</v>
      </c>
      <c r="H23" s="202">
        <f t="shared" si="2"/>
        <v>0</v>
      </c>
      <c r="I23" s="196">
        <f t="shared" si="3"/>
        <v>541574</v>
      </c>
      <c r="J23" s="197">
        <f t="shared" si="4"/>
        <v>478</v>
      </c>
    </row>
    <row r="24" spans="1:10" x14ac:dyDescent="0.2">
      <c r="A24" s="183"/>
      <c r="B24" s="198">
        <v>311</v>
      </c>
      <c r="C24" s="199">
        <v>1630</v>
      </c>
      <c r="D24" s="193" t="s">
        <v>43</v>
      </c>
      <c r="E24" s="194">
        <f t="shared" si="5"/>
        <v>478</v>
      </c>
      <c r="F24" s="202">
        <f t="shared" si="0"/>
        <v>1630</v>
      </c>
      <c r="G24" s="203">
        <f t="shared" si="1"/>
        <v>0</v>
      </c>
      <c r="H24" s="202">
        <f t="shared" si="2"/>
        <v>0</v>
      </c>
      <c r="I24" s="196">
        <f t="shared" si="3"/>
        <v>779140</v>
      </c>
      <c r="J24" s="197">
        <f t="shared" si="4"/>
        <v>478</v>
      </c>
    </row>
    <row r="25" spans="1:10" x14ac:dyDescent="0.2">
      <c r="A25" s="183"/>
      <c r="B25" s="198">
        <v>312</v>
      </c>
      <c r="C25" s="199">
        <v>21029</v>
      </c>
      <c r="D25" s="193" t="s">
        <v>43</v>
      </c>
      <c r="E25" s="194">
        <f t="shared" si="5"/>
        <v>478</v>
      </c>
      <c r="F25" s="202">
        <f t="shared" si="0"/>
        <v>5000</v>
      </c>
      <c r="G25" s="203">
        <f t="shared" si="1"/>
        <v>5000</v>
      </c>
      <c r="H25" s="202">
        <f t="shared" si="2"/>
        <v>11029</v>
      </c>
      <c r="I25" s="196">
        <f t="shared" si="3"/>
        <v>6701241.3333333321</v>
      </c>
      <c r="J25" s="197">
        <f t="shared" si="4"/>
        <v>318.66666666666663</v>
      </c>
    </row>
    <row r="26" spans="1:10" x14ac:dyDescent="0.2">
      <c r="A26" s="183"/>
      <c r="B26" s="198">
        <v>313</v>
      </c>
      <c r="C26" s="199">
        <v>3157</v>
      </c>
      <c r="D26" s="193" t="s">
        <v>43</v>
      </c>
      <c r="E26" s="194">
        <f t="shared" si="5"/>
        <v>478</v>
      </c>
      <c r="F26" s="202">
        <f t="shared" si="0"/>
        <v>3157</v>
      </c>
      <c r="G26" s="203">
        <f t="shared" si="1"/>
        <v>0</v>
      </c>
      <c r="H26" s="202">
        <f t="shared" si="2"/>
        <v>0</v>
      </c>
      <c r="I26" s="196">
        <f t="shared" si="3"/>
        <v>1509046</v>
      </c>
      <c r="J26" s="197">
        <f t="shared" si="4"/>
        <v>478</v>
      </c>
    </row>
    <row r="27" spans="1:10" ht="13.5" thickBot="1" x14ac:dyDescent="0.25">
      <c r="A27" s="214"/>
      <c r="B27" s="215">
        <v>316</v>
      </c>
      <c r="C27" s="216">
        <v>7505</v>
      </c>
      <c r="D27" s="217" t="s">
        <v>43</v>
      </c>
      <c r="E27" s="218">
        <f t="shared" si="5"/>
        <v>478</v>
      </c>
      <c r="F27" s="219">
        <f t="shared" si="0"/>
        <v>5000</v>
      </c>
      <c r="G27" s="220">
        <f t="shared" si="1"/>
        <v>2505</v>
      </c>
      <c r="H27" s="219">
        <f t="shared" si="2"/>
        <v>0</v>
      </c>
      <c r="I27" s="220">
        <f t="shared" si="3"/>
        <v>2988695</v>
      </c>
      <c r="J27" s="221">
        <f t="shared" si="4"/>
        <v>398.2271818787475</v>
      </c>
    </row>
    <row r="28" spans="1:10" x14ac:dyDescent="0.2">
      <c r="A28" s="205" t="s">
        <v>50</v>
      </c>
      <c r="B28" s="206">
        <v>5</v>
      </c>
      <c r="C28" s="207">
        <v>300</v>
      </c>
      <c r="D28" s="208" t="s">
        <v>51</v>
      </c>
      <c r="E28" s="209">
        <v>440</v>
      </c>
      <c r="F28" s="210">
        <f t="shared" si="0"/>
        <v>300</v>
      </c>
      <c r="G28" s="211">
        <f t="shared" si="1"/>
        <v>0</v>
      </c>
      <c r="H28" s="210">
        <f t="shared" si="2"/>
        <v>0</v>
      </c>
      <c r="I28" s="212">
        <f t="shared" si="3"/>
        <v>132000</v>
      </c>
      <c r="J28" s="213">
        <f t="shared" si="4"/>
        <v>440</v>
      </c>
    </row>
    <row r="29" spans="1:10" x14ac:dyDescent="0.2">
      <c r="A29" s="183"/>
      <c r="B29" s="198">
        <v>6</v>
      </c>
      <c r="C29" s="199">
        <v>2400</v>
      </c>
      <c r="D29" s="193" t="s">
        <v>51</v>
      </c>
      <c r="E29" s="194">
        <f>E28</f>
        <v>440</v>
      </c>
      <c r="F29" s="202">
        <f t="shared" si="0"/>
        <v>2400</v>
      </c>
      <c r="G29" s="203">
        <f t="shared" si="1"/>
        <v>0</v>
      </c>
      <c r="H29" s="202">
        <f t="shared" si="2"/>
        <v>0</v>
      </c>
      <c r="I29" s="196">
        <f t="shared" si="3"/>
        <v>1056000</v>
      </c>
      <c r="J29" s="197">
        <f t="shared" si="4"/>
        <v>440</v>
      </c>
    </row>
    <row r="30" spans="1:10" x14ac:dyDescent="0.2">
      <c r="A30" s="183"/>
      <c r="B30" s="198">
        <v>14</v>
      </c>
      <c r="C30" s="199">
        <v>1300</v>
      </c>
      <c r="D30" s="193" t="s">
        <v>51</v>
      </c>
      <c r="E30" s="194">
        <f>E29</f>
        <v>440</v>
      </c>
      <c r="F30" s="202">
        <f t="shared" si="0"/>
        <v>1300</v>
      </c>
      <c r="G30" s="203">
        <f t="shared" si="1"/>
        <v>0</v>
      </c>
      <c r="H30" s="202">
        <f t="shared" si="2"/>
        <v>0</v>
      </c>
      <c r="I30" s="196">
        <f t="shared" si="3"/>
        <v>572000</v>
      </c>
      <c r="J30" s="197">
        <f t="shared" si="4"/>
        <v>440</v>
      </c>
    </row>
    <row r="31" spans="1:10" x14ac:dyDescent="0.2">
      <c r="A31" s="183"/>
      <c r="B31" s="198">
        <v>25</v>
      </c>
      <c r="C31" s="199">
        <v>1900</v>
      </c>
      <c r="D31" s="193" t="s">
        <v>51</v>
      </c>
      <c r="E31" s="194">
        <f>E30</f>
        <v>440</v>
      </c>
      <c r="F31" s="202">
        <f t="shared" si="0"/>
        <v>1900</v>
      </c>
      <c r="G31" s="203">
        <f t="shared" si="1"/>
        <v>0</v>
      </c>
      <c r="H31" s="202">
        <f t="shared" si="2"/>
        <v>0</v>
      </c>
      <c r="I31" s="196">
        <f t="shared" si="3"/>
        <v>836000</v>
      </c>
      <c r="J31" s="197">
        <f t="shared" si="4"/>
        <v>440</v>
      </c>
    </row>
    <row r="32" spans="1:10" ht="13.5" thickBot="1" x14ac:dyDescent="0.25">
      <c r="A32" s="214"/>
      <c r="B32" s="215">
        <v>40</v>
      </c>
      <c r="C32" s="216">
        <v>1200</v>
      </c>
      <c r="D32" s="217" t="s">
        <v>51</v>
      </c>
      <c r="E32" s="218">
        <f>E31</f>
        <v>440</v>
      </c>
      <c r="F32" s="219">
        <f t="shared" si="0"/>
        <v>1200</v>
      </c>
      <c r="G32" s="220">
        <f t="shared" si="1"/>
        <v>0</v>
      </c>
      <c r="H32" s="219">
        <f t="shared" si="2"/>
        <v>0</v>
      </c>
      <c r="I32" s="220">
        <f t="shared" si="3"/>
        <v>528000</v>
      </c>
      <c r="J32" s="221">
        <f t="shared" si="4"/>
        <v>440</v>
      </c>
    </row>
    <row r="33" spans="1:10" x14ac:dyDescent="0.2">
      <c r="A33" s="205" t="s">
        <v>52</v>
      </c>
      <c r="B33" s="206" t="s">
        <v>53</v>
      </c>
      <c r="C33" s="207">
        <f>E113</f>
        <v>9157.7666468277584</v>
      </c>
      <c r="D33" s="208" t="s">
        <v>43</v>
      </c>
      <c r="E33" s="209">
        <f>E7</f>
        <v>478</v>
      </c>
      <c r="F33" s="210">
        <f t="shared" si="0"/>
        <v>5000</v>
      </c>
      <c r="G33" s="211">
        <f t="shared" si="1"/>
        <v>4157.7666468277584</v>
      </c>
      <c r="H33" s="210">
        <f t="shared" si="2"/>
        <v>0</v>
      </c>
      <c r="I33" s="212">
        <f t="shared" si="3"/>
        <v>3383706.2285918342</v>
      </c>
      <c r="J33" s="213">
        <f t="shared" si="4"/>
        <v>369.49033089459061</v>
      </c>
    </row>
    <row r="34" spans="1:10" x14ac:dyDescent="0.2">
      <c r="A34" s="183"/>
      <c r="B34" s="198" t="s">
        <v>54</v>
      </c>
      <c r="C34" s="199">
        <v>2153</v>
      </c>
      <c r="D34" s="193" t="s">
        <v>43</v>
      </c>
      <c r="E34" s="194">
        <f>E33</f>
        <v>478</v>
      </c>
      <c r="F34" s="202">
        <f t="shared" si="0"/>
        <v>2153</v>
      </c>
      <c r="G34" s="203">
        <f t="shared" si="1"/>
        <v>0</v>
      </c>
      <c r="H34" s="202">
        <f t="shared" si="2"/>
        <v>0</v>
      </c>
      <c r="I34" s="196">
        <f t="shared" si="3"/>
        <v>1029134</v>
      </c>
      <c r="J34" s="197">
        <f t="shared" si="4"/>
        <v>478</v>
      </c>
    </row>
    <row r="35" spans="1:10" x14ac:dyDescent="0.2">
      <c r="A35" s="183"/>
      <c r="B35" s="198" t="s">
        <v>55</v>
      </c>
      <c r="C35" s="199">
        <v>2083</v>
      </c>
      <c r="D35" s="193" t="s">
        <v>43</v>
      </c>
      <c r="E35" s="194">
        <f>E34</f>
        <v>478</v>
      </c>
      <c r="F35" s="202">
        <f t="shared" si="0"/>
        <v>2083</v>
      </c>
      <c r="G35" s="203">
        <f t="shared" si="1"/>
        <v>0</v>
      </c>
      <c r="H35" s="202">
        <f t="shared" si="2"/>
        <v>0</v>
      </c>
      <c r="I35" s="196">
        <f t="shared" si="3"/>
        <v>995674</v>
      </c>
      <c r="J35" s="197">
        <f t="shared" si="4"/>
        <v>478</v>
      </c>
    </row>
    <row r="36" spans="1:10" x14ac:dyDescent="0.2">
      <c r="A36" s="183"/>
      <c r="B36" s="198" t="s">
        <v>56</v>
      </c>
      <c r="C36" s="199">
        <v>15327</v>
      </c>
      <c r="D36" s="193" t="s">
        <v>43</v>
      </c>
      <c r="E36" s="194">
        <f>E35</f>
        <v>478</v>
      </c>
      <c r="F36" s="202">
        <f t="shared" si="0"/>
        <v>5000</v>
      </c>
      <c r="G36" s="203">
        <f t="shared" si="1"/>
        <v>5000</v>
      </c>
      <c r="H36" s="202">
        <f t="shared" si="2"/>
        <v>5327</v>
      </c>
      <c r="I36" s="196">
        <f t="shared" si="3"/>
        <v>4884203.9999999991</v>
      </c>
      <c r="J36" s="197">
        <f t="shared" si="4"/>
        <v>318.66666666666663</v>
      </c>
    </row>
    <row r="37" spans="1:10" x14ac:dyDescent="0.2">
      <c r="A37" s="183"/>
      <c r="B37" s="222" t="s">
        <v>57</v>
      </c>
      <c r="C37" s="199">
        <f>E117</f>
        <v>4568.8503749553629</v>
      </c>
      <c r="D37" s="193" t="s">
        <v>43</v>
      </c>
      <c r="E37" s="194">
        <f t="shared" ref="E37:E47" si="6">E36</f>
        <v>478</v>
      </c>
      <c r="F37" s="202">
        <f t="shared" si="0"/>
        <v>4568.8503749553629</v>
      </c>
      <c r="G37" s="203">
        <f t="shared" si="1"/>
        <v>0</v>
      </c>
      <c r="H37" s="202">
        <f t="shared" si="2"/>
        <v>0</v>
      </c>
      <c r="I37" s="196">
        <f t="shared" si="3"/>
        <v>2183910.4792286633</v>
      </c>
      <c r="J37" s="197">
        <f t="shared" si="4"/>
        <v>477.99999999999994</v>
      </c>
    </row>
    <row r="38" spans="1:10" x14ac:dyDescent="0.2">
      <c r="A38" s="183"/>
      <c r="B38" s="198">
        <v>64</v>
      </c>
      <c r="C38" s="199">
        <f>E118</f>
        <v>2111.5497678847755</v>
      </c>
      <c r="D38" s="193" t="s">
        <v>43</v>
      </c>
      <c r="E38" s="194">
        <f t="shared" si="6"/>
        <v>478</v>
      </c>
      <c r="F38" s="202">
        <f t="shared" si="0"/>
        <v>2111.5497678847755</v>
      </c>
      <c r="G38" s="203">
        <f t="shared" si="1"/>
        <v>0</v>
      </c>
      <c r="H38" s="202">
        <f t="shared" si="2"/>
        <v>0</v>
      </c>
      <c r="I38" s="196">
        <f t="shared" si="3"/>
        <v>1009320.7890489227</v>
      </c>
      <c r="J38" s="197">
        <f t="shared" si="4"/>
        <v>478</v>
      </c>
    </row>
    <row r="39" spans="1:10" x14ac:dyDescent="0.2">
      <c r="A39" s="183"/>
      <c r="B39" s="198">
        <v>26</v>
      </c>
      <c r="C39" s="199">
        <f>E119</f>
        <v>1700.9706463516247</v>
      </c>
      <c r="D39" s="193" t="s">
        <v>43</v>
      </c>
      <c r="E39" s="194">
        <f t="shared" si="6"/>
        <v>478</v>
      </c>
      <c r="F39" s="202">
        <f t="shared" si="0"/>
        <v>1700.9706463516247</v>
      </c>
      <c r="G39" s="203">
        <f t="shared" si="1"/>
        <v>0</v>
      </c>
      <c r="H39" s="202">
        <f t="shared" si="2"/>
        <v>0</v>
      </c>
      <c r="I39" s="196">
        <f t="shared" si="3"/>
        <v>813063.96895607666</v>
      </c>
      <c r="J39" s="197">
        <f t="shared" si="4"/>
        <v>478</v>
      </c>
    </row>
    <row r="40" spans="1:10" x14ac:dyDescent="0.2">
      <c r="A40" s="183"/>
      <c r="B40" s="198">
        <v>25</v>
      </c>
      <c r="C40" s="199">
        <f>E120</f>
        <v>1312.0009522675871</v>
      </c>
      <c r="D40" s="193" t="s">
        <v>43</v>
      </c>
      <c r="E40" s="194">
        <v>478</v>
      </c>
      <c r="F40" s="202">
        <f t="shared" si="0"/>
        <v>1312.0009522675871</v>
      </c>
      <c r="G40" s="203">
        <f t="shared" si="1"/>
        <v>0</v>
      </c>
      <c r="H40" s="202">
        <f t="shared" si="2"/>
        <v>0</v>
      </c>
      <c r="I40" s="196">
        <f t="shared" si="3"/>
        <v>627136.4551839066</v>
      </c>
      <c r="J40" s="197">
        <f t="shared" si="4"/>
        <v>478</v>
      </c>
    </row>
    <row r="41" spans="1:10" x14ac:dyDescent="0.2">
      <c r="A41" s="183"/>
      <c r="B41" s="198">
        <v>23</v>
      </c>
      <c r="C41" s="199">
        <f>E121</f>
        <v>1284.217402690156</v>
      </c>
      <c r="D41" s="193" t="s">
        <v>43</v>
      </c>
      <c r="E41" s="194">
        <f t="shared" si="6"/>
        <v>478</v>
      </c>
      <c r="F41" s="202">
        <f t="shared" si="0"/>
        <v>1284.217402690156</v>
      </c>
      <c r="G41" s="203">
        <f t="shared" si="1"/>
        <v>0</v>
      </c>
      <c r="H41" s="202">
        <f t="shared" si="2"/>
        <v>0</v>
      </c>
      <c r="I41" s="196">
        <f t="shared" si="3"/>
        <v>613855.91848589457</v>
      </c>
      <c r="J41" s="197">
        <f t="shared" si="4"/>
        <v>478</v>
      </c>
    </row>
    <row r="42" spans="1:10" x14ac:dyDescent="0.2">
      <c r="A42" s="183"/>
      <c r="B42" s="198">
        <v>21</v>
      </c>
      <c r="C42" s="199">
        <f>E122</f>
        <v>2671.8513510296389</v>
      </c>
      <c r="D42" s="193" t="s">
        <v>43</v>
      </c>
      <c r="E42" s="194">
        <f t="shared" si="6"/>
        <v>478</v>
      </c>
      <c r="F42" s="202">
        <f t="shared" si="0"/>
        <v>2671.8513510296389</v>
      </c>
      <c r="G42" s="203">
        <f t="shared" si="1"/>
        <v>0</v>
      </c>
      <c r="H42" s="202">
        <f t="shared" si="2"/>
        <v>0</v>
      </c>
      <c r="I42" s="196">
        <f t="shared" si="3"/>
        <v>1277144.9457921674</v>
      </c>
      <c r="J42" s="197">
        <f t="shared" si="4"/>
        <v>478</v>
      </c>
    </row>
    <row r="43" spans="1:10" x14ac:dyDescent="0.2">
      <c r="A43" s="183"/>
      <c r="B43" s="198">
        <v>20</v>
      </c>
      <c r="C43" s="199">
        <f>E123</f>
        <v>679.15343411498634</v>
      </c>
      <c r="D43" s="193" t="s">
        <v>43</v>
      </c>
      <c r="E43" s="194">
        <f t="shared" si="6"/>
        <v>478</v>
      </c>
      <c r="F43" s="202">
        <f t="shared" si="0"/>
        <v>679.15343411498634</v>
      </c>
      <c r="G43" s="203">
        <f t="shared" si="1"/>
        <v>0</v>
      </c>
      <c r="H43" s="202">
        <f t="shared" si="2"/>
        <v>0</v>
      </c>
      <c r="I43" s="196">
        <f t="shared" si="3"/>
        <v>324635.34150696348</v>
      </c>
      <c r="J43" s="197">
        <f t="shared" si="4"/>
        <v>478</v>
      </c>
    </row>
    <row r="44" spans="1:10" x14ac:dyDescent="0.2">
      <c r="A44" s="183"/>
      <c r="B44" s="222" t="s">
        <v>58</v>
      </c>
      <c r="C44" s="199">
        <f>E124</f>
        <v>5748.1077014641114</v>
      </c>
      <c r="D44" s="193" t="s">
        <v>43</v>
      </c>
      <c r="E44" s="194">
        <f t="shared" si="6"/>
        <v>478</v>
      </c>
      <c r="F44" s="202">
        <f t="shared" si="0"/>
        <v>5000</v>
      </c>
      <c r="G44" s="203">
        <f t="shared" si="1"/>
        <v>748.10770146411141</v>
      </c>
      <c r="H44" s="202">
        <f t="shared" si="2"/>
        <v>0</v>
      </c>
      <c r="I44" s="196">
        <f t="shared" si="3"/>
        <v>2568797.7406499228</v>
      </c>
      <c r="J44" s="197">
        <f t="shared" si="4"/>
        <v>446.89450408098986</v>
      </c>
    </row>
    <row r="45" spans="1:10" x14ac:dyDescent="0.2">
      <c r="A45" s="183"/>
      <c r="B45" s="198">
        <v>86</v>
      </c>
      <c r="C45" s="199">
        <f>E125</f>
        <v>4500.9350315438642</v>
      </c>
      <c r="D45" s="193" t="s">
        <v>43</v>
      </c>
      <c r="E45" s="194">
        <f t="shared" si="6"/>
        <v>478</v>
      </c>
      <c r="F45" s="202">
        <f t="shared" si="0"/>
        <v>4500.9350315438642</v>
      </c>
      <c r="G45" s="203">
        <f t="shared" si="1"/>
        <v>0</v>
      </c>
      <c r="H45" s="202">
        <f t="shared" si="2"/>
        <v>0</v>
      </c>
      <c r="I45" s="196">
        <f t="shared" si="3"/>
        <v>2151446.9450779669</v>
      </c>
      <c r="J45" s="197">
        <f t="shared" si="4"/>
        <v>477.99999999999994</v>
      </c>
    </row>
    <row r="46" spans="1:10" x14ac:dyDescent="0.2">
      <c r="A46" s="183"/>
      <c r="B46" s="222" t="s">
        <v>59</v>
      </c>
      <c r="C46" s="199">
        <f>E126</f>
        <v>9075.9595286275435</v>
      </c>
      <c r="D46" s="193" t="s">
        <v>43</v>
      </c>
      <c r="E46" s="194">
        <f t="shared" si="6"/>
        <v>478</v>
      </c>
      <c r="F46" s="202">
        <f t="shared" si="0"/>
        <v>5000</v>
      </c>
      <c r="G46" s="203">
        <f t="shared" si="1"/>
        <v>4075.9595286275435</v>
      </c>
      <c r="H46" s="202">
        <f t="shared" si="2"/>
        <v>0</v>
      </c>
      <c r="I46" s="196">
        <f t="shared" si="3"/>
        <v>3364154.3273419831</v>
      </c>
      <c r="J46" s="197">
        <f t="shared" si="4"/>
        <v>370.66651925129361</v>
      </c>
    </row>
    <row r="47" spans="1:10" x14ac:dyDescent="0.2">
      <c r="A47" s="183"/>
      <c r="B47" s="198">
        <v>88</v>
      </c>
      <c r="C47" s="199">
        <f>E127</f>
        <v>918.40066658731109</v>
      </c>
      <c r="D47" s="193" t="s">
        <v>43</v>
      </c>
      <c r="E47" s="194">
        <f t="shared" si="6"/>
        <v>478</v>
      </c>
      <c r="F47" s="202">
        <f t="shared" si="0"/>
        <v>918.40066658731109</v>
      </c>
      <c r="G47" s="203">
        <f t="shared" si="1"/>
        <v>0</v>
      </c>
      <c r="H47" s="202">
        <f t="shared" si="2"/>
        <v>0</v>
      </c>
      <c r="I47" s="196">
        <f t="shared" si="3"/>
        <v>438995.51862873469</v>
      </c>
      <c r="J47" s="197">
        <f t="shared" si="4"/>
        <v>478</v>
      </c>
    </row>
    <row r="48" spans="1:10" ht="13.5" thickBot="1" x14ac:dyDescent="0.25">
      <c r="A48" s="214"/>
      <c r="B48" s="215">
        <v>89</v>
      </c>
      <c r="C48" s="216">
        <f>E128</f>
        <v>1543.5305320795144</v>
      </c>
      <c r="D48" s="217" t="s">
        <v>43</v>
      </c>
      <c r="E48" s="218">
        <f>E47</f>
        <v>478</v>
      </c>
      <c r="F48" s="219">
        <f>MIN(5000,C48)</f>
        <v>1543.5305320795144</v>
      </c>
      <c r="G48" s="220">
        <f>MIN(5000,C48-F48)</f>
        <v>0</v>
      </c>
      <c r="H48" s="219">
        <f>C48-G48-F48</f>
        <v>0</v>
      </c>
      <c r="I48" s="220">
        <f>IF(H48&gt;0,2/3*E48*C48,IF(G48&gt;0,F48*E48+0.5*G48*E48,F48*E48))</f>
        <v>737807.59433400782</v>
      </c>
      <c r="J48" s="221">
        <f>I48/C48</f>
        <v>477.99999999999994</v>
      </c>
    </row>
    <row r="49" spans="1:10" x14ac:dyDescent="0.2">
      <c r="A49" s="223" t="s">
        <v>94</v>
      </c>
      <c r="B49" s="224">
        <v>6003</v>
      </c>
      <c r="C49" s="199">
        <v>471.72845427602903</v>
      </c>
      <c r="D49" s="186" t="s">
        <v>43</v>
      </c>
      <c r="E49" s="187">
        <f>E48</f>
        <v>478</v>
      </c>
      <c r="F49" s="225">
        <f>MIN(5000,C49)</f>
        <v>471.72845427602903</v>
      </c>
      <c r="G49" s="226">
        <f>MIN(5000,C49-F49)</f>
        <v>0</v>
      </c>
      <c r="H49" s="225">
        <f>C49-G49-F49</f>
        <v>0</v>
      </c>
      <c r="I49" s="189">
        <f>IF(H49&gt;0,2/3*E49*C49,IF(G49&gt;0,F49*E49+0.5*G49*E49,F49*E49))</f>
        <v>225486.20114394187</v>
      </c>
      <c r="J49" s="190">
        <f>I49/C49</f>
        <v>478</v>
      </c>
    </row>
    <row r="50" spans="1:10" x14ac:dyDescent="0.2">
      <c r="A50" s="227"/>
      <c r="B50" s="224">
        <v>6004</v>
      </c>
      <c r="C50" s="199">
        <v>438.14590465682301</v>
      </c>
      <c r="D50" s="200" t="s">
        <v>43</v>
      </c>
      <c r="E50" s="201">
        <f t="shared" ref="E50:E108" si="7">E49</f>
        <v>478</v>
      </c>
      <c r="F50" s="202">
        <f t="shared" ref="F50:F100" si="8">MIN(5000,C50)</f>
        <v>438.14590465682301</v>
      </c>
      <c r="G50" s="203">
        <f t="shared" ref="G50:G100" si="9">MIN(5000,C50-F50)</f>
        <v>0</v>
      </c>
      <c r="H50" s="202">
        <f t="shared" ref="H50:H100" si="10">C50-G50-F50</f>
        <v>0</v>
      </c>
      <c r="I50" s="203">
        <f t="shared" ref="I50:I100" si="11">IF(H50&gt;0,2/3*E50*C50,IF(G50&gt;0,F50*E50+0.5*G50*E50,F50*E50))</f>
        <v>209433.74242596139</v>
      </c>
      <c r="J50" s="204">
        <f t="shared" ref="J50:J100" si="12">I50/C50</f>
        <v>478</v>
      </c>
    </row>
    <row r="51" spans="1:10" x14ac:dyDescent="0.2">
      <c r="A51" s="227"/>
      <c r="B51" s="224">
        <v>6005</v>
      </c>
      <c r="C51" s="199">
        <v>436.61515096524101</v>
      </c>
      <c r="D51" s="228" t="s">
        <v>43</v>
      </c>
      <c r="E51" s="194">
        <f t="shared" si="7"/>
        <v>478</v>
      </c>
      <c r="F51" s="202">
        <f t="shared" si="8"/>
        <v>436.61515096524101</v>
      </c>
      <c r="G51" s="203">
        <f t="shared" si="9"/>
        <v>0</v>
      </c>
      <c r="H51" s="202">
        <f t="shared" si="10"/>
        <v>0</v>
      </c>
      <c r="I51" s="196">
        <f t="shared" si="11"/>
        <v>208702.04216138521</v>
      </c>
      <c r="J51" s="197">
        <f t="shared" si="12"/>
        <v>478</v>
      </c>
    </row>
    <row r="52" spans="1:10" x14ac:dyDescent="0.2">
      <c r="A52" s="227"/>
      <c r="B52" s="224">
        <v>6006</v>
      </c>
      <c r="C52" s="199">
        <v>897.99903646713199</v>
      </c>
      <c r="D52" s="228" t="s">
        <v>43</v>
      </c>
      <c r="E52" s="194">
        <f t="shared" si="7"/>
        <v>478</v>
      </c>
      <c r="F52" s="195">
        <f t="shared" si="8"/>
        <v>897.99903646713199</v>
      </c>
      <c r="G52" s="196">
        <f t="shared" si="9"/>
        <v>0</v>
      </c>
      <c r="H52" s="195">
        <f t="shared" si="10"/>
        <v>0</v>
      </c>
      <c r="I52" s="196">
        <f t="shared" si="11"/>
        <v>429243.53943128907</v>
      </c>
      <c r="J52" s="197">
        <f t="shared" si="12"/>
        <v>478</v>
      </c>
    </row>
    <row r="53" spans="1:10" x14ac:dyDescent="0.2">
      <c r="A53" s="227"/>
      <c r="B53" s="224">
        <v>6007</v>
      </c>
      <c r="C53" s="199">
        <v>1751.8536124605</v>
      </c>
      <c r="D53" s="186" t="s">
        <v>43</v>
      </c>
      <c r="E53" s="187">
        <f t="shared" si="7"/>
        <v>478</v>
      </c>
      <c r="F53" s="225">
        <f t="shared" si="8"/>
        <v>1751.8536124605</v>
      </c>
      <c r="G53" s="226">
        <f t="shared" si="9"/>
        <v>0</v>
      </c>
      <c r="H53" s="225">
        <f t="shared" si="10"/>
        <v>0</v>
      </c>
      <c r="I53" s="189">
        <f t="shared" si="11"/>
        <v>837386.02675611898</v>
      </c>
      <c r="J53" s="190">
        <f t="shared" si="12"/>
        <v>478</v>
      </c>
    </row>
    <row r="54" spans="1:10" x14ac:dyDescent="0.2">
      <c r="A54" s="227"/>
      <c r="B54" s="224">
        <v>6008</v>
      </c>
      <c r="C54" s="199">
        <v>1271.0342761295501</v>
      </c>
      <c r="D54" s="200" t="s">
        <v>43</v>
      </c>
      <c r="E54" s="201">
        <f t="shared" si="7"/>
        <v>478</v>
      </c>
      <c r="F54" s="202">
        <f t="shared" si="8"/>
        <v>1271.0342761295501</v>
      </c>
      <c r="G54" s="203">
        <f t="shared" si="9"/>
        <v>0</v>
      </c>
      <c r="H54" s="202">
        <f t="shared" si="10"/>
        <v>0</v>
      </c>
      <c r="I54" s="203">
        <f t="shared" si="11"/>
        <v>607554.38398992491</v>
      </c>
      <c r="J54" s="204">
        <f t="shared" si="12"/>
        <v>477.99999999999994</v>
      </c>
    </row>
    <row r="55" spans="1:10" x14ac:dyDescent="0.2">
      <c r="A55" s="227"/>
      <c r="B55" s="224">
        <v>6009</v>
      </c>
      <c r="C55" s="199">
        <v>532.51170000000002</v>
      </c>
      <c r="D55" s="228" t="s">
        <v>43</v>
      </c>
      <c r="E55" s="194">
        <f t="shared" si="7"/>
        <v>478</v>
      </c>
      <c r="F55" s="202">
        <f t="shared" si="8"/>
        <v>532.51170000000002</v>
      </c>
      <c r="G55" s="203">
        <f t="shared" si="9"/>
        <v>0</v>
      </c>
      <c r="H55" s="202">
        <f t="shared" si="10"/>
        <v>0</v>
      </c>
      <c r="I55" s="196">
        <f t="shared" si="11"/>
        <v>254540.5926</v>
      </c>
      <c r="J55" s="197">
        <f t="shared" si="12"/>
        <v>478</v>
      </c>
    </row>
    <row r="56" spans="1:10" x14ac:dyDescent="0.2">
      <c r="A56" s="227"/>
      <c r="B56" s="224">
        <v>6010</v>
      </c>
      <c r="C56" s="199">
        <v>5068.5050117528099</v>
      </c>
      <c r="D56" s="228" t="s">
        <v>43</v>
      </c>
      <c r="E56" s="194">
        <f t="shared" si="7"/>
        <v>478</v>
      </c>
      <c r="F56" s="195">
        <f t="shared" si="8"/>
        <v>5000</v>
      </c>
      <c r="G56" s="196">
        <f t="shared" si="9"/>
        <v>68.505011752809878</v>
      </c>
      <c r="H56" s="195">
        <f t="shared" si="10"/>
        <v>0</v>
      </c>
      <c r="I56" s="196">
        <f t="shared" si="11"/>
        <v>2406372.6978089213</v>
      </c>
      <c r="J56" s="197">
        <f t="shared" si="12"/>
        <v>474.76971853219897</v>
      </c>
    </row>
    <row r="57" spans="1:10" x14ac:dyDescent="0.2">
      <c r="A57" s="227"/>
      <c r="B57" s="224">
        <v>6011</v>
      </c>
      <c r="C57" s="199">
        <v>672.43279642263599</v>
      </c>
      <c r="D57" s="186" t="s">
        <v>43</v>
      </c>
      <c r="E57" s="187">
        <f t="shared" si="7"/>
        <v>478</v>
      </c>
      <c r="F57" s="225">
        <f t="shared" si="8"/>
        <v>672.43279642263599</v>
      </c>
      <c r="G57" s="226">
        <f t="shared" si="9"/>
        <v>0</v>
      </c>
      <c r="H57" s="225">
        <f t="shared" si="10"/>
        <v>0</v>
      </c>
      <c r="I57" s="189">
        <f t="shared" si="11"/>
        <v>321422.87669002003</v>
      </c>
      <c r="J57" s="190">
        <f t="shared" si="12"/>
        <v>478.00000000000006</v>
      </c>
    </row>
    <row r="58" spans="1:10" x14ac:dyDescent="0.2">
      <c r="A58" s="227"/>
      <c r="B58" s="224">
        <v>6012</v>
      </c>
      <c r="C58" s="199">
        <v>1136.87267723686</v>
      </c>
      <c r="D58" s="200" t="s">
        <v>43</v>
      </c>
      <c r="E58" s="201">
        <f t="shared" si="7"/>
        <v>478</v>
      </c>
      <c r="F58" s="202">
        <f t="shared" si="8"/>
        <v>1136.87267723686</v>
      </c>
      <c r="G58" s="203">
        <f t="shared" si="9"/>
        <v>0</v>
      </c>
      <c r="H58" s="202">
        <f t="shared" si="10"/>
        <v>0</v>
      </c>
      <c r="I58" s="203">
        <f t="shared" si="11"/>
        <v>543425.13971921906</v>
      </c>
      <c r="J58" s="204">
        <f t="shared" si="12"/>
        <v>478</v>
      </c>
    </row>
    <row r="59" spans="1:10" x14ac:dyDescent="0.2">
      <c r="A59" s="227"/>
      <c r="B59" s="224">
        <v>6013</v>
      </c>
      <c r="C59" s="199">
        <v>2303.7051173497598</v>
      </c>
      <c r="D59" s="228" t="s">
        <v>43</v>
      </c>
      <c r="E59" s="194">
        <f t="shared" si="7"/>
        <v>478</v>
      </c>
      <c r="F59" s="202">
        <f t="shared" si="8"/>
        <v>2303.7051173497598</v>
      </c>
      <c r="G59" s="203">
        <f t="shared" si="9"/>
        <v>0</v>
      </c>
      <c r="H59" s="202">
        <f t="shared" si="10"/>
        <v>0</v>
      </c>
      <c r="I59" s="196">
        <f t="shared" si="11"/>
        <v>1101171.0460931852</v>
      </c>
      <c r="J59" s="197">
        <f t="shared" si="12"/>
        <v>478</v>
      </c>
    </row>
    <row r="60" spans="1:10" x14ac:dyDescent="0.2">
      <c r="A60" s="227"/>
      <c r="B60" s="224">
        <v>6014</v>
      </c>
      <c r="C60" s="199">
        <v>1036.3506054202101</v>
      </c>
      <c r="D60" s="228" t="s">
        <v>43</v>
      </c>
      <c r="E60" s="194">
        <f t="shared" si="7"/>
        <v>478</v>
      </c>
      <c r="F60" s="195">
        <f t="shared" si="8"/>
        <v>1036.3506054202101</v>
      </c>
      <c r="G60" s="196">
        <f t="shared" si="9"/>
        <v>0</v>
      </c>
      <c r="H60" s="195">
        <f t="shared" si="10"/>
        <v>0</v>
      </c>
      <c r="I60" s="196">
        <f t="shared" si="11"/>
        <v>495375.5893908604</v>
      </c>
      <c r="J60" s="197">
        <f t="shared" si="12"/>
        <v>478</v>
      </c>
    </row>
    <row r="61" spans="1:10" x14ac:dyDescent="0.2">
      <c r="A61" s="227"/>
      <c r="B61" s="224">
        <v>6015</v>
      </c>
      <c r="C61" s="199">
        <v>444.038461793181</v>
      </c>
      <c r="D61" s="186" t="s">
        <v>43</v>
      </c>
      <c r="E61" s="187">
        <f t="shared" si="7"/>
        <v>478</v>
      </c>
      <c r="F61" s="225">
        <f t="shared" si="8"/>
        <v>444.038461793181</v>
      </c>
      <c r="G61" s="226">
        <f t="shared" si="9"/>
        <v>0</v>
      </c>
      <c r="H61" s="225">
        <f t="shared" si="10"/>
        <v>0</v>
      </c>
      <c r="I61" s="189">
        <f t="shared" si="11"/>
        <v>212250.38473714053</v>
      </c>
      <c r="J61" s="190">
        <f t="shared" si="12"/>
        <v>478</v>
      </c>
    </row>
    <row r="62" spans="1:10" x14ac:dyDescent="0.2">
      <c r="A62" s="227"/>
      <c r="B62" s="224">
        <v>6016</v>
      </c>
      <c r="C62" s="199">
        <v>451.33539909652899</v>
      </c>
      <c r="D62" s="200" t="s">
        <v>43</v>
      </c>
      <c r="E62" s="201">
        <f t="shared" si="7"/>
        <v>478</v>
      </c>
      <c r="F62" s="202">
        <f t="shared" si="8"/>
        <v>451.33539909652899</v>
      </c>
      <c r="G62" s="203">
        <f t="shared" si="9"/>
        <v>0</v>
      </c>
      <c r="H62" s="202">
        <f t="shared" si="10"/>
        <v>0</v>
      </c>
      <c r="I62" s="203">
        <f t="shared" si="11"/>
        <v>215738.32076814087</v>
      </c>
      <c r="J62" s="204">
        <f t="shared" si="12"/>
        <v>478</v>
      </c>
    </row>
    <row r="63" spans="1:10" x14ac:dyDescent="0.2">
      <c r="A63" s="227"/>
      <c r="B63" s="224">
        <v>6017</v>
      </c>
      <c r="C63" s="199">
        <v>1288.0979439499799</v>
      </c>
      <c r="D63" s="228" t="s">
        <v>43</v>
      </c>
      <c r="E63" s="194">
        <f t="shared" si="7"/>
        <v>478</v>
      </c>
      <c r="F63" s="202">
        <f t="shared" si="8"/>
        <v>1288.0979439499799</v>
      </c>
      <c r="G63" s="203">
        <f t="shared" si="9"/>
        <v>0</v>
      </c>
      <c r="H63" s="202">
        <f t="shared" si="10"/>
        <v>0</v>
      </c>
      <c r="I63" s="196">
        <f t="shared" si="11"/>
        <v>615710.81720809045</v>
      </c>
      <c r="J63" s="197">
        <f t="shared" si="12"/>
        <v>478.00000000000006</v>
      </c>
    </row>
    <row r="64" spans="1:10" x14ac:dyDescent="0.2">
      <c r="A64" s="227"/>
      <c r="B64" s="224">
        <v>6018</v>
      </c>
      <c r="C64" s="199">
        <v>900.05285331223104</v>
      </c>
      <c r="D64" s="228" t="s">
        <v>43</v>
      </c>
      <c r="E64" s="194">
        <f t="shared" si="7"/>
        <v>478</v>
      </c>
      <c r="F64" s="195">
        <f t="shared" si="8"/>
        <v>900.05285331223104</v>
      </c>
      <c r="G64" s="196">
        <f t="shared" si="9"/>
        <v>0</v>
      </c>
      <c r="H64" s="195">
        <f t="shared" si="10"/>
        <v>0</v>
      </c>
      <c r="I64" s="196">
        <f t="shared" si="11"/>
        <v>430225.26388324646</v>
      </c>
      <c r="J64" s="197">
        <f t="shared" si="12"/>
        <v>478</v>
      </c>
    </row>
    <row r="65" spans="1:10" x14ac:dyDescent="0.2">
      <c r="A65" s="227"/>
      <c r="B65" s="224">
        <v>6021</v>
      </c>
      <c r="C65" s="199">
        <v>444.59047396974</v>
      </c>
      <c r="D65" s="186" t="s">
        <v>43</v>
      </c>
      <c r="E65" s="187">
        <f t="shared" si="7"/>
        <v>478</v>
      </c>
      <c r="F65" s="225">
        <f t="shared" si="8"/>
        <v>444.59047396974</v>
      </c>
      <c r="G65" s="226">
        <f t="shared" si="9"/>
        <v>0</v>
      </c>
      <c r="H65" s="225">
        <f t="shared" si="10"/>
        <v>0</v>
      </c>
      <c r="I65" s="189">
        <f t="shared" si="11"/>
        <v>212514.24655753572</v>
      </c>
      <c r="J65" s="190">
        <f t="shared" si="12"/>
        <v>478</v>
      </c>
    </row>
    <row r="66" spans="1:10" x14ac:dyDescent="0.2">
      <c r="A66" s="227"/>
      <c r="B66" s="224">
        <v>6022</v>
      </c>
      <c r="C66" s="199">
        <v>11095.749828428099</v>
      </c>
      <c r="D66" s="200" t="s">
        <v>43</v>
      </c>
      <c r="E66" s="201">
        <f t="shared" si="7"/>
        <v>478</v>
      </c>
      <c r="F66" s="202">
        <f t="shared" si="8"/>
        <v>5000</v>
      </c>
      <c r="G66" s="203">
        <f t="shared" si="9"/>
        <v>5000</v>
      </c>
      <c r="H66" s="202">
        <f t="shared" si="10"/>
        <v>1095.7498284280991</v>
      </c>
      <c r="I66" s="203">
        <f t="shared" si="11"/>
        <v>3535845.6119924206</v>
      </c>
      <c r="J66" s="204">
        <f t="shared" si="12"/>
        <v>318.66666666666663</v>
      </c>
    </row>
    <row r="67" spans="1:10" x14ac:dyDescent="0.2">
      <c r="A67" s="227"/>
      <c r="B67" s="224">
        <v>6024</v>
      </c>
      <c r="C67" s="199">
        <v>915.73341761282597</v>
      </c>
      <c r="D67" s="228" t="s">
        <v>43</v>
      </c>
      <c r="E67" s="194">
        <f t="shared" si="7"/>
        <v>478</v>
      </c>
      <c r="F67" s="202">
        <f t="shared" si="8"/>
        <v>915.73341761282597</v>
      </c>
      <c r="G67" s="203">
        <f t="shared" si="9"/>
        <v>0</v>
      </c>
      <c r="H67" s="202">
        <f t="shared" si="10"/>
        <v>0</v>
      </c>
      <c r="I67" s="196">
        <f t="shared" si="11"/>
        <v>437720.57361893082</v>
      </c>
      <c r="J67" s="197">
        <f t="shared" si="12"/>
        <v>478</v>
      </c>
    </row>
    <row r="68" spans="1:10" x14ac:dyDescent="0.2">
      <c r="A68" s="227"/>
      <c r="B68" s="224">
        <v>6025</v>
      </c>
      <c r="C68" s="199">
        <v>343.62118430125201</v>
      </c>
      <c r="D68" s="228" t="s">
        <v>43</v>
      </c>
      <c r="E68" s="194">
        <f t="shared" si="7"/>
        <v>478</v>
      </c>
      <c r="F68" s="195">
        <f t="shared" si="8"/>
        <v>343.62118430125201</v>
      </c>
      <c r="G68" s="196">
        <f t="shared" si="9"/>
        <v>0</v>
      </c>
      <c r="H68" s="195">
        <f t="shared" si="10"/>
        <v>0</v>
      </c>
      <c r="I68" s="196">
        <f t="shared" si="11"/>
        <v>164250.92609599847</v>
      </c>
      <c r="J68" s="197">
        <f t="shared" si="12"/>
        <v>478</v>
      </c>
    </row>
    <row r="69" spans="1:10" x14ac:dyDescent="0.2">
      <c r="A69" s="227"/>
      <c r="B69" s="224">
        <v>6026</v>
      </c>
      <c r="C69" s="199">
        <v>382.496928233929</v>
      </c>
      <c r="D69" s="186" t="s">
        <v>43</v>
      </c>
      <c r="E69" s="187">
        <f t="shared" si="7"/>
        <v>478</v>
      </c>
      <c r="F69" s="225">
        <f t="shared" si="8"/>
        <v>382.496928233929</v>
      </c>
      <c r="G69" s="226">
        <f t="shared" si="9"/>
        <v>0</v>
      </c>
      <c r="H69" s="225">
        <f t="shared" si="10"/>
        <v>0</v>
      </c>
      <c r="I69" s="189">
        <f t="shared" si="11"/>
        <v>182833.53169581806</v>
      </c>
      <c r="J69" s="190">
        <f t="shared" si="12"/>
        <v>478</v>
      </c>
    </row>
    <row r="70" spans="1:10" x14ac:dyDescent="0.2">
      <c r="A70" s="227"/>
      <c r="B70" s="224">
        <v>6027</v>
      </c>
      <c r="C70" s="199">
        <v>777.183926468697</v>
      </c>
      <c r="D70" s="200" t="s">
        <v>43</v>
      </c>
      <c r="E70" s="201">
        <f t="shared" si="7"/>
        <v>478</v>
      </c>
      <c r="F70" s="202">
        <f t="shared" si="8"/>
        <v>777.183926468697</v>
      </c>
      <c r="G70" s="203">
        <f t="shared" si="9"/>
        <v>0</v>
      </c>
      <c r="H70" s="202">
        <f t="shared" si="10"/>
        <v>0</v>
      </c>
      <c r="I70" s="203">
        <f t="shared" si="11"/>
        <v>371493.91685203719</v>
      </c>
      <c r="J70" s="204">
        <f t="shared" si="12"/>
        <v>478.00000000000006</v>
      </c>
    </row>
    <row r="71" spans="1:10" x14ac:dyDescent="0.2">
      <c r="A71" s="227"/>
      <c r="B71" s="224">
        <v>6028</v>
      </c>
      <c r="C71" s="199">
        <v>380.08229999999998</v>
      </c>
      <c r="D71" s="228" t="s">
        <v>43</v>
      </c>
      <c r="E71" s="194">
        <f t="shared" si="7"/>
        <v>478</v>
      </c>
      <c r="F71" s="202">
        <f t="shared" si="8"/>
        <v>380.08229999999998</v>
      </c>
      <c r="G71" s="203">
        <f t="shared" si="9"/>
        <v>0</v>
      </c>
      <c r="H71" s="202">
        <f t="shared" si="10"/>
        <v>0</v>
      </c>
      <c r="I71" s="196">
        <f t="shared" si="11"/>
        <v>181679.3394</v>
      </c>
      <c r="J71" s="197">
        <f t="shared" si="12"/>
        <v>478</v>
      </c>
    </row>
    <row r="72" spans="1:10" x14ac:dyDescent="0.2">
      <c r="A72" s="227"/>
      <c r="B72" s="224">
        <v>6029</v>
      </c>
      <c r="C72" s="199">
        <v>6896.7487370946401</v>
      </c>
      <c r="D72" s="228" t="s">
        <v>43</v>
      </c>
      <c r="E72" s="194">
        <f t="shared" si="7"/>
        <v>478</v>
      </c>
      <c r="F72" s="195">
        <f t="shared" si="8"/>
        <v>5000</v>
      </c>
      <c r="G72" s="196">
        <f t="shared" si="9"/>
        <v>1896.7487370946401</v>
      </c>
      <c r="H72" s="195">
        <f t="shared" si="10"/>
        <v>0</v>
      </c>
      <c r="I72" s="196">
        <f t="shared" si="11"/>
        <v>2843322.9481656188</v>
      </c>
      <c r="J72" s="197">
        <f t="shared" si="12"/>
        <v>412.27005021548916</v>
      </c>
    </row>
    <row r="73" spans="1:10" x14ac:dyDescent="0.2">
      <c r="A73" s="227"/>
      <c r="B73" s="224">
        <v>6030</v>
      </c>
      <c r="C73" s="199">
        <v>377.42047264871701</v>
      </c>
      <c r="D73" s="186" t="s">
        <v>43</v>
      </c>
      <c r="E73" s="187">
        <f t="shared" si="7"/>
        <v>478</v>
      </c>
      <c r="F73" s="225">
        <f t="shared" si="8"/>
        <v>377.42047264871701</v>
      </c>
      <c r="G73" s="226">
        <f t="shared" si="9"/>
        <v>0</v>
      </c>
      <c r="H73" s="225">
        <f t="shared" si="10"/>
        <v>0</v>
      </c>
      <c r="I73" s="189">
        <f t="shared" si="11"/>
        <v>180406.98592608672</v>
      </c>
      <c r="J73" s="190">
        <f t="shared" si="12"/>
        <v>478</v>
      </c>
    </row>
    <row r="74" spans="1:10" x14ac:dyDescent="0.2">
      <c r="A74" s="227"/>
      <c r="B74" s="224">
        <v>6031</v>
      </c>
      <c r="C74" s="199">
        <v>532.30426567031805</v>
      </c>
      <c r="D74" s="200" t="s">
        <v>43</v>
      </c>
      <c r="E74" s="201">
        <f t="shared" si="7"/>
        <v>478</v>
      </c>
      <c r="F74" s="202">
        <f t="shared" si="8"/>
        <v>532.30426567031805</v>
      </c>
      <c r="G74" s="203">
        <f t="shared" si="9"/>
        <v>0</v>
      </c>
      <c r="H74" s="202">
        <f t="shared" si="10"/>
        <v>0</v>
      </c>
      <c r="I74" s="203">
        <f t="shared" si="11"/>
        <v>254441.43899041202</v>
      </c>
      <c r="J74" s="204">
        <f t="shared" si="12"/>
        <v>478</v>
      </c>
    </row>
    <row r="75" spans="1:10" x14ac:dyDescent="0.2">
      <c r="A75" s="227"/>
      <c r="B75" s="224">
        <v>6032</v>
      </c>
      <c r="C75" s="199">
        <v>4237.0747802969699</v>
      </c>
      <c r="D75" s="228" t="s">
        <v>43</v>
      </c>
      <c r="E75" s="194">
        <f t="shared" si="7"/>
        <v>478</v>
      </c>
      <c r="F75" s="202">
        <f t="shared" si="8"/>
        <v>4237.0747802969699</v>
      </c>
      <c r="G75" s="203">
        <f t="shared" si="9"/>
        <v>0</v>
      </c>
      <c r="H75" s="202">
        <f t="shared" si="10"/>
        <v>0</v>
      </c>
      <c r="I75" s="196">
        <f t="shared" si="11"/>
        <v>2025321.7449819515</v>
      </c>
      <c r="J75" s="197">
        <f t="shared" si="12"/>
        <v>478</v>
      </c>
    </row>
    <row r="76" spans="1:10" x14ac:dyDescent="0.2">
      <c r="A76" s="227"/>
      <c r="B76" s="224">
        <v>6033</v>
      </c>
      <c r="C76" s="199">
        <v>1022.12724738706</v>
      </c>
      <c r="D76" s="228" t="s">
        <v>43</v>
      </c>
      <c r="E76" s="194">
        <f t="shared" si="7"/>
        <v>478</v>
      </c>
      <c r="F76" s="195">
        <f t="shared" si="8"/>
        <v>1022.12724738706</v>
      </c>
      <c r="G76" s="196">
        <f t="shared" si="9"/>
        <v>0</v>
      </c>
      <c r="H76" s="195">
        <f t="shared" si="10"/>
        <v>0</v>
      </c>
      <c r="I76" s="196">
        <f t="shared" si="11"/>
        <v>488576.82425101468</v>
      </c>
      <c r="J76" s="197">
        <f t="shared" si="12"/>
        <v>478</v>
      </c>
    </row>
    <row r="77" spans="1:10" x14ac:dyDescent="0.2">
      <c r="A77" s="227"/>
      <c r="B77" s="224">
        <v>6034</v>
      </c>
      <c r="C77" s="199">
        <v>980.37465721975502</v>
      </c>
      <c r="D77" s="186" t="s">
        <v>43</v>
      </c>
      <c r="E77" s="187">
        <f t="shared" si="7"/>
        <v>478</v>
      </c>
      <c r="F77" s="225">
        <f t="shared" si="8"/>
        <v>980.37465721975502</v>
      </c>
      <c r="G77" s="226">
        <f t="shared" si="9"/>
        <v>0</v>
      </c>
      <c r="H77" s="225">
        <f t="shared" si="10"/>
        <v>0</v>
      </c>
      <c r="I77" s="189">
        <f t="shared" si="11"/>
        <v>468619.08615104289</v>
      </c>
      <c r="J77" s="190">
        <f t="shared" si="12"/>
        <v>478</v>
      </c>
    </row>
    <row r="78" spans="1:10" x14ac:dyDescent="0.2">
      <c r="A78" s="227"/>
      <c r="B78" s="224">
        <v>6035</v>
      </c>
      <c r="C78" s="199">
        <v>914.21929999999998</v>
      </c>
      <c r="D78" s="200" t="s">
        <v>43</v>
      </c>
      <c r="E78" s="201">
        <f t="shared" si="7"/>
        <v>478</v>
      </c>
      <c r="F78" s="202">
        <f t="shared" si="8"/>
        <v>914.21929999999998</v>
      </c>
      <c r="G78" s="203">
        <f t="shared" si="9"/>
        <v>0</v>
      </c>
      <c r="H78" s="202">
        <f t="shared" si="10"/>
        <v>0</v>
      </c>
      <c r="I78" s="203">
        <f t="shared" si="11"/>
        <v>436996.82539999997</v>
      </c>
      <c r="J78" s="204">
        <f t="shared" si="12"/>
        <v>478</v>
      </c>
    </row>
    <row r="79" spans="1:10" x14ac:dyDescent="0.2">
      <c r="A79" s="227"/>
      <c r="B79" s="224">
        <v>6036</v>
      </c>
      <c r="C79" s="199">
        <v>721.3184</v>
      </c>
      <c r="D79" s="228" t="s">
        <v>43</v>
      </c>
      <c r="E79" s="194">
        <f t="shared" si="7"/>
        <v>478</v>
      </c>
      <c r="F79" s="202">
        <f t="shared" si="8"/>
        <v>721.3184</v>
      </c>
      <c r="G79" s="203">
        <f t="shared" si="9"/>
        <v>0</v>
      </c>
      <c r="H79" s="202">
        <f t="shared" si="10"/>
        <v>0</v>
      </c>
      <c r="I79" s="196">
        <f t="shared" si="11"/>
        <v>344790.19520000002</v>
      </c>
      <c r="J79" s="197">
        <f t="shared" si="12"/>
        <v>478</v>
      </c>
    </row>
    <row r="80" spans="1:10" x14ac:dyDescent="0.2">
      <c r="A80" s="227"/>
      <c r="B80" s="224">
        <v>6037</v>
      </c>
      <c r="C80" s="199">
        <v>834.78748523932597</v>
      </c>
      <c r="D80" s="228" t="s">
        <v>43</v>
      </c>
      <c r="E80" s="194">
        <f t="shared" si="7"/>
        <v>478</v>
      </c>
      <c r="F80" s="195">
        <f t="shared" si="8"/>
        <v>834.78748523932597</v>
      </c>
      <c r="G80" s="196">
        <f t="shared" si="9"/>
        <v>0</v>
      </c>
      <c r="H80" s="195">
        <f t="shared" si="10"/>
        <v>0</v>
      </c>
      <c r="I80" s="196">
        <f t="shared" si="11"/>
        <v>399028.41794439784</v>
      </c>
      <c r="J80" s="197">
        <f t="shared" si="12"/>
        <v>478</v>
      </c>
    </row>
    <row r="81" spans="1:10" x14ac:dyDescent="0.2">
      <c r="A81" s="227"/>
      <c r="B81" s="224">
        <v>6038</v>
      </c>
      <c r="C81" s="199">
        <v>5023.2598983274502</v>
      </c>
      <c r="D81" s="186" t="s">
        <v>43</v>
      </c>
      <c r="E81" s="187">
        <f t="shared" si="7"/>
        <v>478</v>
      </c>
      <c r="F81" s="225">
        <f t="shared" si="8"/>
        <v>5000</v>
      </c>
      <c r="G81" s="226">
        <f t="shared" si="9"/>
        <v>23.259898327450173</v>
      </c>
      <c r="H81" s="225">
        <f t="shared" si="10"/>
        <v>0</v>
      </c>
      <c r="I81" s="189">
        <f t="shared" si="11"/>
        <v>2395559.1157002607</v>
      </c>
      <c r="J81" s="190">
        <f t="shared" si="12"/>
        <v>476.89332508912958</v>
      </c>
    </row>
    <row r="82" spans="1:10" x14ac:dyDescent="0.2">
      <c r="A82" s="227"/>
      <c r="B82" s="224">
        <v>6039</v>
      </c>
      <c r="C82" s="199">
        <v>469.08697214453099</v>
      </c>
      <c r="D82" s="200" t="s">
        <v>43</v>
      </c>
      <c r="E82" s="201">
        <f t="shared" si="7"/>
        <v>478</v>
      </c>
      <c r="F82" s="202">
        <f t="shared" si="8"/>
        <v>469.08697214453099</v>
      </c>
      <c r="G82" s="203">
        <f t="shared" si="9"/>
        <v>0</v>
      </c>
      <c r="H82" s="202">
        <f t="shared" si="10"/>
        <v>0</v>
      </c>
      <c r="I82" s="203">
        <f t="shared" si="11"/>
        <v>224223.57268508582</v>
      </c>
      <c r="J82" s="204">
        <f t="shared" si="12"/>
        <v>478</v>
      </c>
    </row>
    <row r="83" spans="1:10" x14ac:dyDescent="0.2">
      <c r="A83" s="227"/>
      <c r="B83" s="224">
        <v>6040</v>
      </c>
      <c r="C83" s="199">
        <v>429.81760490402002</v>
      </c>
      <c r="D83" s="228" t="s">
        <v>43</v>
      </c>
      <c r="E83" s="194">
        <f t="shared" si="7"/>
        <v>478</v>
      </c>
      <c r="F83" s="202">
        <f t="shared" si="8"/>
        <v>429.81760490402002</v>
      </c>
      <c r="G83" s="203">
        <f t="shared" si="9"/>
        <v>0</v>
      </c>
      <c r="H83" s="202">
        <f t="shared" si="10"/>
        <v>0</v>
      </c>
      <c r="I83" s="196">
        <f t="shared" si="11"/>
        <v>205452.81514412156</v>
      </c>
      <c r="J83" s="197">
        <f t="shared" si="12"/>
        <v>478</v>
      </c>
    </row>
    <row r="84" spans="1:10" x14ac:dyDescent="0.2">
      <c r="A84" s="227"/>
      <c r="B84" s="224">
        <v>6041</v>
      </c>
      <c r="C84" s="199">
        <v>2972.9390529657999</v>
      </c>
      <c r="D84" s="228" t="s">
        <v>43</v>
      </c>
      <c r="E84" s="194">
        <f t="shared" si="7"/>
        <v>478</v>
      </c>
      <c r="F84" s="195">
        <f t="shared" si="8"/>
        <v>2972.9390529657999</v>
      </c>
      <c r="G84" s="196">
        <f t="shared" si="9"/>
        <v>0</v>
      </c>
      <c r="H84" s="195">
        <f t="shared" si="10"/>
        <v>0</v>
      </c>
      <c r="I84" s="196">
        <f t="shared" si="11"/>
        <v>1421064.8673176523</v>
      </c>
      <c r="J84" s="197">
        <f t="shared" si="12"/>
        <v>478</v>
      </c>
    </row>
    <row r="85" spans="1:10" x14ac:dyDescent="0.2">
      <c r="A85" s="227"/>
      <c r="B85" s="224">
        <v>6042</v>
      </c>
      <c r="C85" s="199">
        <v>2951.8272539111599</v>
      </c>
      <c r="D85" s="186" t="s">
        <v>43</v>
      </c>
      <c r="E85" s="187">
        <f t="shared" si="7"/>
        <v>478</v>
      </c>
      <c r="F85" s="225">
        <f t="shared" si="8"/>
        <v>2951.8272539111599</v>
      </c>
      <c r="G85" s="226">
        <f t="shared" si="9"/>
        <v>0</v>
      </c>
      <c r="H85" s="225">
        <f t="shared" si="10"/>
        <v>0</v>
      </c>
      <c r="I85" s="189">
        <f t="shared" si="11"/>
        <v>1410973.4273695345</v>
      </c>
      <c r="J85" s="190">
        <f t="shared" si="12"/>
        <v>478</v>
      </c>
    </row>
    <row r="86" spans="1:10" x14ac:dyDescent="0.2">
      <c r="A86" s="227"/>
      <c r="B86" s="224">
        <v>6043</v>
      </c>
      <c r="C86" s="199">
        <v>186.95856047815201</v>
      </c>
      <c r="D86" s="200" t="s">
        <v>43</v>
      </c>
      <c r="E86" s="201">
        <f t="shared" si="7"/>
        <v>478</v>
      </c>
      <c r="F86" s="202">
        <f t="shared" si="8"/>
        <v>186.95856047815201</v>
      </c>
      <c r="G86" s="203">
        <f t="shared" si="9"/>
        <v>0</v>
      </c>
      <c r="H86" s="202">
        <f t="shared" si="10"/>
        <v>0</v>
      </c>
      <c r="I86" s="203">
        <f t="shared" si="11"/>
        <v>89366.191908556662</v>
      </c>
      <c r="J86" s="204">
        <f t="shared" si="12"/>
        <v>478</v>
      </c>
    </row>
    <row r="87" spans="1:10" x14ac:dyDescent="0.2">
      <c r="A87" s="227"/>
      <c r="B87" s="224">
        <v>6044</v>
      </c>
      <c r="C87" s="199">
        <v>2459.2030881199198</v>
      </c>
      <c r="D87" s="228" t="s">
        <v>43</v>
      </c>
      <c r="E87" s="194">
        <f t="shared" si="7"/>
        <v>478</v>
      </c>
      <c r="F87" s="202">
        <f t="shared" si="8"/>
        <v>2459.2030881199198</v>
      </c>
      <c r="G87" s="203">
        <f t="shared" si="9"/>
        <v>0</v>
      </c>
      <c r="H87" s="202">
        <f t="shared" si="10"/>
        <v>0</v>
      </c>
      <c r="I87" s="196">
        <f t="shared" si="11"/>
        <v>1175499.0761213216</v>
      </c>
      <c r="J87" s="197">
        <f t="shared" si="12"/>
        <v>478</v>
      </c>
    </row>
    <row r="88" spans="1:10" x14ac:dyDescent="0.2">
      <c r="A88" s="227"/>
      <c r="B88" s="224">
        <v>6045</v>
      </c>
      <c r="C88" s="199">
        <v>1824.9779217667001</v>
      </c>
      <c r="D88" s="228" t="s">
        <v>43</v>
      </c>
      <c r="E88" s="194">
        <f t="shared" si="7"/>
        <v>478</v>
      </c>
      <c r="F88" s="195">
        <f t="shared" si="8"/>
        <v>1824.9779217667001</v>
      </c>
      <c r="G88" s="196">
        <f t="shared" si="9"/>
        <v>0</v>
      </c>
      <c r="H88" s="195">
        <f t="shared" si="10"/>
        <v>0</v>
      </c>
      <c r="I88" s="196">
        <f t="shared" si="11"/>
        <v>872339.4466044826</v>
      </c>
      <c r="J88" s="197">
        <f t="shared" si="12"/>
        <v>478</v>
      </c>
    </row>
    <row r="89" spans="1:10" x14ac:dyDescent="0.2">
      <c r="A89" s="227"/>
      <c r="B89" s="224">
        <v>6046</v>
      </c>
      <c r="C89" s="199">
        <v>2880.6803</v>
      </c>
      <c r="D89" s="186" t="s">
        <v>43</v>
      </c>
      <c r="E89" s="187">
        <f t="shared" si="7"/>
        <v>478</v>
      </c>
      <c r="F89" s="225">
        <f t="shared" si="8"/>
        <v>2880.6803</v>
      </c>
      <c r="G89" s="226">
        <f t="shared" si="9"/>
        <v>0</v>
      </c>
      <c r="H89" s="225">
        <f t="shared" si="10"/>
        <v>0</v>
      </c>
      <c r="I89" s="189">
        <f t="shared" si="11"/>
        <v>1376965.1834</v>
      </c>
      <c r="J89" s="190">
        <f t="shared" si="12"/>
        <v>478</v>
      </c>
    </row>
    <row r="90" spans="1:10" x14ac:dyDescent="0.2">
      <c r="A90" s="227"/>
      <c r="B90" s="224">
        <v>6047</v>
      </c>
      <c r="C90" s="199">
        <v>15882.102202585</v>
      </c>
      <c r="D90" s="200" t="s">
        <v>43</v>
      </c>
      <c r="E90" s="201">
        <f t="shared" si="7"/>
        <v>478</v>
      </c>
      <c r="F90" s="202">
        <f t="shared" si="8"/>
        <v>5000</v>
      </c>
      <c r="G90" s="203">
        <f t="shared" si="9"/>
        <v>5000</v>
      </c>
      <c r="H90" s="202">
        <f t="shared" si="10"/>
        <v>5882.1022025849998</v>
      </c>
      <c r="I90" s="203">
        <f t="shared" si="11"/>
        <v>5061096.5685570864</v>
      </c>
      <c r="J90" s="204">
        <f t="shared" si="12"/>
        <v>318.66666666666663</v>
      </c>
    </row>
    <row r="91" spans="1:10" x14ac:dyDescent="0.2">
      <c r="A91" s="227"/>
      <c r="B91" s="224">
        <v>6048</v>
      </c>
      <c r="C91" s="199">
        <v>4199.3024673831696</v>
      </c>
      <c r="D91" s="228" t="s">
        <v>43</v>
      </c>
      <c r="E91" s="194">
        <f t="shared" si="7"/>
        <v>478</v>
      </c>
      <c r="F91" s="202">
        <f t="shared" si="8"/>
        <v>4199.3024673831696</v>
      </c>
      <c r="G91" s="203">
        <f t="shared" si="9"/>
        <v>0</v>
      </c>
      <c r="H91" s="202">
        <f t="shared" si="10"/>
        <v>0</v>
      </c>
      <c r="I91" s="196">
        <f t="shared" si="11"/>
        <v>2007266.5794091551</v>
      </c>
      <c r="J91" s="197">
        <f t="shared" si="12"/>
        <v>478</v>
      </c>
    </row>
    <row r="92" spans="1:10" x14ac:dyDescent="0.2">
      <c r="A92" s="227"/>
      <c r="B92" s="224">
        <v>6049</v>
      </c>
      <c r="C92" s="199">
        <v>769.04238987668202</v>
      </c>
      <c r="D92" s="228" t="s">
        <v>43</v>
      </c>
      <c r="E92" s="194">
        <f t="shared" si="7"/>
        <v>478</v>
      </c>
      <c r="F92" s="195">
        <f t="shared" si="8"/>
        <v>769.04238987668202</v>
      </c>
      <c r="G92" s="196">
        <f t="shared" si="9"/>
        <v>0</v>
      </c>
      <c r="H92" s="195">
        <f t="shared" si="10"/>
        <v>0</v>
      </c>
      <c r="I92" s="196">
        <f t="shared" si="11"/>
        <v>367602.26236105402</v>
      </c>
      <c r="J92" s="197">
        <f t="shared" si="12"/>
        <v>478</v>
      </c>
    </row>
    <row r="93" spans="1:10" x14ac:dyDescent="0.2">
      <c r="A93" s="227"/>
      <c r="B93" s="224">
        <v>6050</v>
      </c>
      <c r="C93" s="199">
        <v>6561.5088999999998</v>
      </c>
      <c r="D93" s="186" t="s">
        <v>43</v>
      </c>
      <c r="E93" s="187">
        <f t="shared" si="7"/>
        <v>478</v>
      </c>
      <c r="F93" s="225">
        <f t="shared" si="8"/>
        <v>5000</v>
      </c>
      <c r="G93" s="226">
        <f t="shared" si="9"/>
        <v>1561.5088999999998</v>
      </c>
      <c r="H93" s="225">
        <f t="shared" si="10"/>
        <v>0</v>
      </c>
      <c r="I93" s="189">
        <f t="shared" si="11"/>
        <v>2763200.6271000002</v>
      </c>
      <c r="J93" s="190">
        <f t="shared" si="12"/>
        <v>421.12274313915816</v>
      </c>
    </row>
    <row r="94" spans="1:10" x14ac:dyDescent="0.2">
      <c r="A94" s="227"/>
      <c r="B94" s="224">
        <v>6051</v>
      </c>
      <c r="C94" s="199">
        <v>18212.737400000002</v>
      </c>
      <c r="D94" s="200" t="s">
        <v>43</v>
      </c>
      <c r="E94" s="201">
        <f t="shared" si="7"/>
        <v>478</v>
      </c>
      <c r="F94" s="202">
        <f t="shared" si="8"/>
        <v>5000</v>
      </c>
      <c r="G94" s="203">
        <f t="shared" si="9"/>
        <v>5000</v>
      </c>
      <c r="H94" s="202">
        <f t="shared" si="10"/>
        <v>8212.7374000000018</v>
      </c>
      <c r="I94" s="203">
        <f t="shared" si="11"/>
        <v>5803792.3181333328</v>
      </c>
      <c r="J94" s="204">
        <f t="shared" si="12"/>
        <v>318.66666666666663</v>
      </c>
    </row>
    <row r="95" spans="1:10" x14ac:dyDescent="0.2">
      <c r="A95" s="227"/>
      <c r="B95" s="224">
        <v>6052</v>
      </c>
      <c r="C95" s="199">
        <v>170.66296696851299</v>
      </c>
      <c r="D95" s="228" t="s">
        <v>43</v>
      </c>
      <c r="E95" s="194">
        <f t="shared" si="7"/>
        <v>478</v>
      </c>
      <c r="F95" s="202">
        <f t="shared" si="8"/>
        <v>170.66296696851299</v>
      </c>
      <c r="G95" s="203">
        <f t="shared" si="9"/>
        <v>0</v>
      </c>
      <c r="H95" s="202">
        <f t="shared" si="10"/>
        <v>0</v>
      </c>
      <c r="I95" s="196">
        <f t="shared" si="11"/>
        <v>81576.898210949206</v>
      </c>
      <c r="J95" s="197">
        <f t="shared" si="12"/>
        <v>478</v>
      </c>
    </row>
    <row r="96" spans="1:10" x14ac:dyDescent="0.2">
      <c r="A96" s="227"/>
      <c r="B96" s="224">
        <v>6053</v>
      </c>
      <c r="C96" s="199">
        <v>428.07686360946599</v>
      </c>
      <c r="D96" s="228" t="s">
        <v>43</v>
      </c>
      <c r="E96" s="194">
        <f t="shared" si="7"/>
        <v>478</v>
      </c>
      <c r="F96" s="195">
        <f t="shared" si="8"/>
        <v>428.07686360946599</v>
      </c>
      <c r="G96" s="196">
        <f t="shared" si="9"/>
        <v>0</v>
      </c>
      <c r="H96" s="195">
        <f t="shared" si="10"/>
        <v>0</v>
      </c>
      <c r="I96" s="196">
        <f t="shared" si="11"/>
        <v>204620.74080532475</v>
      </c>
      <c r="J96" s="197">
        <f t="shared" si="12"/>
        <v>478</v>
      </c>
    </row>
    <row r="97" spans="1:10" x14ac:dyDescent="0.2">
      <c r="A97" s="227"/>
      <c r="B97" s="224">
        <v>6054</v>
      </c>
      <c r="C97" s="199">
        <v>154.267158245937</v>
      </c>
      <c r="D97" s="186" t="s">
        <v>43</v>
      </c>
      <c r="E97" s="187">
        <f t="shared" si="7"/>
        <v>478</v>
      </c>
      <c r="F97" s="225">
        <f t="shared" si="8"/>
        <v>154.267158245937</v>
      </c>
      <c r="G97" s="226">
        <f t="shared" si="9"/>
        <v>0</v>
      </c>
      <c r="H97" s="225">
        <f t="shared" si="10"/>
        <v>0</v>
      </c>
      <c r="I97" s="189">
        <f t="shared" si="11"/>
        <v>73739.701641557884</v>
      </c>
      <c r="J97" s="190">
        <f t="shared" si="12"/>
        <v>478</v>
      </c>
    </row>
    <row r="98" spans="1:10" x14ac:dyDescent="0.2">
      <c r="A98" s="227"/>
      <c r="B98" s="224">
        <v>6055</v>
      </c>
      <c r="C98" s="199">
        <v>153.08295434743499</v>
      </c>
      <c r="D98" s="200" t="s">
        <v>43</v>
      </c>
      <c r="E98" s="201">
        <f t="shared" si="7"/>
        <v>478</v>
      </c>
      <c r="F98" s="202">
        <f t="shared" si="8"/>
        <v>153.08295434743499</v>
      </c>
      <c r="G98" s="203">
        <f t="shared" si="9"/>
        <v>0</v>
      </c>
      <c r="H98" s="202">
        <f t="shared" si="10"/>
        <v>0</v>
      </c>
      <c r="I98" s="203">
        <f t="shared" si="11"/>
        <v>73173.652178073928</v>
      </c>
      <c r="J98" s="204">
        <f t="shared" si="12"/>
        <v>478</v>
      </c>
    </row>
    <row r="99" spans="1:10" x14ac:dyDescent="0.2">
      <c r="A99" s="227"/>
      <c r="B99" s="224">
        <v>6056</v>
      </c>
      <c r="C99" s="199">
        <v>210.08019999999999</v>
      </c>
      <c r="D99" s="228" t="s">
        <v>43</v>
      </c>
      <c r="E99" s="194">
        <f t="shared" si="7"/>
        <v>478</v>
      </c>
      <c r="F99" s="202">
        <f t="shared" si="8"/>
        <v>210.08019999999999</v>
      </c>
      <c r="G99" s="203">
        <f t="shared" si="9"/>
        <v>0</v>
      </c>
      <c r="H99" s="202">
        <f t="shared" si="10"/>
        <v>0</v>
      </c>
      <c r="I99" s="196">
        <f t="shared" si="11"/>
        <v>100418.33559999999</v>
      </c>
      <c r="J99" s="197">
        <f t="shared" si="12"/>
        <v>478</v>
      </c>
    </row>
    <row r="100" spans="1:10" x14ac:dyDescent="0.2">
      <c r="A100" s="227"/>
      <c r="B100" s="224">
        <v>6057</v>
      </c>
      <c r="C100" s="199">
        <v>151.1995</v>
      </c>
      <c r="D100" s="228" t="s">
        <v>43</v>
      </c>
      <c r="E100" s="194">
        <f t="shared" si="7"/>
        <v>478</v>
      </c>
      <c r="F100" s="195">
        <f t="shared" si="8"/>
        <v>151.1995</v>
      </c>
      <c r="G100" s="196">
        <f t="shared" si="9"/>
        <v>0</v>
      </c>
      <c r="H100" s="195">
        <f t="shared" si="10"/>
        <v>0</v>
      </c>
      <c r="I100" s="196">
        <f t="shared" si="11"/>
        <v>72273.361000000004</v>
      </c>
      <c r="J100" s="197">
        <f t="shared" si="12"/>
        <v>478</v>
      </c>
    </row>
    <row r="101" spans="1:10" x14ac:dyDescent="0.2">
      <c r="A101" s="227"/>
      <c r="B101" s="229" t="s">
        <v>117</v>
      </c>
      <c r="C101" s="199">
        <v>1818.0961</v>
      </c>
      <c r="D101" s="186" t="s">
        <v>43</v>
      </c>
      <c r="E101" s="187">
        <f t="shared" si="7"/>
        <v>478</v>
      </c>
      <c r="F101" s="225">
        <f>MIN(5000,C101)</f>
        <v>1818.0961</v>
      </c>
      <c r="G101" s="226">
        <f>MIN(5000,C101-F101)</f>
        <v>0</v>
      </c>
      <c r="H101" s="225">
        <f>C101-G101-F101</f>
        <v>0</v>
      </c>
      <c r="I101" s="189">
        <f>IF(H101&gt;0,2/3*E101*C101,IF(G101&gt;0,F101*E101+0.5*G101*E101,F101*E101))</f>
        <v>869049.93579999998</v>
      </c>
      <c r="J101" s="190">
        <f>I101/C101</f>
        <v>478</v>
      </c>
    </row>
    <row r="102" spans="1:10" x14ac:dyDescent="0.2">
      <c r="A102" s="227"/>
      <c r="B102" s="224">
        <v>7001</v>
      </c>
      <c r="C102" s="199">
        <v>25421.752</v>
      </c>
      <c r="D102" s="228" t="s">
        <v>43</v>
      </c>
      <c r="E102" s="194">
        <f t="shared" si="7"/>
        <v>478</v>
      </c>
      <c r="F102" s="195">
        <f t="shared" ref="F102:F108" si="13">MIN(5000,C102)</f>
        <v>5000</v>
      </c>
      <c r="G102" s="196">
        <f t="shared" ref="G102:G108" si="14">MIN(5000,C102-F102)</f>
        <v>5000</v>
      </c>
      <c r="H102" s="195">
        <f t="shared" ref="H102:H108" si="15">C102-G102-F102</f>
        <v>15421.752</v>
      </c>
      <c r="I102" s="196">
        <f t="shared" ref="I102:I108" si="16">IF(H102&gt;0,2/3*E102*C102,IF(G102&gt;0,F102*E102+0.5*G102*E102,F102*E102))</f>
        <v>8101064.9706666656</v>
      </c>
      <c r="J102" s="197">
        <f t="shared" ref="J102:J108" si="17">I102/C102</f>
        <v>318.66666666666663</v>
      </c>
    </row>
    <row r="103" spans="1:10" x14ac:dyDescent="0.2">
      <c r="A103" s="227"/>
      <c r="B103" s="224">
        <v>7002</v>
      </c>
      <c r="C103" s="199">
        <v>20392.236799999999</v>
      </c>
      <c r="D103" s="186" t="s">
        <v>43</v>
      </c>
      <c r="E103" s="187">
        <f t="shared" si="7"/>
        <v>478</v>
      </c>
      <c r="F103" s="225">
        <f t="shared" si="13"/>
        <v>5000</v>
      </c>
      <c r="G103" s="226">
        <f t="shared" si="14"/>
        <v>5000</v>
      </c>
      <c r="H103" s="225">
        <f t="shared" si="15"/>
        <v>10392.236799999999</v>
      </c>
      <c r="I103" s="189">
        <f t="shared" si="16"/>
        <v>6498326.1269333325</v>
      </c>
      <c r="J103" s="190">
        <f t="shared" si="17"/>
        <v>318.66666666666663</v>
      </c>
    </row>
    <row r="104" spans="1:10" x14ac:dyDescent="0.2">
      <c r="A104" s="227"/>
      <c r="B104" s="224">
        <v>7003</v>
      </c>
      <c r="C104" s="199">
        <v>5031.2012999999997</v>
      </c>
      <c r="D104" s="228" t="s">
        <v>43</v>
      </c>
      <c r="E104" s="194">
        <f t="shared" si="7"/>
        <v>478</v>
      </c>
      <c r="F104" s="195">
        <f t="shared" si="13"/>
        <v>5000</v>
      </c>
      <c r="G104" s="196">
        <f t="shared" si="14"/>
        <v>31.201299999999719</v>
      </c>
      <c r="H104" s="195">
        <f t="shared" si="15"/>
        <v>0</v>
      </c>
      <c r="I104" s="196">
        <f t="shared" si="16"/>
        <v>2397457.1107000001</v>
      </c>
      <c r="J104" s="197">
        <f t="shared" si="17"/>
        <v>476.51782700485472</v>
      </c>
    </row>
    <row r="105" spans="1:10" x14ac:dyDescent="0.2">
      <c r="A105" s="227"/>
      <c r="B105" s="224">
        <v>7004</v>
      </c>
      <c r="C105" s="199">
        <v>1001.1745</v>
      </c>
      <c r="D105" s="186" t="s">
        <v>43</v>
      </c>
      <c r="E105" s="187">
        <f t="shared" si="7"/>
        <v>478</v>
      </c>
      <c r="F105" s="225">
        <f t="shared" si="13"/>
        <v>1001.1745</v>
      </c>
      <c r="G105" s="226">
        <f t="shared" si="14"/>
        <v>0</v>
      </c>
      <c r="H105" s="225">
        <f t="shared" si="15"/>
        <v>0</v>
      </c>
      <c r="I105" s="189">
        <f t="shared" si="16"/>
        <v>478561.41099999996</v>
      </c>
      <c r="J105" s="190">
        <f t="shared" si="17"/>
        <v>478</v>
      </c>
    </row>
    <row r="106" spans="1:10" x14ac:dyDescent="0.2">
      <c r="A106" s="227"/>
      <c r="B106" s="224">
        <v>7005</v>
      </c>
      <c r="C106" s="199">
        <v>717.85490000000004</v>
      </c>
      <c r="D106" s="228" t="s">
        <v>43</v>
      </c>
      <c r="E106" s="194">
        <f t="shared" si="7"/>
        <v>478</v>
      </c>
      <c r="F106" s="195">
        <f t="shared" si="13"/>
        <v>717.85490000000004</v>
      </c>
      <c r="G106" s="196">
        <f t="shared" si="14"/>
        <v>0</v>
      </c>
      <c r="H106" s="195">
        <f t="shared" si="15"/>
        <v>0</v>
      </c>
      <c r="I106" s="196">
        <f t="shared" si="16"/>
        <v>343134.6422</v>
      </c>
      <c r="J106" s="197">
        <f t="shared" si="17"/>
        <v>478</v>
      </c>
    </row>
    <row r="107" spans="1:10" x14ac:dyDescent="0.2">
      <c r="A107" s="227"/>
      <c r="B107" s="224">
        <v>7006</v>
      </c>
      <c r="C107" s="199">
        <v>1418.64055346946</v>
      </c>
      <c r="D107" s="186" t="s">
        <v>43</v>
      </c>
      <c r="E107" s="187">
        <f t="shared" si="7"/>
        <v>478</v>
      </c>
      <c r="F107" s="225">
        <f t="shared" si="13"/>
        <v>1418.64055346946</v>
      </c>
      <c r="G107" s="226">
        <f t="shared" si="14"/>
        <v>0</v>
      </c>
      <c r="H107" s="225">
        <f t="shared" si="15"/>
        <v>0</v>
      </c>
      <c r="I107" s="189">
        <f t="shared" si="16"/>
        <v>678110.18455840182</v>
      </c>
      <c r="J107" s="190">
        <f t="shared" si="17"/>
        <v>477.99999999999994</v>
      </c>
    </row>
    <row r="108" spans="1:10" x14ac:dyDescent="0.2">
      <c r="A108" s="227"/>
      <c r="B108" s="230">
        <v>7007</v>
      </c>
      <c r="C108" s="199">
        <v>1677.08931196086</v>
      </c>
      <c r="D108" s="231" t="s">
        <v>43</v>
      </c>
      <c r="E108" s="201">
        <f t="shared" si="7"/>
        <v>478</v>
      </c>
      <c r="F108" s="202">
        <f t="shared" si="13"/>
        <v>1677.08931196086</v>
      </c>
      <c r="G108" s="203">
        <f t="shared" si="14"/>
        <v>0</v>
      </c>
      <c r="H108" s="202">
        <f t="shared" si="15"/>
        <v>0</v>
      </c>
      <c r="I108" s="203">
        <f t="shared" si="16"/>
        <v>801648.69111729111</v>
      </c>
      <c r="J108" s="204">
        <f t="shared" si="17"/>
        <v>478</v>
      </c>
    </row>
    <row r="109" spans="1:10" x14ac:dyDescent="0.2">
      <c r="A109" s="232"/>
      <c r="B109" s="233" t="s">
        <v>118</v>
      </c>
      <c r="C109" s="234">
        <f>SUM(C7:C108)</f>
        <v>329874.26556334924</v>
      </c>
      <c r="D109" s="235"/>
      <c r="E109" s="235"/>
      <c r="F109" s="235"/>
      <c r="G109" s="235"/>
      <c r="H109" s="235"/>
      <c r="I109" s="234">
        <f>SUM(I7:I108)</f>
        <v>130607178.6784143</v>
      </c>
      <c r="J109" s="236"/>
    </row>
    <row r="110" spans="1:10" x14ac:dyDescent="0.2">
      <c r="A110" s="232"/>
      <c r="B110" s="233" t="s">
        <v>120</v>
      </c>
      <c r="C110" s="234"/>
      <c r="D110" s="235"/>
      <c r="E110" s="235"/>
      <c r="F110" s="235"/>
      <c r="G110" s="235"/>
      <c r="H110" s="235"/>
      <c r="I110" s="234">
        <f>I109*0.8</f>
        <v>104485742.94273144</v>
      </c>
      <c r="J110" s="236"/>
    </row>
    <row r="111" spans="1:10" x14ac:dyDescent="0.2">
      <c r="D111" s="163" t="s">
        <v>0</v>
      </c>
      <c r="E111" s="163" t="s">
        <v>0</v>
      </c>
      <c r="F111" s="164" t="s">
        <v>0</v>
      </c>
      <c r="G111" s="164"/>
    </row>
    <row r="112" spans="1:10" x14ac:dyDescent="0.2">
      <c r="D112" s="163"/>
      <c r="E112" s="163">
        <v>64836</v>
      </c>
      <c r="F112" s="164"/>
      <c r="G112" s="165"/>
    </row>
    <row r="113" spans="3:6" x14ac:dyDescent="0.2">
      <c r="C113" s="160">
        <v>59.33</v>
      </c>
      <c r="D113" s="166">
        <f>C113/$C$129</f>
        <v>0.14124508987025353</v>
      </c>
      <c r="E113" s="167">
        <f t="shared" ref="E113:E128" si="18">D113*$E$112</f>
        <v>9157.7666468277584</v>
      </c>
      <c r="F113" s="164">
        <v>1</v>
      </c>
    </row>
    <row r="114" spans="3:6" x14ac:dyDescent="0.2">
      <c r="C114" s="160">
        <v>12.5</v>
      </c>
      <c r="D114" s="166">
        <f t="shared" ref="D114:D129" si="19">C114/$C$129</f>
        <v>2.9758362099750028E-2</v>
      </c>
      <c r="E114" s="167">
        <f t="shared" si="18"/>
        <v>1929.4131650993927</v>
      </c>
      <c r="F114" s="164">
        <v>2</v>
      </c>
    </row>
    <row r="115" spans="3:6" x14ac:dyDescent="0.2">
      <c r="C115" s="160">
        <v>16.2</v>
      </c>
      <c r="D115" s="166">
        <f t="shared" si="19"/>
        <v>3.8566837281276037E-2</v>
      </c>
      <c r="E115" s="167">
        <f t="shared" si="18"/>
        <v>2500.5194619688132</v>
      </c>
      <c r="F115" s="164">
        <v>3</v>
      </c>
    </row>
    <row r="116" spans="3:6" x14ac:dyDescent="0.2">
      <c r="C116" s="160">
        <v>98.04</v>
      </c>
      <c r="D116" s="166">
        <f t="shared" si="19"/>
        <v>0.23340078562075944</v>
      </c>
      <c r="E116" s="167">
        <f t="shared" si="18"/>
        <v>15132.77333650756</v>
      </c>
      <c r="F116" s="164">
        <v>4</v>
      </c>
    </row>
    <row r="117" spans="3:6" x14ac:dyDescent="0.2">
      <c r="C117" s="160">
        <v>29.6</v>
      </c>
      <c r="D117" s="166">
        <f t="shared" si="19"/>
        <v>7.0467801452208073E-2</v>
      </c>
      <c r="E117" s="167">
        <f t="shared" si="18"/>
        <v>4568.8503749553629</v>
      </c>
      <c r="F117" s="164">
        <v>5</v>
      </c>
    </row>
    <row r="118" spans="3:6" x14ac:dyDescent="0.2">
      <c r="C118" s="160">
        <v>13.68</v>
      </c>
      <c r="D118" s="166">
        <f t="shared" si="19"/>
        <v>3.2567551481966432E-2</v>
      </c>
      <c r="E118" s="167">
        <f t="shared" si="18"/>
        <v>2111.5497678847755</v>
      </c>
      <c r="F118" s="164">
        <v>6</v>
      </c>
    </row>
    <row r="119" spans="3:6" x14ac:dyDescent="0.2">
      <c r="C119" s="160">
        <v>11.02</v>
      </c>
      <c r="D119" s="166">
        <f t="shared" si="19"/>
        <v>2.6234972027139626E-2</v>
      </c>
      <c r="E119" s="167">
        <f t="shared" si="18"/>
        <v>1700.9706463516247</v>
      </c>
      <c r="F119" s="164">
        <v>7</v>
      </c>
    </row>
    <row r="120" spans="3:6" x14ac:dyDescent="0.2">
      <c r="C120" s="160">
        <v>8.5</v>
      </c>
      <c r="D120" s="166">
        <f t="shared" si="19"/>
        <v>2.0235686227830018E-2</v>
      </c>
      <c r="E120" s="167">
        <f t="shared" si="18"/>
        <v>1312.0009522675871</v>
      </c>
      <c r="F120" s="164">
        <v>8</v>
      </c>
    </row>
    <row r="121" spans="3:6" x14ac:dyDescent="0.2">
      <c r="C121" s="160">
        <v>8.32</v>
      </c>
      <c r="D121" s="166">
        <f t="shared" si="19"/>
        <v>1.9807165813593621E-2</v>
      </c>
      <c r="E121" s="167">
        <f t="shared" si="18"/>
        <v>1284.217402690156</v>
      </c>
      <c r="F121" s="164">
        <v>9</v>
      </c>
    </row>
    <row r="122" spans="3:6" x14ac:dyDescent="0.2">
      <c r="C122" s="160">
        <v>17.309999999999999</v>
      </c>
      <c r="D122" s="166">
        <f t="shared" si="19"/>
        <v>4.1209379835733834E-2</v>
      </c>
      <c r="E122" s="167">
        <f t="shared" si="18"/>
        <v>2671.8513510296389</v>
      </c>
      <c r="F122" s="164">
        <v>10</v>
      </c>
    </row>
    <row r="123" spans="3:6" x14ac:dyDescent="0.2">
      <c r="C123" s="160">
        <v>4.4000000000000004</v>
      </c>
      <c r="D123" s="166">
        <f t="shared" si="19"/>
        <v>1.0474943459112011E-2</v>
      </c>
      <c r="E123" s="167">
        <f t="shared" si="18"/>
        <v>679.15343411498634</v>
      </c>
      <c r="F123" s="164">
        <v>11</v>
      </c>
    </row>
    <row r="124" spans="3:6" x14ac:dyDescent="0.2">
      <c r="C124" s="160">
        <v>37.24</v>
      </c>
      <c r="D124" s="166">
        <f t="shared" si="19"/>
        <v>8.8656112367575285E-2</v>
      </c>
      <c r="E124" s="167">
        <f t="shared" si="18"/>
        <v>5748.1077014641114</v>
      </c>
      <c r="F124" s="164">
        <v>12</v>
      </c>
    </row>
    <row r="125" spans="3:6" x14ac:dyDescent="0.2">
      <c r="C125" s="160">
        <v>29.16</v>
      </c>
      <c r="D125" s="166">
        <f t="shared" si="19"/>
        <v>6.9420307106296875E-2</v>
      </c>
      <c r="E125" s="167">
        <f t="shared" si="18"/>
        <v>4500.9350315438642</v>
      </c>
      <c r="F125" s="164">
        <v>13</v>
      </c>
    </row>
    <row r="126" spans="3:6" x14ac:dyDescent="0.2">
      <c r="C126" s="160">
        <v>58.8</v>
      </c>
      <c r="D126" s="166">
        <f t="shared" si="19"/>
        <v>0.13998333531722412</v>
      </c>
      <c r="E126" s="167">
        <f t="shared" si="18"/>
        <v>9075.9595286275435</v>
      </c>
      <c r="F126" s="164">
        <v>14</v>
      </c>
    </row>
    <row r="127" spans="3:6" x14ac:dyDescent="0.2">
      <c r="C127" s="160">
        <v>5.95</v>
      </c>
      <c r="D127" s="166">
        <f t="shared" si="19"/>
        <v>1.4164980359481015E-2</v>
      </c>
      <c r="E127" s="167">
        <f t="shared" si="18"/>
        <v>918.40066658731109</v>
      </c>
      <c r="F127" s="164">
        <v>15</v>
      </c>
    </row>
    <row r="128" spans="3:6" x14ac:dyDescent="0.2">
      <c r="C128" s="160">
        <v>10</v>
      </c>
      <c r="D128" s="166">
        <f t="shared" si="19"/>
        <v>2.3806689679800024E-2</v>
      </c>
      <c r="E128" s="167">
        <f t="shared" si="18"/>
        <v>1543.5305320795144</v>
      </c>
      <c r="F128" s="164">
        <v>16</v>
      </c>
    </row>
    <row r="129" spans="3:5" x14ac:dyDescent="0.2">
      <c r="C129" s="160">
        <f>SUM(C113:C128)</f>
        <v>420.05</v>
      </c>
      <c r="D129" s="166">
        <f t="shared" si="19"/>
        <v>1</v>
      </c>
      <c r="E129" s="160">
        <f>SUM(E113:E128)</f>
        <v>64836.000000000007</v>
      </c>
    </row>
  </sheetData>
  <mergeCells count="17">
    <mergeCell ref="A28:A32"/>
    <mergeCell ref="A33:A48"/>
    <mergeCell ref="A49:A108"/>
    <mergeCell ref="D109:H109"/>
    <mergeCell ref="D110:H110"/>
    <mergeCell ref="G5:G6"/>
    <mergeCell ref="H5:H6"/>
    <mergeCell ref="I5:I6"/>
    <mergeCell ref="J5:J6"/>
    <mergeCell ref="A7:A13"/>
    <mergeCell ref="A14:A27"/>
    <mergeCell ref="A5:A6"/>
    <mergeCell ref="B5:B6"/>
    <mergeCell ref="C5:C6"/>
    <mergeCell ref="D5:D6"/>
    <mergeCell ref="E5:E6"/>
    <mergeCell ref="F5:F6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9" orientation="landscape" r:id="rId1"/>
  <headerFooter alignWithMargins="0"/>
  <rowBreaks count="1" manualBreakCount="1">
    <brk id="109" max="10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rightToLeft="1" topLeftCell="A70" zoomScaleNormal="100" zoomScaleSheetLayoutView="100" workbookViewId="0">
      <selection activeCell="D115" sqref="D115"/>
    </sheetView>
  </sheetViews>
  <sheetFormatPr defaultRowHeight="12.75" x14ac:dyDescent="0.2"/>
  <cols>
    <col min="1" max="1" width="1.5" style="33" bestFit="1" customWidth="1"/>
    <col min="2" max="2" width="19.875" style="33" bestFit="1" customWidth="1"/>
    <col min="3" max="3" width="12.5" style="33" bestFit="1" customWidth="1"/>
    <col min="4" max="4" width="22" style="33" bestFit="1" customWidth="1"/>
    <col min="5" max="5" width="12.5" style="32" bestFit="1" customWidth="1"/>
    <col min="6" max="6" width="22" style="33" bestFit="1" customWidth="1"/>
    <col min="7" max="7" width="12.5" style="33" bestFit="1" customWidth="1"/>
    <col min="8" max="8" width="13.5" style="33" customWidth="1"/>
    <col min="9" max="9" width="12.375" style="33" customWidth="1"/>
    <col min="10" max="10" width="12.5" style="33" bestFit="1" customWidth="1"/>
    <col min="11" max="11" width="22.125" style="33" bestFit="1" customWidth="1"/>
    <col min="12" max="12" width="4.875" style="33" customWidth="1"/>
    <col min="13" max="13" width="5.375" style="33" customWidth="1"/>
    <col min="14" max="15" width="6.125" style="33" customWidth="1"/>
    <col min="16" max="17" width="9" style="33"/>
    <col min="18" max="18" width="11.625" style="33" customWidth="1"/>
    <col min="19" max="19" width="22" style="33" customWidth="1"/>
    <col min="20" max="20" width="11.25" style="33" customWidth="1"/>
    <col min="21" max="21" width="7.125" style="33" customWidth="1"/>
    <col min="22" max="22" width="5.625" style="33" bestFit="1" customWidth="1"/>
    <col min="23" max="23" width="10" style="33" customWidth="1"/>
    <col min="24" max="24" width="7" style="33" hidden="1" customWidth="1"/>
    <col min="25" max="25" width="0.75" style="33" hidden="1" customWidth="1"/>
    <col min="26" max="26" width="12.5" style="33" bestFit="1" customWidth="1"/>
    <col min="27" max="27" width="7.875" style="33" customWidth="1"/>
    <col min="28" max="28" width="8.5" style="33" bestFit="1" customWidth="1"/>
    <col min="29" max="29" width="9" style="32"/>
    <col min="30" max="256" width="9" style="33"/>
    <col min="257" max="257" width="1.5" style="33" bestFit="1" customWidth="1"/>
    <col min="258" max="258" width="19.875" style="33" bestFit="1" customWidth="1"/>
    <col min="259" max="259" width="12.5" style="33" bestFit="1" customWidth="1"/>
    <col min="260" max="260" width="22" style="33" bestFit="1" customWidth="1"/>
    <col min="261" max="261" width="12.5" style="33" bestFit="1" customWidth="1"/>
    <col min="262" max="262" width="22" style="33" bestFit="1" customWidth="1"/>
    <col min="263" max="263" width="12.5" style="33" bestFit="1" customWidth="1"/>
    <col min="264" max="264" width="13.5" style="33" customWidth="1"/>
    <col min="265" max="265" width="12.375" style="33" customWidth="1"/>
    <col min="266" max="266" width="12.5" style="33" bestFit="1" customWidth="1"/>
    <col min="267" max="267" width="22.125" style="33" bestFit="1" customWidth="1"/>
    <col min="268" max="268" width="4.875" style="33" bestFit="1" customWidth="1"/>
    <col min="269" max="269" width="5.375" style="33" bestFit="1" customWidth="1"/>
    <col min="270" max="271" width="6.125" style="33" bestFit="1" customWidth="1"/>
    <col min="272" max="273" width="9" style="33"/>
    <col min="274" max="274" width="11.625" style="33" customWidth="1"/>
    <col min="275" max="275" width="22" style="33" customWidth="1"/>
    <col min="276" max="276" width="11.25" style="33" customWidth="1"/>
    <col min="277" max="277" width="7.125" style="33" customWidth="1"/>
    <col min="278" max="278" width="5.625" style="33" bestFit="1" customWidth="1"/>
    <col min="279" max="279" width="10" style="33" customWidth="1"/>
    <col min="280" max="281" width="0" style="33" hidden="1" customWidth="1"/>
    <col min="282" max="282" width="12.5" style="33" bestFit="1" customWidth="1"/>
    <col min="283" max="283" width="7.875" style="33" customWidth="1"/>
    <col min="284" max="284" width="8.5" style="33" bestFit="1" customWidth="1"/>
    <col min="285" max="512" width="9" style="33"/>
    <col min="513" max="513" width="1.5" style="33" bestFit="1" customWidth="1"/>
    <col min="514" max="514" width="19.875" style="33" bestFit="1" customWidth="1"/>
    <col min="515" max="515" width="12.5" style="33" bestFit="1" customWidth="1"/>
    <col min="516" max="516" width="22" style="33" bestFit="1" customWidth="1"/>
    <col min="517" max="517" width="12.5" style="33" bestFit="1" customWidth="1"/>
    <col min="518" max="518" width="22" style="33" bestFit="1" customWidth="1"/>
    <col min="519" max="519" width="12.5" style="33" bestFit="1" customWidth="1"/>
    <col min="520" max="520" width="13.5" style="33" customWidth="1"/>
    <col min="521" max="521" width="12.375" style="33" customWidth="1"/>
    <col min="522" max="522" width="12.5" style="33" bestFit="1" customWidth="1"/>
    <col min="523" max="523" width="22.125" style="33" bestFit="1" customWidth="1"/>
    <col min="524" max="524" width="4.875" style="33" bestFit="1" customWidth="1"/>
    <col min="525" max="525" width="5.375" style="33" bestFit="1" customWidth="1"/>
    <col min="526" max="527" width="6.125" style="33" bestFit="1" customWidth="1"/>
    <col min="528" max="529" width="9" style="33"/>
    <col min="530" max="530" width="11.625" style="33" customWidth="1"/>
    <col min="531" max="531" width="22" style="33" customWidth="1"/>
    <col min="532" max="532" width="11.25" style="33" customWidth="1"/>
    <col min="533" max="533" width="7.125" style="33" customWidth="1"/>
    <col min="534" max="534" width="5.625" style="33" bestFit="1" customWidth="1"/>
    <col min="535" max="535" width="10" style="33" customWidth="1"/>
    <col min="536" max="537" width="0" style="33" hidden="1" customWidth="1"/>
    <col min="538" max="538" width="12.5" style="33" bestFit="1" customWidth="1"/>
    <col min="539" max="539" width="7.875" style="33" customWidth="1"/>
    <col min="540" max="540" width="8.5" style="33" bestFit="1" customWidth="1"/>
    <col min="541" max="768" width="9" style="33"/>
    <col min="769" max="769" width="1.5" style="33" bestFit="1" customWidth="1"/>
    <col min="770" max="770" width="19.875" style="33" bestFit="1" customWidth="1"/>
    <col min="771" max="771" width="12.5" style="33" bestFit="1" customWidth="1"/>
    <col min="772" max="772" width="22" style="33" bestFit="1" customWidth="1"/>
    <col min="773" max="773" width="12.5" style="33" bestFit="1" customWidth="1"/>
    <col min="774" max="774" width="22" style="33" bestFit="1" customWidth="1"/>
    <col min="775" max="775" width="12.5" style="33" bestFit="1" customWidth="1"/>
    <col min="776" max="776" width="13.5" style="33" customWidth="1"/>
    <col min="777" max="777" width="12.375" style="33" customWidth="1"/>
    <col min="778" max="778" width="12.5" style="33" bestFit="1" customWidth="1"/>
    <col min="779" max="779" width="22.125" style="33" bestFit="1" customWidth="1"/>
    <col min="780" max="780" width="4.875" style="33" bestFit="1" customWidth="1"/>
    <col min="781" max="781" width="5.375" style="33" bestFit="1" customWidth="1"/>
    <col min="782" max="783" width="6.125" style="33" bestFit="1" customWidth="1"/>
    <col min="784" max="785" width="9" style="33"/>
    <col min="786" max="786" width="11.625" style="33" customWidth="1"/>
    <col min="787" max="787" width="22" style="33" customWidth="1"/>
    <col min="788" max="788" width="11.25" style="33" customWidth="1"/>
    <col min="789" max="789" width="7.125" style="33" customWidth="1"/>
    <col min="790" max="790" width="5.625" style="33" bestFit="1" customWidth="1"/>
    <col min="791" max="791" width="10" style="33" customWidth="1"/>
    <col min="792" max="793" width="0" style="33" hidden="1" customWidth="1"/>
    <col min="794" max="794" width="12.5" style="33" bestFit="1" customWidth="1"/>
    <col min="795" max="795" width="7.875" style="33" customWidth="1"/>
    <col min="796" max="796" width="8.5" style="33" bestFit="1" customWidth="1"/>
    <col min="797" max="1024" width="9" style="33"/>
    <col min="1025" max="1025" width="1.5" style="33" bestFit="1" customWidth="1"/>
    <col min="1026" max="1026" width="19.875" style="33" bestFit="1" customWidth="1"/>
    <col min="1027" max="1027" width="12.5" style="33" bestFit="1" customWidth="1"/>
    <col min="1028" max="1028" width="22" style="33" bestFit="1" customWidth="1"/>
    <col min="1029" max="1029" width="12.5" style="33" bestFit="1" customWidth="1"/>
    <col min="1030" max="1030" width="22" style="33" bestFit="1" customWidth="1"/>
    <col min="1031" max="1031" width="12.5" style="33" bestFit="1" customWidth="1"/>
    <col min="1032" max="1032" width="13.5" style="33" customWidth="1"/>
    <col min="1033" max="1033" width="12.375" style="33" customWidth="1"/>
    <col min="1034" max="1034" width="12.5" style="33" bestFit="1" customWidth="1"/>
    <col min="1035" max="1035" width="22.125" style="33" bestFit="1" customWidth="1"/>
    <col min="1036" max="1036" width="4.875" style="33" bestFit="1" customWidth="1"/>
    <col min="1037" max="1037" width="5.375" style="33" bestFit="1" customWidth="1"/>
    <col min="1038" max="1039" width="6.125" style="33" bestFit="1" customWidth="1"/>
    <col min="1040" max="1041" width="9" style="33"/>
    <col min="1042" max="1042" width="11.625" style="33" customWidth="1"/>
    <col min="1043" max="1043" width="22" style="33" customWidth="1"/>
    <col min="1044" max="1044" width="11.25" style="33" customWidth="1"/>
    <col min="1045" max="1045" width="7.125" style="33" customWidth="1"/>
    <col min="1046" max="1046" width="5.625" style="33" bestFit="1" customWidth="1"/>
    <col min="1047" max="1047" width="10" style="33" customWidth="1"/>
    <col min="1048" max="1049" width="0" style="33" hidden="1" customWidth="1"/>
    <col min="1050" max="1050" width="12.5" style="33" bestFit="1" customWidth="1"/>
    <col min="1051" max="1051" width="7.875" style="33" customWidth="1"/>
    <col min="1052" max="1052" width="8.5" style="33" bestFit="1" customWidth="1"/>
    <col min="1053" max="1280" width="9" style="33"/>
    <col min="1281" max="1281" width="1.5" style="33" bestFit="1" customWidth="1"/>
    <col min="1282" max="1282" width="19.875" style="33" bestFit="1" customWidth="1"/>
    <col min="1283" max="1283" width="12.5" style="33" bestFit="1" customWidth="1"/>
    <col min="1284" max="1284" width="22" style="33" bestFit="1" customWidth="1"/>
    <col min="1285" max="1285" width="12.5" style="33" bestFit="1" customWidth="1"/>
    <col min="1286" max="1286" width="22" style="33" bestFit="1" customWidth="1"/>
    <col min="1287" max="1287" width="12.5" style="33" bestFit="1" customWidth="1"/>
    <col min="1288" max="1288" width="13.5" style="33" customWidth="1"/>
    <col min="1289" max="1289" width="12.375" style="33" customWidth="1"/>
    <col min="1290" max="1290" width="12.5" style="33" bestFit="1" customWidth="1"/>
    <col min="1291" max="1291" width="22.125" style="33" bestFit="1" customWidth="1"/>
    <col min="1292" max="1292" width="4.875" style="33" bestFit="1" customWidth="1"/>
    <col min="1293" max="1293" width="5.375" style="33" bestFit="1" customWidth="1"/>
    <col min="1294" max="1295" width="6.125" style="33" bestFit="1" customWidth="1"/>
    <col min="1296" max="1297" width="9" style="33"/>
    <col min="1298" max="1298" width="11.625" style="33" customWidth="1"/>
    <col min="1299" max="1299" width="22" style="33" customWidth="1"/>
    <col min="1300" max="1300" width="11.25" style="33" customWidth="1"/>
    <col min="1301" max="1301" width="7.125" style="33" customWidth="1"/>
    <col min="1302" max="1302" width="5.625" style="33" bestFit="1" customWidth="1"/>
    <col min="1303" max="1303" width="10" style="33" customWidth="1"/>
    <col min="1304" max="1305" width="0" style="33" hidden="1" customWidth="1"/>
    <col min="1306" max="1306" width="12.5" style="33" bestFit="1" customWidth="1"/>
    <col min="1307" max="1307" width="7.875" style="33" customWidth="1"/>
    <col min="1308" max="1308" width="8.5" style="33" bestFit="1" customWidth="1"/>
    <col min="1309" max="1536" width="9" style="33"/>
    <col min="1537" max="1537" width="1.5" style="33" bestFit="1" customWidth="1"/>
    <col min="1538" max="1538" width="19.875" style="33" bestFit="1" customWidth="1"/>
    <col min="1539" max="1539" width="12.5" style="33" bestFit="1" customWidth="1"/>
    <col min="1540" max="1540" width="22" style="33" bestFit="1" customWidth="1"/>
    <col min="1541" max="1541" width="12.5" style="33" bestFit="1" customWidth="1"/>
    <col min="1542" max="1542" width="22" style="33" bestFit="1" customWidth="1"/>
    <col min="1543" max="1543" width="12.5" style="33" bestFit="1" customWidth="1"/>
    <col min="1544" max="1544" width="13.5" style="33" customWidth="1"/>
    <col min="1545" max="1545" width="12.375" style="33" customWidth="1"/>
    <col min="1546" max="1546" width="12.5" style="33" bestFit="1" customWidth="1"/>
    <col min="1547" max="1547" width="22.125" style="33" bestFit="1" customWidth="1"/>
    <col min="1548" max="1548" width="4.875" style="33" bestFit="1" customWidth="1"/>
    <col min="1549" max="1549" width="5.375" style="33" bestFit="1" customWidth="1"/>
    <col min="1550" max="1551" width="6.125" style="33" bestFit="1" customWidth="1"/>
    <col min="1552" max="1553" width="9" style="33"/>
    <col min="1554" max="1554" width="11.625" style="33" customWidth="1"/>
    <col min="1555" max="1555" width="22" style="33" customWidth="1"/>
    <col min="1556" max="1556" width="11.25" style="33" customWidth="1"/>
    <col min="1557" max="1557" width="7.125" style="33" customWidth="1"/>
    <col min="1558" max="1558" width="5.625" style="33" bestFit="1" customWidth="1"/>
    <col min="1559" max="1559" width="10" style="33" customWidth="1"/>
    <col min="1560" max="1561" width="0" style="33" hidden="1" customWidth="1"/>
    <col min="1562" max="1562" width="12.5" style="33" bestFit="1" customWidth="1"/>
    <col min="1563" max="1563" width="7.875" style="33" customWidth="1"/>
    <col min="1564" max="1564" width="8.5" style="33" bestFit="1" customWidth="1"/>
    <col min="1565" max="1792" width="9" style="33"/>
    <col min="1793" max="1793" width="1.5" style="33" bestFit="1" customWidth="1"/>
    <col min="1794" max="1794" width="19.875" style="33" bestFit="1" customWidth="1"/>
    <col min="1795" max="1795" width="12.5" style="33" bestFit="1" customWidth="1"/>
    <col min="1796" max="1796" width="22" style="33" bestFit="1" customWidth="1"/>
    <col min="1797" max="1797" width="12.5" style="33" bestFit="1" customWidth="1"/>
    <col min="1798" max="1798" width="22" style="33" bestFit="1" customWidth="1"/>
    <col min="1799" max="1799" width="12.5" style="33" bestFit="1" customWidth="1"/>
    <col min="1800" max="1800" width="13.5" style="33" customWidth="1"/>
    <col min="1801" max="1801" width="12.375" style="33" customWidth="1"/>
    <col min="1802" max="1802" width="12.5" style="33" bestFit="1" customWidth="1"/>
    <col min="1803" max="1803" width="22.125" style="33" bestFit="1" customWidth="1"/>
    <col min="1804" max="1804" width="4.875" style="33" bestFit="1" customWidth="1"/>
    <col min="1805" max="1805" width="5.375" style="33" bestFit="1" customWidth="1"/>
    <col min="1806" max="1807" width="6.125" style="33" bestFit="1" customWidth="1"/>
    <col min="1808" max="1809" width="9" style="33"/>
    <col min="1810" max="1810" width="11.625" style="33" customWidth="1"/>
    <col min="1811" max="1811" width="22" style="33" customWidth="1"/>
    <col min="1812" max="1812" width="11.25" style="33" customWidth="1"/>
    <col min="1813" max="1813" width="7.125" style="33" customWidth="1"/>
    <col min="1814" max="1814" width="5.625" style="33" bestFit="1" customWidth="1"/>
    <col min="1815" max="1815" width="10" style="33" customWidth="1"/>
    <col min="1816" max="1817" width="0" style="33" hidden="1" customWidth="1"/>
    <col min="1818" max="1818" width="12.5" style="33" bestFit="1" customWidth="1"/>
    <col min="1819" max="1819" width="7.875" style="33" customWidth="1"/>
    <col min="1820" max="1820" width="8.5" style="33" bestFit="1" customWidth="1"/>
    <col min="1821" max="2048" width="9" style="33"/>
    <col min="2049" max="2049" width="1.5" style="33" bestFit="1" customWidth="1"/>
    <col min="2050" max="2050" width="19.875" style="33" bestFit="1" customWidth="1"/>
    <col min="2051" max="2051" width="12.5" style="33" bestFit="1" customWidth="1"/>
    <col min="2052" max="2052" width="22" style="33" bestFit="1" customWidth="1"/>
    <col min="2053" max="2053" width="12.5" style="33" bestFit="1" customWidth="1"/>
    <col min="2054" max="2054" width="22" style="33" bestFit="1" customWidth="1"/>
    <col min="2055" max="2055" width="12.5" style="33" bestFit="1" customWidth="1"/>
    <col min="2056" max="2056" width="13.5" style="33" customWidth="1"/>
    <col min="2057" max="2057" width="12.375" style="33" customWidth="1"/>
    <col min="2058" max="2058" width="12.5" style="33" bestFit="1" customWidth="1"/>
    <col min="2059" max="2059" width="22.125" style="33" bestFit="1" customWidth="1"/>
    <col min="2060" max="2060" width="4.875" style="33" bestFit="1" customWidth="1"/>
    <col min="2061" max="2061" width="5.375" style="33" bestFit="1" customWidth="1"/>
    <col min="2062" max="2063" width="6.125" style="33" bestFit="1" customWidth="1"/>
    <col min="2064" max="2065" width="9" style="33"/>
    <col min="2066" max="2066" width="11.625" style="33" customWidth="1"/>
    <col min="2067" max="2067" width="22" style="33" customWidth="1"/>
    <col min="2068" max="2068" width="11.25" style="33" customWidth="1"/>
    <col min="2069" max="2069" width="7.125" style="33" customWidth="1"/>
    <col min="2070" max="2070" width="5.625" style="33" bestFit="1" customWidth="1"/>
    <col min="2071" max="2071" width="10" style="33" customWidth="1"/>
    <col min="2072" max="2073" width="0" style="33" hidden="1" customWidth="1"/>
    <col min="2074" max="2074" width="12.5" style="33" bestFit="1" customWidth="1"/>
    <col min="2075" max="2075" width="7.875" style="33" customWidth="1"/>
    <col min="2076" max="2076" width="8.5" style="33" bestFit="1" customWidth="1"/>
    <col min="2077" max="2304" width="9" style="33"/>
    <col min="2305" max="2305" width="1.5" style="33" bestFit="1" customWidth="1"/>
    <col min="2306" max="2306" width="19.875" style="33" bestFit="1" customWidth="1"/>
    <col min="2307" max="2307" width="12.5" style="33" bestFit="1" customWidth="1"/>
    <col min="2308" max="2308" width="22" style="33" bestFit="1" customWidth="1"/>
    <col min="2309" max="2309" width="12.5" style="33" bestFit="1" customWidth="1"/>
    <col min="2310" max="2310" width="22" style="33" bestFit="1" customWidth="1"/>
    <col min="2311" max="2311" width="12.5" style="33" bestFit="1" customWidth="1"/>
    <col min="2312" max="2312" width="13.5" style="33" customWidth="1"/>
    <col min="2313" max="2313" width="12.375" style="33" customWidth="1"/>
    <col min="2314" max="2314" width="12.5" style="33" bestFit="1" customWidth="1"/>
    <col min="2315" max="2315" width="22.125" style="33" bestFit="1" customWidth="1"/>
    <col min="2316" max="2316" width="4.875" style="33" bestFit="1" customWidth="1"/>
    <col min="2317" max="2317" width="5.375" style="33" bestFit="1" customWidth="1"/>
    <col min="2318" max="2319" width="6.125" style="33" bestFit="1" customWidth="1"/>
    <col min="2320" max="2321" width="9" style="33"/>
    <col min="2322" max="2322" width="11.625" style="33" customWidth="1"/>
    <col min="2323" max="2323" width="22" style="33" customWidth="1"/>
    <col min="2324" max="2324" width="11.25" style="33" customWidth="1"/>
    <col min="2325" max="2325" width="7.125" style="33" customWidth="1"/>
    <col min="2326" max="2326" width="5.625" style="33" bestFit="1" customWidth="1"/>
    <col min="2327" max="2327" width="10" style="33" customWidth="1"/>
    <col min="2328" max="2329" width="0" style="33" hidden="1" customWidth="1"/>
    <col min="2330" max="2330" width="12.5" style="33" bestFit="1" customWidth="1"/>
    <col min="2331" max="2331" width="7.875" style="33" customWidth="1"/>
    <col min="2332" max="2332" width="8.5" style="33" bestFit="1" customWidth="1"/>
    <col min="2333" max="2560" width="9" style="33"/>
    <col min="2561" max="2561" width="1.5" style="33" bestFit="1" customWidth="1"/>
    <col min="2562" max="2562" width="19.875" style="33" bestFit="1" customWidth="1"/>
    <col min="2563" max="2563" width="12.5" style="33" bestFit="1" customWidth="1"/>
    <col min="2564" max="2564" width="22" style="33" bestFit="1" customWidth="1"/>
    <col min="2565" max="2565" width="12.5" style="33" bestFit="1" customWidth="1"/>
    <col min="2566" max="2566" width="22" style="33" bestFit="1" customWidth="1"/>
    <col min="2567" max="2567" width="12.5" style="33" bestFit="1" customWidth="1"/>
    <col min="2568" max="2568" width="13.5" style="33" customWidth="1"/>
    <col min="2569" max="2569" width="12.375" style="33" customWidth="1"/>
    <col min="2570" max="2570" width="12.5" style="33" bestFit="1" customWidth="1"/>
    <col min="2571" max="2571" width="22.125" style="33" bestFit="1" customWidth="1"/>
    <col min="2572" max="2572" width="4.875" style="33" bestFit="1" customWidth="1"/>
    <col min="2573" max="2573" width="5.375" style="33" bestFit="1" customWidth="1"/>
    <col min="2574" max="2575" width="6.125" style="33" bestFit="1" customWidth="1"/>
    <col min="2576" max="2577" width="9" style="33"/>
    <col min="2578" max="2578" width="11.625" style="33" customWidth="1"/>
    <col min="2579" max="2579" width="22" style="33" customWidth="1"/>
    <col min="2580" max="2580" width="11.25" style="33" customWidth="1"/>
    <col min="2581" max="2581" width="7.125" style="33" customWidth="1"/>
    <col min="2582" max="2582" width="5.625" style="33" bestFit="1" customWidth="1"/>
    <col min="2583" max="2583" width="10" style="33" customWidth="1"/>
    <col min="2584" max="2585" width="0" style="33" hidden="1" customWidth="1"/>
    <col min="2586" max="2586" width="12.5" style="33" bestFit="1" customWidth="1"/>
    <col min="2587" max="2587" width="7.875" style="33" customWidth="1"/>
    <col min="2588" max="2588" width="8.5" style="33" bestFit="1" customWidth="1"/>
    <col min="2589" max="2816" width="9" style="33"/>
    <col min="2817" max="2817" width="1.5" style="33" bestFit="1" customWidth="1"/>
    <col min="2818" max="2818" width="19.875" style="33" bestFit="1" customWidth="1"/>
    <col min="2819" max="2819" width="12.5" style="33" bestFit="1" customWidth="1"/>
    <col min="2820" max="2820" width="22" style="33" bestFit="1" customWidth="1"/>
    <col min="2821" max="2821" width="12.5" style="33" bestFit="1" customWidth="1"/>
    <col min="2822" max="2822" width="22" style="33" bestFit="1" customWidth="1"/>
    <col min="2823" max="2823" width="12.5" style="33" bestFit="1" customWidth="1"/>
    <col min="2824" max="2824" width="13.5" style="33" customWidth="1"/>
    <col min="2825" max="2825" width="12.375" style="33" customWidth="1"/>
    <col min="2826" max="2826" width="12.5" style="33" bestFit="1" customWidth="1"/>
    <col min="2827" max="2827" width="22.125" style="33" bestFit="1" customWidth="1"/>
    <col min="2828" max="2828" width="4.875" style="33" bestFit="1" customWidth="1"/>
    <col min="2829" max="2829" width="5.375" style="33" bestFit="1" customWidth="1"/>
    <col min="2830" max="2831" width="6.125" style="33" bestFit="1" customWidth="1"/>
    <col min="2832" max="2833" width="9" style="33"/>
    <col min="2834" max="2834" width="11.625" style="33" customWidth="1"/>
    <col min="2835" max="2835" width="22" style="33" customWidth="1"/>
    <col min="2836" max="2836" width="11.25" style="33" customWidth="1"/>
    <col min="2837" max="2837" width="7.125" style="33" customWidth="1"/>
    <col min="2838" max="2838" width="5.625" style="33" bestFit="1" customWidth="1"/>
    <col min="2839" max="2839" width="10" style="33" customWidth="1"/>
    <col min="2840" max="2841" width="0" style="33" hidden="1" customWidth="1"/>
    <col min="2842" max="2842" width="12.5" style="33" bestFit="1" customWidth="1"/>
    <col min="2843" max="2843" width="7.875" style="33" customWidth="1"/>
    <col min="2844" max="2844" width="8.5" style="33" bestFit="1" customWidth="1"/>
    <col min="2845" max="3072" width="9" style="33"/>
    <col min="3073" max="3073" width="1.5" style="33" bestFit="1" customWidth="1"/>
    <col min="3074" max="3074" width="19.875" style="33" bestFit="1" customWidth="1"/>
    <col min="3075" max="3075" width="12.5" style="33" bestFit="1" customWidth="1"/>
    <col min="3076" max="3076" width="22" style="33" bestFit="1" customWidth="1"/>
    <col min="3077" max="3077" width="12.5" style="33" bestFit="1" customWidth="1"/>
    <col min="3078" max="3078" width="22" style="33" bestFit="1" customWidth="1"/>
    <col min="3079" max="3079" width="12.5" style="33" bestFit="1" customWidth="1"/>
    <col min="3080" max="3080" width="13.5" style="33" customWidth="1"/>
    <col min="3081" max="3081" width="12.375" style="33" customWidth="1"/>
    <col min="3082" max="3082" width="12.5" style="33" bestFit="1" customWidth="1"/>
    <col min="3083" max="3083" width="22.125" style="33" bestFit="1" customWidth="1"/>
    <col min="3084" max="3084" width="4.875" style="33" bestFit="1" customWidth="1"/>
    <col min="3085" max="3085" width="5.375" style="33" bestFit="1" customWidth="1"/>
    <col min="3086" max="3087" width="6.125" style="33" bestFit="1" customWidth="1"/>
    <col min="3088" max="3089" width="9" style="33"/>
    <col min="3090" max="3090" width="11.625" style="33" customWidth="1"/>
    <col min="3091" max="3091" width="22" style="33" customWidth="1"/>
    <col min="3092" max="3092" width="11.25" style="33" customWidth="1"/>
    <col min="3093" max="3093" width="7.125" style="33" customWidth="1"/>
    <col min="3094" max="3094" width="5.625" style="33" bestFit="1" customWidth="1"/>
    <col min="3095" max="3095" width="10" style="33" customWidth="1"/>
    <col min="3096" max="3097" width="0" style="33" hidden="1" customWidth="1"/>
    <col min="3098" max="3098" width="12.5" style="33" bestFit="1" customWidth="1"/>
    <col min="3099" max="3099" width="7.875" style="33" customWidth="1"/>
    <col min="3100" max="3100" width="8.5" style="33" bestFit="1" customWidth="1"/>
    <col min="3101" max="3328" width="9" style="33"/>
    <col min="3329" max="3329" width="1.5" style="33" bestFit="1" customWidth="1"/>
    <col min="3330" max="3330" width="19.875" style="33" bestFit="1" customWidth="1"/>
    <col min="3331" max="3331" width="12.5" style="33" bestFit="1" customWidth="1"/>
    <col min="3332" max="3332" width="22" style="33" bestFit="1" customWidth="1"/>
    <col min="3333" max="3333" width="12.5" style="33" bestFit="1" customWidth="1"/>
    <col min="3334" max="3334" width="22" style="33" bestFit="1" customWidth="1"/>
    <col min="3335" max="3335" width="12.5" style="33" bestFit="1" customWidth="1"/>
    <col min="3336" max="3336" width="13.5" style="33" customWidth="1"/>
    <col min="3337" max="3337" width="12.375" style="33" customWidth="1"/>
    <col min="3338" max="3338" width="12.5" style="33" bestFit="1" customWidth="1"/>
    <col min="3339" max="3339" width="22.125" style="33" bestFit="1" customWidth="1"/>
    <col min="3340" max="3340" width="4.875" style="33" bestFit="1" customWidth="1"/>
    <col min="3341" max="3341" width="5.375" style="33" bestFit="1" customWidth="1"/>
    <col min="3342" max="3343" width="6.125" style="33" bestFit="1" customWidth="1"/>
    <col min="3344" max="3345" width="9" style="33"/>
    <col min="3346" max="3346" width="11.625" style="33" customWidth="1"/>
    <col min="3347" max="3347" width="22" style="33" customWidth="1"/>
    <col min="3348" max="3348" width="11.25" style="33" customWidth="1"/>
    <col min="3349" max="3349" width="7.125" style="33" customWidth="1"/>
    <col min="3350" max="3350" width="5.625" style="33" bestFit="1" customWidth="1"/>
    <col min="3351" max="3351" width="10" style="33" customWidth="1"/>
    <col min="3352" max="3353" width="0" style="33" hidden="1" customWidth="1"/>
    <col min="3354" max="3354" width="12.5" style="33" bestFit="1" customWidth="1"/>
    <col min="3355" max="3355" width="7.875" style="33" customWidth="1"/>
    <col min="3356" max="3356" width="8.5" style="33" bestFit="1" customWidth="1"/>
    <col min="3357" max="3584" width="9" style="33"/>
    <col min="3585" max="3585" width="1.5" style="33" bestFit="1" customWidth="1"/>
    <col min="3586" max="3586" width="19.875" style="33" bestFit="1" customWidth="1"/>
    <col min="3587" max="3587" width="12.5" style="33" bestFit="1" customWidth="1"/>
    <col min="3588" max="3588" width="22" style="33" bestFit="1" customWidth="1"/>
    <col min="3589" max="3589" width="12.5" style="33" bestFit="1" customWidth="1"/>
    <col min="3590" max="3590" width="22" style="33" bestFit="1" customWidth="1"/>
    <col min="3591" max="3591" width="12.5" style="33" bestFit="1" customWidth="1"/>
    <col min="3592" max="3592" width="13.5" style="33" customWidth="1"/>
    <col min="3593" max="3593" width="12.375" style="33" customWidth="1"/>
    <col min="3594" max="3594" width="12.5" style="33" bestFit="1" customWidth="1"/>
    <col min="3595" max="3595" width="22.125" style="33" bestFit="1" customWidth="1"/>
    <col min="3596" max="3596" width="4.875" style="33" bestFit="1" customWidth="1"/>
    <col min="3597" max="3597" width="5.375" style="33" bestFit="1" customWidth="1"/>
    <col min="3598" max="3599" width="6.125" style="33" bestFit="1" customWidth="1"/>
    <col min="3600" max="3601" width="9" style="33"/>
    <col min="3602" max="3602" width="11.625" style="33" customWidth="1"/>
    <col min="3603" max="3603" width="22" style="33" customWidth="1"/>
    <col min="3604" max="3604" width="11.25" style="33" customWidth="1"/>
    <col min="3605" max="3605" width="7.125" style="33" customWidth="1"/>
    <col min="3606" max="3606" width="5.625" style="33" bestFit="1" customWidth="1"/>
    <col min="3607" max="3607" width="10" style="33" customWidth="1"/>
    <col min="3608" max="3609" width="0" style="33" hidden="1" customWidth="1"/>
    <col min="3610" max="3610" width="12.5" style="33" bestFit="1" customWidth="1"/>
    <col min="3611" max="3611" width="7.875" style="33" customWidth="1"/>
    <col min="3612" max="3612" width="8.5" style="33" bestFit="1" customWidth="1"/>
    <col min="3613" max="3840" width="9" style="33"/>
    <col min="3841" max="3841" width="1.5" style="33" bestFit="1" customWidth="1"/>
    <col min="3842" max="3842" width="19.875" style="33" bestFit="1" customWidth="1"/>
    <col min="3843" max="3843" width="12.5" style="33" bestFit="1" customWidth="1"/>
    <col min="3844" max="3844" width="22" style="33" bestFit="1" customWidth="1"/>
    <col min="3845" max="3845" width="12.5" style="33" bestFit="1" customWidth="1"/>
    <col min="3846" max="3846" width="22" style="33" bestFit="1" customWidth="1"/>
    <col min="3847" max="3847" width="12.5" style="33" bestFit="1" customWidth="1"/>
    <col min="3848" max="3848" width="13.5" style="33" customWidth="1"/>
    <col min="3849" max="3849" width="12.375" style="33" customWidth="1"/>
    <col min="3850" max="3850" width="12.5" style="33" bestFit="1" customWidth="1"/>
    <col min="3851" max="3851" width="22.125" style="33" bestFit="1" customWidth="1"/>
    <col min="3852" max="3852" width="4.875" style="33" bestFit="1" customWidth="1"/>
    <col min="3853" max="3853" width="5.375" style="33" bestFit="1" customWidth="1"/>
    <col min="3854" max="3855" width="6.125" style="33" bestFit="1" customWidth="1"/>
    <col min="3856" max="3857" width="9" style="33"/>
    <col min="3858" max="3858" width="11.625" style="33" customWidth="1"/>
    <col min="3859" max="3859" width="22" style="33" customWidth="1"/>
    <col min="3860" max="3860" width="11.25" style="33" customWidth="1"/>
    <col min="3861" max="3861" width="7.125" style="33" customWidth="1"/>
    <col min="3862" max="3862" width="5.625" style="33" bestFit="1" customWidth="1"/>
    <col min="3863" max="3863" width="10" style="33" customWidth="1"/>
    <col min="3864" max="3865" width="0" style="33" hidden="1" customWidth="1"/>
    <col min="3866" max="3866" width="12.5" style="33" bestFit="1" customWidth="1"/>
    <col min="3867" max="3867" width="7.875" style="33" customWidth="1"/>
    <col min="3868" max="3868" width="8.5" style="33" bestFit="1" customWidth="1"/>
    <col min="3869" max="4096" width="9" style="33"/>
    <col min="4097" max="4097" width="1.5" style="33" bestFit="1" customWidth="1"/>
    <col min="4098" max="4098" width="19.875" style="33" bestFit="1" customWidth="1"/>
    <col min="4099" max="4099" width="12.5" style="33" bestFit="1" customWidth="1"/>
    <col min="4100" max="4100" width="22" style="33" bestFit="1" customWidth="1"/>
    <col min="4101" max="4101" width="12.5" style="33" bestFit="1" customWidth="1"/>
    <col min="4102" max="4102" width="22" style="33" bestFit="1" customWidth="1"/>
    <col min="4103" max="4103" width="12.5" style="33" bestFit="1" customWidth="1"/>
    <col min="4104" max="4104" width="13.5" style="33" customWidth="1"/>
    <col min="4105" max="4105" width="12.375" style="33" customWidth="1"/>
    <col min="4106" max="4106" width="12.5" style="33" bestFit="1" customWidth="1"/>
    <col min="4107" max="4107" width="22.125" style="33" bestFit="1" customWidth="1"/>
    <col min="4108" max="4108" width="4.875" style="33" bestFit="1" customWidth="1"/>
    <col min="4109" max="4109" width="5.375" style="33" bestFit="1" customWidth="1"/>
    <col min="4110" max="4111" width="6.125" style="33" bestFit="1" customWidth="1"/>
    <col min="4112" max="4113" width="9" style="33"/>
    <col min="4114" max="4114" width="11.625" style="33" customWidth="1"/>
    <col min="4115" max="4115" width="22" style="33" customWidth="1"/>
    <col min="4116" max="4116" width="11.25" style="33" customWidth="1"/>
    <col min="4117" max="4117" width="7.125" style="33" customWidth="1"/>
    <col min="4118" max="4118" width="5.625" style="33" bestFit="1" customWidth="1"/>
    <col min="4119" max="4119" width="10" style="33" customWidth="1"/>
    <col min="4120" max="4121" width="0" style="33" hidden="1" customWidth="1"/>
    <col min="4122" max="4122" width="12.5" style="33" bestFit="1" customWidth="1"/>
    <col min="4123" max="4123" width="7.875" style="33" customWidth="1"/>
    <col min="4124" max="4124" width="8.5" style="33" bestFit="1" customWidth="1"/>
    <col min="4125" max="4352" width="9" style="33"/>
    <col min="4353" max="4353" width="1.5" style="33" bestFit="1" customWidth="1"/>
    <col min="4354" max="4354" width="19.875" style="33" bestFit="1" customWidth="1"/>
    <col min="4355" max="4355" width="12.5" style="33" bestFit="1" customWidth="1"/>
    <col min="4356" max="4356" width="22" style="33" bestFit="1" customWidth="1"/>
    <col min="4357" max="4357" width="12.5" style="33" bestFit="1" customWidth="1"/>
    <col min="4358" max="4358" width="22" style="33" bestFit="1" customWidth="1"/>
    <col min="4359" max="4359" width="12.5" style="33" bestFit="1" customWidth="1"/>
    <col min="4360" max="4360" width="13.5" style="33" customWidth="1"/>
    <col min="4361" max="4361" width="12.375" style="33" customWidth="1"/>
    <col min="4362" max="4362" width="12.5" style="33" bestFit="1" customWidth="1"/>
    <col min="4363" max="4363" width="22.125" style="33" bestFit="1" customWidth="1"/>
    <col min="4364" max="4364" width="4.875" style="33" bestFit="1" customWidth="1"/>
    <col min="4365" max="4365" width="5.375" style="33" bestFit="1" customWidth="1"/>
    <col min="4366" max="4367" width="6.125" style="33" bestFit="1" customWidth="1"/>
    <col min="4368" max="4369" width="9" style="33"/>
    <col min="4370" max="4370" width="11.625" style="33" customWidth="1"/>
    <col min="4371" max="4371" width="22" style="33" customWidth="1"/>
    <col min="4372" max="4372" width="11.25" style="33" customWidth="1"/>
    <col min="4373" max="4373" width="7.125" style="33" customWidth="1"/>
    <col min="4374" max="4374" width="5.625" style="33" bestFit="1" customWidth="1"/>
    <col min="4375" max="4375" width="10" style="33" customWidth="1"/>
    <col min="4376" max="4377" width="0" style="33" hidden="1" customWidth="1"/>
    <col min="4378" max="4378" width="12.5" style="33" bestFit="1" customWidth="1"/>
    <col min="4379" max="4379" width="7.875" style="33" customWidth="1"/>
    <col min="4380" max="4380" width="8.5" style="33" bestFit="1" customWidth="1"/>
    <col min="4381" max="4608" width="9" style="33"/>
    <col min="4609" max="4609" width="1.5" style="33" bestFit="1" customWidth="1"/>
    <col min="4610" max="4610" width="19.875" style="33" bestFit="1" customWidth="1"/>
    <col min="4611" max="4611" width="12.5" style="33" bestFit="1" customWidth="1"/>
    <col min="4612" max="4612" width="22" style="33" bestFit="1" customWidth="1"/>
    <col min="4613" max="4613" width="12.5" style="33" bestFit="1" customWidth="1"/>
    <col min="4614" max="4614" width="22" style="33" bestFit="1" customWidth="1"/>
    <col min="4615" max="4615" width="12.5" style="33" bestFit="1" customWidth="1"/>
    <col min="4616" max="4616" width="13.5" style="33" customWidth="1"/>
    <col min="4617" max="4617" width="12.375" style="33" customWidth="1"/>
    <col min="4618" max="4618" width="12.5" style="33" bestFit="1" customWidth="1"/>
    <col min="4619" max="4619" width="22.125" style="33" bestFit="1" customWidth="1"/>
    <col min="4620" max="4620" width="4.875" style="33" bestFit="1" customWidth="1"/>
    <col min="4621" max="4621" width="5.375" style="33" bestFit="1" customWidth="1"/>
    <col min="4622" max="4623" width="6.125" style="33" bestFit="1" customWidth="1"/>
    <col min="4624" max="4625" width="9" style="33"/>
    <col min="4626" max="4626" width="11.625" style="33" customWidth="1"/>
    <col min="4627" max="4627" width="22" style="33" customWidth="1"/>
    <col min="4628" max="4628" width="11.25" style="33" customWidth="1"/>
    <col min="4629" max="4629" width="7.125" style="33" customWidth="1"/>
    <col min="4630" max="4630" width="5.625" style="33" bestFit="1" customWidth="1"/>
    <col min="4631" max="4631" width="10" style="33" customWidth="1"/>
    <col min="4632" max="4633" width="0" style="33" hidden="1" customWidth="1"/>
    <col min="4634" max="4634" width="12.5" style="33" bestFit="1" customWidth="1"/>
    <col min="4635" max="4635" width="7.875" style="33" customWidth="1"/>
    <col min="4636" max="4636" width="8.5" style="33" bestFit="1" customWidth="1"/>
    <col min="4637" max="4864" width="9" style="33"/>
    <col min="4865" max="4865" width="1.5" style="33" bestFit="1" customWidth="1"/>
    <col min="4866" max="4866" width="19.875" style="33" bestFit="1" customWidth="1"/>
    <col min="4867" max="4867" width="12.5" style="33" bestFit="1" customWidth="1"/>
    <col min="4868" max="4868" width="22" style="33" bestFit="1" customWidth="1"/>
    <col min="4869" max="4869" width="12.5" style="33" bestFit="1" customWidth="1"/>
    <col min="4870" max="4870" width="22" style="33" bestFit="1" customWidth="1"/>
    <col min="4871" max="4871" width="12.5" style="33" bestFit="1" customWidth="1"/>
    <col min="4872" max="4872" width="13.5" style="33" customWidth="1"/>
    <col min="4873" max="4873" width="12.375" style="33" customWidth="1"/>
    <col min="4874" max="4874" width="12.5" style="33" bestFit="1" customWidth="1"/>
    <col min="4875" max="4875" width="22.125" style="33" bestFit="1" customWidth="1"/>
    <col min="4876" max="4876" width="4.875" style="33" bestFit="1" customWidth="1"/>
    <col min="4877" max="4877" width="5.375" style="33" bestFit="1" customWidth="1"/>
    <col min="4878" max="4879" width="6.125" style="33" bestFit="1" customWidth="1"/>
    <col min="4880" max="4881" width="9" style="33"/>
    <col min="4882" max="4882" width="11.625" style="33" customWidth="1"/>
    <col min="4883" max="4883" width="22" style="33" customWidth="1"/>
    <col min="4884" max="4884" width="11.25" style="33" customWidth="1"/>
    <col min="4885" max="4885" width="7.125" style="33" customWidth="1"/>
    <col min="4886" max="4886" width="5.625" style="33" bestFit="1" customWidth="1"/>
    <col min="4887" max="4887" width="10" style="33" customWidth="1"/>
    <col min="4888" max="4889" width="0" style="33" hidden="1" customWidth="1"/>
    <col min="4890" max="4890" width="12.5" style="33" bestFit="1" customWidth="1"/>
    <col min="4891" max="4891" width="7.875" style="33" customWidth="1"/>
    <col min="4892" max="4892" width="8.5" style="33" bestFit="1" customWidth="1"/>
    <col min="4893" max="5120" width="9" style="33"/>
    <col min="5121" max="5121" width="1.5" style="33" bestFit="1" customWidth="1"/>
    <col min="5122" max="5122" width="19.875" style="33" bestFit="1" customWidth="1"/>
    <col min="5123" max="5123" width="12.5" style="33" bestFit="1" customWidth="1"/>
    <col min="5124" max="5124" width="22" style="33" bestFit="1" customWidth="1"/>
    <col min="5125" max="5125" width="12.5" style="33" bestFit="1" customWidth="1"/>
    <col min="5126" max="5126" width="22" style="33" bestFit="1" customWidth="1"/>
    <col min="5127" max="5127" width="12.5" style="33" bestFit="1" customWidth="1"/>
    <col min="5128" max="5128" width="13.5" style="33" customWidth="1"/>
    <col min="5129" max="5129" width="12.375" style="33" customWidth="1"/>
    <col min="5130" max="5130" width="12.5" style="33" bestFit="1" customWidth="1"/>
    <col min="5131" max="5131" width="22.125" style="33" bestFit="1" customWidth="1"/>
    <col min="5132" max="5132" width="4.875" style="33" bestFit="1" customWidth="1"/>
    <col min="5133" max="5133" width="5.375" style="33" bestFit="1" customWidth="1"/>
    <col min="5134" max="5135" width="6.125" style="33" bestFit="1" customWidth="1"/>
    <col min="5136" max="5137" width="9" style="33"/>
    <col min="5138" max="5138" width="11.625" style="33" customWidth="1"/>
    <col min="5139" max="5139" width="22" style="33" customWidth="1"/>
    <col min="5140" max="5140" width="11.25" style="33" customWidth="1"/>
    <col min="5141" max="5141" width="7.125" style="33" customWidth="1"/>
    <col min="5142" max="5142" width="5.625" style="33" bestFit="1" customWidth="1"/>
    <col min="5143" max="5143" width="10" style="33" customWidth="1"/>
    <col min="5144" max="5145" width="0" style="33" hidden="1" customWidth="1"/>
    <col min="5146" max="5146" width="12.5" style="33" bestFit="1" customWidth="1"/>
    <col min="5147" max="5147" width="7.875" style="33" customWidth="1"/>
    <col min="5148" max="5148" width="8.5" style="33" bestFit="1" customWidth="1"/>
    <col min="5149" max="5376" width="9" style="33"/>
    <col min="5377" max="5377" width="1.5" style="33" bestFit="1" customWidth="1"/>
    <col min="5378" max="5378" width="19.875" style="33" bestFit="1" customWidth="1"/>
    <col min="5379" max="5379" width="12.5" style="33" bestFit="1" customWidth="1"/>
    <col min="5380" max="5380" width="22" style="33" bestFit="1" customWidth="1"/>
    <col min="5381" max="5381" width="12.5" style="33" bestFit="1" customWidth="1"/>
    <col min="5382" max="5382" width="22" style="33" bestFit="1" customWidth="1"/>
    <col min="5383" max="5383" width="12.5" style="33" bestFit="1" customWidth="1"/>
    <col min="5384" max="5384" width="13.5" style="33" customWidth="1"/>
    <col min="5385" max="5385" width="12.375" style="33" customWidth="1"/>
    <col min="5386" max="5386" width="12.5" style="33" bestFit="1" customWidth="1"/>
    <col min="5387" max="5387" width="22.125" style="33" bestFit="1" customWidth="1"/>
    <col min="5388" max="5388" width="4.875" style="33" bestFit="1" customWidth="1"/>
    <col min="5389" max="5389" width="5.375" style="33" bestFit="1" customWidth="1"/>
    <col min="5390" max="5391" width="6.125" style="33" bestFit="1" customWidth="1"/>
    <col min="5392" max="5393" width="9" style="33"/>
    <col min="5394" max="5394" width="11.625" style="33" customWidth="1"/>
    <col min="5395" max="5395" width="22" style="33" customWidth="1"/>
    <col min="5396" max="5396" width="11.25" style="33" customWidth="1"/>
    <col min="5397" max="5397" width="7.125" style="33" customWidth="1"/>
    <col min="5398" max="5398" width="5.625" style="33" bestFit="1" customWidth="1"/>
    <col min="5399" max="5399" width="10" style="33" customWidth="1"/>
    <col min="5400" max="5401" width="0" style="33" hidden="1" customWidth="1"/>
    <col min="5402" max="5402" width="12.5" style="33" bestFit="1" customWidth="1"/>
    <col min="5403" max="5403" width="7.875" style="33" customWidth="1"/>
    <col min="5404" max="5404" width="8.5" style="33" bestFit="1" customWidth="1"/>
    <col min="5405" max="5632" width="9" style="33"/>
    <col min="5633" max="5633" width="1.5" style="33" bestFit="1" customWidth="1"/>
    <col min="5634" max="5634" width="19.875" style="33" bestFit="1" customWidth="1"/>
    <col min="5635" max="5635" width="12.5" style="33" bestFit="1" customWidth="1"/>
    <col min="5636" max="5636" width="22" style="33" bestFit="1" customWidth="1"/>
    <col min="5637" max="5637" width="12.5" style="33" bestFit="1" customWidth="1"/>
    <col min="5638" max="5638" width="22" style="33" bestFit="1" customWidth="1"/>
    <col min="5639" max="5639" width="12.5" style="33" bestFit="1" customWidth="1"/>
    <col min="5640" max="5640" width="13.5" style="33" customWidth="1"/>
    <col min="5641" max="5641" width="12.375" style="33" customWidth="1"/>
    <col min="5642" max="5642" width="12.5" style="33" bestFit="1" customWidth="1"/>
    <col min="5643" max="5643" width="22.125" style="33" bestFit="1" customWidth="1"/>
    <col min="5644" max="5644" width="4.875" style="33" bestFit="1" customWidth="1"/>
    <col min="5645" max="5645" width="5.375" style="33" bestFit="1" customWidth="1"/>
    <col min="5646" max="5647" width="6.125" style="33" bestFit="1" customWidth="1"/>
    <col min="5648" max="5649" width="9" style="33"/>
    <col min="5650" max="5650" width="11.625" style="33" customWidth="1"/>
    <col min="5651" max="5651" width="22" style="33" customWidth="1"/>
    <col min="5652" max="5652" width="11.25" style="33" customWidth="1"/>
    <col min="5653" max="5653" width="7.125" style="33" customWidth="1"/>
    <col min="5654" max="5654" width="5.625" style="33" bestFit="1" customWidth="1"/>
    <col min="5655" max="5655" width="10" style="33" customWidth="1"/>
    <col min="5656" max="5657" width="0" style="33" hidden="1" customWidth="1"/>
    <col min="5658" max="5658" width="12.5" style="33" bestFit="1" customWidth="1"/>
    <col min="5659" max="5659" width="7.875" style="33" customWidth="1"/>
    <col min="5660" max="5660" width="8.5" style="33" bestFit="1" customWidth="1"/>
    <col min="5661" max="5888" width="9" style="33"/>
    <col min="5889" max="5889" width="1.5" style="33" bestFit="1" customWidth="1"/>
    <col min="5890" max="5890" width="19.875" style="33" bestFit="1" customWidth="1"/>
    <col min="5891" max="5891" width="12.5" style="33" bestFit="1" customWidth="1"/>
    <col min="5892" max="5892" width="22" style="33" bestFit="1" customWidth="1"/>
    <col min="5893" max="5893" width="12.5" style="33" bestFit="1" customWidth="1"/>
    <col min="5894" max="5894" width="22" style="33" bestFit="1" customWidth="1"/>
    <col min="5895" max="5895" width="12.5" style="33" bestFit="1" customWidth="1"/>
    <col min="5896" max="5896" width="13.5" style="33" customWidth="1"/>
    <col min="5897" max="5897" width="12.375" style="33" customWidth="1"/>
    <col min="5898" max="5898" width="12.5" style="33" bestFit="1" customWidth="1"/>
    <col min="5899" max="5899" width="22.125" style="33" bestFit="1" customWidth="1"/>
    <col min="5900" max="5900" width="4.875" style="33" bestFit="1" customWidth="1"/>
    <col min="5901" max="5901" width="5.375" style="33" bestFit="1" customWidth="1"/>
    <col min="5902" max="5903" width="6.125" style="33" bestFit="1" customWidth="1"/>
    <col min="5904" max="5905" width="9" style="33"/>
    <col min="5906" max="5906" width="11.625" style="33" customWidth="1"/>
    <col min="5907" max="5907" width="22" style="33" customWidth="1"/>
    <col min="5908" max="5908" width="11.25" style="33" customWidth="1"/>
    <col min="5909" max="5909" width="7.125" style="33" customWidth="1"/>
    <col min="5910" max="5910" width="5.625" style="33" bestFit="1" customWidth="1"/>
    <col min="5911" max="5911" width="10" style="33" customWidth="1"/>
    <col min="5912" max="5913" width="0" style="33" hidden="1" customWidth="1"/>
    <col min="5914" max="5914" width="12.5" style="33" bestFit="1" customWidth="1"/>
    <col min="5915" max="5915" width="7.875" style="33" customWidth="1"/>
    <col min="5916" max="5916" width="8.5" style="33" bestFit="1" customWidth="1"/>
    <col min="5917" max="6144" width="9" style="33"/>
    <col min="6145" max="6145" width="1.5" style="33" bestFit="1" customWidth="1"/>
    <col min="6146" max="6146" width="19.875" style="33" bestFit="1" customWidth="1"/>
    <col min="6147" max="6147" width="12.5" style="33" bestFit="1" customWidth="1"/>
    <col min="6148" max="6148" width="22" style="33" bestFit="1" customWidth="1"/>
    <col min="6149" max="6149" width="12.5" style="33" bestFit="1" customWidth="1"/>
    <col min="6150" max="6150" width="22" style="33" bestFit="1" customWidth="1"/>
    <col min="6151" max="6151" width="12.5" style="33" bestFit="1" customWidth="1"/>
    <col min="6152" max="6152" width="13.5" style="33" customWidth="1"/>
    <col min="6153" max="6153" width="12.375" style="33" customWidth="1"/>
    <col min="6154" max="6154" width="12.5" style="33" bestFit="1" customWidth="1"/>
    <col min="6155" max="6155" width="22.125" style="33" bestFit="1" customWidth="1"/>
    <col min="6156" max="6156" width="4.875" style="33" bestFit="1" customWidth="1"/>
    <col min="6157" max="6157" width="5.375" style="33" bestFit="1" customWidth="1"/>
    <col min="6158" max="6159" width="6.125" style="33" bestFit="1" customWidth="1"/>
    <col min="6160" max="6161" width="9" style="33"/>
    <col min="6162" max="6162" width="11.625" style="33" customWidth="1"/>
    <col min="6163" max="6163" width="22" style="33" customWidth="1"/>
    <col min="6164" max="6164" width="11.25" style="33" customWidth="1"/>
    <col min="6165" max="6165" width="7.125" style="33" customWidth="1"/>
    <col min="6166" max="6166" width="5.625" style="33" bestFit="1" customWidth="1"/>
    <col min="6167" max="6167" width="10" style="33" customWidth="1"/>
    <col min="6168" max="6169" width="0" style="33" hidden="1" customWidth="1"/>
    <col min="6170" max="6170" width="12.5" style="33" bestFit="1" customWidth="1"/>
    <col min="6171" max="6171" width="7.875" style="33" customWidth="1"/>
    <col min="6172" max="6172" width="8.5" style="33" bestFit="1" customWidth="1"/>
    <col min="6173" max="6400" width="9" style="33"/>
    <col min="6401" max="6401" width="1.5" style="33" bestFit="1" customWidth="1"/>
    <col min="6402" max="6402" width="19.875" style="33" bestFit="1" customWidth="1"/>
    <col min="6403" max="6403" width="12.5" style="33" bestFit="1" customWidth="1"/>
    <col min="6404" max="6404" width="22" style="33" bestFit="1" customWidth="1"/>
    <col min="6405" max="6405" width="12.5" style="33" bestFit="1" customWidth="1"/>
    <col min="6406" max="6406" width="22" style="33" bestFit="1" customWidth="1"/>
    <col min="6407" max="6407" width="12.5" style="33" bestFit="1" customWidth="1"/>
    <col min="6408" max="6408" width="13.5" style="33" customWidth="1"/>
    <col min="6409" max="6409" width="12.375" style="33" customWidth="1"/>
    <col min="6410" max="6410" width="12.5" style="33" bestFit="1" customWidth="1"/>
    <col min="6411" max="6411" width="22.125" style="33" bestFit="1" customWidth="1"/>
    <col min="6412" max="6412" width="4.875" style="33" bestFit="1" customWidth="1"/>
    <col min="6413" max="6413" width="5.375" style="33" bestFit="1" customWidth="1"/>
    <col min="6414" max="6415" width="6.125" style="33" bestFit="1" customWidth="1"/>
    <col min="6416" max="6417" width="9" style="33"/>
    <col min="6418" max="6418" width="11.625" style="33" customWidth="1"/>
    <col min="6419" max="6419" width="22" style="33" customWidth="1"/>
    <col min="6420" max="6420" width="11.25" style="33" customWidth="1"/>
    <col min="6421" max="6421" width="7.125" style="33" customWidth="1"/>
    <col min="6422" max="6422" width="5.625" style="33" bestFit="1" customWidth="1"/>
    <col min="6423" max="6423" width="10" style="33" customWidth="1"/>
    <col min="6424" max="6425" width="0" style="33" hidden="1" customWidth="1"/>
    <col min="6426" max="6426" width="12.5" style="33" bestFit="1" customWidth="1"/>
    <col min="6427" max="6427" width="7.875" style="33" customWidth="1"/>
    <col min="6428" max="6428" width="8.5" style="33" bestFit="1" customWidth="1"/>
    <col min="6429" max="6656" width="9" style="33"/>
    <col min="6657" max="6657" width="1.5" style="33" bestFit="1" customWidth="1"/>
    <col min="6658" max="6658" width="19.875" style="33" bestFit="1" customWidth="1"/>
    <col min="6659" max="6659" width="12.5" style="33" bestFit="1" customWidth="1"/>
    <col min="6660" max="6660" width="22" style="33" bestFit="1" customWidth="1"/>
    <col min="6661" max="6661" width="12.5" style="33" bestFit="1" customWidth="1"/>
    <col min="6662" max="6662" width="22" style="33" bestFit="1" customWidth="1"/>
    <col min="6663" max="6663" width="12.5" style="33" bestFit="1" customWidth="1"/>
    <col min="6664" max="6664" width="13.5" style="33" customWidth="1"/>
    <col min="6665" max="6665" width="12.375" style="33" customWidth="1"/>
    <col min="6666" max="6666" width="12.5" style="33" bestFit="1" customWidth="1"/>
    <col min="6667" max="6667" width="22.125" style="33" bestFit="1" customWidth="1"/>
    <col min="6668" max="6668" width="4.875" style="33" bestFit="1" customWidth="1"/>
    <col min="6669" max="6669" width="5.375" style="33" bestFit="1" customWidth="1"/>
    <col min="6670" max="6671" width="6.125" style="33" bestFit="1" customWidth="1"/>
    <col min="6672" max="6673" width="9" style="33"/>
    <col min="6674" max="6674" width="11.625" style="33" customWidth="1"/>
    <col min="6675" max="6675" width="22" style="33" customWidth="1"/>
    <col min="6676" max="6676" width="11.25" style="33" customWidth="1"/>
    <col min="6677" max="6677" width="7.125" style="33" customWidth="1"/>
    <col min="6678" max="6678" width="5.625" style="33" bestFit="1" customWidth="1"/>
    <col min="6679" max="6679" width="10" style="33" customWidth="1"/>
    <col min="6680" max="6681" width="0" style="33" hidden="1" customWidth="1"/>
    <col min="6682" max="6682" width="12.5" style="33" bestFit="1" customWidth="1"/>
    <col min="6683" max="6683" width="7.875" style="33" customWidth="1"/>
    <col min="6684" max="6684" width="8.5" style="33" bestFit="1" customWidth="1"/>
    <col min="6685" max="6912" width="9" style="33"/>
    <col min="6913" max="6913" width="1.5" style="33" bestFit="1" customWidth="1"/>
    <col min="6914" max="6914" width="19.875" style="33" bestFit="1" customWidth="1"/>
    <col min="6915" max="6915" width="12.5" style="33" bestFit="1" customWidth="1"/>
    <col min="6916" max="6916" width="22" style="33" bestFit="1" customWidth="1"/>
    <col min="6917" max="6917" width="12.5" style="33" bestFit="1" customWidth="1"/>
    <col min="6918" max="6918" width="22" style="33" bestFit="1" customWidth="1"/>
    <col min="6919" max="6919" width="12.5" style="33" bestFit="1" customWidth="1"/>
    <col min="6920" max="6920" width="13.5" style="33" customWidth="1"/>
    <col min="6921" max="6921" width="12.375" style="33" customWidth="1"/>
    <col min="6922" max="6922" width="12.5" style="33" bestFit="1" customWidth="1"/>
    <col min="6923" max="6923" width="22.125" style="33" bestFit="1" customWidth="1"/>
    <col min="6924" max="6924" width="4.875" style="33" bestFit="1" customWidth="1"/>
    <col min="6925" max="6925" width="5.375" style="33" bestFit="1" customWidth="1"/>
    <col min="6926" max="6927" width="6.125" style="33" bestFit="1" customWidth="1"/>
    <col min="6928" max="6929" width="9" style="33"/>
    <col min="6930" max="6930" width="11.625" style="33" customWidth="1"/>
    <col min="6931" max="6931" width="22" style="33" customWidth="1"/>
    <col min="6932" max="6932" width="11.25" style="33" customWidth="1"/>
    <col min="6933" max="6933" width="7.125" style="33" customWidth="1"/>
    <col min="6934" max="6934" width="5.625" style="33" bestFit="1" customWidth="1"/>
    <col min="6935" max="6935" width="10" style="33" customWidth="1"/>
    <col min="6936" max="6937" width="0" style="33" hidden="1" customWidth="1"/>
    <col min="6938" max="6938" width="12.5" style="33" bestFit="1" customWidth="1"/>
    <col min="6939" max="6939" width="7.875" style="33" customWidth="1"/>
    <col min="6940" max="6940" width="8.5" style="33" bestFit="1" customWidth="1"/>
    <col min="6941" max="7168" width="9" style="33"/>
    <col min="7169" max="7169" width="1.5" style="33" bestFit="1" customWidth="1"/>
    <col min="7170" max="7170" width="19.875" style="33" bestFit="1" customWidth="1"/>
    <col min="7171" max="7171" width="12.5" style="33" bestFit="1" customWidth="1"/>
    <col min="7172" max="7172" width="22" style="33" bestFit="1" customWidth="1"/>
    <col min="7173" max="7173" width="12.5" style="33" bestFit="1" customWidth="1"/>
    <col min="7174" max="7174" width="22" style="33" bestFit="1" customWidth="1"/>
    <col min="7175" max="7175" width="12.5" style="33" bestFit="1" customWidth="1"/>
    <col min="7176" max="7176" width="13.5" style="33" customWidth="1"/>
    <col min="7177" max="7177" width="12.375" style="33" customWidth="1"/>
    <col min="7178" max="7178" width="12.5" style="33" bestFit="1" customWidth="1"/>
    <col min="7179" max="7179" width="22.125" style="33" bestFit="1" customWidth="1"/>
    <col min="7180" max="7180" width="4.875" style="33" bestFit="1" customWidth="1"/>
    <col min="7181" max="7181" width="5.375" style="33" bestFit="1" customWidth="1"/>
    <col min="7182" max="7183" width="6.125" style="33" bestFit="1" customWidth="1"/>
    <col min="7184" max="7185" width="9" style="33"/>
    <col min="7186" max="7186" width="11.625" style="33" customWidth="1"/>
    <col min="7187" max="7187" width="22" style="33" customWidth="1"/>
    <col min="7188" max="7188" width="11.25" style="33" customWidth="1"/>
    <col min="7189" max="7189" width="7.125" style="33" customWidth="1"/>
    <col min="7190" max="7190" width="5.625" style="33" bestFit="1" customWidth="1"/>
    <col min="7191" max="7191" width="10" style="33" customWidth="1"/>
    <col min="7192" max="7193" width="0" style="33" hidden="1" customWidth="1"/>
    <col min="7194" max="7194" width="12.5" style="33" bestFit="1" customWidth="1"/>
    <col min="7195" max="7195" width="7.875" style="33" customWidth="1"/>
    <col min="7196" max="7196" width="8.5" style="33" bestFit="1" customWidth="1"/>
    <col min="7197" max="7424" width="9" style="33"/>
    <col min="7425" max="7425" width="1.5" style="33" bestFit="1" customWidth="1"/>
    <col min="7426" max="7426" width="19.875" style="33" bestFit="1" customWidth="1"/>
    <col min="7427" max="7427" width="12.5" style="33" bestFit="1" customWidth="1"/>
    <col min="7428" max="7428" width="22" style="33" bestFit="1" customWidth="1"/>
    <col min="7429" max="7429" width="12.5" style="33" bestFit="1" customWidth="1"/>
    <col min="7430" max="7430" width="22" style="33" bestFit="1" customWidth="1"/>
    <col min="7431" max="7431" width="12.5" style="33" bestFit="1" customWidth="1"/>
    <col min="7432" max="7432" width="13.5" style="33" customWidth="1"/>
    <col min="7433" max="7433" width="12.375" style="33" customWidth="1"/>
    <col min="7434" max="7434" width="12.5" style="33" bestFit="1" customWidth="1"/>
    <col min="7435" max="7435" width="22.125" style="33" bestFit="1" customWidth="1"/>
    <col min="7436" max="7436" width="4.875" style="33" bestFit="1" customWidth="1"/>
    <col min="7437" max="7437" width="5.375" style="33" bestFit="1" customWidth="1"/>
    <col min="7438" max="7439" width="6.125" style="33" bestFit="1" customWidth="1"/>
    <col min="7440" max="7441" width="9" style="33"/>
    <col min="7442" max="7442" width="11.625" style="33" customWidth="1"/>
    <col min="7443" max="7443" width="22" style="33" customWidth="1"/>
    <col min="7444" max="7444" width="11.25" style="33" customWidth="1"/>
    <col min="7445" max="7445" width="7.125" style="33" customWidth="1"/>
    <col min="7446" max="7446" width="5.625" style="33" bestFit="1" customWidth="1"/>
    <col min="7447" max="7447" width="10" style="33" customWidth="1"/>
    <col min="7448" max="7449" width="0" style="33" hidden="1" customWidth="1"/>
    <col min="7450" max="7450" width="12.5" style="33" bestFit="1" customWidth="1"/>
    <col min="7451" max="7451" width="7.875" style="33" customWidth="1"/>
    <col min="7452" max="7452" width="8.5" style="33" bestFit="1" customWidth="1"/>
    <col min="7453" max="7680" width="9" style="33"/>
    <col min="7681" max="7681" width="1.5" style="33" bestFit="1" customWidth="1"/>
    <col min="7682" max="7682" width="19.875" style="33" bestFit="1" customWidth="1"/>
    <col min="7683" max="7683" width="12.5" style="33" bestFit="1" customWidth="1"/>
    <col min="7684" max="7684" width="22" style="33" bestFit="1" customWidth="1"/>
    <col min="7685" max="7685" width="12.5" style="33" bestFit="1" customWidth="1"/>
    <col min="7686" max="7686" width="22" style="33" bestFit="1" customWidth="1"/>
    <col min="7687" max="7687" width="12.5" style="33" bestFit="1" customWidth="1"/>
    <col min="7688" max="7688" width="13.5" style="33" customWidth="1"/>
    <col min="7689" max="7689" width="12.375" style="33" customWidth="1"/>
    <col min="7690" max="7690" width="12.5" style="33" bestFit="1" customWidth="1"/>
    <col min="7691" max="7691" width="22.125" style="33" bestFit="1" customWidth="1"/>
    <col min="7692" max="7692" width="4.875" style="33" bestFit="1" customWidth="1"/>
    <col min="7693" max="7693" width="5.375" style="33" bestFit="1" customWidth="1"/>
    <col min="7694" max="7695" width="6.125" style="33" bestFit="1" customWidth="1"/>
    <col min="7696" max="7697" width="9" style="33"/>
    <col min="7698" max="7698" width="11.625" style="33" customWidth="1"/>
    <col min="7699" max="7699" width="22" style="33" customWidth="1"/>
    <col min="7700" max="7700" width="11.25" style="33" customWidth="1"/>
    <col min="7701" max="7701" width="7.125" style="33" customWidth="1"/>
    <col min="7702" max="7702" width="5.625" style="33" bestFit="1" customWidth="1"/>
    <col min="7703" max="7703" width="10" style="33" customWidth="1"/>
    <col min="7704" max="7705" width="0" style="33" hidden="1" customWidth="1"/>
    <col min="7706" max="7706" width="12.5" style="33" bestFit="1" customWidth="1"/>
    <col min="7707" max="7707" width="7.875" style="33" customWidth="1"/>
    <col min="7708" max="7708" width="8.5" style="33" bestFit="1" customWidth="1"/>
    <col min="7709" max="7936" width="9" style="33"/>
    <col min="7937" max="7937" width="1.5" style="33" bestFit="1" customWidth="1"/>
    <col min="7938" max="7938" width="19.875" style="33" bestFit="1" customWidth="1"/>
    <col min="7939" max="7939" width="12.5" style="33" bestFit="1" customWidth="1"/>
    <col min="7940" max="7940" width="22" style="33" bestFit="1" customWidth="1"/>
    <col min="7941" max="7941" width="12.5" style="33" bestFit="1" customWidth="1"/>
    <col min="7942" max="7942" width="22" style="33" bestFit="1" customWidth="1"/>
    <col min="7943" max="7943" width="12.5" style="33" bestFit="1" customWidth="1"/>
    <col min="7944" max="7944" width="13.5" style="33" customWidth="1"/>
    <col min="7945" max="7945" width="12.375" style="33" customWidth="1"/>
    <col min="7946" max="7946" width="12.5" style="33" bestFit="1" customWidth="1"/>
    <col min="7947" max="7947" width="22.125" style="33" bestFit="1" customWidth="1"/>
    <col min="7948" max="7948" width="4.875" style="33" bestFit="1" customWidth="1"/>
    <col min="7949" max="7949" width="5.375" style="33" bestFit="1" customWidth="1"/>
    <col min="7950" max="7951" width="6.125" style="33" bestFit="1" customWidth="1"/>
    <col min="7952" max="7953" width="9" style="33"/>
    <col min="7954" max="7954" width="11.625" style="33" customWidth="1"/>
    <col min="7955" max="7955" width="22" style="33" customWidth="1"/>
    <col min="7956" max="7956" width="11.25" style="33" customWidth="1"/>
    <col min="7957" max="7957" width="7.125" style="33" customWidth="1"/>
    <col min="7958" max="7958" width="5.625" style="33" bestFit="1" customWidth="1"/>
    <col min="7959" max="7959" width="10" style="33" customWidth="1"/>
    <col min="7960" max="7961" width="0" style="33" hidden="1" customWidth="1"/>
    <col min="7962" max="7962" width="12.5" style="33" bestFit="1" customWidth="1"/>
    <col min="7963" max="7963" width="7.875" style="33" customWidth="1"/>
    <col min="7964" max="7964" width="8.5" style="33" bestFit="1" customWidth="1"/>
    <col min="7965" max="8192" width="9" style="33"/>
    <col min="8193" max="8193" width="1.5" style="33" bestFit="1" customWidth="1"/>
    <col min="8194" max="8194" width="19.875" style="33" bestFit="1" customWidth="1"/>
    <col min="8195" max="8195" width="12.5" style="33" bestFit="1" customWidth="1"/>
    <col min="8196" max="8196" width="22" style="33" bestFit="1" customWidth="1"/>
    <col min="8197" max="8197" width="12.5" style="33" bestFit="1" customWidth="1"/>
    <col min="8198" max="8198" width="22" style="33" bestFit="1" customWidth="1"/>
    <col min="8199" max="8199" width="12.5" style="33" bestFit="1" customWidth="1"/>
    <col min="8200" max="8200" width="13.5" style="33" customWidth="1"/>
    <col min="8201" max="8201" width="12.375" style="33" customWidth="1"/>
    <col min="8202" max="8202" width="12.5" style="33" bestFit="1" customWidth="1"/>
    <col min="8203" max="8203" width="22.125" style="33" bestFit="1" customWidth="1"/>
    <col min="8204" max="8204" width="4.875" style="33" bestFit="1" customWidth="1"/>
    <col min="8205" max="8205" width="5.375" style="33" bestFit="1" customWidth="1"/>
    <col min="8206" max="8207" width="6.125" style="33" bestFit="1" customWidth="1"/>
    <col min="8208" max="8209" width="9" style="33"/>
    <col min="8210" max="8210" width="11.625" style="33" customWidth="1"/>
    <col min="8211" max="8211" width="22" style="33" customWidth="1"/>
    <col min="8212" max="8212" width="11.25" style="33" customWidth="1"/>
    <col min="8213" max="8213" width="7.125" style="33" customWidth="1"/>
    <col min="8214" max="8214" width="5.625" style="33" bestFit="1" customWidth="1"/>
    <col min="8215" max="8215" width="10" style="33" customWidth="1"/>
    <col min="8216" max="8217" width="0" style="33" hidden="1" customWidth="1"/>
    <col min="8218" max="8218" width="12.5" style="33" bestFit="1" customWidth="1"/>
    <col min="8219" max="8219" width="7.875" style="33" customWidth="1"/>
    <col min="8220" max="8220" width="8.5" style="33" bestFit="1" customWidth="1"/>
    <col min="8221" max="8448" width="9" style="33"/>
    <col min="8449" max="8449" width="1.5" style="33" bestFit="1" customWidth="1"/>
    <col min="8450" max="8450" width="19.875" style="33" bestFit="1" customWidth="1"/>
    <col min="8451" max="8451" width="12.5" style="33" bestFit="1" customWidth="1"/>
    <col min="8452" max="8452" width="22" style="33" bestFit="1" customWidth="1"/>
    <col min="8453" max="8453" width="12.5" style="33" bestFit="1" customWidth="1"/>
    <col min="8454" max="8454" width="22" style="33" bestFit="1" customWidth="1"/>
    <col min="8455" max="8455" width="12.5" style="33" bestFit="1" customWidth="1"/>
    <col min="8456" max="8456" width="13.5" style="33" customWidth="1"/>
    <col min="8457" max="8457" width="12.375" style="33" customWidth="1"/>
    <col min="8458" max="8458" width="12.5" style="33" bestFit="1" customWidth="1"/>
    <col min="8459" max="8459" width="22.125" style="33" bestFit="1" customWidth="1"/>
    <col min="8460" max="8460" width="4.875" style="33" bestFit="1" customWidth="1"/>
    <col min="8461" max="8461" width="5.375" style="33" bestFit="1" customWidth="1"/>
    <col min="8462" max="8463" width="6.125" style="33" bestFit="1" customWidth="1"/>
    <col min="8464" max="8465" width="9" style="33"/>
    <col min="8466" max="8466" width="11.625" style="33" customWidth="1"/>
    <col min="8467" max="8467" width="22" style="33" customWidth="1"/>
    <col min="8468" max="8468" width="11.25" style="33" customWidth="1"/>
    <col min="8469" max="8469" width="7.125" style="33" customWidth="1"/>
    <col min="8470" max="8470" width="5.625" style="33" bestFit="1" customWidth="1"/>
    <col min="8471" max="8471" width="10" style="33" customWidth="1"/>
    <col min="8472" max="8473" width="0" style="33" hidden="1" customWidth="1"/>
    <col min="8474" max="8474" width="12.5" style="33" bestFit="1" customWidth="1"/>
    <col min="8475" max="8475" width="7.875" style="33" customWidth="1"/>
    <col min="8476" max="8476" width="8.5" style="33" bestFit="1" customWidth="1"/>
    <col min="8477" max="8704" width="9" style="33"/>
    <col min="8705" max="8705" width="1.5" style="33" bestFit="1" customWidth="1"/>
    <col min="8706" max="8706" width="19.875" style="33" bestFit="1" customWidth="1"/>
    <col min="8707" max="8707" width="12.5" style="33" bestFit="1" customWidth="1"/>
    <col min="8708" max="8708" width="22" style="33" bestFit="1" customWidth="1"/>
    <col min="8709" max="8709" width="12.5" style="33" bestFit="1" customWidth="1"/>
    <col min="8710" max="8710" width="22" style="33" bestFit="1" customWidth="1"/>
    <col min="8711" max="8711" width="12.5" style="33" bestFit="1" customWidth="1"/>
    <col min="8712" max="8712" width="13.5" style="33" customWidth="1"/>
    <col min="8713" max="8713" width="12.375" style="33" customWidth="1"/>
    <col min="8714" max="8714" width="12.5" style="33" bestFit="1" customWidth="1"/>
    <col min="8715" max="8715" width="22.125" style="33" bestFit="1" customWidth="1"/>
    <col min="8716" max="8716" width="4.875" style="33" bestFit="1" customWidth="1"/>
    <col min="8717" max="8717" width="5.375" style="33" bestFit="1" customWidth="1"/>
    <col min="8718" max="8719" width="6.125" style="33" bestFit="1" customWidth="1"/>
    <col min="8720" max="8721" width="9" style="33"/>
    <col min="8722" max="8722" width="11.625" style="33" customWidth="1"/>
    <col min="8723" max="8723" width="22" style="33" customWidth="1"/>
    <col min="8724" max="8724" width="11.25" style="33" customWidth="1"/>
    <col min="8725" max="8725" width="7.125" style="33" customWidth="1"/>
    <col min="8726" max="8726" width="5.625" style="33" bestFit="1" customWidth="1"/>
    <col min="8727" max="8727" width="10" style="33" customWidth="1"/>
    <col min="8728" max="8729" width="0" style="33" hidden="1" customWidth="1"/>
    <col min="8730" max="8730" width="12.5" style="33" bestFit="1" customWidth="1"/>
    <col min="8731" max="8731" width="7.875" style="33" customWidth="1"/>
    <col min="8732" max="8732" width="8.5" style="33" bestFit="1" customWidth="1"/>
    <col min="8733" max="8960" width="9" style="33"/>
    <col min="8961" max="8961" width="1.5" style="33" bestFit="1" customWidth="1"/>
    <col min="8962" max="8962" width="19.875" style="33" bestFit="1" customWidth="1"/>
    <col min="8963" max="8963" width="12.5" style="33" bestFit="1" customWidth="1"/>
    <col min="8964" max="8964" width="22" style="33" bestFit="1" customWidth="1"/>
    <col min="8965" max="8965" width="12.5" style="33" bestFit="1" customWidth="1"/>
    <col min="8966" max="8966" width="22" style="33" bestFit="1" customWidth="1"/>
    <col min="8967" max="8967" width="12.5" style="33" bestFit="1" customWidth="1"/>
    <col min="8968" max="8968" width="13.5" style="33" customWidth="1"/>
    <col min="8969" max="8969" width="12.375" style="33" customWidth="1"/>
    <col min="8970" max="8970" width="12.5" style="33" bestFit="1" customWidth="1"/>
    <col min="8971" max="8971" width="22.125" style="33" bestFit="1" customWidth="1"/>
    <col min="8972" max="8972" width="4.875" style="33" bestFit="1" customWidth="1"/>
    <col min="8973" max="8973" width="5.375" style="33" bestFit="1" customWidth="1"/>
    <col min="8974" max="8975" width="6.125" style="33" bestFit="1" customWidth="1"/>
    <col min="8976" max="8977" width="9" style="33"/>
    <col min="8978" max="8978" width="11.625" style="33" customWidth="1"/>
    <col min="8979" max="8979" width="22" style="33" customWidth="1"/>
    <col min="8980" max="8980" width="11.25" style="33" customWidth="1"/>
    <col min="8981" max="8981" width="7.125" style="33" customWidth="1"/>
    <col min="8982" max="8982" width="5.625" style="33" bestFit="1" customWidth="1"/>
    <col min="8983" max="8983" width="10" style="33" customWidth="1"/>
    <col min="8984" max="8985" width="0" style="33" hidden="1" customWidth="1"/>
    <col min="8986" max="8986" width="12.5" style="33" bestFit="1" customWidth="1"/>
    <col min="8987" max="8987" width="7.875" style="33" customWidth="1"/>
    <col min="8988" max="8988" width="8.5" style="33" bestFit="1" customWidth="1"/>
    <col min="8989" max="9216" width="9" style="33"/>
    <col min="9217" max="9217" width="1.5" style="33" bestFit="1" customWidth="1"/>
    <col min="9218" max="9218" width="19.875" style="33" bestFit="1" customWidth="1"/>
    <col min="9219" max="9219" width="12.5" style="33" bestFit="1" customWidth="1"/>
    <col min="9220" max="9220" width="22" style="33" bestFit="1" customWidth="1"/>
    <col min="9221" max="9221" width="12.5" style="33" bestFit="1" customWidth="1"/>
    <col min="9222" max="9222" width="22" style="33" bestFit="1" customWidth="1"/>
    <col min="9223" max="9223" width="12.5" style="33" bestFit="1" customWidth="1"/>
    <col min="9224" max="9224" width="13.5" style="33" customWidth="1"/>
    <col min="9225" max="9225" width="12.375" style="33" customWidth="1"/>
    <col min="9226" max="9226" width="12.5" style="33" bestFit="1" customWidth="1"/>
    <col min="9227" max="9227" width="22.125" style="33" bestFit="1" customWidth="1"/>
    <col min="9228" max="9228" width="4.875" style="33" bestFit="1" customWidth="1"/>
    <col min="9229" max="9229" width="5.375" style="33" bestFit="1" customWidth="1"/>
    <col min="9230" max="9231" width="6.125" style="33" bestFit="1" customWidth="1"/>
    <col min="9232" max="9233" width="9" style="33"/>
    <col min="9234" max="9234" width="11.625" style="33" customWidth="1"/>
    <col min="9235" max="9235" width="22" style="33" customWidth="1"/>
    <col min="9236" max="9236" width="11.25" style="33" customWidth="1"/>
    <col min="9237" max="9237" width="7.125" style="33" customWidth="1"/>
    <col min="9238" max="9238" width="5.625" style="33" bestFit="1" customWidth="1"/>
    <col min="9239" max="9239" width="10" style="33" customWidth="1"/>
    <col min="9240" max="9241" width="0" style="33" hidden="1" customWidth="1"/>
    <col min="9242" max="9242" width="12.5" style="33" bestFit="1" customWidth="1"/>
    <col min="9243" max="9243" width="7.875" style="33" customWidth="1"/>
    <col min="9244" max="9244" width="8.5" style="33" bestFit="1" customWidth="1"/>
    <col min="9245" max="9472" width="9" style="33"/>
    <col min="9473" max="9473" width="1.5" style="33" bestFit="1" customWidth="1"/>
    <col min="9474" max="9474" width="19.875" style="33" bestFit="1" customWidth="1"/>
    <col min="9475" max="9475" width="12.5" style="33" bestFit="1" customWidth="1"/>
    <col min="9476" max="9476" width="22" style="33" bestFit="1" customWidth="1"/>
    <col min="9477" max="9477" width="12.5" style="33" bestFit="1" customWidth="1"/>
    <col min="9478" max="9478" width="22" style="33" bestFit="1" customWidth="1"/>
    <col min="9479" max="9479" width="12.5" style="33" bestFit="1" customWidth="1"/>
    <col min="9480" max="9480" width="13.5" style="33" customWidth="1"/>
    <col min="9481" max="9481" width="12.375" style="33" customWidth="1"/>
    <col min="9482" max="9482" width="12.5" style="33" bestFit="1" customWidth="1"/>
    <col min="9483" max="9483" width="22.125" style="33" bestFit="1" customWidth="1"/>
    <col min="9484" max="9484" width="4.875" style="33" bestFit="1" customWidth="1"/>
    <col min="9485" max="9485" width="5.375" style="33" bestFit="1" customWidth="1"/>
    <col min="9486" max="9487" width="6.125" style="33" bestFit="1" customWidth="1"/>
    <col min="9488" max="9489" width="9" style="33"/>
    <col min="9490" max="9490" width="11.625" style="33" customWidth="1"/>
    <col min="9491" max="9491" width="22" style="33" customWidth="1"/>
    <col min="9492" max="9492" width="11.25" style="33" customWidth="1"/>
    <col min="9493" max="9493" width="7.125" style="33" customWidth="1"/>
    <col min="9494" max="9494" width="5.625" style="33" bestFit="1" customWidth="1"/>
    <col min="9495" max="9495" width="10" style="33" customWidth="1"/>
    <col min="9496" max="9497" width="0" style="33" hidden="1" customWidth="1"/>
    <col min="9498" max="9498" width="12.5" style="33" bestFit="1" customWidth="1"/>
    <col min="9499" max="9499" width="7.875" style="33" customWidth="1"/>
    <col min="9500" max="9500" width="8.5" style="33" bestFit="1" customWidth="1"/>
    <col min="9501" max="9728" width="9" style="33"/>
    <col min="9729" max="9729" width="1.5" style="33" bestFit="1" customWidth="1"/>
    <col min="9730" max="9730" width="19.875" style="33" bestFit="1" customWidth="1"/>
    <col min="9731" max="9731" width="12.5" style="33" bestFit="1" customWidth="1"/>
    <col min="9732" max="9732" width="22" style="33" bestFit="1" customWidth="1"/>
    <col min="9733" max="9733" width="12.5" style="33" bestFit="1" customWidth="1"/>
    <col min="9734" max="9734" width="22" style="33" bestFit="1" customWidth="1"/>
    <col min="9735" max="9735" width="12.5" style="33" bestFit="1" customWidth="1"/>
    <col min="9736" max="9736" width="13.5" style="33" customWidth="1"/>
    <col min="9737" max="9737" width="12.375" style="33" customWidth="1"/>
    <col min="9738" max="9738" width="12.5" style="33" bestFit="1" customWidth="1"/>
    <col min="9739" max="9739" width="22.125" style="33" bestFit="1" customWidth="1"/>
    <col min="9740" max="9740" width="4.875" style="33" bestFit="1" customWidth="1"/>
    <col min="9741" max="9741" width="5.375" style="33" bestFit="1" customWidth="1"/>
    <col min="9742" max="9743" width="6.125" style="33" bestFit="1" customWidth="1"/>
    <col min="9744" max="9745" width="9" style="33"/>
    <col min="9746" max="9746" width="11.625" style="33" customWidth="1"/>
    <col min="9747" max="9747" width="22" style="33" customWidth="1"/>
    <col min="9748" max="9748" width="11.25" style="33" customWidth="1"/>
    <col min="9749" max="9749" width="7.125" style="33" customWidth="1"/>
    <col min="9750" max="9750" width="5.625" style="33" bestFit="1" customWidth="1"/>
    <col min="9751" max="9751" width="10" style="33" customWidth="1"/>
    <col min="9752" max="9753" width="0" style="33" hidden="1" customWidth="1"/>
    <col min="9754" max="9754" width="12.5" style="33" bestFit="1" customWidth="1"/>
    <col min="9755" max="9755" width="7.875" style="33" customWidth="1"/>
    <col min="9756" max="9756" width="8.5" style="33" bestFit="1" customWidth="1"/>
    <col min="9757" max="9984" width="9" style="33"/>
    <col min="9985" max="9985" width="1.5" style="33" bestFit="1" customWidth="1"/>
    <col min="9986" max="9986" width="19.875" style="33" bestFit="1" customWidth="1"/>
    <col min="9987" max="9987" width="12.5" style="33" bestFit="1" customWidth="1"/>
    <col min="9988" max="9988" width="22" style="33" bestFit="1" customWidth="1"/>
    <col min="9989" max="9989" width="12.5" style="33" bestFit="1" customWidth="1"/>
    <col min="9990" max="9990" width="22" style="33" bestFit="1" customWidth="1"/>
    <col min="9991" max="9991" width="12.5" style="33" bestFit="1" customWidth="1"/>
    <col min="9992" max="9992" width="13.5" style="33" customWidth="1"/>
    <col min="9993" max="9993" width="12.375" style="33" customWidth="1"/>
    <col min="9994" max="9994" width="12.5" style="33" bestFit="1" customWidth="1"/>
    <col min="9995" max="9995" width="22.125" style="33" bestFit="1" customWidth="1"/>
    <col min="9996" max="9996" width="4.875" style="33" bestFit="1" customWidth="1"/>
    <col min="9997" max="9997" width="5.375" style="33" bestFit="1" customWidth="1"/>
    <col min="9998" max="9999" width="6.125" style="33" bestFit="1" customWidth="1"/>
    <col min="10000" max="10001" width="9" style="33"/>
    <col min="10002" max="10002" width="11.625" style="33" customWidth="1"/>
    <col min="10003" max="10003" width="22" style="33" customWidth="1"/>
    <col min="10004" max="10004" width="11.25" style="33" customWidth="1"/>
    <col min="10005" max="10005" width="7.125" style="33" customWidth="1"/>
    <col min="10006" max="10006" width="5.625" style="33" bestFit="1" customWidth="1"/>
    <col min="10007" max="10007" width="10" style="33" customWidth="1"/>
    <col min="10008" max="10009" width="0" style="33" hidden="1" customWidth="1"/>
    <col min="10010" max="10010" width="12.5" style="33" bestFit="1" customWidth="1"/>
    <col min="10011" max="10011" width="7.875" style="33" customWidth="1"/>
    <col min="10012" max="10012" width="8.5" style="33" bestFit="1" customWidth="1"/>
    <col min="10013" max="10240" width="9" style="33"/>
    <col min="10241" max="10241" width="1.5" style="33" bestFit="1" customWidth="1"/>
    <col min="10242" max="10242" width="19.875" style="33" bestFit="1" customWidth="1"/>
    <col min="10243" max="10243" width="12.5" style="33" bestFit="1" customWidth="1"/>
    <col min="10244" max="10244" width="22" style="33" bestFit="1" customWidth="1"/>
    <col min="10245" max="10245" width="12.5" style="33" bestFit="1" customWidth="1"/>
    <col min="10246" max="10246" width="22" style="33" bestFit="1" customWidth="1"/>
    <col min="10247" max="10247" width="12.5" style="33" bestFit="1" customWidth="1"/>
    <col min="10248" max="10248" width="13.5" style="33" customWidth="1"/>
    <col min="10249" max="10249" width="12.375" style="33" customWidth="1"/>
    <col min="10250" max="10250" width="12.5" style="33" bestFit="1" customWidth="1"/>
    <col min="10251" max="10251" width="22.125" style="33" bestFit="1" customWidth="1"/>
    <col min="10252" max="10252" width="4.875" style="33" bestFit="1" customWidth="1"/>
    <col min="10253" max="10253" width="5.375" style="33" bestFit="1" customWidth="1"/>
    <col min="10254" max="10255" width="6.125" style="33" bestFit="1" customWidth="1"/>
    <col min="10256" max="10257" width="9" style="33"/>
    <col min="10258" max="10258" width="11.625" style="33" customWidth="1"/>
    <col min="10259" max="10259" width="22" style="33" customWidth="1"/>
    <col min="10260" max="10260" width="11.25" style="33" customWidth="1"/>
    <col min="10261" max="10261" width="7.125" style="33" customWidth="1"/>
    <col min="10262" max="10262" width="5.625" style="33" bestFit="1" customWidth="1"/>
    <col min="10263" max="10263" width="10" style="33" customWidth="1"/>
    <col min="10264" max="10265" width="0" style="33" hidden="1" customWidth="1"/>
    <col min="10266" max="10266" width="12.5" style="33" bestFit="1" customWidth="1"/>
    <col min="10267" max="10267" width="7.875" style="33" customWidth="1"/>
    <col min="10268" max="10268" width="8.5" style="33" bestFit="1" customWidth="1"/>
    <col min="10269" max="10496" width="9" style="33"/>
    <col min="10497" max="10497" width="1.5" style="33" bestFit="1" customWidth="1"/>
    <col min="10498" max="10498" width="19.875" style="33" bestFit="1" customWidth="1"/>
    <col min="10499" max="10499" width="12.5" style="33" bestFit="1" customWidth="1"/>
    <col min="10500" max="10500" width="22" style="33" bestFit="1" customWidth="1"/>
    <col min="10501" max="10501" width="12.5" style="33" bestFit="1" customWidth="1"/>
    <col min="10502" max="10502" width="22" style="33" bestFit="1" customWidth="1"/>
    <col min="10503" max="10503" width="12.5" style="33" bestFit="1" customWidth="1"/>
    <col min="10504" max="10504" width="13.5" style="33" customWidth="1"/>
    <col min="10505" max="10505" width="12.375" style="33" customWidth="1"/>
    <col min="10506" max="10506" width="12.5" style="33" bestFit="1" customWidth="1"/>
    <col min="10507" max="10507" width="22.125" style="33" bestFit="1" customWidth="1"/>
    <col min="10508" max="10508" width="4.875" style="33" bestFit="1" customWidth="1"/>
    <col min="10509" max="10509" width="5.375" style="33" bestFit="1" customWidth="1"/>
    <col min="10510" max="10511" width="6.125" style="33" bestFit="1" customWidth="1"/>
    <col min="10512" max="10513" width="9" style="33"/>
    <col min="10514" max="10514" width="11.625" style="33" customWidth="1"/>
    <col min="10515" max="10515" width="22" style="33" customWidth="1"/>
    <col min="10516" max="10516" width="11.25" style="33" customWidth="1"/>
    <col min="10517" max="10517" width="7.125" style="33" customWidth="1"/>
    <col min="10518" max="10518" width="5.625" style="33" bestFit="1" customWidth="1"/>
    <col min="10519" max="10519" width="10" style="33" customWidth="1"/>
    <col min="10520" max="10521" width="0" style="33" hidden="1" customWidth="1"/>
    <col min="10522" max="10522" width="12.5" style="33" bestFit="1" customWidth="1"/>
    <col min="10523" max="10523" width="7.875" style="33" customWidth="1"/>
    <col min="10524" max="10524" width="8.5" style="33" bestFit="1" customWidth="1"/>
    <col min="10525" max="10752" width="9" style="33"/>
    <col min="10753" max="10753" width="1.5" style="33" bestFit="1" customWidth="1"/>
    <col min="10754" max="10754" width="19.875" style="33" bestFit="1" customWidth="1"/>
    <col min="10755" max="10755" width="12.5" style="33" bestFit="1" customWidth="1"/>
    <col min="10756" max="10756" width="22" style="33" bestFit="1" customWidth="1"/>
    <col min="10757" max="10757" width="12.5" style="33" bestFit="1" customWidth="1"/>
    <col min="10758" max="10758" width="22" style="33" bestFit="1" customWidth="1"/>
    <col min="10759" max="10759" width="12.5" style="33" bestFit="1" customWidth="1"/>
    <col min="10760" max="10760" width="13.5" style="33" customWidth="1"/>
    <col min="10761" max="10761" width="12.375" style="33" customWidth="1"/>
    <col min="10762" max="10762" width="12.5" style="33" bestFit="1" customWidth="1"/>
    <col min="10763" max="10763" width="22.125" style="33" bestFit="1" customWidth="1"/>
    <col min="10764" max="10764" width="4.875" style="33" bestFit="1" customWidth="1"/>
    <col min="10765" max="10765" width="5.375" style="33" bestFit="1" customWidth="1"/>
    <col min="10766" max="10767" width="6.125" style="33" bestFit="1" customWidth="1"/>
    <col min="10768" max="10769" width="9" style="33"/>
    <col min="10770" max="10770" width="11.625" style="33" customWidth="1"/>
    <col min="10771" max="10771" width="22" style="33" customWidth="1"/>
    <col min="10772" max="10772" width="11.25" style="33" customWidth="1"/>
    <col min="10773" max="10773" width="7.125" style="33" customWidth="1"/>
    <col min="10774" max="10774" width="5.625" style="33" bestFit="1" customWidth="1"/>
    <col min="10775" max="10775" width="10" style="33" customWidth="1"/>
    <col min="10776" max="10777" width="0" style="33" hidden="1" customWidth="1"/>
    <col min="10778" max="10778" width="12.5" style="33" bestFit="1" customWidth="1"/>
    <col min="10779" max="10779" width="7.875" style="33" customWidth="1"/>
    <col min="10780" max="10780" width="8.5" style="33" bestFit="1" customWidth="1"/>
    <col min="10781" max="11008" width="9" style="33"/>
    <col min="11009" max="11009" width="1.5" style="33" bestFit="1" customWidth="1"/>
    <col min="11010" max="11010" width="19.875" style="33" bestFit="1" customWidth="1"/>
    <col min="11011" max="11011" width="12.5" style="33" bestFit="1" customWidth="1"/>
    <col min="11012" max="11012" width="22" style="33" bestFit="1" customWidth="1"/>
    <col min="11013" max="11013" width="12.5" style="33" bestFit="1" customWidth="1"/>
    <col min="11014" max="11014" width="22" style="33" bestFit="1" customWidth="1"/>
    <col min="11015" max="11015" width="12.5" style="33" bestFit="1" customWidth="1"/>
    <col min="11016" max="11016" width="13.5" style="33" customWidth="1"/>
    <col min="11017" max="11017" width="12.375" style="33" customWidth="1"/>
    <col min="11018" max="11018" width="12.5" style="33" bestFit="1" customWidth="1"/>
    <col min="11019" max="11019" width="22.125" style="33" bestFit="1" customWidth="1"/>
    <col min="11020" max="11020" width="4.875" style="33" bestFit="1" customWidth="1"/>
    <col min="11021" max="11021" width="5.375" style="33" bestFit="1" customWidth="1"/>
    <col min="11022" max="11023" width="6.125" style="33" bestFit="1" customWidth="1"/>
    <col min="11024" max="11025" width="9" style="33"/>
    <col min="11026" max="11026" width="11.625" style="33" customWidth="1"/>
    <col min="11027" max="11027" width="22" style="33" customWidth="1"/>
    <col min="11028" max="11028" width="11.25" style="33" customWidth="1"/>
    <col min="11029" max="11029" width="7.125" style="33" customWidth="1"/>
    <col min="11030" max="11030" width="5.625" style="33" bestFit="1" customWidth="1"/>
    <col min="11031" max="11031" width="10" style="33" customWidth="1"/>
    <col min="11032" max="11033" width="0" style="33" hidden="1" customWidth="1"/>
    <col min="11034" max="11034" width="12.5" style="33" bestFit="1" customWidth="1"/>
    <col min="11035" max="11035" width="7.875" style="33" customWidth="1"/>
    <col min="11036" max="11036" width="8.5" style="33" bestFit="1" customWidth="1"/>
    <col min="11037" max="11264" width="9" style="33"/>
    <col min="11265" max="11265" width="1.5" style="33" bestFit="1" customWidth="1"/>
    <col min="11266" max="11266" width="19.875" style="33" bestFit="1" customWidth="1"/>
    <col min="11267" max="11267" width="12.5" style="33" bestFit="1" customWidth="1"/>
    <col min="11268" max="11268" width="22" style="33" bestFit="1" customWidth="1"/>
    <col min="11269" max="11269" width="12.5" style="33" bestFit="1" customWidth="1"/>
    <col min="11270" max="11270" width="22" style="33" bestFit="1" customWidth="1"/>
    <col min="11271" max="11271" width="12.5" style="33" bestFit="1" customWidth="1"/>
    <col min="11272" max="11272" width="13.5" style="33" customWidth="1"/>
    <col min="11273" max="11273" width="12.375" style="33" customWidth="1"/>
    <col min="11274" max="11274" width="12.5" style="33" bestFit="1" customWidth="1"/>
    <col min="11275" max="11275" width="22.125" style="33" bestFit="1" customWidth="1"/>
    <col min="11276" max="11276" width="4.875" style="33" bestFit="1" customWidth="1"/>
    <col min="11277" max="11277" width="5.375" style="33" bestFit="1" customWidth="1"/>
    <col min="11278" max="11279" width="6.125" style="33" bestFit="1" customWidth="1"/>
    <col min="11280" max="11281" width="9" style="33"/>
    <col min="11282" max="11282" width="11.625" style="33" customWidth="1"/>
    <col min="11283" max="11283" width="22" style="33" customWidth="1"/>
    <col min="11284" max="11284" width="11.25" style="33" customWidth="1"/>
    <col min="11285" max="11285" width="7.125" style="33" customWidth="1"/>
    <col min="11286" max="11286" width="5.625" style="33" bestFit="1" customWidth="1"/>
    <col min="11287" max="11287" width="10" style="33" customWidth="1"/>
    <col min="11288" max="11289" width="0" style="33" hidden="1" customWidth="1"/>
    <col min="11290" max="11290" width="12.5" style="33" bestFit="1" customWidth="1"/>
    <col min="11291" max="11291" width="7.875" style="33" customWidth="1"/>
    <col min="11292" max="11292" width="8.5" style="33" bestFit="1" customWidth="1"/>
    <col min="11293" max="11520" width="9" style="33"/>
    <col min="11521" max="11521" width="1.5" style="33" bestFit="1" customWidth="1"/>
    <col min="11522" max="11522" width="19.875" style="33" bestFit="1" customWidth="1"/>
    <col min="11523" max="11523" width="12.5" style="33" bestFit="1" customWidth="1"/>
    <col min="11524" max="11524" width="22" style="33" bestFit="1" customWidth="1"/>
    <col min="11525" max="11525" width="12.5" style="33" bestFit="1" customWidth="1"/>
    <col min="11526" max="11526" width="22" style="33" bestFit="1" customWidth="1"/>
    <col min="11527" max="11527" width="12.5" style="33" bestFit="1" customWidth="1"/>
    <col min="11528" max="11528" width="13.5" style="33" customWidth="1"/>
    <col min="11529" max="11529" width="12.375" style="33" customWidth="1"/>
    <col min="11530" max="11530" width="12.5" style="33" bestFit="1" customWidth="1"/>
    <col min="11531" max="11531" width="22.125" style="33" bestFit="1" customWidth="1"/>
    <col min="11532" max="11532" width="4.875" style="33" bestFit="1" customWidth="1"/>
    <col min="11533" max="11533" width="5.375" style="33" bestFit="1" customWidth="1"/>
    <col min="11534" max="11535" width="6.125" style="33" bestFit="1" customWidth="1"/>
    <col min="11536" max="11537" width="9" style="33"/>
    <col min="11538" max="11538" width="11.625" style="33" customWidth="1"/>
    <col min="11539" max="11539" width="22" style="33" customWidth="1"/>
    <col min="11540" max="11540" width="11.25" style="33" customWidth="1"/>
    <col min="11541" max="11541" width="7.125" style="33" customWidth="1"/>
    <col min="11542" max="11542" width="5.625" style="33" bestFit="1" customWidth="1"/>
    <col min="11543" max="11543" width="10" style="33" customWidth="1"/>
    <col min="11544" max="11545" width="0" style="33" hidden="1" customWidth="1"/>
    <col min="11546" max="11546" width="12.5" style="33" bestFit="1" customWidth="1"/>
    <col min="11547" max="11547" width="7.875" style="33" customWidth="1"/>
    <col min="11548" max="11548" width="8.5" style="33" bestFit="1" customWidth="1"/>
    <col min="11549" max="11776" width="9" style="33"/>
    <col min="11777" max="11777" width="1.5" style="33" bestFit="1" customWidth="1"/>
    <col min="11778" max="11778" width="19.875" style="33" bestFit="1" customWidth="1"/>
    <col min="11779" max="11779" width="12.5" style="33" bestFit="1" customWidth="1"/>
    <col min="11780" max="11780" width="22" style="33" bestFit="1" customWidth="1"/>
    <col min="11781" max="11781" width="12.5" style="33" bestFit="1" customWidth="1"/>
    <col min="11782" max="11782" width="22" style="33" bestFit="1" customWidth="1"/>
    <col min="11783" max="11783" width="12.5" style="33" bestFit="1" customWidth="1"/>
    <col min="11784" max="11784" width="13.5" style="33" customWidth="1"/>
    <col min="11785" max="11785" width="12.375" style="33" customWidth="1"/>
    <col min="11786" max="11786" width="12.5" style="33" bestFit="1" customWidth="1"/>
    <col min="11787" max="11787" width="22.125" style="33" bestFit="1" customWidth="1"/>
    <col min="11788" max="11788" width="4.875" style="33" bestFit="1" customWidth="1"/>
    <col min="11789" max="11789" width="5.375" style="33" bestFit="1" customWidth="1"/>
    <col min="11790" max="11791" width="6.125" style="33" bestFit="1" customWidth="1"/>
    <col min="11792" max="11793" width="9" style="33"/>
    <col min="11794" max="11794" width="11.625" style="33" customWidth="1"/>
    <col min="11795" max="11795" width="22" style="33" customWidth="1"/>
    <col min="11796" max="11796" width="11.25" style="33" customWidth="1"/>
    <col min="11797" max="11797" width="7.125" style="33" customWidth="1"/>
    <col min="11798" max="11798" width="5.625" style="33" bestFit="1" customWidth="1"/>
    <col min="11799" max="11799" width="10" style="33" customWidth="1"/>
    <col min="11800" max="11801" width="0" style="33" hidden="1" customWidth="1"/>
    <col min="11802" max="11802" width="12.5" style="33" bestFit="1" customWidth="1"/>
    <col min="11803" max="11803" width="7.875" style="33" customWidth="1"/>
    <col min="11804" max="11804" width="8.5" style="33" bestFit="1" customWidth="1"/>
    <col min="11805" max="12032" width="9" style="33"/>
    <col min="12033" max="12033" width="1.5" style="33" bestFit="1" customWidth="1"/>
    <col min="12034" max="12034" width="19.875" style="33" bestFit="1" customWidth="1"/>
    <col min="12035" max="12035" width="12.5" style="33" bestFit="1" customWidth="1"/>
    <col min="12036" max="12036" width="22" style="33" bestFit="1" customWidth="1"/>
    <col min="12037" max="12037" width="12.5" style="33" bestFit="1" customWidth="1"/>
    <col min="12038" max="12038" width="22" style="33" bestFit="1" customWidth="1"/>
    <col min="12039" max="12039" width="12.5" style="33" bestFit="1" customWidth="1"/>
    <col min="12040" max="12040" width="13.5" style="33" customWidth="1"/>
    <col min="12041" max="12041" width="12.375" style="33" customWidth="1"/>
    <col min="12042" max="12042" width="12.5" style="33" bestFit="1" customWidth="1"/>
    <col min="12043" max="12043" width="22.125" style="33" bestFit="1" customWidth="1"/>
    <col min="12044" max="12044" width="4.875" style="33" bestFit="1" customWidth="1"/>
    <col min="12045" max="12045" width="5.375" style="33" bestFit="1" customWidth="1"/>
    <col min="12046" max="12047" width="6.125" style="33" bestFit="1" customWidth="1"/>
    <col min="12048" max="12049" width="9" style="33"/>
    <col min="12050" max="12050" width="11.625" style="33" customWidth="1"/>
    <col min="12051" max="12051" width="22" style="33" customWidth="1"/>
    <col min="12052" max="12052" width="11.25" style="33" customWidth="1"/>
    <col min="12053" max="12053" width="7.125" style="33" customWidth="1"/>
    <col min="12054" max="12054" width="5.625" style="33" bestFit="1" customWidth="1"/>
    <col min="12055" max="12055" width="10" style="33" customWidth="1"/>
    <col min="12056" max="12057" width="0" style="33" hidden="1" customWidth="1"/>
    <col min="12058" max="12058" width="12.5" style="33" bestFit="1" customWidth="1"/>
    <col min="12059" max="12059" width="7.875" style="33" customWidth="1"/>
    <col min="12060" max="12060" width="8.5" style="33" bestFit="1" customWidth="1"/>
    <col min="12061" max="12288" width="9" style="33"/>
    <col min="12289" max="12289" width="1.5" style="33" bestFit="1" customWidth="1"/>
    <col min="12290" max="12290" width="19.875" style="33" bestFit="1" customWidth="1"/>
    <col min="12291" max="12291" width="12.5" style="33" bestFit="1" customWidth="1"/>
    <col min="12292" max="12292" width="22" style="33" bestFit="1" customWidth="1"/>
    <col min="12293" max="12293" width="12.5" style="33" bestFit="1" customWidth="1"/>
    <col min="12294" max="12294" width="22" style="33" bestFit="1" customWidth="1"/>
    <col min="12295" max="12295" width="12.5" style="33" bestFit="1" customWidth="1"/>
    <col min="12296" max="12296" width="13.5" style="33" customWidth="1"/>
    <col min="12297" max="12297" width="12.375" style="33" customWidth="1"/>
    <col min="12298" max="12298" width="12.5" style="33" bestFit="1" customWidth="1"/>
    <col min="12299" max="12299" width="22.125" style="33" bestFit="1" customWidth="1"/>
    <col min="12300" max="12300" width="4.875" style="33" bestFit="1" customWidth="1"/>
    <col min="12301" max="12301" width="5.375" style="33" bestFit="1" customWidth="1"/>
    <col min="12302" max="12303" width="6.125" style="33" bestFit="1" customWidth="1"/>
    <col min="12304" max="12305" width="9" style="33"/>
    <col min="12306" max="12306" width="11.625" style="33" customWidth="1"/>
    <col min="12307" max="12307" width="22" style="33" customWidth="1"/>
    <col min="12308" max="12308" width="11.25" style="33" customWidth="1"/>
    <col min="12309" max="12309" width="7.125" style="33" customWidth="1"/>
    <col min="12310" max="12310" width="5.625" style="33" bestFit="1" customWidth="1"/>
    <col min="12311" max="12311" width="10" style="33" customWidth="1"/>
    <col min="12312" max="12313" width="0" style="33" hidden="1" customWidth="1"/>
    <col min="12314" max="12314" width="12.5" style="33" bestFit="1" customWidth="1"/>
    <col min="12315" max="12315" width="7.875" style="33" customWidth="1"/>
    <col min="12316" max="12316" width="8.5" style="33" bestFit="1" customWidth="1"/>
    <col min="12317" max="12544" width="9" style="33"/>
    <col min="12545" max="12545" width="1.5" style="33" bestFit="1" customWidth="1"/>
    <col min="12546" max="12546" width="19.875" style="33" bestFit="1" customWidth="1"/>
    <col min="12547" max="12547" width="12.5" style="33" bestFit="1" customWidth="1"/>
    <col min="12548" max="12548" width="22" style="33" bestFit="1" customWidth="1"/>
    <col min="12549" max="12549" width="12.5" style="33" bestFit="1" customWidth="1"/>
    <col min="12550" max="12550" width="22" style="33" bestFit="1" customWidth="1"/>
    <col min="12551" max="12551" width="12.5" style="33" bestFit="1" customWidth="1"/>
    <col min="12552" max="12552" width="13.5" style="33" customWidth="1"/>
    <col min="12553" max="12553" width="12.375" style="33" customWidth="1"/>
    <col min="12554" max="12554" width="12.5" style="33" bestFit="1" customWidth="1"/>
    <col min="12555" max="12555" width="22.125" style="33" bestFit="1" customWidth="1"/>
    <col min="12556" max="12556" width="4.875" style="33" bestFit="1" customWidth="1"/>
    <col min="12557" max="12557" width="5.375" style="33" bestFit="1" customWidth="1"/>
    <col min="12558" max="12559" width="6.125" style="33" bestFit="1" customWidth="1"/>
    <col min="12560" max="12561" width="9" style="33"/>
    <col min="12562" max="12562" width="11.625" style="33" customWidth="1"/>
    <col min="12563" max="12563" width="22" style="33" customWidth="1"/>
    <col min="12564" max="12564" width="11.25" style="33" customWidth="1"/>
    <col min="12565" max="12565" width="7.125" style="33" customWidth="1"/>
    <col min="12566" max="12566" width="5.625" style="33" bestFit="1" customWidth="1"/>
    <col min="12567" max="12567" width="10" style="33" customWidth="1"/>
    <col min="12568" max="12569" width="0" style="33" hidden="1" customWidth="1"/>
    <col min="12570" max="12570" width="12.5" style="33" bestFit="1" customWidth="1"/>
    <col min="12571" max="12571" width="7.875" style="33" customWidth="1"/>
    <col min="12572" max="12572" width="8.5" style="33" bestFit="1" customWidth="1"/>
    <col min="12573" max="12800" width="9" style="33"/>
    <col min="12801" max="12801" width="1.5" style="33" bestFit="1" customWidth="1"/>
    <col min="12802" max="12802" width="19.875" style="33" bestFit="1" customWidth="1"/>
    <col min="12803" max="12803" width="12.5" style="33" bestFit="1" customWidth="1"/>
    <col min="12804" max="12804" width="22" style="33" bestFit="1" customWidth="1"/>
    <col min="12805" max="12805" width="12.5" style="33" bestFit="1" customWidth="1"/>
    <col min="12806" max="12806" width="22" style="33" bestFit="1" customWidth="1"/>
    <col min="12807" max="12807" width="12.5" style="33" bestFit="1" customWidth="1"/>
    <col min="12808" max="12808" width="13.5" style="33" customWidth="1"/>
    <col min="12809" max="12809" width="12.375" style="33" customWidth="1"/>
    <col min="12810" max="12810" width="12.5" style="33" bestFit="1" customWidth="1"/>
    <col min="12811" max="12811" width="22.125" style="33" bestFit="1" customWidth="1"/>
    <col min="12812" max="12812" width="4.875" style="33" bestFit="1" customWidth="1"/>
    <col min="12813" max="12813" width="5.375" style="33" bestFit="1" customWidth="1"/>
    <col min="12814" max="12815" width="6.125" style="33" bestFit="1" customWidth="1"/>
    <col min="12816" max="12817" width="9" style="33"/>
    <col min="12818" max="12818" width="11.625" style="33" customWidth="1"/>
    <col min="12819" max="12819" width="22" style="33" customWidth="1"/>
    <col min="12820" max="12820" width="11.25" style="33" customWidth="1"/>
    <col min="12821" max="12821" width="7.125" style="33" customWidth="1"/>
    <col min="12822" max="12822" width="5.625" style="33" bestFit="1" customWidth="1"/>
    <col min="12823" max="12823" width="10" style="33" customWidth="1"/>
    <col min="12824" max="12825" width="0" style="33" hidden="1" customWidth="1"/>
    <col min="12826" max="12826" width="12.5" style="33" bestFit="1" customWidth="1"/>
    <col min="12827" max="12827" width="7.875" style="33" customWidth="1"/>
    <col min="12828" max="12828" width="8.5" style="33" bestFit="1" customWidth="1"/>
    <col min="12829" max="13056" width="9" style="33"/>
    <col min="13057" max="13057" width="1.5" style="33" bestFit="1" customWidth="1"/>
    <col min="13058" max="13058" width="19.875" style="33" bestFit="1" customWidth="1"/>
    <col min="13059" max="13059" width="12.5" style="33" bestFit="1" customWidth="1"/>
    <col min="13060" max="13060" width="22" style="33" bestFit="1" customWidth="1"/>
    <col min="13061" max="13061" width="12.5" style="33" bestFit="1" customWidth="1"/>
    <col min="13062" max="13062" width="22" style="33" bestFit="1" customWidth="1"/>
    <col min="13063" max="13063" width="12.5" style="33" bestFit="1" customWidth="1"/>
    <col min="13064" max="13064" width="13.5" style="33" customWidth="1"/>
    <col min="13065" max="13065" width="12.375" style="33" customWidth="1"/>
    <col min="13066" max="13066" width="12.5" style="33" bestFit="1" customWidth="1"/>
    <col min="13067" max="13067" width="22.125" style="33" bestFit="1" customWidth="1"/>
    <col min="13068" max="13068" width="4.875" style="33" bestFit="1" customWidth="1"/>
    <col min="13069" max="13069" width="5.375" style="33" bestFit="1" customWidth="1"/>
    <col min="13070" max="13071" width="6.125" style="33" bestFit="1" customWidth="1"/>
    <col min="13072" max="13073" width="9" style="33"/>
    <col min="13074" max="13074" width="11.625" style="33" customWidth="1"/>
    <col min="13075" max="13075" width="22" style="33" customWidth="1"/>
    <col min="13076" max="13076" width="11.25" style="33" customWidth="1"/>
    <col min="13077" max="13077" width="7.125" style="33" customWidth="1"/>
    <col min="13078" max="13078" width="5.625" style="33" bestFit="1" customWidth="1"/>
    <col min="13079" max="13079" width="10" style="33" customWidth="1"/>
    <col min="13080" max="13081" width="0" style="33" hidden="1" customWidth="1"/>
    <col min="13082" max="13082" width="12.5" style="33" bestFit="1" customWidth="1"/>
    <col min="13083" max="13083" width="7.875" style="33" customWidth="1"/>
    <col min="13084" max="13084" width="8.5" style="33" bestFit="1" customWidth="1"/>
    <col min="13085" max="13312" width="9" style="33"/>
    <col min="13313" max="13313" width="1.5" style="33" bestFit="1" customWidth="1"/>
    <col min="13314" max="13314" width="19.875" style="33" bestFit="1" customWidth="1"/>
    <col min="13315" max="13315" width="12.5" style="33" bestFit="1" customWidth="1"/>
    <col min="13316" max="13316" width="22" style="33" bestFit="1" customWidth="1"/>
    <col min="13317" max="13317" width="12.5" style="33" bestFit="1" customWidth="1"/>
    <col min="13318" max="13318" width="22" style="33" bestFit="1" customWidth="1"/>
    <col min="13319" max="13319" width="12.5" style="33" bestFit="1" customWidth="1"/>
    <col min="13320" max="13320" width="13.5" style="33" customWidth="1"/>
    <col min="13321" max="13321" width="12.375" style="33" customWidth="1"/>
    <col min="13322" max="13322" width="12.5" style="33" bestFit="1" customWidth="1"/>
    <col min="13323" max="13323" width="22.125" style="33" bestFit="1" customWidth="1"/>
    <col min="13324" max="13324" width="4.875" style="33" bestFit="1" customWidth="1"/>
    <col min="13325" max="13325" width="5.375" style="33" bestFit="1" customWidth="1"/>
    <col min="13326" max="13327" width="6.125" style="33" bestFit="1" customWidth="1"/>
    <col min="13328" max="13329" width="9" style="33"/>
    <col min="13330" max="13330" width="11.625" style="33" customWidth="1"/>
    <col min="13331" max="13331" width="22" style="33" customWidth="1"/>
    <col min="13332" max="13332" width="11.25" style="33" customWidth="1"/>
    <col min="13333" max="13333" width="7.125" style="33" customWidth="1"/>
    <col min="13334" max="13334" width="5.625" style="33" bestFit="1" customWidth="1"/>
    <col min="13335" max="13335" width="10" style="33" customWidth="1"/>
    <col min="13336" max="13337" width="0" style="33" hidden="1" customWidth="1"/>
    <col min="13338" max="13338" width="12.5" style="33" bestFit="1" customWidth="1"/>
    <col min="13339" max="13339" width="7.875" style="33" customWidth="1"/>
    <col min="13340" max="13340" width="8.5" style="33" bestFit="1" customWidth="1"/>
    <col min="13341" max="13568" width="9" style="33"/>
    <col min="13569" max="13569" width="1.5" style="33" bestFit="1" customWidth="1"/>
    <col min="13570" max="13570" width="19.875" style="33" bestFit="1" customWidth="1"/>
    <col min="13571" max="13571" width="12.5" style="33" bestFit="1" customWidth="1"/>
    <col min="13572" max="13572" width="22" style="33" bestFit="1" customWidth="1"/>
    <col min="13573" max="13573" width="12.5" style="33" bestFit="1" customWidth="1"/>
    <col min="13574" max="13574" width="22" style="33" bestFit="1" customWidth="1"/>
    <col min="13575" max="13575" width="12.5" style="33" bestFit="1" customWidth="1"/>
    <col min="13576" max="13576" width="13.5" style="33" customWidth="1"/>
    <col min="13577" max="13577" width="12.375" style="33" customWidth="1"/>
    <col min="13578" max="13578" width="12.5" style="33" bestFit="1" customWidth="1"/>
    <col min="13579" max="13579" width="22.125" style="33" bestFit="1" customWidth="1"/>
    <col min="13580" max="13580" width="4.875" style="33" bestFit="1" customWidth="1"/>
    <col min="13581" max="13581" width="5.375" style="33" bestFit="1" customWidth="1"/>
    <col min="13582" max="13583" width="6.125" style="33" bestFit="1" customWidth="1"/>
    <col min="13584" max="13585" width="9" style="33"/>
    <col min="13586" max="13586" width="11.625" style="33" customWidth="1"/>
    <col min="13587" max="13587" width="22" style="33" customWidth="1"/>
    <col min="13588" max="13588" width="11.25" style="33" customWidth="1"/>
    <col min="13589" max="13589" width="7.125" style="33" customWidth="1"/>
    <col min="13590" max="13590" width="5.625" style="33" bestFit="1" customWidth="1"/>
    <col min="13591" max="13591" width="10" style="33" customWidth="1"/>
    <col min="13592" max="13593" width="0" style="33" hidden="1" customWidth="1"/>
    <col min="13594" max="13594" width="12.5" style="33" bestFit="1" customWidth="1"/>
    <col min="13595" max="13595" width="7.875" style="33" customWidth="1"/>
    <col min="13596" max="13596" width="8.5" style="33" bestFit="1" customWidth="1"/>
    <col min="13597" max="13824" width="9" style="33"/>
    <col min="13825" max="13825" width="1.5" style="33" bestFit="1" customWidth="1"/>
    <col min="13826" max="13826" width="19.875" style="33" bestFit="1" customWidth="1"/>
    <col min="13827" max="13827" width="12.5" style="33" bestFit="1" customWidth="1"/>
    <col min="13828" max="13828" width="22" style="33" bestFit="1" customWidth="1"/>
    <col min="13829" max="13829" width="12.5" style="33" bestFit="1" customWidth="1"/>
    <col min="13830" max="13830" width="22" style="33" bestFit="1" customWidth="1"/>
    <col min="13831" max="13831" width="12.5" style="33" bestFit="1" customWidth="1"/>
    <col min="13832" max="13832" width="13.5" style="33" customWidth="1"/>
    <col min="13833" max="13833" width="12.375" style="33" customWidth="1"/>
    <col min="13834" max="13834" width="12.5" style="33" bestFit="1" customWidth="1"/>
    <col min="13835" max="13835" width="22.125" style="33" bestFit="1" customWidth="1"/>
    <col min="13836" max="13836" width="4.875" style="33" bestFit="1" customWidth="1"/>
    <col min="13837" max="13837" width="5.375" style="33" bestFit="1" customWidth="1"/>
    <col min="13838" max="13839" width="6.125" style="33" bestFit="1" customWidth="1"/>
    <col min="13840" max="13841" width="9" style="33"/>
    <col min="13842" max="13842" width="11.625" style="33" customWidth="1"/>
    <col min="13843" max="13843" width="22" style="33" customWidth="1"/>
    <col min="13844" max="13844" width="11.25" style="33" customWidth="1"/>
    <col min="13845" max="13845" width="7.125" style="33" customWidth="1"/>
    <col min="13846" max="13846" width="5.625" style="33" bestFit="1" customWidth="1"/>
    <col min="13847" max="13847" width="10" style="33" customWidth="1"/>
    <col min="13848" max="13849" width="0" style="33" hidden="1" customWidth="1"/>
    <col min="13850" max="13850" width="12.5" style="33" bestFit="1" customWidth="1"/>
    <col min="13851" max="13851" width="7.875" style="33" customWidth="1"/>
    <col min="13852" max="13852" width="8.5" style="33" bestFit="1" customWidth="1"/>
    <col min="13853" max="14080" width="9" style="33"/>
    <col min="14081" max="14081" width="1.5" style="33" bestFit="1" customWidth="1"/>
    <col min="14082" max="14082" width="19.875" style="33" bestFit="1" customWidth="1"/>
    <col min="14083" max="14083" width="12.5" style="33" bestFit="1" customWidth="1"/>
    <col min="14084" max="14084" width="22" style="33" bestFit="1" customWidth="1"/>
    <col min="14085" max="14085" width="12.5" style="33" bestFit="1" customWidth="1"/>
    <col min="14086" max="14086" width="22" style="33" bestFit="1" customWidth="1"/>
    <col min="14087" max="14087" width="12.5" style="33" bestFit="1" customWidth="1"/>
    <col min="14088" max="14088" width="13.5" style="33" customWidth="1"/>
    <col min="14089" max="14089" width="12.375" style="33" customWidth="1"/>
    <col min="14090" max="14090" width="12.5" style="33" bestFit="1" customWidth="1"/>
    <col min="14091" max="14091" width="22.125" style="33" bestFit="1" customWidth="1"/>
    <col min="14092" max="14092" width="4.875" style="33" bestFit="1" customWidth="1"/>
    <col min="14093" max="14093" width="5.375" style="33" bestFit="1" customWidth="1"/>
    <col min="14094" max="14095" width="6.125" style="33" bestFit="1" customWidth="1"/>
    <col min="14096" max="14097" width="9" style="33"/>
    <col min="14098" max="14098" width="11.625" style="33" customWidth="1"/>
    <col min="14099" max="14099" width="22" style="33" customWidth="1"/>
    <col min="14100" max="14100" width="11.25" style="33" customWidth="1"/>
    <col min="14101" max="14101" width="7.125" style="33" customWidth="1"/>
    <col min="14102" max="14102" width="5.625" style="33" bestFit="1" customWidth="1"/>
    <col min="14103" max="14103" width="10" style="33" customWidth="1"/>
    <col min="14104" max="14105" width="0" style="33" hidden="1" customWidth="1"/>
    <col min="14106" max="14106" width="12.5" style="33" bestFit="1" customWidth="1"/>
    <col min="14107" max="14107" width="7.875" style="33" customWidth="1"/>
    <col min="14108" max="14108" width="8.5" style="33" bestFit="1" customWidth="1"/>
    <col min="14109" max="14336" width="9" style="33"/>
    <col min="14337" max="14337" width="1.5" style="33" bestFit="1" customWidth="1"/>
    <col min="14338" max="14338" width="19.875" style="33" bestFit="1" customWidth="1"/>
    <col min="14339" max="14339" width="12.5" style="33" bestFit="1" customWidth="1"/>
    <col min="14340" max="14340" width="22" style="33" bestFit="1" customWidth="1"/>
    <col min="14341" max="14341" width="12.5" style="33" bestFit="1" customWidth="1"/>
    <col min="14342" max="14342" width="22" style="33" bestFit="1" customWidth="1"/>
    <col min="14343" max="14343" width="12.5" style="33" bestFit="1" customWidth="1"/>
    <col min="14344" max="14344" width="13.5" style="33" customWidth="1"/>
    <col min="14345" max="14345" width="12.375" style="33" customWidth="1"/>
    <col min="14346" max="14346" width="12.5" style="33" bestFit="1" customWidth="1"/>
    <col min="14347" max="14347" width="22.125" style="33" bestFit="1" customWidth="1"/>
    <col min="14348" max="14348" width="4.875" style="33" bestFit="1" customWidth="1"/>
    <col min="14349" max="14349" width="5.375" style="33" bestFit="1" customWidth="1"/>
    <col min="14350" max="14351" width="6.125" style="33" bestFit="1" customWidth="1"/>
    <col min="14352" max="14353" width="9" style="33"/>
    <col min="14354" max="14354" width="11.625" style="33" customWidth="1"/>
    <col min="14355" max="14355" width="22" style="33" customWidth="1"/>
    <col min="14356" max="14356" width="11.25" style="33" customWidth="1"/>
    <col min="14357" max="14357" width="7.125" style="33" customWidth="1"/>
    <col min="14358" max="14358" width="5.625" style="33" bestFit="1" customWidth="1"/>
    <col min="14359" max="14359" width="10" style="33" customWidth="1"/>
    <col min="14360" max="14361" width="0" style="33" hidden="1" customWidth="1"/>
    <col min="14362" max="14362" width="12.5" style="33" bestFit="1" customWidth="1"/>
    <col min="14363" max="14363" width="7.875" style="33" customWidth="1"/>
    <col min="14364" max="14364" width="8.5" style="33" bestFit="1" customWidth="1"/>
    <col min="14365" max="14592" width="9" style="33"/>
    <col min="14593" max="14593" width="1.5" style="33" bestFit="1" customWidth="1"/>
    <col min="14594" max="14594" width="19.875" style="33" bestFit="1" customWidth="1"/>
    <col min="14595" max="14595" width="12.5" style="33" bestFit="1" customWidth="1"/>
    <col min="14596" max="14596" width="22" style="33" bestFit="1" customWidth="1"/>
    <col min="14597" max="14597" width="12.5" style="33" bestFit="1" customWidth="1"/>
    <col min="14598" max="14598" width="22" style="33" bestFit="1" customWidth="1"/>
    <col min="14599" max="14599" width="12.5" style="33" bestFit="1" customWidth="1"/>
    <col min="14600" max="14600" width="13.5" style="33" customWidth="1"/>
    <col min="14601" max="14601" width="12.375" style="33" customWidth="1"/>
    <col min="14602" max="14602" width="12.5" style="33" bestFit="1" customWidth="1"/>
    <col min="14603" max="14603" width="22.125" style="33" bestFit="1" customWidth="1"/>
    <col min="14604" max="14604" width="4.875" style="33" bestFit="1" customWidth="1"/>
    <col min="14605" max="14605" width="5.375" style="33" bestFit="1" customWidth="1"/>
    <col min="14606" max="14607" width="6.125" style="33" bestFit="1" customWidth="1"/>
    <col min="14608" max="14609" width="9" style="33"/>
    <col min="14610" max="14610" width="11.625" style="33" customWidth="1"/>
    <col min="14611" max="14611" width="22" style="33" customWidth="1"/>
    <col min="14612" max="14612" width="11.25" style="33" customWidth="1"/>
    <col min="14613" max="14613" width="7.125" style="33" customWidth="1"/>
    <col min="14614" max="14614" width="5.625" style="33" bestFit="1" customWidth="1"/>
    <col min="14615" max="14615" width="10" style="33" customWidth="1"/>
    <col min="14616" max="14617" width="0" style="33" hidden="1" customWidth="1"/>
    <col min="14618" max="14618" width="12.5" style="33" bestFit="1" customWidth="1"/>
    <col min="14619" max="14619" width="7.875" style="33" customWidth="1"/>
    <col min="14620" max="14620" width="8.5" style="33" bestFit="1" customWidth="1"/>
    <col min="14621" max="14848" width="9" style="33"/>
    <col min="14849" max="14849" width="1.5" style="33" bestFit="1" customWidth="1"/>
    <col min="14850" max="14850" width="19.875" style="33" bestFit="1" customWidth="1"/>
    <col min="14851" max="14851" width="12.5" style="33" bestFit="1" customWidth="1"/>
    <col min="14852" max="14852" width="22" style="33" bestFit="1" customWidth="1"/>
    <col min="14853" max="14853" width="12.5" style="33" bestFit="1" customWidth="1"/>
    <col min="14854" max="14854" width="22" style="33" bestFit="1" customWidth="1"/>
    <col min="14855" max="14855" width="12.5" style="33" bestFit="1" customWidth="1"/>
    <col min="14856" max="14856" width="13.5" style="33" customWidth="1"/>
    <col min="14857" max="14857" width="12.375" style="33" customWidth="1"/>
    <col min="14858" max="14858" width="12.5" style="33" bestFit="1" customWidth="1"/>
    <col min="14859" max="14859" width="22.125" style="33" bestFit="1" customWidth="1"/>
    <col min="14860" max="14860" width="4.875" style="33" bestFit="1" customWidth="1"/>
    <col min="14861" max="14861" width="5.375" style="33" bestFit="1" customWidth="1"/>
    <col min="14862" max="14863" width="6.125" style="33" bestFit="1" customWidth="1"/>
    <col min="14864" max="14865" width="9" style="33"/>
    <col min="14866" max="14866" width="11.625" style="33" customWidth="1"/>
    <col min="14867" max="14867" width="22" style="33" customWidth="1"/>
    <col min="14868" max="14868" width="11.25" style="33" customWidth="1"/>
    <col min="14869" max="14869" width="7.125" style="33" customWidth="1"/>
    <col min="14870" max="14870" width="5.625" style="33" bestFit="1" customWidth="1"/>
    <col min="14871" max="14871" width="10" style="33" customWidth="1"/>
    <col min="14872" max="14873" width="0" style="33" hidden="1" customWidth="1"/>
    <col min="14874" max="14874" width="12.5" style="33" bestFit="1" customWidth="1"/>
    <col min="14875" max="14875" width="7.875" style="33" customWidth="1"/>
    <col min="14876" max="14876" width="8.5" style="33" bestFit="1" customWidth="1"/>
    <col min="14877" max="15104" width="9" style="33"/>
    <col min="15105" max="15105" width="1.5" style="33" bestFit="1" customWidth="1"/>
    <col min="15106" max="15106" width="19.875" style="33" bestFit="1" customWidth="1"/>
    <col min="15107" max="15107" width="12.5" style="33" bestFit="1" customWidth="1"/>
    <col min="15108" max="15108" width="22" style="33" bestFit="1" customWidth="1"/>
    <col min="15109" max="15109" width="12.5" style="33" bestFit="1" customWidth="1"/>
    <col min="15110" max="15110" width="22" style="33" bestFit="1" customWidth="1"/>
    <col min="15111" max="15111" width="12.5" style="33" bestFit="1" customWidth="1"/>
    <col min="15112" max="15112" width="13.5" style="33" customWidth="1"/>
    <col min="15113" max="15113" width="12.375" style="33" customWidth="1"/>
    <col min="15114" max="15114" width="12.5" style="33" bestFit="1" customWidth="1"/>
    <col min="15115" max="15115" width="22.125" style="33" bestFit="1" customWidth="1"/>
    <col min="15116" max="15116" width="4.875" style="33" bestFit="1" customWidth="1"/>
    <col min="15117" max="15117" width="5.375" style="33" bestFit="1" customWidth="1"/>
    <col min="15118" max="15119" width="6.125" style="33" bestFit="1" customWidth="1"/>
    <col min="15120" max="15121" width="9" style="33"/>
    <col min="15122" max="15122" width="11.625" style="33" customWidth="1"/>
    <col min="15123" max="15123" width="22" style="33" customWidth="1"/>
    <col min="15124" max="15124" width="11.25" style="33" customWidth="1"/>
    <col min="15125" max="15125" width="7.125" style="33" customWidth="1"/>
    <col min="15126" max="15126" width="5.625" style="33" bestFit="1" customWidth="1"/>
    <col min="15127" max="15127" width="10" style="33" customWidth="1"/>
    <col min="15128" max="15129" width="0" style="33" hidden="1" customWidth="1"/>
    <col min="15130" max="15130" width="12.5" style="33" bestFit="1" customWidth="1"/>
    <col min="15131" max="15131" width="7.875" style="33" customWidth="1"/>
    <col min="15132" max="15132" width="8.5" style="33" bestFit="1" customWidth="1"/>
    <col min="15133" max="15360" width="9" style="33"/>
    <col min="15361" max="15361" width="1.5" style="33" bestFit="1" customWidth="1"/>
    <col min="15362" max="15362" width="19.875" style="33" bestFit="1" customWidth="1"/>
    <col min="15363" max="15363" width="12.5" style="33" bestFit="1" customWidth="1"/>
    <col min="15364" max="15364" width="22" style="33" bestFit="1" customWidth="1"/>
    <col min="15365" max="15365" width="12.5" style="33" bestFit="1" customWidth="1"/>
    <col min="15366" max="15366" width="22" style="33" bestFit="1" customWidth="1"/>
    <col min="15367" max="15367" width="12.5" style="33" bestFit="1" customWidth="1"/>
    <col min="15368" max="15368" width="13.5" style="33" customWidth="1"/>
    <col min="15369" max="15369" width="12.375" style="33" customWidth="1"/>
    <col min="15370" max="15370" width="12.5" style="33" bestFit="1" customWidth="1"/>
    <col min="15371" max="15371" width="22.125" style="33" bestFit="1" customWidth="1"/>
    <col min="15372" max="15372" width="4.875" style="33" bestFit="1" customWidth="1"/>
    <col min="15373" max="15373" width="5.375" style="33" bestFit="1" customWidth="1"/>
    <col min="15374" max="15375" width="6.125" style="33" bestFit="1" customWidth="1"/>
    <col min="15376" max="15377" width="9" style="33"/>
    <col min="15378" max="15378" width="11.625" style="33" customWidth="1"/>
    <col min="15379" max="15379" width="22" style="33" customWidth="1"/>
    <col min="15380" max="15380" width="11.25" style="33" customWidth="1"/>
    <col min="15381" max="15381" width="7.125" style="33" customWidth="1"/>
    <col min="15382" max="15382" width="5.625" style="33" bestFit="1" customWidth="1"/>
    <col min="15383" max="15383" width="10" style="33" customWidth="1"/>
    <col min="15384" max="15385" width="0" style="33" hidden="1" customWidth="1"/>
    <col min="15386" max="15386" width="12.5" style="33" bestFit="1" customWidth="1"/>
    <col min="15387" max="15387" width="7.875" style="33" customWidth="1"/>
    <col min="15388" max="15388" width="8.5" style="33" bestFit="1" customWidth="1"/>
    <col min="15389" max="15616" width="9" style="33"/>
    <col min="15617" max="15617" width="1.5" style="33" bestFit="1" customWidth="1"/>
    <col min="15618" max="15618" width="19.875" style="33" bestFit="1" customWidth="1"/>
    <col min="15619" max="15619" width="12.5" style="33" bestFit="1" customWidth="1"/>
    <col min="15620" max="15620" width="22" style="33" bestFit="1" customWidth="1"/>
    <col min="15621" max="15621" width="12.5" style="33" bestFit="1" customWidth="1"/>
    <col min="15622" max="15622" width="22" style="33" bestFit="1" customWidth="1"/>
    <col min="15623" max="15623" width="12.5" style="33" bestFit="1" customWidth="1"/>
    <col min="15624" max="15624" width="13.5" style="33" customWidth="1"/>
    <col min="15625" max="15625" width="12.375" style="33" customWidth="1"/>
    <col min="15626" max="15626" width="12.5" style="33" bestFit="1" customWidth="1"/>
    <col min="15627" max="15627" width="22.125" style="33" bestFit="1" customWidth="1"/>
    <col min="15628" max="15628" width="4.875" style="33" bestFit="1" customWidth="1"/>
    <col min="15629" max="15629" width="5.375" style="33" bestFit="1" customWidth="1"/>
    <col min="15630" max="15631" width="6.125" style="33" bestFit="1" customWidth="1"/>
    <col min="15632" max="15633" width="9" style="33"/>
    <col min="15634" max="15634" width="11.625" style="33" customWidth="1"/>
    <col min="15635" max="15635" width="22" style="33" customWidth="1"/>
    <col min="15636" max="15636" width="11.25" style="33" customWidth="1"/>
    <col min="15637" max="15637" width="7.125" style="33" customWidth="1"/>
    <col min="15638" max="15638" width="5.625" style="33" bestFit="1" customWidth="1"/>
    <col min="15639" max="15639" width="10" style="33" customWidth="1"/>
    <col min="15640" max="15641" width="0" style="33" hidden="1" customWidth="1"/>
    <col min="15642" max="15642" width="12.5" style="33" bestFit="1" customWidth="1"/>
    <col min="15643" max="15643" width="7.875" style="33" customWidth="1"/>
    <col min="15644" max="15644" width="8.5" style="33" bestFit="1" customWidth="1"/>
    <col min="15645" max="15872" width="9" style="33"/>
    <col min="15873" max="15873" width="1.5" style="33" bestFit="1" customWidth="1"/>
    <col min="15874" max="15874" width="19.875" style="33" bestFit="1" customWidth="1"/>
    <col min="15875" max="15875" width="12.5" style="33" bestFit="1" customWidth="1"/>
    <col min="15876" max="15876" width="22" style="33" bestFit="1" customWidth="1"/>
    <col min="15877" max="15877" width="12.5" style="33" bestFit="1" customWidth="1"/>
    <col min="15878" max="15878" width="22" style="33" bestFit="1" customWidth="1"/>
    <col min="15879" max="15879" width="12.5" style="33" bestFit="1" customWidth="1"/>
    <col min="15880" max="15880" width="13.5" style="33" customWidth="1"/>
    <col min="15881" max="15881" width="12.375" style="33" customWidth="1"/>
    <col min="15882" max="15882" width="12.5" style="33" bestFit="1" customWidth="1"/>
    <col min="15883" max="15883" width="22.125" style="33" bestFit="1" customWidth="1"/>
    <col min="15884" max="15884" width="4.875" style="33" bestFit="1" customWidth="1"/>
    <col min="15885" max="15885" width="5.375" style="33" bestFit="1" customWidth="1"/>
    <col min="15886" max="15887" width="6.125" style="33" bestFit="1" customWidth="1"/>
    <col min="15888" max="15889" width="9" style="33"/>
    <col min="15890" max="15890" width="11.625" style="33" customWidth="1"/>
    <col min="15891" max="15891" width="22" style="33" customWidth="1"/>
    <col min="15892" max="15892" width="11.25" style="33" customWidth="1"/>
    <col min="15893" max="15893" width="7.125" style="33" customWidth="1"/>
    <col min="15894" max="15894" width="5.625" style="33" bestFit="1" customWidth="1"/>
    <col min="15895" max="15895" width="10" style="33" customWidth="1"/>
    <col min="15896" max="15897" width="0" style="33" hidden="1" customWidth="1"/>
    <col min="15898" max="15898" width="12.5" style="33" bestFit="1" customWidth="1"/>
    <col min="15899" max="15899" width="7.875" style="33" customWidth="1"/>
    <col min="15900" max="15900" width="8.5" style="33" bestFit="1" customWidth="1"/>
    <col min="15901" max="16128" width="9" style="33"/>
    <col min="16129" max="16129" width="1.5" style="33" bestFit="1" customWidth="1"/>
    <col min="16130" max="16130" width="19.875" style="33" bestFit="1" customWidth="1"/>
    <col min="16131" max="16131" width="12.5" style="33" bestFit="1" customWidth="1"/>
    <col min="16132" max="16132" width="22" style="33" bestFit="1" customWidth="1"/>
    <col min="16133" max="16133" width="12.5" style="33" bestFit="1" customWidth="1"/>
    <col min="16134" max="16134" width="22" style="33" bestFit="1" customWidth="1"/>
    <col min="16135" max="16135" width="12.5" style="33" bestFit="1" customWidth="1"/>
    <col min="16136" max="16136" width="13.5" style="33" customWidth="1"/>
    <col min="16137" max="16137" width="12.375" style="33" customWidth="1"/>
    <col min="16138" max="16138" width="12.5" style="33" bestFit="1" customWidth="1"/>
    <col min="16139" max="16139" width="22.125" style="33" bestFit="1" customWidth="1"/>
    <col min="16140" max="16140" width="4.875" style="33" bestFit="1" customWidth="1"/>
    <col min="16141" max="16141" width="5.375" style="33" bestFit="1" customWidth="1"/>
    <col min="16142" max="16143" width="6.125" style="33" bestFit="1" customWidth="1"/>
    <col min="16144" max="16145" width="9" style="33"/>
    <col min="16146" max="16146" width="11.625" style="33" customWidth="1"/>
    <col min="16147" max="16147" width="22" style="33" customWidth="1"/>
    <col min="16148" max="16148" width="11.25" style="33" customWidth="1"/>
    <col min="16149" max="16149" width="7.125" style="33" customWidth="1"/>
    <col min="16150" max="16150" width="5.625" style="33" bestFit="1" customWidth="1"/>
    <col min="16151" max="16151" width="10" style="33" customWidth="1"/>
    <col min="16152" max="16153" width="0" style="33" hidden="1" customWidth="1"/>
    <col min="16154" max="16154" width="12.5" style="33" bestFit="1" customWidth="1"/>
    <col min="16155" max="16155" width="7.875" style="33" customWidth="1"/>
    <col min="16156" max="16156" width="8.5" style="33" bestFit="1" customWidth="1"/>
    <col min="16157" max="16384" width="9" style="33"/>
  </cols>
  <sheetData>
    <row r="1" spans="2:8" ht="18.75" x14ac:dyDescent="0.3">
      <c r="B1" s="31" t="s">
        <v>68</v>
      </c>
      <c r="C1" s="31"/>
      <c r="D1" s="31"/>
    </row>
    <row r="3" spans="2:8" x14ac:dyDescent="0.2">
      <c r="B3" s="34" t="s">
        <v>1</v>
      </c>
      <c r="G3" s="35"/>
      <c r="H3" s="35"/>
    </row>
    <row r="4" spans="2:8" ht="13.5" thickBot="1" x14ac:dyDescent="0.25">
      <c r="G4" s="35"/>
      <c r="H4" s="35"/>
    </row>
    <row r="5" spans="2:8" ht="13.5" thickBot="1" x14ac:dyDescent="0.25">
      <c r="B5" s="36" t="s">
        <v>69</v>
      </c>
      <c r="C5" s="37" t="s">
        <v>70</v>
      </c>
      <c r="D5" s="38" t="s">
        <v>71</v>
      </c>
    </row>
    <row r="6" spans="2:8" x14ac:dyDescent="0.2">
      <c r="B6" s="39" t="s">
        <v>72</v>
      </c>
      <c r="C6" s="40">
        <v>9760</v>
      </c>
      <c r="D6" s="41">
        <f>110%*C6</f>
        <v>10736</v>
      </c>
    </row>
    <row r="7" spans="2:8" x14ac:dyDescent="0.2">
      <c r="B7" s="42" t="s">
        <v>73</v>
      </c>
      <c r="C7" s="43">
        <v>8200</v>
      </c>
      <c r="D7" s="44">
        <f>150%*C7</f>
        <v>12300</v>
      </c>
    </row>
    <row r="8" spans="2:8" x14ac:dyDescent="0.2">
      <c r="B8" s="42" t="s">
        <v>74</v>
      </c>
      <c r="C8" s="43">
        <v>8100</v>
      </c>
      <c r="D8" s="44">
        <f>230%*C8</f>
        <v>18630</v>
      </c>
    </row>
    <row r="9" spans="2:8" x14ac:dyDescent="0.2">
      <c r="B9" s="42" t="s">
        <v>75</v>
      </c>
      <c r="C9" s="43">
        <v>20493</v>
      </c>
      <c r="D9" s="44">
        <f>7365.67*230%+150%*(C9-7365.67)+2000+1000+800</f>
        <v>40432.035999999993</v>
      </c>
    </row>
    <row r="10" spans="2:8" ht="13.5" thickBot="1" x14ac:dyDescent="0.25">
      <c r="B10" s="45" t="s">
        <v>76</v>
      </c>
      <c r="C10" s="46">
        <v>4300</v>
      </c>
      <c r="D10" s="47">
        <f>155%*C10</f>
        <v>6665</v>
      </c>
    </row>
    <row r="11" spans="2:8" ht="13.5" thickBot="1" x14ac:dyDescent="0.25">
      <c r="B11" s="48" t="s">
        <v>77</v>
      </c>
      <c r="C11" s="49">
        <f>SUM(C6:C10)</f>
        <v>50853</v>
      </c>
      <c r="D11" s="50">
        <f>SUM(D6:D10)</f>
        <v>88763.035999999993</v>
      </c>
    </row>
    <row r="13" spans="2:8" x14ac:dyDescent="0.2">
      <c r="B13" s="34" t="s">
        <v>4</v>
      </c>
    </row>
    <row r="14" spans="2:8" ht="13.5" thickBot="1" x14ac:dyDescent="0.25"/>
    <row r="15" spans="2:8" ht="13.5" thickBot="1" x14ac:dyDescent="0.25">
      <c r="B15" s="36" t="s">
        <v>69</v>
      </c>
      <c r="C15" s="37" t="s">
        <v>70</v>
      </c>
      <c r="D15" s="38" t="s">
        <v>71</v>
      </c>
    </row>
    <row r="16" spans="2:8" x14ac:dyDescent="0.2">
      <c r="B16" s="39" t="s">
        <v>78</v>
      </c>
      <c r="C16" s="40">
        <v>32243</v>
      </c>
      <c r="D16" s="41">
        <v>21688</v>
      </c>
    </row>
    <row r="17" spans="2:5" x14ac:dyDescent="0.2">
      <c r="B17" s="42" t="s">
        <v>73</v>
      </c>
      <c r="C17" s="43">
        <v>75115</v>
      </c>
      <c r="D17" s="44">
        <v>177625</v>
      </c>
    </row>
    <row r="18" spans="2:5" x14ac:dyDescent="0.2">
      <c r="B18" s="42" t="s">
        <v>74</v>
      </c>
      <c r="C18" s="43">
        <v>20539</v>
      </c>
      <c r="D18" s="44">
        <v>94620</v>
      </c>
    </row>
    <row r="19" spans="2:5" x14ac:dyDescent="0.2">
      <c r="B19" s="42" t="s">
        <v>75</v>
      </c>
      <c r="C19" s="43">
        <f>14714+2340</f>
        <v>17054</v>
      </c>
      <c r="D19" s="44">
        <f>56555+6905</f>
        <v>63460</v>
      </c>
    </row>
    <row r="20" spans="2:5" ht="12.75" customHeight="1" x14ac:dyDescent="0.2">
      <c r="B20" s="42" t="s">
        <v>79</v>
      </c>
      <c r="C20" s="43">
        <v>29290</v>
      </c>
      <c r="D20" s="44">
        <f>C20*150%+C20*230%+C20*220%+C20*340%</f>
        <v>275326</v>
      </c>
    </row>
    <row r="21" spans="2:5" ht="13.5" thickBot="1" x14ac:dyDescent="0.25">
      <c r="B21" s="51" t="s">
        <v>80</v>
      </c>
      <c r="C21" s="46">
        <v>7620</v>
      </c>
      <c r="D21" s="47">
        <v>32240</v>
      </c>
    </row>
    <row r="22" spans="2:5" ht="12.75" customHeight="1" thickBot="1" x14ac:dyDescent="0.25">
      <c r="B22" s="48" t="s">
        <v>77</v>
      </c>
      <c r="C22" s="49">
        <f>SUM(C16:C21)</f>
        <v>181861</v>
      </c>
      <c r="D22" s="50">
        <f>SUM(D16:D21)</f>
        <v>664959</v>
      </c>
    </row>
    <row r="24" spans="2:5" x14ac:dyDescent="0.2">
      <c r="B24" s="52" t="s">
        <v>81</v>
      </c>
    </row>
    <row r="25" spans="2:5" ht="13.5" thickBot="1" x14ac:dyDescent="0.25"/>
    <row r="26" spans="2:5" ht="13.5" thickBot="1" x14ac:dyDescent="0.25">
      <c r="B26" s="53" t="s">
        <v>82</v>
      </c>
      <c r="C26" s="53" t="s">
        <v>83</v>
      </c>
      <c r="D26" s="54" t="s">
        <v>71</v>
      </c>
      <c r="E26" s="53" t="s">
        <v>70</v>
      </c>
    </row>
    <row r="27" spans="2:5" x14ac:dyDescent="0.2">
      <c r="B27" s="55">
        <v>1</v>
      </c>
      <c r="C27" s="56">
        <v>1</v>
      </c>
      <c r="D27" s="57">
        <f>C27*E27</f>
        <v>1300</v>
      </c>
      <c r="E27" s="58">
        <v>1300</v>
      </c>
    </row>
    <row r="28" spans="2:5" x14ac:dyDescent="0.2">
      <c r="B28" s="59">
        <v>2</v>
      </c>
      <c r="C28" s="60">
        <v>0.8</v>
      </c>
      <c r="D28" s="61">
        <f t="shared" ref="D28:D55" si="0">C28*E28</f>
        <v>1200</v>
      </c>
      <c r="E28" s="62">
        <v>1500</v>
      </c>
    </row>
    <row r="29" spans="2:5" x14ac:dyDescent="0.2">
      <c r="B29" s="59">
        <v>3</v>
      </c>
      <c r="C29" s="60">
        <v>0.7</v>
      </c>
      <c r="D29" s="61">
        <f t="shared" si="0"/>
        <v>1190</v>
      </c>
      <c r="E29" s="62">
        <v>1700</v>
      </c>
    </row>
    <row r="30" spans="2:5" x14ac:dyDescent="0.2">
      <c r="B30" s="59">
        <v>4</v>
      </c>
      <c r="C30" s="60">
        <v>0.8</v>
      </c>
      <c r="D30" s="61">
        <f t="shared" si="0"/>
        <v>1200</v>
      </c>
      <c r="E30" s="62">
        <v>1500</v>
      </c>
    </row>
    <row r="31" spans="2:5" x14ac:dyDescent="0.2">
      <c r="B31" s="59">
        <v>7</v>
      </c>
      <c r="C31" s="60">
        <v>0.85</v>
      </c>
      <c r="D31" s="61">
        <f t="shared" si="0"/>
        <v>1190</v>
      </c>
      <c r="E31" s="62">
        <v>1400</v>
      </c>
    </row>
    <row r="32" spans="2:5" x14ac:dyDescent="0.2">
      <c r="B32" s="59">
        <v>8</v>
      </c>
      <c r="C32" s="60">
        <v>0.85</v>
      </c>
      <c r="D32" s="61">
        <f t="shared" si="0"/>
        <v>1190</v>
      </c>
      <c r="E32" s="62">
        <v>1400</v>
      </c>
    </row>
    <row r="33" spans="2:5" x14ac:dyDescent="0.2">
      <c r="B33" s="59">
        <v>9</v>
      </c>
      <c r="C33" s="60">
        <v>0.85</v>
      </c>
      <c r="D33" s="61">
        <f t="shared" si="0"/>
        <v>1190</v>
      </c>
      <c r="E33" s="62">
        <v>1400</v>
      </c>
    </row>
    <row r="34" spans="2:5" x14ac:dyDescent="0.2">
      <c r="B34" s="59">
        <v>10</v>
      </c>
      <c r="C34" s="60">
        <v>1</v>
      </c>
      <c r="D34" s="61">
        <f t="shared" si="0"/>
        <v>1300</v>
      </c>
      <c r="E34" s="62">
        <v>1300</v>
      </c>
    </row>
    <row r="35" spans="2:5" x14ac:dyDescent="0.2">
      <c r="B35" s="59">
        <v>11</v>
      </c>
      <c r="C35" s="60">
        <v>0.85</v>
      </c>
      <c r="D35" s="61">
        <f t="shared" si="0"/>
        <v>1190</v>
      </c>
      <c r="E35" s="62">
        <v>1400</v>
      </c>
    </row>
    <row r="36" spans="2:5" x14ac:dyDescent="0.2">
      <c r="B36" s="59">
        <v>12</v>
      </c>
      <c r="C36" s="60">
        <v>0.85</v>
      </c>
      <c r="D36" s="61">
        <f t="shared" si="0"/>
        <v>1190</v>
      </c>
      <c r="E36" s="62">
        <v>1400</v>
      </c>
    </row>
    <row r="37" spans="2:5" x14ac:dyDescent="0.2">
      <c r="B37" s="59">
        <v>13</v>
      </c>
      <c r="C37" s="60">
        <v>1</v>
      </c>
      <c r="D37" s="61">
        <f t="shared" si="0"/>
        <v>1300</v>
      </c>
      <c r="E37" s="62">
        <v>1300</v>
      </c>
    </row>
    <row r="38" spans="2:5" x14ac:dyDescent="0.2">
      <c r="B38" s="59">
        <v>15</v>
      </c>
      <c r="C38" s="60">
        <v>1.1000000000000001</v>
      </c>
      <c r="D38" s="61">
        <f t="shared" si="0"/>
        <v>3300.0000000000005</v>
      </c>
      <c r="E38" s="62">
        <v>3000</v>
      </c>
    </row>
    <row r="39" spans="2:5" x14ac:dyDescent="0.2">
      <c r="B39" s="59">
        <v>16</v>
      </c>
      <c r="C39" s="60">
        <v>0.85</v>
      </c>
      <c r="D39" s="61">
        <f t="shared" si="0"/>
        <v>3400</v>
      </c>
      <c r="E39" s="62">
        <v>4000</v>
      </c>
    </row>
    <row r="40" spans="2:5" x14ac:dyDescent="0.2">
      <c r="B40" s="59">
        <v>17</v>
      </c>
      <c r="C40" s="60">
        <v>0.95</v>
      </c>
      <c r="D40" s="61">
        <f t="shared" si="0"/>
        <v>3420</v>
      </c>
      <c r="E40" s="62">
        <v>3600</v>
      </c>
    </row>
    <row r="41" spans="2:5" x14ac:dyDescent="0.2">
      <c r="B41" s="59">
        <v>21</v>
      </c>
      <c r="C41" s="60">
        <v>0.75</v>
      </c>
      <c r="D41" s="61">
        <f t="shared" si="0"/>
        <v>675</v>
      </c>
      <c r="E41" s="62">
        <v>900</v>
      </c>
    </row>
    <row r="42" spans="2:5" x14ac:dyDescent="0.2">
      <c r="B42" s="59">
        <v>22</v>
      </c>
      <c r="C42" s="60">
        <v>0.65</v>
      </c>
      <c r="D42" s="61">
        <f t="shared" si="0"/>
        <v>650</v>
      </c>
      <c r="E42" s="62">
        <v>1000</v>
      </c>
    </row>
    <row r="43" spans="2:5" x14ac:dyDescent="0.2">
      <c r="B43" s="59">
        <v>23</v>
      </c>
      <c r="C43" s="60">
        <v>0.75</v>
      </c>
      <c r="D43" s="61">
        <f t="shared" si="0"/>
        <v>675</v>
      </c>
      <c r="E43" s="62">
        <v>900</v>
      </c>
    </row>
    <row r="44" spans="2:5" x14ac:dyDescent="0.2">
      <c r="B44" s="59">
        <v>26</v>
      </c>
      <c r="C44" s="60">
        <v>0.85</v>
      </c>
      <c r="D44" s="61">
        <f t="shared" si="0"/>
        <v>680</v>
      </c>
      <c r="E44" s="62">
        <v>800</v>
      </c>
    </row>
    <row r="45" spans="2:5" x14ac:dyDescent="0.2">
      <c r="B45" s="59">
        <v>27</v>
      </c>
      <c r="C45" s="60">
        <v>0.75</v>
      </c>
      <c r="D45" s="61">
        <f t="shared" si="0"/>
        <v>600</v>
      </c>
      <c r="E45" s="62">
        <v>800</v>
      </c>
    </row>
    <row r="46" spans="2:5" x14ac:dyDescent="0.2">
      <c r="B46" s="59">
        <v>29</v>
      </c>
      <c r="C46" s="60">
        <v>0.75</v>
      </c>
      <c r="D46" s="61">
        <f t="shared" si="0"/>
        <v>600</v>
      </c>
      <c r="E46" s="62">
        <v>800</v>
      </c>
    </row>
    <row r="47" spans="2:5" x14ac:dyDescent="0.2">
      <c r="B47" s="59">
        <v>30</v>
      </c>
      <c r="C47" s="60">
        <v>0.75</v>
      </c>
      <c r="D47" s="61">
        <f t="shared" si="0"/>
        <v>600</v>
      </c>
      <c r="E47" s="62">
        <v>800</v>
      </c>
    </row>
    <row r="48" spans="2:5" x14ac:dyDescent="0.2">
      <c r="B48" s="59">
        <v>31</v>
      </c>
      <c r="C48" s="60">
        <v>0.75</v>
      </c>
      <c r="D48" s="61">
        <f t="shared" si="0"/>
        <v>600</v>
      </c>
      <c r="E48" s="62">
        <v>800</v>
      </c>
    </row>
    <row r="49" spans="1:29" x14ac:dyDescent="0.2">
      <c r="B49" s="59">
        <v>38</v>
      </c>
      <c r="C49" s="60">
        <v>0.5</v>
      </c>
      <c r="D49" s="61">
        <f t="shared" si="0"/>
        <v>450</v>
      </c>
      <c r="E49" s="62">
        <v>900</v>
      </c>
    </row>
    <row r="50" spans="1:29" x14ac:dyDescent="0.2">
      <c r="B50" s="59">
        <v>39</v>
      </c>
      <c r="C50" s="60">
        <v>0.55000000000000004</v>
      </c>
      <c r="D50" s="61">
        <f t="shared" si="0"/>
        <v>440.00000000000006</v>
      </c>
      <c r="E50" s="62">
        <v>800</v>
      </c>
    </row>
    <row r="51" spans="1:29" x14ac:dyDescent="0.2">
      <c r="B51" s="59">
        <v>41</v>
      </c>
      <c r="C51" s="60">
        <v>0.65</v>
      </c>
      <c r="D51" s="61">
        <f t="shared" si="0"/>
        <v>455</v>
      </c>
      <c r="E51" s="62">
        <v>700</v>
      </c>
    </row>
    <row r="52" spans="1:29" x14ac:dyDescent="0.2">
      <c r="B52" s="59">
        <v>42</v>
      </c>
      <c r="C52" s="60">
        <v>0.55000000000000004</v>
      </c>
      <c r="D52" s="61">
        <f t="shared" si="0"/>
        <v>440.00000000000006</v>
      </c>
      <c r="E52" s="62">
        <v>800</v>
      </c>
    </row>
    <row r="53" spans="1:29" x14ac:dyDescent="0.2">
      <c r="B53" s="59">
        <v>43</v>
      </c>
      <c r="C53" s="60">
        <v>0.55000000000000004</v>
      </c>
      <c r="D53" s="61">
        <f t="shared" si="0"/>
        <v>440.00000000000006</v>
      </c>
      <c r="E53" s="62">
        <v>800</v>
      </c>
    </row>
    <row r="54" spans="1:29" x14ac:dyDescent="0.2">
      <c r="B54" s="59">
        <v>44</v>
      </c>
      <c r="C54" s="60">
        <v>0.55000000000000004</v>
      </c>
      <c r="D54" s="61">
        <f t="shared" si="0"/>
        <v>440.00000000000006</v>
      </c>
      <c r="E54" s="62">
        <v>800</v>
      </c>
    </row>
    <row r="55" spans="1:29" ht="13.5" thickBot="1" x14ac:dyDescent="0.25">
      <c r="B55" s="63">
        <v>53</v>
      </c>
      <c r="C55" s="64">
        <v>0.85</v>
      </c>
      <c r="D55" s="65">
        <f t="shared" si="0"/>
        <v>11815</v>
      </c>
      <c r="E55" s="66">
        <v>13900</v>
      </c>
    </row>
    <row r="56" spans="1:29" ht="13.5" thickBot="1" x14ac:dyDescent="0.25">
      <c r="B56" s="48" t="s">
        <v>77</v>
      </c>
      <c r="C56" s="67"/>
      <c r="D56" s="68">
        <f>SUM(D27:D55)</f>
        <v>43120</v>
      </c>
      <c r="E56" s="69">
        <f>SUM(E27:E55)</f>
        <v>51700</v>
      </c>
    </row>
    <row r="58" spans="1:29" s="70" customFormat="1" x14ac:dyDescent="0.2">
      <c r="C58" s="71"/>
      <c r="D58" s="72"/>
      <c r="E58" s="73" t="s">
        <v>84</v>
      </c>
      <c r="F58" s="72"/>
      <c r="G58" s="74"/>
      <c r="H58" s="75"/>
      <c r="I58" s="75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76"/>
    </row>
    <row r="59" spans="1:29" ht="13.5" thickBot="1" x14ac:dyDescent="0.25"/>
    <row r="60" spans="1:29" ht="13.5" thickBot="1" x14ac:dyDescent="0.25">
      <c r="B60" s="77"/>
      <c r="C60" s="53" t="s">
        <v>85</v>
      </c>
      <c r="D60" s="78" t="s">
        <v>86</v>
      </c>
      <c r="E60" s="53" t="s">
        <v>87</v>
      </c>
      <c r="F60" s="54" t="s">
        <v>71</v>
      </c>
      <c r="G60" s="53" t="s">
        <v>70</v>
      </c>
    </row>
    <row r="61" spans="1:29" x14ac:dyDescent="0.2">
      <c r="B61" s="79" t="s">
        <v>78</v>
      </c>
      <c r="C61" s="80">
        <v>14</v>
      </c>
      <c r="D61" s="81">
        <v>200</v>
      </c>
      <c r="E61" s="55"/>
      <c r="F61" s="82">
        <f>D61*C61</f>
        <v>2800</v>
      </c>
      <c r="G61" s="83">
        <v>9496</v>
      </c>
    </row>
    <row r="62" spans="1:29" x14ac:dyDescent="0.2">
      <c r="B62" s="84" t="s">
        <v>88</v>
      </c>
      <c r="C62" s="85">
        <f>9*18</f>
        <v>162</v>
      </c>
      <c r="D62" s="86"/>
      <c r="E62" s="87">
        <v>0.85</v>
      </c>
      <c r="F62" s="88">
        <f>E62*G62</f>
        <v>19212.55</v>
      </c>
      <c r="G62" s="89">
        <v>22603</v>
      </c>
    </row>
    <row r="63" spans="1:29" x14ac:dyDescent="0.2">
      <c r="A63" s="33" t="s">
        <v>89</v>
      </c>
      <c r="B63" s="84" t="s">
        <v>90</v>
      </c>
      <c r="C63" s="85">
        <v>48</v>
      </c>
      <c r="D63" s="86"/>
      <c r="E63" s="87">
        <v>1</v>
      </c>
      <c r="F63" s="88">
        <f t="shared" ref="F63:F68" si="1">E63*G63</f>
        <v>4604</v>
      </c>
      <c r="G63" s="89">
        <v>4604</v>
      </c>
    </row>
    <row r="64" spans="1:29" x14ac:dyDescent="0.2">
      <c r="B64" s="84" t="s">
        <v>91</v>
      </c>
      <c r="C64" s="85">
        <f>6*24</f>
        <v>144</v>
      </c>
      <c r="D64" s="86"/>
      <c r="E64" s="87">
        <v>1</v>
      </c>
      <c r="F64" s="88">
        <f t="shared" si="1"/>
        <v>15715</v>
      </c>
      <c r="G64" s="89">
        <v>15715</v>
      </c>
    </row>
    <row r="65" spans="1:13" x14ac:dyDescent="0.2">
      <c r="B65" s="90" t="s">
        <v>74</v>
      </c>
      <c r="C65" s="85">
        <v>34</v>
      </c>
      <c r="D65" s="86"/>
      <c r="E65" s="87">
        <v>1.25</v>
      </c>
      <c r="F65" s="88">
        <f t="shared" si="1"/>
        <v>3113.75</v>
      </c>
      <c r="G65" s="89">
        <v>2491</v>
      </c>
    </row>
    <row r="66" spans="1:13" x14ac:dyDescent="0.2">
      <c r="B66" s="91"/>
      <c r="C66" s="85">
        <v>34</v>
      </c>
      <c r="D66" s="86"/>
      <c r="E66" s="87">
        <v>1.55</v>
      </c>
      <c r="F66" s="88">
        <f t="shared" si="1"/>
        <v>3896.7000000000003</v>
      </c>
      <c r="G66" s="89">
        <v>2514</v>
      </c>
    </row>
    <row r="67" spans="1:13" x14ac:dyDescent="0.2">
      <c r="B67" s="92"/>
      <c r="C67" s="85">
        <v>40</v>
      </c>
      <c r="D67" s="86"/>
      <c r="E67" s="87">
        <v>1</v>
      </c>
      <c r="F67" s="88">
        <f t="shared" si="1"/>
        <v>4000</v>
      </c>
      <c r="G67" s="89">
        <v>4000</v>
      </c>
    </row>
    <row r="68" spans="1:13" ht="13.5" thickBot="1" x14ac:dyDescent="0.25">
      <c r="B68" s="93" t="s">
        <v>92</v>
      </c>
      <c r="C68" s="94"/>
      <c r="D68" s="95"/>
      <c r="E68" s="96">
        <v>0.6</v>
      </c>
      <c r="F68" s="97">
        <f t="shared" si="1"/>
        <v>678</v>
      </c>
      <c r="G68" s="98">
        <v>1130</v>
      </c>
    </row>
    <row r="69" spans="1:13" ht="13.5" thickBot="1" x14ac:dyDescent="0.25">
      <c r="B69" s="67" t="s">
        <v>77</v>
      </c>
      <c r="C69" s="99"/>
      <c r="D69" s="100"/>
      <c r="E69" s="67"/>
      <c r="F69" s="101">
        <f>SUM(F61:F68)</f>
        <v>54020</v>
      </c>
      <c r="G69" s="102">
        <f>SUM(G61:G68)</f>
        <v>62553</v>
      </c>
    </row>
    <row r="70" spans="1:13" x14ac:dyDescent="0.2">
      <c r="A70" s="33" t="s">
        <v>89</v>
      </c>
      <c r="B70" s="103" t="s">
        <v>93</v>
      </c>
      <c r="C70" s="103"/>
      <c r="D70" s="103"/>
      <c r="E70" s="103"/>
      <c r="F70" s="103"/>
      <c r="G70" s="103"/>
    </row>
    <row r="72" spans="1:13" x14ac:dyDescent="0.2">
      <c r="B72" s="34" t="s">
        <v>94</v>
      </c>
      <c r="M72" s="32"/>
    </row>
    <row r="73" spans="1:13" ht="13.5" thickBot="1" x14ac:dyDescent="0.25">
      <c r="M73" s="32"/>
    </row>
    <row r="74" spans="1:13" ht="13.5" thickBot="1" x14ac:dyDescent="0.25">
      <c r="B74" s="104" t="s">
        <v>69</v>
      </c>
      <c r="C74" s="105" t="s">
        <v>95</v>
      </c>
      <c r="D74" s="106" t="s">
        <v>96</v>
      </c>
      <c r="E74" s="53" t="s">
        <v>97</v>
      </c>
      <c r="M74" s="32"/>
    </row>
    <row r="75" spans="1:13" x14ac:dyDescent="0.2">
      <c r="B75" s="107" t="s">
        <v>78</v>
      </c>
      <c r="C75" s="40">
        <v>8581.15</v>
      </c>
      <c r="D75" s="108">
        <f>9443-3*497</f>
        <v>7952</v>
      </c>
      <c r="E75" s="109">
        <f>D75/C75</f>
        <v>0.92668232113411375</v>
      </c>
      <c r="M75" s="32"/>
    </row>
    <row r="76" spans="1:13" x14ac:dyDescent="0.2">
      <c r="B76" s="84" t="s">
        <v>72</v>
      </c>
      <c r="C76" s="43">
        <v>105525.75</v>
      </c>
      <c r="D76" s="110">
        <f>195750-11810</f>
        <v>183940</v>
      </c>
      <c r="E76" s="111">
        <f t="shared" ref="E76:E84" si="2">D76/C76</f>
        <v>1.7430816649016947</v>
      </c>
      <c r="M76" s="32"/>
    </row>
    <row r="77" spans="1:13" x14ac:dyDescent="0.2">
      <c r="B77" s="84" t="s">
        <v>98</v>
      </c>
      <c r="C77" s="43">
        <v>1322.72</v>
      </c>
      <c r="D77" s="110">
        <f>3*497</f>
        <v>1491</v>
      </c>
      <c r="E77" s="111">
        <f t="shared" si="2"/>
        <v>1.1272226926333615</v>
      </c>
      <c r="M77" s="32"/>
    </row>
    <row r="78" spans="1:13" x14ac:dyDescent="0.2">
      <c r="B78" s="84" t="s">
        <v>73</v>
      </c>
      <c r="C78" s="43">
        <v>5864.25</v>
      </c>
      <c r="D78" s="110">
        <v>11810</v>
      </c>
      <c r="E78" s="111">
        <f t="shared" si="2"/>
        <v>2.01389777038837</v>
      </c>
      <c r="M78" s="32"/>
    </row>
    <row r="79" spans="1:13" x14ac:dyDescent="0.2">
      <c r="B79" s="84" t="s">
        <v>99</v>
      </c>
      <c r="C79" s="43">
        <v>16093.65</v>
      </c>
      <c r="D79" s="110">
        <f>13984+13984+12660</f>
        <v>40628</v>
      </c>
      <c r="E79" s="111">
        <f t="shared" si="2"/>
        <v>2.5244739384788413</v>
      </c>
      <c r="F79" s="112">
        <f>SUM(D75:D80)/SUM(C75:C80)</f>
        <v>2.4810987260462394</v>
      </c>
      <c r="M79" s="32"/>
    </row>
    <row r="80" spans="1:13" x14ac:dyDescent="0.2">
      <c r="B80" s="84" t="s">
        <v>100</v>
      </c>
      <c r="C80" s="43">
        <v>27875.15</v>
      </c>
      <c r="D80" s="110">
        <f>204840-D79</f>
        <v>164212</v>
      </c>
      <c r="E80" s="111">
        <f t="shared" si="2"/>
        <v>5.89098175256456</v>
      </c>
    </row>
    <row r="81" spans="2:13" x14ac:dyDescent="0.2">
      <c r="B81" s="84" t="s">
        <v>101</v>
      </c>
      <c r="C81" s="43">
        <v>47686.94</v>
      </c>
      <c r="D81" s="110">
        <v>232669</v>
      </c>
      <c r="E81" s="111">
        <f t="shared" si="2"/>
        <v>4.879092682398996</v>
      </c>
      <c r="M81" s="32"/>
    </row>
    <row r="82" spans="2:13" x14ac:dyDescent="0.2">
      <c r="B82" s="84" t="s">
        <v>102</v>
      </c>
      <c r="C82" s="43">
        <v>5392.34</v>
      </c>
      <c r="D82" s="110">
        <v>2960</v>
      </c>
      <c r="E82" s="111">
        <f t="shared" si="2"/>
        <v>0.54892681099485563</v>
      </c>
      <c r="M82" s="32"/>
    </row>
    <row r="83" spans="2:13" x14ac:dyDescent="0.2">
      <c r="B83" s="84" t="s">
        <v>103</v>
      </c>
      <c r="C83" s="43">
        <v>21084.51</v>
      </c>
      <c r="D83" s="110">
        <v>1054.2</v>
      </c>
      <c r="E83" s="111">
        <f t="shared" si="2"/>
        <v>4.9998790581331991E-2</v>
      </c>
      <c r="M83" s="32"/>
    </row>
    <row r="84" spans="2:13" ht="13.5" thickBot="1" x14ac:dyDescent="0.25">
      <c r="B84" s="51" t="s">
        <v>104</v>
      </c>
      <c r="C84" s="46">
        <v>8258.93</v>
      </c>
      <c r="D84" s="113">
        <v>16518</v>
      </c>
      <c r="E84" s="114">
        <f t="shared" si="2"/>
        <v>2.0000169513484192</v>
      </c>
      <c r="M84" s="32"/>
    </row>
    <row r="85" spans="2:13" ht="13.5" thickBot="1" x14ac:dyDescent="0.25">
      <c r="B85" s="48" t="s">
        <v>77</v>
      </c>
      <c r="C85" s="49">
        <f>SUM(C75:C84)</f>
        <v>247685.38999999998</v>
      </c>
      <c r="D85" s="115">
        <f>SUM(D75:D84)</f>
        <v>663234.19999999995</v>
      </c>
      <c r="E85" s="116"/>
      <c r="M85" s="32"/>
    </row>
    <row r="88" spans="2:13" ht="13.5" thickBot="1" x14ac:dyDescent="0.25"/>
    <row r="89" spans="2:13" ht="13.5" thickBot="1" x14ac:dyDescent="0.25">
      <c r="B89" s="117" t="s">
        <v>105</v>
      </c>
      <c r="C89" s="118" t="s">
        <v>69</v>
      </c>
      <c r="D89" s="53" t="s">
        <v>106</v>
      </c>
      <c r="E89" s="54" t="s">
        <v>107</v>
      </c>
    </row>
    <row r="90" spans="2:13" x14ac:dyDescent="0.2">
      <c r="C90" s="79" t="s">
        <v>108</v>
      </c>
      <c r="D90" s="119">
        <v>17990</v>
      </c>
      <c r="E90" s="120">
        <f>164%*D90</f>
        <v>29503.599999999999</v>
      </c>
    </row>
    <row r="91" spans="2:13" x14ac:dyDescent="0.2">
      <c r="C91" s="84" t="s">
        <v>109</v>
      </c>
      <c r="D91" s="43">
        <v>107610</v>
      </c>
      <c r="E91" s="44">
        <f>164%*D91</f>
        <v>176480.4</v>
      </c>
    </row>
    <row r="92" spans="2:13" ht="13.5" thickBot="1" x14ac:dyDescent="0.25">
      <c r="C92" s="93" t="s">
        <v>110</v>
      </c>
      <c r="D92" s="121">
        <v>4490</v>
      </c>
      <c r="E92" s="122">
        <v>3220</v>
      </c>
    </row>
    <row r="93" spans="2:13" ht="13.5" thickBot="1" x14ac:dyDescent="0.25">
      <c r="C93" s="123" t="s">
        <v>3</v>
      </c>
      <c r="D93" s="124">
        <f>SUM(D90:D92)</f>
        <v>130090</v>
      </c>
      <c r="E93" s="125">
        <f>SUM(E90:E92)</f>
        <v>209204</v>
      </c>
    </row>
  </sheetData>
  <mergeCells count="3">
    <mergeCell ref="B1:D1"/>
    <mergeCell ref="B65:B67"/>
    <mergeCell ref="B70:G70"/>
  </mergeCells>
  <pageMargins left="0.75" right="0.75" top="1" bottom="1" header="0.5" footer="0.5"/>
  <pageSetup paperSize="9" scale="78" orientation="landscape" r:id="rId1"/>
  <headerFooter alignWithMargins="0">
    <oddHeader>&amp;C&amp;A</oddHeader>
    <oddFooter>&amp;Lאופיר בוכניק ושות' - רואי חשבון&amp;C&amp;P&amp;Rהיטל סלילת כבישים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"/>
  <sheetViews>
    <sheetView rightToLeft="1" zoomScaleNormal="100" zoomScaleSheetLayoutView="100" workbookViewId="0">
      <selection activeCell="I29" sqref="I29"/>
    </sheetView>
  </sheetViews>
  <sheetFormatPr defaultRowHeight="12.75" x14ac:dyDescent="0.2"/>
  <cols>
    <col min="1" max="1" width="9" style="33"/>
    <col min="2" max="2" width="19.875" style="33" bestFit="1" customWidth="1"/>
    <col min="3" max="3" width="13" style="33" customWidth="1"/>
    <col min="4" max="7" width="9" style="33"/>
    <col min="8" max="8" width="9" style="33" bestFit="1" customWidth="1"/>
    <col min="9" max="257" width="9" style="33"/>
    <col min="258" max="258" width="19.875" style="33" bestFit="1" customWidth="1"/>
    <col min="259" max="259" width="13" style="33" customWidth="1"/>
    <col min="260" max="263" width="9" style="33"/>
    <col min="264" max="264" width="9" style="33" bestFit="1" customWidth="1"/>
    <col min="265" max="513" width="9" style="33"/>
    <col min="514" max="514" width="19.875" style="33" bestFit="1" customWidth="1"/>
    <col min="515" max="515" width="13" style="33" customWidth="1"/>
    <col min="516" max="519" width="9" style="33"/>
    <col min="520" max="520" width="9" style="33" bestFit="1" customWidth="1"/>
    <col min="521" max="769" width="9" style="33"/>
    <col min="770" max="770" width="19.875" style="33" bestFit="1" customWidth="1"/>
    <col min="771" max="771" width="13" style="33" customWidth="1"/>
    <col min="772" max="775" width="9" style="33"/>
    <col min="776" max="776" width="9" style="33" bestFit="1" customWidth="1"/>
    <col min="777" max="1025" width="9" style="33"/>
    <col min="1026" max="1026" width="19.875" style="33" bestFit="1" customWidth="1"/>
    <col min="1027" max="1027" width="13" style="33" customWidth="1"/>
    <col min="1028" max="1031" width="9" style="33"/>
    <col min="1032" max="1032" width="9" style="33" bestFit="1" customWidth="1"/>
    <col min="1033" max="1281" width="9" style="33"/>
    <col min="1282" max="1282" width="19.875" style="33" bestFit="1" customWidth="1"/>
    <col min="1283" max="1283" width="13" style="33" customWidth="1"/>
    <col min="1284" max="1287" width="9" style="33"/>
    <col min="1288" max="1288" width="9" style="33" bestFit="1" customWidth="1"/>
    <col min="1289" max="1537" width="9" style="33"/>
    <col min="1538" max="1538" width="19.875" style="33" bestFit="1" customWidth="1"/>
    <col min="1539" max="1539" width="13" style="33" customWidth="1"/>
    <col min="1540" max="1543" width="9" style="33"/>
    <col min="1544" max="1544" width="9" style="33" bestFit="1" customWidth="1"/>
    <col min="1545" max="1793" width="9" style="33"/>
    <col min="1794" max="1794" width="19.875" style="33" bestFit="1" customWidth="1"/>
    <col min="1795" max="1795" width="13" style="33" customWidth="1"/>
    <col min="1796" max="1799" width="9" style="33"/>
    <col min="1800" max="1800" width="9" style="33" bestFit="1" customWidth="1"/>
    <col min="1801" max="2049" width="9" style="33"/>
    <col min="2050" max="2050" width="19.875" style="33" bestFit="1" customWidth="1"/>
    <col min="2051" max="2051" width="13" style="33" customWidth="1"/>
    <col min="2052" max="2055" width="9" style="33"/>
    <col min="2056" max="2056" width="9" style="33" bestFit="1" customWidth="1"/>
    <col min="2057" max="2305" width="9" style="33"/>
    <col min="2306" max="2306" width="19.875" style="33" bestFit="1" customWidth="1"/>
    <col min="2307" max="2307" width="13" style="33" customWidth="1"/>
    <col min="2308" max="2311" width="9" style="33"/>
    <col min="2312" max="2312" width="9" style="33" bestFit="1" customWidth="1"/>
    <col min="2313" max="2561" width="9" style="33"/>
    <col min="2562" max="2562" width="19.875" style="33" bestFit="1" customWidth="1"/>
    <col min="2563" max="2563" width="13" style="33" customWidth="1"/>
    <col min="2564" max="2567" width="9" style="33"/>
    <col min="2568" max="2568" width="9" style="33" bestFit="1" customWidth="1"/>
    <col min="2569" max="2817" width="9" style="33"/>
    <col min="2818" max="2818" width="19.875" style="33" bestFit="1" customWidth="1"/>
    <col min="2819" max="2819" width="13" style="33" customWidth="1"/>
    <col min="2820" max="2823" width="9" style="33"/>
    <col min="2824" max="2824" width="9" style="33" bestFit="1" customWidth="1"/>
    <col min="2825" max="3073" width="9" style="33"/>
    <col min="3074" max="3074" width="19.875" style="33" bestFit="1" customWidth="1"/>
    <col min="3075" max="3075" width="13" style="33" customWidth="1"/>
    <col min="3076" max="3079" width="9" style="33"/>
    <col min="3080" max="3080" width="9" style="33" bestFit="1" customWidth="1"/>
    <col min="3081" max="3329" width="9" style="33"/>
    <col min="3330" max="3330" width="19.875" style="33" bestFit="1" customWidth="1"/>
    <col min="3331" max="3331" width="13" style="33" customWidth="1"/>
    <col min="3332" max="3335" width="9" style="33"/>
    <col min="3336" max="3336" width="9" style="33" bestFit="1" customWidth="1"/>
    <col min="3337" max="3585" width="9" style="33"/>
    <col min="3586" max="3586" width="19.875" style="33" bestFit="1" customWidth="1"/>
    <col min="3587" max="3587" width="13" style="33" customWidth="1"/>
    <col min="3588" max="3591" width="9" style="33"/>
    <col min="3592" max="3592" width="9" style="33" bestFit="1" customWidth="1"/>
    <col min="3593" max="3841" width="9" style="33"/>
    <col min="3842" max="3842" width="19.875" style="33" bestFit="1" customWidth="1"/>
    <col min="3843" max="3843" width="13" style="33" customWidth="1"/>
    <col min="3844" max="3847" width="9" style="33"/>
    <col min="3848" max="3848" width="9" style="33" bestFit="1" customWidth="1"/>
    <col min="3849" max="4097" width="9" style="33"/>
    <col min="4098" max="4098" width="19.875" style="33" bestFit="1" customWidth="1"/>
    <col min="4099" max="4099" width="13" style="33" customWidth="1"/>
    <col min="4100" max="4103" width="9" style="33"/>
    <col min="4104" max="4104" width="9" style="33" bestFit="1" customWidth="1"/>
    <col min="4105" max="4353" width="9" style="33"/>
    <col min="4354" max="4354" width="19.875" style="33" bestFit="1" customWidth="1"/>
    <col min="4355" max="4355" width="13" style="33" customWidth="1"/>
    <col min="4356" max="4359" width="9" style="33"/>
    <col min="4360" max="4360" width="9" style="33" bestFit="1" customWidth="1"/>
    <col min="4361" max="4609" width="9" style="33"/>
    <col min="4610" max="4610" width="19.875" style="33" bestFit="1" customWidth="1"/>
    <col min="4611" max="4611" width="13" style="33" customWidth="1"/>
    <col min="4612" max="4615" width="9" style="33"/>
    <col min="4616" max="4616" width="9" style="33" bestFit="1" customWidth="1"/>
    <col min="4617" max="4865" width="9" style="33"/>
    <col min="4866" max="4866" width="19.875" style="33" bestFit="1" customWidth="1"/>
    <col min="4867" max="4867" width="13" style="33" customWidth="1"/>
    <col min="4868" max="4871" width="9" style="33"/>
    <col min="4872" max="4872" width="9" style="33" bestFit="1" customWidth="1"/>
    <col min="4873" max="5121" width="9" style="33"/>
    <col min="5122" max="5122" width="19.875" style="33" bestFit="1" customWidth="1"/>
    <col min="5123" max="5123" width="13" style="33" customWidth="1"/>
    <col min="5124" max="5127" width="9" style="33"/>
    <col min="5128" max="5128" width="9" style="33" bestFit="1" customWidth="1"/>
    <col min="5129" max="5377" width="9" style="33"/>
    <col min="5378" max="5378" width="19.875" style="33" bestFit="1" customWidth="1"/>
    <col min="5379" max="5379" width="13" style="33" customWidth="1"/>
    <col min="5380" max="5383" width="9" style="33"/>
    <col min="5384" max="5384" width="9" style="33" bestFit="1" customWidth="1"/>
    <col min="5385" max="5633" width="9" style="33"/>
    <col min="5634" max="5634" width="19.875" style="33" bestFit="1" customWidth="1"/>
    <col min="5635" max="5635" width="13" style="33" customWidth="1"/>
    <col min="5636" max="5639" width="9" style="33"/>
    <col min="5640" max="5640" width="9" style="33" bestFit="1" customWidth="1"/>
    <col min="5641" max="5889" width="9" style="33"/>
    <col min="5890" max="5890" width="19.875" style="33" bestFit="1" customWidth="1"/>
    <col min="5891" max="5891" width="13" style="33" customWidth="1"/>
    <col min="5892" max="5895" width="9" style="33"/>
    <col min="5896" max="5896" width="9" style="33" bestFit="1" customWidth="1"/>
    <col min="5897" max="6145" width="9" style="33"/>
    <col min="6146" max="6146" width="19.875" style="33" bestFit="1" customWidth="1"/>
    <col min="6147" max="6147" width="13" style="33" customWidth="1"/>
    <col min="6148" max="6151" width="9" style="33"/>
    <col min="6152" max="6152" width="9" style="33" bestFit="1" customWidth="1"/>
    <col min="6153" max="6401" width="9" style="33"/>
    <col min="6402" max="6402" width="19.875" style="33" bestFit="1" customWidth="1"/>
    <col min="6403" max="6403" width="13" style="33" customWidth="1"/>
    <col min="6404" max="6407" width="9" style="33"/>
    <col min="6408" max="6408" width="9" style="33" bestFit="1" customWidth="1"/>
    <col min="6409" max="6657" width="9" style="33"/>
    <col min="6658" max="6658" width="19.875" style="33" bestFit="1" customWidth="1"/>
    <col min="6659" max="6659" width="13" style="33" customWidth="1"/>
    <col min="6660" max="6663" width="9" style="33"/>
    <col min="6664" max="6664" width="9" style="33" bestFit="1" customWidth="1"/>
    <col min="6665" max="6913" width="9" style="33"/>
    <col min="6914" max="6914" width="19.875" style="33" bestFit="1" customWidth="1"/>
    <col min="6915" max="6915" width="13" style="33" customWidth="1"/>
    <col min="6916" max="6919" width="9" style="33"/>
    <col min="6920" max="6920" width="9" style="33" bestFit="1" customWidth="1"/>
    <col min="6921" max="7169" width="9" style="33"/>
    <col min="7170" max="7170" width="19.875" style="33" bestFit="1" customWidth="1"/>
    <col min="7171" max="7171" width="13" style="33" customWidth="1"/>
    <col min="7172" max="7175" width="9" style="33"/>
    <col min="7176" max="7176" width="9" style="33" bestFit="1" customWidth="1"/>
    <col min="7177" max="7425" width="9" style="33"/>
    <col min="7426" max="7426" width="19.875" style="33" bestFit="1" customWidth="1"/>
    <col min="7427" max="7427" width="13" style="33" customWidth="1"/>
    <col min="7428" max="7431" width="9" style="33"/>
    <col min="7432" max="7432" width="9" style="33" bestFit="1" customWidth="1"/>
    <col min="7433" max="7681" width="9" style="33"/>
    <col min="7682" max="7682" width="19.875" style="33" bestFit="1" customWidth="1"/>
    <col min="7683" max="7683" width="13" style="33" customWidth="1"/>
    <col min="7684" max="7687" width="9" style="33"/>
    <col min="7688" max="7688" width="9" style="33" bestFit="1" customWidth="1"/>
    <col min="7689" max="7937" width="9" style="33"/>
    <col min="7938" max="7938" width="19.875" style="33" bestFit="1" customWidth="1"/>
    <col min="7939" max="7939" width="13" style="33" customWidth="1"/>
    <col min="7940" max="7943" width="9" style="33"/>
    <col min="7944" max="7944" width="9" style="33" bestFit="1" customWidth="1"/>
    <col min="7945" max="8193" width="9" style="33"/>
    <col min="8194" max="8194" width="19.875" style="33" bestFit="1" customWidth="1"/>
    <col min="8195" max="8195" width="13" style="33" customWidth="1"/>
    <col min="8196" max="8199" width="9" style="33"/>
    <col min="8200" max="8200" width="9" style="33" bestFit="1" customWidth="1"/>
    <col min="8201" max="8449" width="9" style="33"/>
    <col min="8450" max="8450" width="19.875" style="33" bestFit="1" customWidth="1"/>
    <col min="8451" max="8451" width="13" style="33" customWidth="1"/>
    <col min="8452" max="8455" width="9" style="33"/>
    <col min="8456" max="8456" width="9" style="33" bestFit="1" customWidth="1"/>
    <col min="8457" max="8705" width="9" style="33"/>
    <col min="8706" max="8706" width="19.875" style="33" bestFit="1" customWidth="1"/>
    <col min="8707" max="8707" width="13" style="33" customWidth="1"/>
    <col min="8708" max="8711" width="9" style="33"/>
    <col min="8712" max="8712" width="9" style="33" bestFit="1" customWidth="1"/>
    <col min="8713" max="8961" width="9" style="33"/>
    <col min="8962" max="8962" width="19.875" style="33" bestFit="1" customWidth="1"/>
    <col min="8963" max="8963" width="13" style="33" customWidth="1"/>
    <col min="8964" max="8967" width="9" style="33"/>
    <col min="8968" max="8968" width="9" style="33" bestFit="1" customWidth="1"/>
    <col min="8969" max="9217" width="9" style="33"/>
    <col min="9218" max="9218" width="19.875" style="33" bestFit="1" customWidth="1"/>
    <col min="9219" max="9219" width="13" style="33" customWidth="1"/>
    <col min="9220" max="9223" width="9" style="33"/>
    <col min="9224" max="9224" width="9" style="33" bestFit="1" customWidth="1"/>
    <col min="9225" max="9473" width="9" style="33"/>
    <col min="9474" max="9474" width="19.875" style="33" bestFit="1" customWidth="1"/>
    <col min="9475" max="9475" width="13" style="33" customWidth="1"/>
    <col min="9476" max="9479" width="9" style="33"/>
    <col min="9480" max="9480" width="9" style="33" bestFit="1" customWidth="1"/>
    <col min="9481" max="9729" width="9" style="33"/>
    <col min="9730" max="9730" width="19.875" style="33" bestFit="1" customWidth="1"/>
    <col min="9731" max="9731" width="13" style="33" customWidth="1"/>
    <col min="9732" max="9735" width="9" style="33"/>
    <col min="9736" max="9736" width="9" style="33" bestFit="1" customWidth="1"/>
    <col min="9737" max="9985" width="9" style="33"/>
    <col min="9986" max="9986" width="19.875" style="33" bestFit="1" customWidth="1"/>
    <col min="9987" max="9987" width="13" style="33" customWidth="1"/>
    <col min="9988" max="9991" width="9" style="33"/>
    <col min="9992" max="9992" width="9" style="33" bestFit="1" customWidth="1"/>
    <col min="9993" max="10241" width="9" style="33"/>
    <col min="10242" max="10242" width="19.875" style="33" bestFit="1" customWidth="1"/>
    <col min="10243" max="10243" width="13" style="33" customWidth="1"/>
    <col min="10244" max="10247" width="9" style="33"/>
    <col min="10248" max="10248" width="9" style="33" bestFit="1" customWidth="1"/>
    <col min="10249" max="10497" width="9" style="33"/>
    <col min="10498" max="10498" width="19.875" style="33" bestFit="1" customWidth="1"/>
    <col min="10499" max="10499" width="13" style="33" customWidth="1"/>
    <col min="10500" max="10503" width="9" style="33"/>
    <col min="10504" max="10504" width="9" style="33" bestFit="1" customWidth="1"/>
    <col min="10505" max="10753" width="9" style="33"/>
    <col min="10754" max="10754" width="19.875" style="33" bestFit="1" customWidth="1"/>
    <col min="10755" max="10755" width="13" style="33" customWidth="1"/>
    <col min="10756" max="10759" width="9" style="33"/>
    <col min="10760" max="10760" width="9" style="33" bestFit="1" customWidth="1"/>
    <col min="10761" max="11009" width="9" style="33"/>
    <col min="11010" max="11010" width="19.875" style="33" bestFit="1" customWidth="1"/>
    <col min="11011" max="11011" width="13" style="33" customWidth="1"/>
    <col min="11012" max="11015" width="9" style="33"/>
    <col min="11016" max="11016" width="9" style="33" bestFit="1" customWidth="1"/>
    <col min="11017" max="11265" width="9" style="33"/>
    <col min="11266" max="11266" width="19.875" style="33" bestFit="1" customWidth="1"/>
    <col min="11267" max="11267" width="13" style="33" customWidth="1"/>
    <col min="11268" max="11271" width="9" style="33"/>
    <col min="11272" max="11272" width="9" style="33" bestFit="1" customWidth="1"/>
    <col min="11273" max="11521" width="9" style="33"/>
    <col min="11522" max="11522" width="19.875" style="33" bestFit="1" customWidth="1"/>
    <col min="11523" max="11523" width="13" style="33" customWidth="1"/>
    <col min="11524" max="11527" width="9" style="33"/>
    <col min="11528" max="11528" width="9" style="33" bestFit="1" customWidth="1"/>
    <col min="11529" max="11777" width="9" style="33"/>
    <col min="11778" max="11778" width="19.875" style="33" bestFit="1" customWidth="1"/>
    <col min="11779" max="11779" width="13" style="33" customWidth="1"/>
    <col min="11780" max="11783" width="9" style="33"/>
    <col min="11784" max="11784" width="9" style="33" bestFit="1" customWidth="1"/>
    <col min="11785" max="12033" width="9" style="33"/>
    <col min="12034" max="12034" width="19.875" style="33" bestFit="1" customWidth="1"/>
    <col min="12035" max="12035" width="13" style="33" customWidth="1"/>
    <col min="12036" max="12039" width="9" style="33"/>
    <col min="12040" max="12040" width="9" style="33" bestFit="1" customWidth="1"/>
    <col min="12041" max="12289" width="9" style="33"/>
    <col min="12290" max="12290" width="19.875" style="33" bestFit="1" customWidth="1"/>
    <col min="12291" max="12291" width="13" style="33" customWidth="1"/>
    <col min="12292" max="12295" width="9" style="33"/>
    <col min="12296" max="12296" width="9" style="33" bestFit="1" customWidth="1"/>
    <col min="12297" max="12545" width="9" style="33"/>
    <col min="12546" max="12546" width="19.875" style="33" bestFit="1" customWidth="1"/>
    <col min="12547" max="12547" width="13" style="33" customWidth="1"/>
    <col min="12548" max="12551" width="9" style="33"/>
    <col min="12552" max="12552" width="9" style="33" bestFit="1" customWidth="1"/>
    <col min="12553" max="12801" width="9" style="33"/>
    <col min="12802" max="12802" width="19.875" style="33" bestFit="1" customWidth="1"/>
    <col min="12803" max="12803" width="13" style="33" customWidth="1"/>
    <col min="12804" max="12807" width="9" style="33"/>
    <col min="12808" max="12808" width="9" style="33" bestFit="1" customWidth="1"/>
    <col min="12809" max="13057" width="9" style="33"/>
    <col min="13058" max="13058" width="19.875" style="33" bestFit="1" customWidth="1"/>
    <col min="13059" max="13059" width="13" style="33" customWidth="1"/>
    <col min="13060" max="13063" width="9" style="33"/>
    <col min="13064" max="13064" width="9" style="33" bestFit="1" customWidth="1"/>
    <col min="13065" max="13313" width="9" style="33"/>
    <col min="13314" max="13314" width="19.875" style="33" bestFit="1" customWidth="1"/>
    <col min="13315" max="13315" width="13" style="33" customWidth="1"/>
    <col min="13316" max="13319" width="9" style="33"/>
    <col min="13320" max="13320" width="9" style="33" bestFit="1" customWidth="1"/>
    <col min="13321" max="13569" width="9" style="33"/>
    <col min="13570" max="13570" width="19.875" style="33" bestFit="1" customWidth="1"/>
    <col min="13571" max="13571" width="13" style="33" customWidth="1"/>
    <col min="13572" max="13575" width="9" style="33"/>
    <col min="13576" max="13576" width="9" style="33" bestFit="1" customWidth="1"/>
    <col min="13577" max="13825" width="9" style="33"/>
    <col min="13826" max="13826" width="19.875" style="33" bestFit="1" customWidth="1"/>
    <col min="13827" max="13827" width="13" style="33" customWidth="1"/>
    <col min="13828" max="13831" width="9" style="33"/>
    <col min="13832" max="13832" width="9" style="33" bestFit="1" customWidth="1"/>
    <col min="13833" max="14081" width="9" style="33"/>
    <col min="14082" max="14082" width="19.875" style="33" bestFit="1" customWidth="1"/>
    <col min="14083" max="14083" width="13" style="33" customWidth="1"/>
    <col min="14084" max="14087" width="9" style="33"/>
    <col min="14088" max="14088" width="9" style="33" bestFit="1" customWidth="1"/>
    <col min="14089" max="14337" width="9" style="33"/>
    <col min="14338" max="14338" width="19.875" style="33" bestFit="1" customWidth="1"/>
    <col min="14339" max="14339" width="13" style="33" customWidth="1"/>
    <col min="14340" max="14343" width="9" style="33"/>
    <col min="14344" max="14344" width="9" style="33" bestFit="1" customWidth="1"/>
    <col min="14345" max="14593" width="9" style="33"/>
    <col min="14594" max="14594" width="19.875" style="33" bestFit="1" customWidth="1"/>
    <col min="14595" max="14595" width="13" style="33" customWidth="1"/>
    <col min="14596" max="14599" width="9" style="33"/>
    <col min="14600" max="14600" width="9" style="33" bestFit="1" customWidth="1"/>
    <col min="14601" max="14849" width="9" style="33"/>
    <col min="14850" max="14850" width="19.875" style="33" bestFit="1" customWidth="1"/>
    <col min="14851" max="14851" width="13" style="33" customWidth="1"/>
    <col min="14852" max="14855" width="9" style="33"/>
    <col min="14856" max="14856" width="9" style="33" bestFit="1" customWidth="1"/>
    <col min="14857" max="15105" width="9" style="33"/>
    <col min="15106" max="15106" width="19.875" style="33" bestFit="1" customWidth="1"/>
    <col min="15107" max="15107" width="13" style="33" customWidth="1"/>
    <col min="15108" max="15111" width="9" style="33"/>
    <col min="15112" max="15112" width="9" style="33" bestFit="1" customWidth="1"/>
    <col min="15113" max="15361" width="9" style="33"/>
    <col min="15362" max="15362" width="19.875" style="33" bestFit="1" customWidth="1"/>
    <col min="15363" max="15363" width="13" style="33" customWidth="1"/>
    <col min="15364" max="15367" width="9" style="33"/>
    <col min="15368" max="15368" width="9" style="33" bestFit="1" customWidth="1"/>
    <col min="15369" max="15617" width="9" style="33"/>
    <col min="15618" max="15618" width="19.875" style="33" bestFit="1" customWidth="1"/>
    <col min="15619" max="15619" width="13" style="33" customWidth="1"/>
    <col min="15620" max="15623" width="9" style="33"/>
    <col min="15624" max="15624" width="9" style="33" bestFit="1" customWidth="1"/>
    <col min="15625" max="15873" width="9" style="33"/>
    <col min="15874" max="15874" width="19.875" style="33" bestFit="1" customWidth="1"/>
    <col min="15875" max="15875" width="13" style="33" customWidth="1"/>
    <col min="15876" max="15879" width="9" style="33"/>
    <col min="15880" max="15880" width="9" style="33" bestFit="1" customWidth="1"/>
    <col min="15881" max="16129" width="9" style="33"/>
    <col min="16130" max="16130" width="19.875" style="33" bestFit="1" customWidth="1"/>
    <col min="16131" max="16131" width="13" style="33" customWidth="1"/>
    <col min="16132" max="16135" width="9" style="33"/>
    <col min="16136" max="16136" width="9" style="33" bestFit="1" customWidth="1"/>
    <col min="16137" max="16384" width="9" style="33"/>
  </cols>
  <sheetData>
    <row r="2" spans="2:8" ht="15.75" x14ac:dyDescent="0.25">
      <c r="B2" s="126" t="s">
        <v>111</v>
      </c>
      <c r="C2" s="126"/>
      <c r="D2" s="126"/>
      <c r="E2" s="126"/>
      <c r="F2" s="126"/>
      <c r="G2" s="126"/>
      <c r="H2" s="126"/>
    </row>
    <row r="3" spans="2:8" ht="13.5" thickBot="1" x14ac:dyDescent="0.25"/>
    <row r="4" spans="2:8" ht="15.75" x14ac:dyDescent="0.2">
      <c r="B4" s="127" t="s">
        <v>5</v>
      </c>
      <c r="C4" s="128" t="s">
        <v>2</v>
      </c>
      <c r="D4" s="129"/>
      <c r="E4" s="128" t="s">
        <v>60</v>
      </c>
      <c r="F4" s="129"/>
      <c r="G4" s="130" t="s">
        <v>3</v>
      </c>
      <c r="H4" s="129"/>
    </row>
    <row r="5" spans="2:8" ht="16.5" thickBot="1" x14ac:dyDescent="0.25">
      <c r="B5" s="131"/>
      <c r="C5" s="132" t="s">
        <v>7</v>
      </c>
      <c r="D5" s="133" t="s">
        <v>61</v>
      </c>
      <c r="E5" s="132" t="s">
        <v>7</v>
      </c>
      <c r="F5" s="133" t="s">
        <v>61</v>
      </c>
      <c r="G5" s="134" t="s">
        <v>7</v>
      </c>
      <c r="H5" s="133" t="s">
        <v>62</v>
      </c>
    </row>
    <row r="6" spans="2:8" ht="15.75" x14ac:dyDescent="0.25">
      <c r="B6" s="135" t="s">
        <v>1</v>
      </c>
      <c r="C6" s="136">
        <f>'[2]שטחים '!C11</f>
        <v>50853</v>
      </c>
      <c r="D6" s="137">
        <f>'[2]שטחים '!D11</f>
        <v>88763.035999999993</v>
      </c>
      <c r="E6" s="136"/>
      <c r="F6" s="137"/>
      <c r="G6" s="138">
        <f>E6+C6</f>
        <v>50853</v>
      </c>
      <c r="H6" s="139">
        <f>F6+D6</f>
        <v>88763.035999999993</v>
      </c>
    </row>
    <row r="7" spans="2:8" ht="15.75" x14ac:dyDescent="0.25">
      <c r="B7" s="135" t="s">
        <v>4</v>
      </c>
      <c r="C7" s="140">
        <f>'[2]שטחים '!C16+'[2]שטחים '!C17+'[2]שטחים '!C18+'[2]שטחים '!C19</f>
        <v>144951</v>
      </c>
      <c r="D7" s="141">
        <f>'[2]שטחים '!D16+'[2]שטחים '!D17+'[2]שטחים '!D18+'[2]שטחים '!D19</f>
        <v>357393</v>
      </c>
      <c r="E7" s="142">
        <f>'[2]שטחים '!C20+'[2]שטחים '!C21</f>
        <v>36910</v>
      </c>
      <c r="F7" s="141">
        <f>'[2]שטחים '!D20+'[2]שטחים '!D21</f>
        <v>307566</v>
      </c>
      <c r="G7" s="143">
        <f>C7+E7</f>
        <v>181861</v>
      </c>
      <c r="H7" s="144">
        <f>F7+D7</f>
        <v>664959</v>
      </c>
    </row>
    <row r="8" spans="2:8" ht="15.75" x14ac:dyDescent="0.25">
      <c r="B8" s="145" t="s">
        <v>50</v>
      </c>
      <c r="C8" s="146">
        <f>'[2]שטחים '!E56</f>
        <v>51700</v>
      </c>
      <c r="D8" s="147">
        <f>'[2]שטחים '!D56</f>
        <v>43120</v>
      </c>
      <c r="E8" s="146"/>
      <c r="F8" s="147"/>
      <c r="G8" s="148">
        <f>C8+E8</f>
        <v>51700</v>
      </c>
      <c r="H8" s="149">
        <f>D8+F8</f>
        <v>43120</v>
      </c>
    </row>
    <row r="9" spans="2:8" ht="15.75" x14ac:dyDescent="0.25">
      <c r="B9" s="150" t="s">
        <v>63</v>
      </c>
      <c r="C9" s="136">
        <f>'[2]שטחים '!G69-'[2]שטחים '!G68</f>
        <v>61423</v>
      </c>
      <c r="D9" s="137">
        <f>'[2]שטחים '!F69-'[2]שטחים '!F68</f>
        <v>53342</v>
      </c>
      <c r="E9" s="136">
        <f>'[2]שטחים '!G68</f>
        <v>1130</v>
      </c>
      <c r="F9" s="137">
        <f>'[2]שטחים '!F68</f>
        <v>678</v>
      </c>
      <c r="G9" s="138">
        <f>C9+E9</f>
        <v>62553</v>
      </c>
      <c r="H9" s="139">
        <f>D9+F9</f>
        <v>54020</v>
      </c>
    </row>
    <row r="10" spans="2:8" ht="16.5" thickBot="1" x14ac:dyDescent="0.3">
      <c r="B10" s="151" t="s">
        <v>112</v>
      </c>
      <c r="C10" s="146">
        <f>'[2]שטחים '!C75+'[2]שטחים '!C76+'[2]שטחים '!C77+'[2]שטחים '!C78+'[2]שטחים '!C79+'[2]שטחים '!C80</f>
        <v>165262.66999999998</v>
      </c>
      <c r="D10" s="152">
        <f>'[2]שטחים '!D75+'[2]שטחים '!D76+'[2]שטחים '!D77+'[2]שטחים '!D78+'[2]שטחים '!D79+'[2]שטחים '!D80</f>
        <v>410033</v>
      </c>
      <c r="E10" s="146">
        <f>'[2]שטחים '!C81+'[2]שטחים '!C82+'[2]שטחים '!C83+'[2]שטחים '!C84</f>
        <v>82422.720000000001</v>
      </c>
      <c r="F10" s="153">
        <f>'[2]שטחים '!D81+'[2]שטחים '!D82+'[2]שטחים '!D83+'[2]שטחים '!D84</f>
        <v>253201.2</v>
      </c>
      <c r="G10" s="148">
        <f>C10+E10</f>
        <v>247685.38999999998</v>
      </c>
      <c r="H10" s="149">
        <f>D10+F10</f>
        <v>663234.19999999995</v>
      </c>
    </row>
    <row r="11" spans="2:8" ht="16.5" thickBot="1" x14ac:dyDescent="0.3">
      <c r="B11" s="154" t="s">
        <v>113</v>
      </c>
      <c r="C11" s="155">
        <f t="shared" ref="C11:H11" si="0">SUM(C6:C10)</f>
        <v>474189.67</v>
      </c>
      <c r="D11" s="155">
        <f t="shared" si="0"/>
        <v>952651.03599999996</v>
      </c>
      <c r="E11" s="155">
        <f t="shared" si="0"/>
        <v>120462.72</v>
      </c>
      <c r="F11" s="155">
        <f t="shared" si="0"/>
        <v>561445.19999999995</v>
      </c>
      <c r="G11" s="155">
        <f t="shared" si="0"/>
        <v>594652.39</v>
      </c>
      <c r="H11" s="155">
        <f t="shared" si="0"/>
        <v>1514096.236</v>
      </c>
    </row>
  </sheetData>
  <mergeCells count="5">
    <mergeCell ref="B2:H2"/>
    <mergeCell ref="B4:B5"/>
    <mergeCell ref="C4:D4"/>
    <mergeCell ref="E4:F4"/>
    <mergeCell ref="G4:H4"/>
  </mergeCells>
  <pageMargins left="0.75" right="0.75" top="1" bottom="1" header="0.5" footer="0.5"/>
  <pageSetup paperSize="9" scale="86" orientation="landscape" r:id="rId1"/>
  <headerFooter alignWithMargins="0">
    <oddHeader>&amp;C&amp;A</oddHeader>
    <oddFooter>&amp;Lאופיר בוכניק ושות' - רואי חשבון&amp;C&amp;P&amp;Rהיטל סלילת כבישים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rightToLeft="1" tabSelected="1" topLeftCell="A79" zoomScaleNormal="100" zoomScaleSheetLayoutView="115" workbookViewId="0">
      <selection activeCell="D32" sqref="D32"/>
    </sheetView>
  </sheetViews>
  <sheetFormatPr defaultRowHeight="12.75" x14ac:dyDescent="0.2"/>
  <cols>
    <col min="1" max="1" width="18" style="4" customWidth="1"/>
    <col min="2" max="2" width="17.75" style="4" customWidth="1"/>
    <col min="3" max="3" width="14.25" style="4" customWidth="1"/>
    <col min="4" max="4" width="13.875" style="4" customWidth="1"/>
    <col min="5" max="5" width="17.25" style="4" customWidth="1"/>
    <col min="6" max="6" width="9.25" style="4" bestFit="1" customWidth="1"/>
    <col min="7" max="7" width="9" style="4"/>
    <col min="8" max="8" width="11.125" style="4" bestFit="1" customWidth="1"/>
    <col min="9" max="16384" width="9" style="4"/>
  </cols>
  <sheetData>
    <row r="1" spans="1:8" ht="14.25" x14ac:dyDescent="0.2">
      <c r="A1" s="1"/>
      <c r="B1" s="2"/>
      <c r="C1" s="3"/>
    </row>
    <row r="2" spans="1:8" ht="12.75" customHeight="1" x14ac:dyDescent="0.2">
      <c r="A2" s="5" t="s">
        <v>8</v>
      </c>
      <c r="B2" s="6"/>
      <c r="C2" s="6"/>
    </row>
    <row r="3" spans="1:8" ht="15.75" x14ac:dyDescent="0.2">
      <c r="A3" s="7"/>
      <c r="B3" s="8" t="s">
        <v>9</v>
      </c>
      <c r="C3" s="8" t="s">
        <v>10</v>
      </c>
    </row>
    <row r="4" spans="1:8" ht="15" x14ac:dyDescent="0.2">
      <c r="A4" s="7"/>
      <c r="B4" s="9">
        <f>'ריכוז שטחים'!G11</f>
        <v>594652.39</v>
      </c>
      <c r="C4" s="9">
        <f>'ריכוז שטחים'!H11</f>
        <v>1514096.236</v>
      </c>
      <c r="D4" s="10"/>
      <c r="E4" s="1"/>
      <c r="F4" s="1"/>
      <c r="G4" s="3"/>
      <c r="H4" s="3"/>
    </row>
    <row r="5" spans="1:8" x14ac:dyDescent="0.2">
      <c r="A5" s="1"/>
      <c r="B5" s="11"/>
      <c r="C5" s="11"/>
      <c r="E5" s="1"/>
      <c r="F5" s="1"/>
      <c r="G5" s="1"/>
      <c r="H5" s="1"/>
    </row>
    <row r="6" spans="1:8" ht="15.75" customHeight="1" x14ac:dyDescent="0.2">
      <c r="B6" s="12" t="s">
        <v>11</v>
      </c>
      <c r="C6" s="12"/>
    </row>
    <row r="7" spans="1:8" ht="15.75" customHeight="1" x14ac:dyDescent="0.2">
      <c r="B7" s="13"/>
    </row>
    <row r="8" spans="1:8" ht="15.75" customHeight="1" x14ac:dyDescent="0.2">
      <c r="A8" s="168"/>
      <c r="B8" s="168" t="s">
        <v>12</v>
      </c>
      <c r="C8" s="168" t="s">
        <v>13</v>
      </c>
    </row>
    <row r="9" spans="1:8" ht="15.75" customHeight="1" x14ac:dyDescent="0.2">
      <c r="A9" s="169" t="s">
        <v>14</v>
      </c>
      <c r="B9" s="169"/>
      <c r="C9" s="170">
        <f>'שצ"פים (2)'!I110</f>
        <v>104485742.94273144</v>
      </c>
    </row>
    <row r="10" spans="1:8" ht="15.75" customHeight="1" x14ac:dyDescent="0.2">
      <c r="A10" s="169" t="s">
        <v>15</v>
      </c>
      <c r="B10" s="171">
        <v>0.08</v>
      </c>
      <c r="C10" s="172">
        <f>C9*B10</f>
        <v>8358859.4354185155</v>
      </c>
    </row>
    <row r="11" spans="1:8" ht="15.75" customHeight="1" x14ac:dyDescent="0.2">
      <c r="A11" s="169" t="s">
        <v>16</v>
      </c>
      <c r="B11" s="171">
        <v>0.08</v>
      </c>
      <c r="C11" s="172">
        <f>C9*B11</f>
        <v>8358859.4354185155</v>
      </c>
    </row>
    <row r="12" spans="1:8" ht="15.75" customHeight="1" x14ac:dyDescent="0.2">
      <c r="A12" s="173" t="s">
        <v>17</v>
      </c>
      <c r="B12" s="174"/>
      <c r="C12" s="175">
        <f>SUM(C9:C11)</f>
        <v>121203461.81356847</v>
      </c>
    </row>
    <row r="13" spans="1:8" ht="15.75" customHeight="1" x14ac:dyDescent="0.2">
      <c r="A13" s="169" t="s">
        <v>18</v>
      </c>
      <c r="B13" s="176">
        <v>0.17</v>
      </c>
      <c r="C13" s="172">
        <f>B13*C12</f>
        <v>20604588.508306641</v>
      </c>
    </row>
    <row r="14" spans="1:8" ht="15.75" customHeight="1" x14ac:dyDescent="0.2">
      <c r="A14" s="169" t="s">
        <v>19</v>
      </c>
      <c r="B14" s="171">
        <v>0.03</v>
      </c>
      <c r="C14" s="172">
        <f>SUM(C12:C13)*B14</f>
        <v>4254241.5096562533</v>
      </c>
    </row>
    <row r="15" spans="1:8" ht="15.75" customHeight="1" x14ac:dyDescent="0.2">
      <c r="A15" s="173" t="s">
        <v>20</v>
      </c>
      <c r="B15" s="173"/>
      <c r="C15" s="175">
        <f>SUM(C12:C14)</f>
        <v>146062291.83153138</v>
      </c>
    </row>
    <row r="16" spans="1:8" ht="15.75" customHeight="1" x14ac:dyDescent="0.2"/>
    <row r="18" spans="1:4" ht="15.75" x14ac:dyDescent="0.2">
      <c r="A18" s="14"/>
      <c r="B18" s="28" t="s">
        <v>21</v>
      </c>
      <c r="C18" s="29"/>
      <c r="D18" s="14"/>
    </row>
    <row r="19" spans="1:4" ht="15.75" x14ac:dyDescent="0.2">
      <c r="A19" s="8"/>
      <c r="B19" s="8" t="s">
        <v>22</v>
      </c>
      <c r="C19" s="8"/>
      <c r="D19" s="8" t="s">
        <v>23</v>
      </c>
    </row>
    <row r="20" spans="1:4" ht="15.75" x14ac:dyDescent="0.2">
      <c r="A20" s="8" t="s">
        <v>7</v>
      </c>
      <c r="B20" s="15">
        <v>0.2</v>
      </c>
      <c r="C20" s="16">
        <f>B20*C15</f>
        <v>29212458.366306275</v>
      </c>
      <c r="D20" s="17">
        <f>C20/B4</f>
        <v>49.125268572966256</v>
      </c>
    </row>
    <row r="21" spans="1:4" ht="15.75" x14ac:dyDescent="0.2">
      <c r="A21" s="8" t="s">
        <v>6</v>
      </c>
      <c r="B21" s="15">
        <v>0.8</v>
      </c>
      <c r="C21" s="16">
        <f>C15*B21</f>
        <v>116849833.4652251</v>
      </c>
      <c r="D21" s="17">
        <f>C21/C4</f>
        <v>77.174641008238467</v>
      </c>
    </row>
    <row r="22" spans="1:4" ht="15.75" x14ac:dyDescent="0.2">
      <c r="A22" s="8" t="s">
        <v>66</v>
      </c>
      <c r="B22" s="15"/>
      <c r="C22" s="16"/>
      <c r="D22" s="17">
        <f>D21/3.5</f>
        <v>22.049897430925277</v>
      </c>
    </row>
  </sheetData>
  <mergeCells count="1">
    <mergeCell ref="B18:C18"/>
  </mergeCells>
  <pageMargins left="0.75" right="0.75" top="1" bottom="1" header="0.5" footer="0.5"/>
  <pageSetup paperSize="9" scale="70" orientation="portrait" r:id="rId1"/>
  <headerFooter alignWithMargins="0">
    <oddHeader>&amp;C&amp;A</oddHeader>
    <oddFooter>&amp;Lאופיר בוכניק ושות'&amp;C&amp;P&amp;R&amp;F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rightToLeft="1" workbookViewId="0">
      <selection activeCell="C17" sqref="C17"/>
    </sheetView>
  </sheetViews>
  <sheetFormatPr defaultRowHeight="14.25" x14ac:dyDescent="0.2"/>
  <cols>
    <col min="1" max="1" width="15.875" customWidth="1"/>
    <col min="2" max="2" width="16.875" customWidth="1"/>
    <col min="3" max="3" width="15.875" customWidth="1"/>
    <col min="4" max="4" width="12.625" customWidth="1"/>
    <col min="5" max="5" width="16" customWidth="1"/>
  </cols>
  <sheetData>
    <row r="1" spans="1:21" ht="15.75" customHeight="1" x14ac:dyDescent="0.2">
      <c r="A1" s="30" t="s">
        <v>2</v>
      </c>
      <c r="B1" s="30"/>
      <c r="C1" s="6"/>
      <c r="D1" s="6"/>
      <c r="E1" s="6"/>
      <c r="M1" s="27" t="s">
        <v>27</v>
      </c>
      <c r="N1" s="27"/>
      <c r="O1" s="27"/>
      <c r="P1" s="27"/>
      <c r="Q1" s="27"/>
      <c r="R1" s="27"/>
      <c r="S1" s="27"/>
      <c r="T1" s="27"/>
      <c r="U1" s="27"/>
    </row>
    <row r="2" spans="1:21" ht="15.75" x14ac:dyDescent="0.2">
      <c r="A2" s="8"/>
      <c r="B2" s="8" t="s">
        <v>64</v>
      </c>
      <c r="C2" s="8" t="s">
        <v>24</v>
      </c>
      <c r="D2" s="8" t="s">
        <v>25</v>
      </c>
      <c r="E2" s="8" t="s">
        <v>26</v>
      </c>
      <c r="M2" s="20" t="s">
        <v>28</v>
      </c>
      <c r="N2" s="21"/>
      <c r="O2" s="20" t="s">
        <v>29</v>
      </c>
      <c r="P2" s="21"/>
      <c r="Q2" s="22">
        <v>43040</v>
      </c>
      <c r="R2" s="21"/>
      <c r="S2" s="22">
        <v>40179</v>
      </c>
      <c r="T2" s="21"/>
      <c r="U2" s="26" t="s">
        <v>30</v>
      </c>
    </row>
    <row r="3" spans="1:21" ht="15.75" x14ac:dyDescent="0.2">
      <c r="A3" s="8" t="s">
        <v>7</v>
      </c>
      <c r="B3" s="18">
        <v>36.97</v>
      </c>
      <c r="C3" s="18">
        <f>B3*$L$5</f>
        <v>39.953479000000002</v>
      </c>
      <c r="D3" s="18">
        <f>'חישוב היטל'!D20</f>
        <v>49.125268572966256</v>
      </c>
      <c r="E3" s="19">
        <f>D3/C3-1</f>
        <v>0.22956172534978125</v>
      </c>
      <c r="M3" s="23">
        <v>8.07</v>
      </c>
      <c r="N3" s="21"/>
      <c r="O3" s="23">
        <v>1.1259999999999999</v>
      </c>
      <c r="P3" s="21"/>
      <c r="Q3" s="23">
        <v>100.3</v>
      </c>
      <c r="R3" s="21"/>
      <c r="S3" s="23">
        <v>104.5</v>
      </c>
      <c r="T3" s="21"/>
      <c r="U3" s="24" t="s">
        <v>115</v>
      </c>
    </row>
    <row r="4" spans="1:21" ht="15.75" x14ac:dyDescent="0.2">
      <c r="A4" s="8" t="s">
        <v>65</v>
      </c>
      <c r="B4" s="18">
        <v>58.07</v>
      </c>
      <c r="C4" s="18">
        <f>B4*$L$5</f>
        <v>62.756248999999997</v>
      </c>
      <c r="D4" s="18">
        <f>'חישוב היטל'!D21</f>
        <v>77.174641008238467</v>
      </c>
      <c r="E4" s="19">
        <f>D4/C4-1</f>
        <v>0.22975229141305875</v>
      </c>
      <c r="L4">
        <f>M3/100</f>
        <v>8.0700000000000008E-2</v>
      </c>
    </row>
    <row r="5" spans="1:21" ht="15.75" x14ac:dyDescent="0.2">
      <c r="A5" s="30" t="s">
        <v>114</v>
      </c>
      <c r="B5" s="30"/>
      <c r="C5" s="6"/>
      <c r="D5" s="6"/>
      <c r="E5" s="6"/>
      <c r="L5">
        <f>L4+1</f>
        <v>1.0807</v>
      </c>
    </row>
    <row r="6" spans="1:21" ht="15.75" x14ac:dyDescent="0.2">
      <c r="A6" s="8"/>
      <c r="B6" s="8" t="s">
        <v>64</v>
      </c>
      <c r="C6" s="8" t="s">
        <v>24</v>
      </c>
      <c r="D6" s="8" t="s">
        <v>25</v>
      </c>
      <c r="E6" s="8" t="s">
        <v>26</v>
      </c>
      <c r="H6" s="25"/>
    </row>
    <row r="7" spans="1:21" ht="15.75" x14ac:dyDescent="0.2">
      <c r="A7" s="8" t="s">
        <v>7</v>
      </c>
      <c r="B7" s="18">
        <v>36.97</v>
      </c>
      <c r="C7" s="18">
        <f>B7*$L$5</f>
        <v>39.953479000000002</v>
      </c>
      <c r="D7" s="18">
        <f>'חישוב היטל'!D20</f>
        <v>49.125268572966256</v>
      </c>
      <c r="E7" s="19">
        <f>D7/C7-1</f>
        <v>0.22956172534978125</v>
      </c>
    </row>
    <row r="8" spans="1:21" ht="15.75" x14ac:dyDescent="0.2">
      <c r="A8" s="8" t="s">
        <v>65</v>
      </c>
      <c r="B8" s="18">
        <v>16.59</v>
      </c>
      <c r="C8" s="18">
        <f>B8*$L$5</f>
        <v>17.928812999999998</v>
      </c>
      <c r="D8" s="18">
        <f>'חישוב היטל'!D22</f>
        <v>22.049897430925277</v>
      </c>
      <c r="E8" s="19">
        <f>D8/C8-1</f>
        <v>0.22985818586681006</v>
      </c>
    </row>
  </sheetData>
  <mergeCells count="3">
    <mergeCell ref="A1:B1"/>
    <mergeCell ref="A5:B5"/>
    <mergeCell ref="M1:U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2</vt:i4>
      </vt:variant>
    </vt:vector>
  </HeadingPairs>
  <TitlesOfParts>
    <vt:vector size="7" baseType="lpstr">
      <vt:lpstr>שצ"פים (2)</vt:lpstr>
      <vt:lpstr>שטחים </vt:lpstr>
      <vt:lpstr>ריכוז שטחים</vt:lpstr>
      <vt:lpstr>חישוב היטל</vt:lpstr>
      <vt:lpstr>השוואה</vt:lpstr>
      <vt:lpstr>'חישוב היטל'!WPrint_Area_W</vt:lpstr>
      <vt:lpstr>'שצ"פים (2)'!WPrint_Area_W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אילונה מינקוב - אופיר בוכניק ושות' רואי חשבון</dc:creator>
  <cp:lastModifiedBy>אילונה מינקוב - אופיר בוכניק ושות' רואי חשבון</cp:lastModifiedBy>
  <dcterms:created xsi:type="dcterms:W3CDTF">2017-03-01T15:57:45Z</dcterms:created>
  <dcterms:modified xsi:type="dcterms:W3CDTF">2017-12-18T14:00:42Z</dcterms:modified>
</cp:coreProperties>
</file>