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Z:\גולמי לחלוקה בין הספריות\מודלים לפרסום 2025\"/>
    </mc:Choice>
  </mc:AlternateContent>
  <xr:revisionPtr revIDLastSave="0" documentId="13_ncr:1_{17D7A8CF-E043-4537-B0B9-E4673A71630B}" xr6:coauthVersionLast="47" xr6:coauthVersionMax="47" xr10:uidLastSave="{00000000-0000-0000-0000-000000000000}"/>
  <bookViews>
    <workbookView xWindow="-120" yWindow="-120" windowWidth="29040" windowHeight="15720" tabRatio="849" firstSheet="16" activeTab="27" xr2:uid="{00000000-000D-0000-FFFF-FFFF00000000}"/>
  </bookViews>
  <sheets>
    <sheet name="ProtectSettings" sheetId="169" state="veryHidden" r:id="rId1"/>
    <sheet name="גיליון עזר" sheetId="23" state="hidden" r:id="rId2"/>
    <sheet name="הדרכה למשתמש" sheetId="167" r:id="rId3"/>
    <sheet name="פרמטרים" sheetId="1" r:id="rId4"/>
    <sheet name="הוראת שעה" sheetId="168" state="hidden" r:id="rId5"/>
    <sheet name="ריכוז נתונים" sheetId="2" r:id="rId6"/>
    <sheet name="ריכוז נתונים כללים" sheetId="3" r:id="rId7"/>
    <sheet name="תנאי סף" sheetId="179" r:id="rId8"/>
    <sheet name="ארועים" sheetId="4" r:id="rId9"/>
    <sheet name="תערוכות" sheetId="16" r:id="rId10"/>
    <sheet name="אתר אינטרנט" sheetId="17" r:id="rId11"/>
    <sheet name="עלונים" sheetId="19" r:id="rId12"/>
    <sheet name="ספרי עיון" sheetId="20" r:id="rId13"/>
    <sheet name="הכנסות עצמיות" sheetId="21" r:id="rId14"/>
    <sheet name="תיעוד ושימור" sheetId="154" r:id="rId15"/>
    <sheet name="תחשיב בסיסי ראשוני" sheetId="7" r:id="rId16"/>
    <sheet name="תחשיב בסיסי לאחר 11ב ו12ג5 " sheetId="177" r:id="rId17"/>
    <sheet name="ייצוב" sheetId="174" r:id="rId18"/>
    <sheet name="הוראת מעבר- הגנה" sheetId="15" state="hidden" r:id="rId19"/>
    <sheet name="הגנה" sheetId="156" state="hidden" r:id="rId20"/>
    <sheet name="סיכום" sheetId="14" r:id="rId21"/>
    <sheet name="הגבלה לסכום מבוקש (1)" sheetId="161" r:id="rId22"/>
    <sheet name="קיזוזים בגין איחורים" sheetId="170" r:id="rId23"/>
    <sheet name="קיזוזים- החלטות ועדה" sheetId="171" r:id="rId24"/>
    <sheet name="הגבלה לסכום מבוקש (2)" sheetId="164" r:id="rId25"/>
    <sheet name="גיליון1" sheetId="180" state="hidden" r:id="rId26"/>
    <sheet name="סיכום לועדה- הזנת נתונים" sheetId="165" r:id="rId27"/>
    <sheet name="סיכום לועדה - תוצאות" sheetId="166" r:id="rId28"/>
    <sheet name="מרכבה" sheetId="178" state="hidden" r:id="rId29"/>
    <sheet name="מרכז מורשת בבל" sheetId="22" r:id="rId30"/>
    <sheet name="מורשת יהודי צפון  אפריקה" sheetId="88" r:id="rId31"/>
    <sheet name="מורשת יהדות קוצין" sheetId="89" r:id="rId32"/>
    <sheet name="הפדרציה העולמית של יהדות תוניס" sheetId="90" r:id="rId33"/>
    <sheet name="התאחדות עולי מצרים" sheetId="91" r:id="rId34"/>
    <sheet name="יהודים יוצאי לוב" sheetId="92" r:id="rId35"/>
    <sheet name="הפדרציה העולמית של יהדות מרוקו" sheetId="93" r:id="rId36"/>
    <sheet name="אורות הגליל" sheetId="94" r:id="rId37"/>
    <sheet name="אלמז" sheetId="95" r:id="rId38"/>
    <sheet name="קונגרס יהודי בוכרה" sheetId="96" r:id="rId39"/>
    <sheet name="יהדות שאלוניקי יוון" sheetId="97" r:id="rId40"/>
    <sheet name="גיליון הזנה 12" sheetId="98" state="hidden" r:id="rId41"/>
    <sheet name="גיליון הזנה 13" sheetId="99" state="hidden" r:id="rId42"/>
    <sheet name="גיליון הזנה 14" sheetId="100" state="hidden" r:id="rId43"/>
    <sheet name="גיליון הזנה 25" sheetId="111" state="hidden" r:id="rId44"/>
    <sheet name="גיליון הזנה 40" sheetId="126" state="hidden" r:id="rId45"/>
    <sheet name="החברה לטיפוח חברה תרבות תיעוד " sheetId="101" r:id="rId46"/>
    <sheet name="עמותת אור שלום" sheetId="102" r:id="rId47"/>
    <sheet name="גיליון הזנה 17" sheetId="103" state="hidden" r:id="rId48"/>
    <sheet name="גיליון הזנה 26" sheetId="112" state="hidden" r:id="rId49"/>
    <sheet name="ישיבת קרלין סטולין" sheetId="104" r:id="rId50"/>
    <sheet name="גיליון הזנה 19" sheetId="105" state="hidden" r:id="rId51"/>
    <sheet name="גיליון הזנה 20" sheetId="106" state="hidden" r:id="rId52"/>
    <sheet name="ברית יוצאי מרוקו" sheetId="107" r:id="rId53"/>
    <sheet name="הקם - בית הקונפדרציה" sheetId="108" r:id="rId54"/>
    <sheet name="מוסיקה מזרח מערב" sheetId="109" r:id="rId55"/>
    <sheet name="אעלה בתמר" sheetId="110" r:id="rId56"/>
    <sheet name="מכון הברמן" sheetId="113" r:id="rId57"/>
    <sheet name="חיבה" sheetId="175" r:id="rId58"/>
    <sheet name="גיליון הזנה 45" sheetId="131" state="hidden" r:id="rId59"/>
    <sheet name="גיליון הזנה 28" sheetId="114" state="hidden" r:id="rId60"/>
    <sheet name="ענבל מרכז אתני" sheetId="132" r:id="rId61"/>
    <sheet name="א.ב. חדשות השומרונים" sheetId="133" r:id="rId62"/>
    <sheet name="גיליון הזנה 30" sheetId="116" state="hidden" r:id="rId63"/>
    <sheet name="עמותת הנני" sheetId="138" r:id="rId64"/>
    <sheet name="שרשרת הדורות" sheetId="152" r:id="rId65"/>
    <sheet name="גיליון הזנה 29" sheetId="115" state="hidden" r:id="rId66"/>
    <sheet name="כולנא" sheetId="117" r:id="rId67"/>
    <sheet name="גיליון הזנה 32" sheetId="118" state="hidden" r:id="rId68"/>
    <sheet name="גיליון הזנה 33" sheetId="119" state="hidden" r:id="rId69"/>
    <sheet name="גיליון הזנה 34" sheetId="120" state="hidden" r:id="rId70"/>
    <sheet name="גיליון הזנה 35" sheetId="121" state="hidden" r:id="rId71"/>
    <sheet name="גיליון הזנה 36" sheetId="122" state="hidden" r:id="rId72"/>
    <sheet name="גיליון הזנה 37" sheetId="123" state="hidden" r:id="rId73"/>
    <sheet name="גיליון הזנה 38" sheetId="124" state="hidden" r:id="rId74"/>
    <sheet name="גיליון הזנה 39" sheetId="125" state="hidden" r:id="rId75"/>
    <sheet name="גיליון הזנה 41" sheetId="127" state="hidden" r:id="rId76"/>
    <sheet name="גיליון הזנה 42" sheetId="128" state="hidden" r:id="rId77"/>
    <sheet name="גיליון הזנה 43" sheetId="141" state="hidden" r:id="rId78"/>
    <sheet name="גיליון הזנה 44" sheetId="129" state="hidden" r:id="rId79"/>
    <sheet name="גיליון הזנה 48" sheetId="134" state="hidden" r:id="rId80"/>
    <sheet name="גיליון הזנה 49" sheetId="135" state="hidden" r:id="rId81"/>
    <sheet name="גיליון הזנה 52" sheetId="136" state="hidden" r:id="rId82"/>
    <sheet name="גיליון הזנה 51" sheetId="137" state="hidden" r:id="rId83"/>
    <sheet name="גיליון הזנה 53" sheetId="139" state="hidden" r:id="rId84"/>
    <sheet name="גיליון הזנה 54" sheetId="140" state="hidden" r:id="rId85"/>
    <sheet name="גיליון הזנה 55" sheetId="130" state="hidden" r:id="rId86"/>
    <sheet name="גיליון הזנה 56" sheetId="142" state="hidden" r:id="rId87"/>
    <sheet name="גיליון הזנה 57" sheetId="143" state="hidden" r:id="rId88"/>
    <sheet name="גיליון הזנה 58" sheetId="144" state="hidden" r:id="rId89"/>
    <sheet name="גיליון הזנה 59" sheetId="145" state="hidden" r:id="rId90"/>
    <sheet name="גיליון הזנה 62" sheetId="176" state="hidden" r:id="rId91"/>
  </sheets>
  <definedNames>
    <definedName name="_xlnm._FilterDatabase" localSheetId="28" hidden="1">מרכבה!$A$1:$K$430</definedName>
    <definedName name="_xlnm._FilterDatabase" localSheetId="20" hidden="1">סיכום!$B$15:$G$16</definedName>
    <definedName name="_xlnm._FilterDatabase" localSheetId="26" hidden="1">'סיכום לועדה- הזנת נתונים'!$A$30:$V$131</definedName>
    <definedName name="_xlnm._FilterDatabase" localSheetId="27" hidden="1">'סיכום לועדה - תוצאות'!$A$30:$GR$131</definedName>
    <definedName name="_xlnm._FilterDatabase" localSheetId="7" hidden="1">'תנאי סף'!$AH$9:$CA$72</definedName>
    <definedName name="a">#REF!</definedName>
    <definedName name="aa">#REF!</definedName>
    <definedName name="b">#REF!</definedName>
    <definedName name="DDDD">#REF!</definedName>
    <definedName name="ee">#REF!</definedName>
    <definedName name="ngf">#REF!</definedName>
    <definedName name="solver_adj" localSheetId="17" hidden="1">ייצוב!#REF!</definedName>
    <definedName name="solver_cvg" localSheetId="17" hidden="1">0.0001</definedName>
    <definedName name="solver_drv" localSheetId="17" hidden="1">1</definedName>
    <definedName name="solver_est" localSheetId="17" hidden="1">1</definedName>
    <definedName name="solver_itr" localSheetId="17" hidden="1">100</definedName>
    <definedName name="solver_lhs1" localSheetId="17" hidden="1">ייצוב!#REF!</definedName>
    <definedName name="solver_lhs2" localSheetId="17" hidden="1">ייצוב!#REF!</definedName>
    <definedName name="solver_lhs3" localSheetId="17" hidden="1">ייצוב!#REF!</definedName>
    <definedName name="solver_lin" localSheetId="17" hidden="1">2</definedName>
    <definedName name="solver_neg" localSheetId="17" hidden="1">1</definedName>
    <definedName name="solver_num" localSheetId="17" hidden="1">3</definedName>
    <definedName name="solver_nwt" localSheetId="17" hidden="1">1</definedName>
    <definedName name="solver_opt" localSheetId="17" hidden="1">ייצוב!#REF!</definedName>
    <definedName name="solver_pre" localSheetId="17" hidden="1">0.000001</definedName>
    <definedName name="solver_rel1" localSheetId="17" hidden="1">3</definedName>
    <definedName name="solver_rel2" localSheetId="17" hidden="1">3</definedName>
    <definedName name="solver_rel3" localSheetId="17" hidden="1">3</definedName>
    <definedName name="solver_rhs1" localSheetId="17" hidden="1">0.8*AVERAGE(ייצוב!#REF!,ייצוב!#REF!)</definedName>
    <definedName name="solver_rhs2" localSheetId="17" hidden="1">0.8*AVERAGE(ייצוב!#REF!,ייצוב!#REF!)</definedName>
    <definedName name="solver_rhs3" localSheetId="17" hidden="1">0.8*AVERAGE(ייצוב!#REF!,ייצוב!#REF!)</definedName>
    <definedName name="solver_scl" localSheetId="17" hidden="1">2</definedName>
    <definedName name="solver_sho" localSheetId="17" hidden="1">2</definedName>
    <definedName name="solver_tim" localSheetId="17" hidden="1">100</definedName>
    <definedName name="solver_tol" localSheetId="17" hidden="1">0.05</definedName>
    <definedName name="solver_typ" localSheetId="17" hidden="1">3</definedName>
    <definedName name="solver_val" localSheetId="17" hidden="1">1</definedName>
    <definedName name="_xlnm.Print_Area" localSheetId="8">ארועים!$A$1:$P$78</definedName>
    <definedName name="_xlnm.Print_Area" localSheetId="10">'אתר אינטרנט'!$A$1:$J$78</definedName>
    <definedName name="_xlnm.Print_Area" localSheetId="21">'הגבלה לסכום מבוקש (1)'!$B$1:$Z$131</definedName>
    <definedName name="_xlnm.Print_Area" localSheetId="24">'הגבלה לסכום מבוקש (2)'!$B$1:$X$131</definedName>
    <definedName name="_xlnm.Print_Area" localSheetId="19">הגנה!$B$1:$AV$76</definedName>
    <definedName name="_xlnm.Print_Area" localSheetId="2">'הדרכה למשתמש'!$B$1:$H$18</definedName>
    <definedName name="_xlnm.Print_Area" localSheetId="18">'הוראת מעבר- הגנה'!$A$1:$BS$76</definedName>
    <definedName name="_xlnm.Print_Area" localSheetId="45">'החברה לטיפוח חברה תרבות תיעוד '!$A$1:$P$79</definedName>
    <definedName name="_xlnm.Print_Area" localSheetId="13">'הכנסות עצמיות'!$A$1:$H$77</definedName>
    <definedName name="_xlnm.Print_Area" localSheetId="33">'התאחדות עולי מצרים'!$A$1:$O$79</definedName>
    <definedName name="_xlnm.Print_Area" localSheetId="17">ייצוב!$A$1:$Z$93</definedName>
    <definedName name="_xlnm.Print_Area" localSheetId="54">'מוסיקה מזרח מערב'!$A$1:$N$79</definedName>
    <definedName name="_xlnm.Print_Area" localSheetId="31">'מורשת יהדות קוצין'!$A$1:$O$79</definedName>
    <definedName name="_xlnm.Print_Area" localSheetId="56">'מכון הברמן'!$A$1:$O$79</definedName>
    <definedName name="_xlnm.Print_Area" localSheetId="20">סיכום!$A$1:$H$79</definedName>
    <definedName name="_xlnm.Print_Area" localSheetId="26">'סיכום לועדה- הזנת נתונים'!$B$1:$V$131</definedName>
    <definedName name="_xlnm.Print_Area" localSheetId="27">'סיכום לועדה - תוצאות'!$A$1:$W$131</definedName>
    <definedName name="_xlnm.Print_Area" localSheetId="12">'ספרי עיון'!$A$1:$G$78</definedName>
    <definedName name="_xlnm.Print_Area" localSheetId="11">עלונים!$A$1:$O$78</definedName>
    <definedName name="_xlnm.Print_Area" localSheetId="46">'עמותת אור שלום'!$B$1:$N$78</definedName>
    <definedName name="_xlnm.Print_Area" localSheetId="3">פרמטרים!$A$1:$G$132</definedName>
    <definedName name="_xlnm.Print_Area" localSheetId="23">'קיזוזים- החלטות ועדה'!$B$1:$G$131</definedName>
    <definedName name="_xlnm.Print_Area" localSheetId="22">'קיזוזים בגין איחורים'!$B$1:$H$131</definedName>
    <definedName name="_xlnm.Print_Area" localSheetId="5">'ריכוז נתונים'!$A$1:$AA$77</definedName>
    <definedName name="_xlnm.Print_Area" localSheetId="6">'ריכוז נתונים כללים'!$B$1:$W$78</definedName>
    <definedName name="_xlnm.Print_Area" localSheetId="16">'תחשיב בסיסי לאחר 11ב ו12ג5 '!$A$1:$N$78</definedName>
    <definedName name="_xlnm.Print_Area" localSheetId="15">'תחשיב בסיסי ראשוני'!$A$1:$N$77</definedName>
    <definedName name="_xlnm.Print_Area" localSheetId="14">'תיעוד ושימור'!$A$1:$G$78</definedName>
    <definedName name="_xlnm.Print_Area" localSheetId="7">'תנאי סף'!$B$1:$EI$72</definedName>
    <definedName name="_xlnm.Print_Area" localSheetId="9">תערוכות!$A$1:$F$78</definedName>
    <definedName name="_xlnm.Print_Titles" localSheetId="8">ארועים!$15:$16</definedName>
    <definedName name="_xlnm.Print_Titles" localSheetId="10">'אתר אינטרנט'!$15:$16</definedName>
    <definedName name="_xlnm.Print_Titles" localSheetId="21">'הגבלה לסכום מבוקש (1)'!$29:$30</definedName>
    <definedName name="_xlnm.Print_Titles" localSheetId="24">'הגבלה לסכום מבוקש (2)'!$29:$30</definedName>
    <definedName name="_xlnm.Print_Titles" localSheetId="19">הגנה!$B:$C,הגנה!$15:$16</definedName>
    <definedName name="_xlnm.Print_Titles" localSheetId="18">'הוראת מעבר- הגנה'!$15:$16</definedName>
    <definedName name="_xlnm.Print_Titles" localSheetId="13">'הכנסות עצמיות'!$15:$16</definedName>
    <definedName name="_xlnm.Print_Titles" localSheetId="17">ייצוב!$29:$30</definedName>
    <definedName name="_xlnm.Print_Titles" localSheetId="20">סיכום!$15:$16</definedName>
    <definedName name="_xlnm.Print_Titles" localSheetId="26">'סיכום לועדה- הזנת נתונים'!$29:$30</definedName>
    <definedName name="_xlnm.Print_Titles" localSheetId="27">'סיכום לועדה - תוצאות'!$B:$C,'סיכום לועדה - תוצאות'!$30:$30</definedName>
    <definedName name="_xlnm.Print_Titles" localSheetId="12">'ספרי עיון'!$15:$16</definedName>
    <definedName name="_xlnm.Print_Titles" localSheetId="11">עלונים!$15:$16</definedName>
    <definedName name="_xlnm.Print_Titles" localSheetId="23">'קיזוזים- החלטות ועדה'!$29:$30</definedName>
    <definedName name="_xlnm.Print_Titles" localSheetId="22">'קיזוזים בגין איחורים'!$29:$30</definedName>
    <definedName name="_xlnm.Print_Titles" localSheetId="5">'ריכוז נתונים'!$C:$D,'ריכוז נתונים'!$15:$16</definedName>
    <definedName name="_xlnm.Print_Titles" localSheetId="6">'ריכוז נתונים כללים'!$14:$16</definedName>
    <definedName name="_xlnm.Print_Titles" localSheetId="16">'תחשיב בסיסי לאחר 11ב ו12ג5 '!$B:$C,'תחשיב בסיסי לאחר 11ב ו12ג5 '!$15:$16</definedName>
    <definedName name="_xlnm.Print_Titles" localSheetId="15">'תחשיב בסיסי ראשוני'!$B:$C,'תחשיב בסיסי ראשוני'!$15:$16</definedName>
    <definedName name="_xlnm.Print_Titles" localSheetId="7">'תנאי סף'!$9:$10</definedName>
    <definedName name="_xlnm.Print_Titles" localSheetId="9">תערוכות!$15:$16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30" i="166" l="1"/>
  <c r="E13" i="168"/>
  <c r="D13" i="168"/>
  <c r="C7" i="1"/>
  <c r="C6" i="1"/>
  <c r="K39" i="178" l="1"/>
  <c r="K38" i="178"/>
  <c r="K37" i="178"/>
  <c r="K36" i="178"/>
  <c r="K35" i="178"/>
  <c r="K34" i="178"/>
  <c r="K33" i="178"/>
  <c r="K32" i="178"/>
  <c r="K31" i="178"/>
  <c r="K30" i="178"/>
  <c r="K29" i="178"/>
  <c r="K28" i="178"/>
  <c r="K27" i="178"/>
  <c r="K26" i="178"/>
  <c r="K25" i="178"/>
  <c r="K24" i="178"/>
  <c r="K23" i="178"/>
  <c r="K22" i="178"/>
  <c r="K21" i="178"/>
  <c r="K20" i="178"/>
  <c r="K19" i="178"/>
  <c r="K18" i="178"/>
  <c r="K17" i="178"/>
  <c r="K16" i="178"/>
  <c r="K15" i="178"/>
  <c r="K14" i="178"/>
  <c r="K13" i="178"/>
  <c r="K12" i="178"/>
  <c r="K11" i="178"/>
  <c r="K10" i="178"/>
  <c r="K9" i="178"/>
  <c r="K8" i="178"/>
  <c r="K7" i="178"/>
  <c r="K6" i="178"/>
  <c r="K5" i="178"/>
  <c r="K4" i="178"/>
  <c r="K3" i="178"/>
  <c r="K2" i="178"/>
  <c r="N32" i="165" l="1"/>
  <c r="N33" i="165"/>
  <c r="N34" i="165"/>
  <c r="N35" i="165"/>
  <c r="N36" i="165"/>
  <c r="N37" i="165"/>
  <c r="N38" i="165"/>
  <c r="N39" i="165"/>
  <c r="N40" i="165"/>
  <c r="N41" i="165"/>
  <c r="N42" i="165"/>
  <c r="N43" i="165"/>
  <c r="N44" i="165"/>
  <c r="N45" i="165"/>
  <c r="N46" i="165"/>
  <c r="N47" i="165"/>
  <c r="N48" i="165"/>
  <c r="N49" i="165"/>
  <c r="N50" i="165"/>
  <c r="N51" i="165"/>
  <c r="N52" i="165"/>
  <c r="N53" i="165"/>
  <c r="N54" i="165"/>
  <c r="N55" i="165"/>
  <c r="N56" i="165"/>
  <c r="N57" i="165"/>
  <c r="N58" i="165"/>
  <c r="N59" i="165"/>
  <c r="N60" i="165"/>
  <c r="N61" i="165"/>
  <c r="N62" i="165"/>
  <c r="N63" i="165"/>
  <c r="N64" i="165"/>
  <c r="N65" i="165"/>
  <c r="N66" i="165"/>
  <c r="N67" i="165"/>
  <c r="N68" i="165"/>
  <c r="N69" i="165"/>
  <c r="N70" i="165"/>
  <c r="N71" i="165"/>
  <c r="N72" i="165"/>
  <c r="N73" i="165"/>
  <c r="N74" i="165"/>
  <c r="N75" i="165"/>
  <c r="N76" i="165"/>
  <c r="N77" i="165"/>
  <c r="N78" i="165"/>
  <c r="N79" i="165"/>
  <c r="N80" i="165"/>
  <c r="N81" i="165"/>
  <c r="N82" i="165"/>
  <c r="N83" i="165"/>
  <c r="N84" i="165"/>
  <c r="N85" i="165"/>
  <c r="N86" i="165"/>
  <c r="N87" i="165"/>
  <c r="N88" i="165"/>
  <c r="N89" i="165"/>
  <c r="N90" i="165"/>
  <c r="N91" i="165"/>
  <c r="N92" i="165"/>
  <c r="N93" i="165"/>
  <c r="N94" i="165"/>
  <c r="N95" i="165"/>
  <c r="N96" i="165"/>
  <c r="N97" i="165"/>
  <c r="N98" i="165"/>
  <c r="N99" i="165"/>
  <c r="N100" i="165"/>
  <c r="N101" i="165"/>
  <c r="N102" i="165"/>
  <c r="N103" i="165"/>
  <c r="N104" i="165"/>
  <c r="N105" i="165"/>
  <c r="N106" i="165"/>
  <c r="N107" i="165"/>
  <c r="N108" i="165"/>
  <c r="N109" i="165"/>
  <c r="N110" i="165"/>
  <c r="N111" i="165"/>
  <c r="N112" i="165"/>
  <c r="N113" i="165"/>
  <c r="N114" i="165"/>
  <c r="N115" i="165"/>
  <c r="N116" i="165"/>
  <c r="N117" i="165"/>
  <c r="N118" i="165"/>
  <c r="N119" i="165"/>
  <c r="N120" i="165"/>
  <c r="N121" i="165"/>
  <c r="N122" i="165"/>
  <c r="N123" i="165"/>
  <c r="N124" i="165"/>
  <c r="N125" i="165"/>
  <c r="N126" i="165"/>
  <c r="N127" i="165"/>
  <c r="N128" i="165"/>
  <c r="N129" i="165"/>
  <c r="N130" i="165"/>
  <c r="N31" i="165"/>
  <c r="F15" i="3" l="1"/>
  <c r="G15" i="3"/>
  <c r="H15" i="3"/>
  <c r="K15" i="3"/>
  <c r="BD10" i="179"/>
  <c r="BE10" i="179"/>
  <c r="BF10" i="179"/>
  <c r="BG10" i="179"/>
  <c r="BH10" i="179"/>
  <c r="BI10" i="179"/>
  <c r="BJ10" i="179"/>
  <c r="BK10" i="179"/>
  <c r="BL10" i="179"/>
  <c r="BM10" i="179"/>
  <c r="BN10" i="179"/>
  <c r="BO10" i="179"/>
  <c r="BP10" i="179"/>
  <c r="BQ10" i="179"/>
  <c r="BR10" i="179"/>
  <c r="BS10" i="179"/>
  <c r="BT10" i="179"/>
  <c r="BU10" i="179"/>
  <c r="BV10" i="179"/>
  <c r="BW10" i="179"/>
  <c r="BX10" i="179"/>
  <c r="BY10" i="179"/>
  <c r="BZ10" i="179"/>
  <c r="CA10" i="179"/>
  <c r="CB10" i="179"/>
  <c r="CC10" i="179"/>
  <c r="CD10" i="179"/>
  <c r="CE10" i="179"/>
  <c r="CF10" i="179"/>
  <c r="CG10" i="179"/>
  <c r="CH10" i="179"/>
  <c r="CI10" i="179"/>
  <c r="CJ10" i="179"/>
  <c r="CK10" i="179"/>
  <c r="CL10" i="179"/>
  <c r="CM10" i="179"/>
  <c r="CN10" i="179"/>
  <c r="CO10" i="179"/>
  <c r="CP10" i="179"/>
  <c r="CQ10" i="179"/>
  <c r="CR10" i="179"/>
  <c r="BD11" i="179"/>
  <c r="BE11" i="179"/>
  <c r="BF11" i="179"/>
  <c r="BG11" i="179"/>
  <c r="BH11" i="179"/>
  <c r="BI11" i="179"/>
  <c r="BJ11" i="179"/>
  <c r="BK11" i="179"/>
  <c r="BL11" i="179"/>
  <c r="BM11" i="179"/>
  <c r="BN11" i="179"/>
  <c r="BO11" i="179"/>
  <c r="BP11" i="179"/>
  <c r="BQ11" i="179"/>
  <c r="BR11" i="179"/>
  <c r="BS11" i="179"/>
  <c r="BT11" i="179"/>
  <c r="BU11" i="179"/>
  <c r="BV11" i="179"/>
  <c r="BW11" i="179"/>
  <c r="BX11" i="179"/>
  <c r="BY11" i="179"/>
  <c r="BZ11" i="179"/>
  <c r="CA11" i="179"/>
  <c r="CB11" i="179"/>
  <c r="CC11" i="179"/>
  <c r="CD11" i="179"/>
  <c r="CE11" i="179"/>
  <c r="CF11" i="179"/>
  <c r="CG11" i="179"/>
  <c r="CH11" i="179"/>
  <c r="CI11" i="179"/>
  <c r="CJ11" i="179"/>
  <c r="CK11" i="179"/>
  <c r="CL11" i="179"/>
  <c r="CM11" i="179"/>
  <c r="CN11" i="179"/>
  <c r="CO11" i="179"/>
  <c r="CP11" i="179"/>
  <c r="CQ11" i="179"/>
  <c r="CR11" i="179"/>
  <c r="BD12" i="179"/>
  <c r="BE12" i="179"/>
  <c r="BF12" i="179"/>
  <c r="BG12" i="179"/>
  <c r="BH12" i="179"/>
  <c r="BI12" i="179"/>
  <c r="BJ12" i="179"/>
  <c r="BK12" i="179"/>
  <c r="BL12" i="179"/>
  <c r="BM12" i="179"/>
  <c r="BN12" i="179"/>
  <c r="BO12" i="179"/>
  <c r="BP12" i="179"/>
  <c r="BQ12" i="179"/>
  <c r="BR12" i="179"/>
  <c r="BS12" i="179"/>
  <c r="BT12" i="179"/>
  <c r="BU12" i="179"/>
  <c r="BV12" i="179"/>
  <c r="BW12" i="179"/>
  <c r="BX12" i="179"/>
  <c r="BY12" i="179"/>
  <c r="BZ12" i="179"/>
  <c r="CA12" i="179"/>
  <c r="CB12" i="179"/>
  <c r="CC12" i="179"/>
  <c r="CD12" i="179"/>
  <c r="CE12" i="179"/>
  <c r="CF12" i="179"/>
  <c r="CG12" i="179"/>
  <c r="CH12" i="179"/>
  <c r="CI12" i="179"/>
  <c r="CJ12" i="179"/>
  <c r="CK12" i="179"/>
  <c r="CL12" i="179"/>
  <c r="CM12" i="179"/>
  <c r="CN12" i="179"/>
  <c r="CO12" i="179"/>
  <c r="CP12" i="179"/>
  <c r="CQ12" i="179"/>
  <c r="CR12" i="179"/>
  <c r="BD13" i="179"/>
  <c r="BE13" i="179"/>
  <c r="BF13" i="179"/>
  <c r="BG13" i="179"/>
  <c r="BH13" i="179"/>
  <c r="BI13" i="179"/>
  <c r="BJ13" i="179"/>
  <c r="BK13" i="179"/>
  <c r="BL13" i="179"/>
  <c r="BM13" i="179"/>
  <c r="BN13" i="179"/>
  <c r="BO13" i="179"/>
  <c r="BP13" i="179"/>
  <c r="BQ13" i="179"/>
  <c r="BR13" i="179"/>
  <c r="BS13" i="179"/>
  <c r="BT13" i="179"/>
  <c r="BU13" i="179"/>
  <c r="BV13" i="179"/>
  <c r="BW13" i="179"/>
  <c r="BX13" i="179"/>
  <c r="BY13" i="179"/>
  <c r="BZ13" i="179"/>
  <c r="CA13" i="179"/>
  <c r="CB13" i="179"/>
  <c r="CC13" i="179"/>
  <c r="CD13" i="179"/>
  <c r="CE13" i="179"/>
  <c r="CF13" i="179"/>
  <c r="CG13" i="179"/>
  <c r="CH13" i="179"/>
  <c r="CI13" i="179"/>
  <c r="CJ13" i="179"/>
  <c r="CK13" i="179"/>
  <c r="CL13" i="179"/>
  <c r="CM13" i="179"/>
  <c r="CN13" i="179"/>
  <c r="CO13" i="179"/>
  <c r="CP13" i="179"/>
  <c r="CQ13" i="179"/>
  <c r="CR13" i="179"/>
  <c r="BD14" i="179"/>
  <c r="BE14" i="179"/>
  <c r="BF14" i="179"/>
  <c r="BG14" i="179"/>
  <c r="BH14" i="179"/>
  <c r="BI14" i="179"/>
  <c r="BJ14" i="179"/>
  <c r="BK14" i="179"/>
  <c r="BL14" i="179"/>
  <c r="BM14" i="179"/>
  <c r="BN14" i="179"/>
  <c r="BO14" i="179"/>
  <c r="BP14" i="179"/>
  <c r="BQ14" i="179"/>
  <c r="BR14" i="179"/>
  <c r="BS14" i="179"/>
  <c r="BT14" i="179"/>
  <c r="BU14" i="179"/>
  <c r="BV14" i="179"/>
  <c r="BW14" i="179"/>
  <c r="BX14" i="179"/>
  <c r="BY14" i="179"/>
  <c r="BZ14" i="179"/>
  <c r="CA14" i="179"/>
  <c r="CB14" i="179"/>
  <c r="CC14" i="179"/>
  <c r="CD14" i="179"/>
  <c r="CE14" i="179"/>
  <c r="CF14" i="179"/>
  <c r="CG14" i="179"/>
  <c r="CH14" i="179"/>
  <c r="CI14" i="179"/>
  <c r="CJ14" i="179"/>
  <c r="CK14" i="179"/>
  <c r="CL14" i="179"/>
  <c r="CM14" i="179"/>
  <c r="CN14" i="179"/>
  <c r="CO14" i="179"/>
  <c r="CP14" i="179"/>
  <c r="CQ14" i="179"/>
  <c r="CR14" i="179"/>
  <c r="BD15" i="179"/>
  <c r="BE15" i="179"/>
  <c r="BF15" i="179"/>
  <c r="BG15" i="179"/>
  <c r="BH15" i="179"/>
  <c r="BI15" i="179"/>
  <c r="BJ15" i="179"/>
  <c r="BK15" i="179"/>
  <c r="BL15" i="179"/>
  <c r="BM15" i="179"/>
  <c r="BN15" i="179"/>
  <c r="BO15" i="179"/>
  <c r="BP15" i="179"/>
  <c r="BQ15" i="179"/>
  <c r="BR15" i="179"/>
  <c r="BS15" i="179"/>
  <c r="BT15" i="179"/>
  <c r="BU15" i="179"/>
  <c r="BV15" i="179"/>
  <c r="BW15" i="179"/>
  <c r="BX15" i="179"/>
  <c r="BY15" i="179"/>
  <c r="BZ15" i="179"/>
  <c r="CA15" i="179"/>
  <c r="CB15" i="179"/>
  <c r="CC15" i="179"/>
  <c r="CD15" i="179"/>
  <c r="CE15" i="179"/>
  <c r="CF15" i="179"/>
  <c r="CG15" i="179"/>
  <c r="CH15" i="179"/>
  <c r="CI15" i="179"/>
  <c r="CJ15" i="179"/>
  <c r="CK15" i="179"/>
  <c r="CL15" i="179"/>
  <c r="CM15" i="179"/>
  <c r="CN15" i="179"/>
  <c r="CO15" i="179"/>
  <c r="CP15" i="179"/>
  <c r="CQ15" i="179"/>
  <c r="CR15" i="179"/>
  <c r="BD16" i="179"/>
  <c r="BE16" i="179"/>
  <c r="BF16" i="179"/>
  <c r="BG16" i="179"/>
  <c r="BH16" i="179"/>
  <c r="BI16" i="179"/>
  <c r="BJ16" i="179"/>
  <c r="BK16" i="179"/>
  <c r="BL16" i="179"/>
  <c r="BM16" i="179"/>
  <c r="BN16" i="179"/>
  <c r="BO16" i="179"/>
  <c r="BP16" i="179"/>
  <c r="BQ16" i="179"/>
  <c r="BR16" i="179"/>
  <c r="BS16" i="179"/>
  <c r="BT16" i="179"/>
  <c r="BU16" i="179"/>
  <c r="BV16" i="179"/>
  <c r="BW16" i="179"/>
  <c r="BX16" i="179"/>
  <c r="BY16" i="179"/>
  <c r="BZ16" i="179"/>
  <c r="CA16" i="179"/>
  <c r="CB16" i="179"/>
  <c r="CC16" i="179"/>
  <c r="CD16" i="179"/>
  <c r="CE16" i="179"/>
  <c r="CF16" i="179"/>
  <c r="CG16" i="179"/>
  <c r="CH16" i="179"/>
  <c r="CI16" i="179"/>
  <c r="CJ16" i="179"/>
  <c r="CK16" i="179"/>
  <c r="CL16" i="179"/>
  <c r="CM16" i="179"/>
  <c r="CN16" i="179"/>
  <c r="CO16" i="179"/>
  <c r="CP16" i="179"/>
  <c r="CQ16" i="179"/>
  <c r="CR16" i="179"/>
  <c r="BD17" i="179"/>
  <c r="BE17" i="179"/>
  <c r="BF17" i="179"/>
  <c r="BG17" i="179"/>
  <c r="BH17" i="179"/>
  <c r="BI17" i="179"/>
  <c r="BJ17" i="179"/>
  <c r="BK17" i="179"/>
  <c r="BL17" i="179"/>
  <c r="BM17" i="179"/>
  <c r="BN17" i="179"/>
  <c r="BO17" i="179"/>
  <c r="BP17" i="179"/>
  <c r="BQ17" i="179"/>
  <c r="BR17" i="179"/>
  <c r="BS17" i="179"/>
  <c r="BT17" i="179"/>
  <c r="BU17" i="179"/>
  <c r="BV17" i="179"/>
  <c r="BW17" i="179"/>
  <c r="BX17" i="179"/>
  <c r="BY17" i="179"/>
  <c r="BZ17" i="179"/>
  <c r="CA17" i="179"/>
  <c r="CB17" i="179"/>
  <c r="CC17" i="179"/>
  <c r="CD17" i="179"/>
  <c r="CE17" i="179"/>
  <c r="CF17" i="179"/>
  <c r="CG17" i="179"/>
  <c r="CH17" i="179"/>
  <c r="CI17" i="179"/>
  <c r="CJ17" i="179"/>
  <c r="CK17" i="179"/>
  <c r="CL17" i="179"/>
  <c r="CM17" i="179"/>
  <c r="CN17" i="179"/>
  <c r="CO17" i="179"/>
  <c r="CP17" i="179"/>
  <c r="CQ17" i="179"/>
  <c r="CR17" i="179"/>
  <c r="BD18" i="179"/>
  <c r="BE18" i="179"/>
  <c r="BF18" i="179"/>
  <c r="BG18" i="179"/>
  <c r="BH18" i="179"/>
  <c r="BI18" i="179"/>
  <c r="BJ18" i="179"/>
  <c r="BK18" i="179"/>
  <c r="BL18" i="179"/>
  <c r="BM18" i="179"/>
  <c r="BN18" i="179"/>
  <c r="BO18" i="179"/>
  <c r="BP18" i="179"/>
  <c r="BQ18" i="179"/>
  <c r="BR18" i="179"/>
  <c r="BS18" i="179"/>
  <c r="BT18" i="179"/>
  <c r="BU18" i="179"/>
  <c r="BV18" i="179"/>
  <c r="BW18" i="179"/>
  <c r="BX18" i="179"/>
  <c r="BY18" i="179"/>
  <c r="BZ18" i="179"/>
  <c r="CA18" i="179"/>
  <c r="CB18" i="179"/>
  <c r="CC18" i="179"/>
  <c r="CD18" i="179"/>
  <c r="CE18" i="179"/>
  <c r="CF18" i="179"/>
  <c r="CG18" i="179"/>
  <c r="CH18" i="179"/>
  <c r="CI18" i="179"/>
  <c r="CJ18" i="179"/>
  <c r="CK18" i="179"/>
  <c r="CL18" i="179"/>
  <c r="CM18" i="179"/>
  <c r="CN18" i="179"/>
  <c r="CO18" i="179"/>
  <c r="CP18" i="179"/>
  <c r="CQ18" i="179"/>
  <c r="CR18" i="179"/>
  <c r="BD19" i="179"/>
  <c r="BE19" i="179"/>
  <c r="BF19" i="179"/>
  <c r="BG19" i="179"/>
  <c r="BH19" i="179"/>
  <c r="BI19" i="179"/>
  <c r="BJ19" i="179"/>
  <c r="BK19" i="179"/>
  <c r="BL19" i="179"/>
  <c r="BM19" i="179"/>
  <c r="BN19" i="179"/>
  <c r="BO19" i="179"/>
  <c r="BP19" i="179"/>
  <c r="BQ19" i="179"/>
  <c r="BR19" i="179"/>
  <c r="BS19" i="179"/>
  <c r="BT19" i="179"/>
  <c r="BU19" i="179"/>
  <c r="BV19" i="179"/>
  <c r="BW19" i="179"/>
  <c r="BX19" i="179"/>
  <c r="BY19" i="179"/>
  <c r="BZ19" i="179"/>
  <c r="CA19" i="179"/>
  <c r="CB19" i="179"/>
  <c r="CC19" i="179"/>
  <c r="CD19" i="179"/>
  <c r="CE19" i="179"/>
  <c r="CF19" i="179"/>
  <c r="CG19" i="179"/>
  <c r="CH19" i="179"/>
  <c r="CI19" i="179"/>
  <c r="CJ19" i="179"/>
  <c r="CK19" i="179"/>
  <c r="CL19" i="179"/>
  <c r="CM19" i="179"/>
  <c r="CN19" i="179"/>
  <c r="CO19" i="179"/>
  <c r="CP19" i="179"/>
  <c r="CQ19" i="179"/>
  <c r="CR19" i="179"/>
  <c r="BD20" i="179"/>
  <c r="BE20" i="179"/>
  <c r="BF20" i="179"/>
  <c r="BG20" i="179"/>
  <c r="BH20" i="179"/>
  <c r="BI20" i="179"/>
  <c r="BJ20" i="179"/>
  <c r="BK20" i="179"/>
  <c r="BL20" i="179"/>
  <c r="BM20" i="179"/>
  <c r="BN20" i="179"/>
  <c r="BO20" i="179"/>
  <c r="BP20" i="179"/>
  <c r="BQ20" i="179"/>
  <c r="BR20" i="179"/>
  <c r="BS20" i="179"/>
  <c r="BT20" i="179"/>
  <c r="BU20" i="179"/>
  <c r="BV20" i="179"/>
  <c r="BW20" i="179"/>
  <c r="BX20" i="179"/>
  <c r="BY20" i="179"/>
  <c r="BZ20" i="179"/>
  <c r="CA20" i="179"/>
  <c r="CB20" i="179"/>
  <c r="CC20" i="179"/>
  <c r="CD20" i="179"/>
  <c r="CE20" i="179"/>
  <c r="CF20" i="179"/>
  <c r="CG20" i="179"/>
  <c r="CH20" i="179"/>
  <c r="CI20" i="179"/>
  <c r="CJ20" i="179"/>
  <c r="CK20" i="179"/>
  <c r="CL20" i="179"/>
  <c r="CM20" i="179"/>
  <c r="CN20" i="179"/>
  <c r="CO20" i="179"/>
  <c r="CP20" i="179"/>
  <c r="CQ20" i="179"/>
  <c r="CR20" i="179"/>
  <c r="BD21" i="179"/>
  <c r="BE21" i="179"/>
  <c r="BF21" i="179"/>
  <c r="BG21" i="179"/>
  <c r="BH21" i="179"/>
  <c r="BI21" i="179"/>
  <c r="BJ21" i="179"/>
  <c r="BK21" i="179"/>
  <c r="BL21" i="179"/>
  <c r="BM21" i="179"/>
  <c r="BN21" i="179"/>
  <c r="BO21" i="179"/>
  <c r="BP21" i="179"/>
  <c r="BQ21" i="179"/>
  <c r="BR21" i="179"/>
  <c r="BS21" i="179"/>
  <c r="BT21" i="179"/>
  <c r="BU21" i="179"/>
  <c r="BV21" i="179"/>
  <c r="BW21" i="179"/>
  <c r="BX21" i="179"/>
  <c r="BY21" i="179"/>
  <c r="BZ21" i="179"/>
  <c r="CA21" i="179"/>
  <c r="CB21" i="179"/>
  <c r="CC21" i="179"/>
  <c r="CD21" i="179"/>
  <c r="CE21" i="179"/>
  <c r="CF21" i="179"/>
  <c r="CG21" i="179"/>
  <c r="CH21" i="179"/>
  <c r="CI21" i="179"/>
  <c r="CJ21" i="179"/>
  <c r="CK21" i="179"/>
  <c r="CL21" i="179"/>
  <c r="CM21" i="179"/>
  <c r="CN21" i="179"/>
  <c r="CO21" i="179"/>
  <c r="CP21" i="179"/>
  <c r="CQ21" i="179"/>
  <c r="CR21" i="179"/>
  <c r="BD22" i="179"/>
  <c r="BE22" i="179"/>
  <c r="BF22" i="179"/>
  <c r="BG22" i="179"/>
  <c r="BH22" i="179"/>
  <c r="BI22" i="179"/>
  <c r="BJ22" i="179"/>
  <c r="BK22" i="179"/>
  <c r="BL22" i="179"/>
  <c r="BM22" i="179"/>
  <c r="BN22" i="179"/>
  <c r="BO22" i="179"/>
  <c r="BP22" i="179"/>
  <c r="BQ22" i="179"/>
  <c r="BR22" i="179"/>
  <c r="BS22" i="179"/>
  <c r="BT22" i="179"/>
  <c r="BU22" i="179"/>
  <c r="BV22" i="179"/>
  <c r="BW22" i="179"/>
  <c r="BX22" i="179"/>
  <c r="BY22" i="179"/>
  <c r="BZ22" i="179"/>
  <c r="CA22" i="179"/>
  <c r="CB22" i="179"/>
  <c r="CC22" i="179"/>
  <c r="CD22" i="179"/>
  <c r="CE22" i="179"/>
  <c r="CF22" i="179"/>
  <c r="CG22" i="179"/>
  <c r="CH22" i="179"/>
  <c r="CI22" i="179"/>
  <c r="CJ22" i="179"/>
  <c r="CK22" i="179"/>
  <c r="CL22" i="179"/>
  <c r="CM22" i="179"/>
  <c r="CN22" i="179"/>
  <c r="CO22" i="179"/>
  <c r="CP22" i="179"/>
  <c r="CQ22" i="179"/>
  <c r="CR22" i="179"/>
  <c r="BD23" i="179"/>
  <c r="BE23" i="179"/>
  <c r="BF23" i="179"/>
  <c r="BG23" i="179"/>
  <c r="BH23" i="179"/>
  <c r="BI23" i="179"/>
  <c r="BJ23" i="179"/>
  <c r="BK23" i="179"/>
  <c r="BL23" i="179"/>
  <c r="BM23" i="179"/>
  <c r="BN23" i="179"/>
  <c r="BO23" i="179"/>
  <c r="BP23" i="179"/>
  <c r="BQ23" i="179"/>
  <c r="BR23" i="179"/>
  <c r="BS23" i="179"/>
  <c r="BT23" i="179"/>
  <c r="BU23" i="179"/>
  <c r="BV23" i="179"/>
  <c r="BW23" i="179"/>
  <c r="BX23" i="179"/>
  <c r="BY23" i="179"/>
  <c r="BZ23" i="179"/>
  <c r="CA23" i="179"/>
  <c r="CB23" i="179"/>
  <c r="CC23" i="179"/>
  <c r="CD23" i="179"/>
  <c r="CE23" i="179"/>
  <c r="CF23" i="179"/>
  <c r="CG23" i="179"/>
  <c r="CH23" i="179"/>
  <c r="CI23" i="179"/>
  <c r="CJ23" i="179"/>
  <c r="CK23" i="179"/>
  <c r="CL23" i="179"/>
  <c r="CM23" i="179"/>
  <c r="CN23" i="179"/>
  <c r="CO23" i="179"/>
  <c r="CP23" i="179"/>
  <c r="CQ23" i="179"/>
  <c r="CR23" i="179"/>
  <c r="BD24" i="179"/>
  <c r="BE24" i="179"/>
  <c r="BF24" i="179"/>
  <c r="BG24" i="179"/>
  <c r="BH24" i="179"/>
  <c r="BI24" i="179"/>
  <c r="BJ24" i="179"/>
  <c r="BK24" i="179"/>
  <c r="BL24" i="179"/>
  <c r="BM24" i="179"/>
  <c r="BN24" i="179"/>
  <c r="BO24" i="179"/>
  <c r="BP24" i="179"/>
  <c r="BQ24" i="179"/>
  <c r="BR24" i="179"/>
  <c r="BS24" i="179"/>
  <c r="BT24" i="179"/>
  <c r="BU24" i="179"/>
  <c r="BV24" i="179"/>
  <c r="BW24" i="179"/>
  <c r="BX24" i="179"/>
  <c r="BY24" i="179"/>
  <c r="BZ24" i="179"/>
  <c r="CA24" i="179"/>
  <c r="CB24" i="179"/>
  <c r="CC24" i="179"/>
  <c r="CD24" i="179"/>
  <c r="CE24" i="179"/>
  <c r="CF24" i="179"/>
  <c r="CG24" i="179"/>
  <c r="CH24" i="179"/>
  <c r="CI24" i="179"/>
  <c r="CJ24" i="179"/>
  <c r="CK24" i="179"/>
  <c r="CL24" i="179"/>
  <c r="CM24" i="179"/>
  <c r="CN24" i="179"/>
  <c r="CO24" i="179"/>
  <c r="CP24" i="179"/>
  <c r="CQ24" i="179"/>
  <c r="CR24" i="179"/>
  <c r="BD25" i="179"/>
  <c r="BE25" i="179"/>
  <c r="BF25" i="179"/>
  <c r="BG25" i="179"/>
  <c r="BH25" i="179"/>
  <c r="BI25" i="179"/>
  <c r="BJ25" i="179"/>
  <c r="BK25" i="179"/>
  <c r="BL25" i="179"/>
  <c r="BM25" i="179"/>
  <c r="BN25" i="179"/>
  <c r="BO25" i="179"/>
  <c r="BP25" i="179"/>
  <c r="BQ25" i="179"/>
  <c r="BR25" i="179"/>
  <c r="BS25" i="179"/>
  <c r="BT25" i="179"/>
  <c r="BU25" i="179"/>
  <c r="BV25" i="179"/>
  <c r="BW25" i="179"/>
  <c r="BX25" i="179"/>
  <c r="BY25" i="179"/>
  <c r="BZ25" i="179"/>
  <c r="CA25" i="179"/>
  <c r="CB25" i="179"/>
  <c r="CC25" i="179"/>
  <c r="CD25" i="179"/>
  <c r="CE25" i="179"/>
  <c r="CF25" i="179"/>
  <c r="CG25" i="179"/>
  <c r="CH25" i="179"/>
  <c r="CI25" i="179"/>
  <c r="CJ25" i="179"/>
  <c r="CK25" i="179"/>
  <c r="CL25" i="179"/>
  <c r="CM25" i="179"/>
  <c r="CN25" i="179"/>
  <c r="CO25" i="179"/>
  <c r="CP25" i="179"/>
  <c r="CQ25" i="179"/>
  <c r="CR25" i="179"/>
  <c r="BD26" i="179"/>
  <c r="BE26" i="179"/>
  <c r="BF26" i="179"/>
  <c r="BG26" i="179"/>
  <c r="BH26" i="179"/>
  <c r="BI26" i="179"/>
  <c r="BJ26" i="179"/>
  <c r="BK26" i="179"/>
  <c r="BL26" i="179"/>
  <c r="BM26" i="179"/>
  <c r="BN26" i="179"/>
  <c r="BO26" i="179"/>
  <c r="BP26" i="179"/>
  <c r="BQ26" i="179"/>
  <c r="BR26" i="179"/>
  <c r="BS26" i="179"/>
  <c r="BT26" i="179"/>
  <c r="BU26" i="179"/>
  <c r="BV26" i="179"/>
  <c r="BW26" i="179"/>
  <c r="BX26" i="179"/>
  <c r="BY26" i="179"/>
  <c r="BZ26" i="179"/>
  <c r="CA26" i="179"/>
  <c r="CB26" i="179"/>
  <c r="CC26" i="179"/>
  <c r="CD26" i="179"/>
  <c r="CE26" i="179"/>
  <c r="CF26" i="179"/>
  <c r="CG26" i="179"/>
  <c r="CH26" i="179"/>
  <c r="CI26" i="179"/>
  <c r="CJ26" i="179"/>
  <c r="CK26" i="179"/>
  <c r="CL26" i="179"/>
  <c r="CM26" i="179"/>
  <c r="CN26" i="179"/>
  <c r="CO26" i="179"/>
  <c r="CP26" i="179"/>
  <c r="CQ26" i="179"/>
  <c r="CR26" i="179"/>
  <c r="BD27" i="179"/>
  <c r="BE27" i="179"/>
  <c r="BF27" i="179"/>
  <c r="BG27" i="179"/>
  <c r="BH27" i="179"/>
  <c r="BI27" i="179"/>
  <c r="BJ27" i="179"/>
  <c r="BK27" i="179"/>
  <c r="BL27" i="179"/>
  <c r="BM27" i="179"/>
  <c r="BN27" i="179"/>
  <c r="BO27" i="179"/>
  <c r="BP27" i="179"/>
  <c r="BQ27" i="179"/>
  <c r="BR27" i="179"/>
  <c r="BS27" i="179"/>
  <c r="BT27" i="179"/>
  <c r="BU27" i="179"/>
  <c r="BV27" i="179"/>
  <c r="BW27" i="179"/>
  <c r="BX27" i="179"/>
  <c r="BY27" i="179"/>
  <c r="BZ27" i="179"/>
  <c r="CA27" i="179"/>
  <c r="CB27" i="179"/>
  <c r="CC27" i="179"/>
  <c r="CD27" i="179"/>
  <c r="CE27" i="179"/>
  <c r="CF27" i="179"/>
  <c r="CG27" i="179"/>
  <c r="CH27" i="179"/>
  <c r="CI27" i="179"/>
  <c r="CJ27" i="179"/>
  <c r="CK27" i="179"/>
  <c r="CL27" i="179"/>
  <c r="CM27" i="179"/>
  <c r="CN27" i="179"/>
  <c r="CO27" i="179"/>
  <c r="CP27" i="179"/>
  <c r="CQ27" i="179"/>
  <c r="CR27" i="179"/>
  <c r="BD28" i="179"/>
  <c r="BE28" i="179"/>
  <c r="BF28" i="179"/>
  <c r="BG28" i="179"/>
  <c r="BH28" i="179"/>
  <c r="BI28" i="179"/>
  <c r="BJ28" i="179"/>
  <c r="BK28" i="179"/>
  <c r="BL28" i="179"/>
  <c r="BM28" i="179"/>
  <c r="BN28" i="179"/>
  <c r="BO28" i="179"/>
  <c r="BP28" i="179"/>
  <c r="BQ28" i="179"/>
  <c r="BR28" i="179"/>
  <c r="BS28" i="179"/>
  <c r="BT28" i="179"/>
  <c r="BU28" i="179"/>
  <c r="BV28" i="179"/>
  <c r="BW28" i="179"/>
  <c r="BX28" i="179"/>
  <c r="BY28" i="179"/>
  <c r="BZ28" i="179"/>
  <c r="CA28" i="179"/>
  <c r="CB28" i="179"/>
  <c r="CC28" i="179"/>
  <c r="CD28" i="179"/>
  <c r="CE28" i="179"/>
  <c r="CF28" i="179"/>
  <c r="CG28" i="179"/>
  <c r="CH28" i="179"/>
  <c r="CI28" i="179"/>
  <c r="CJ28" i="179"/>
  <c r="CK28" i="179"/>
  <c r="CL28" i="179"/>
  <c r="CM28" i="179"/>
  <c r="CN28" i="179"/>
  <c r="CO28" i="179"/>
  <c r="CP28" i="179"/>
  <c r="CQ28" i="179"/>
  <c r="CR28" i="179"/>
  <c r="BD29" i="179"/>
  <c r="BE29" i="179"/>
  <c r="BF29" i="179"/>
  <c r="BG29" i="179"/>
  <c r="BH29" i="179"/>
  <c r="BI29" i="179"/>
  <c r="BJ29" i="179"/>
  <c r="BK29" i="179"/>
  <c r="BL29" i="179"/>
  <c r="BM29" i="179"/>
  <c r="BN29" i="179"/>
  <c r="BO29" i="179"/>
  <c r="BP29" i="179"/>
  <c r="BQ29" i="179"/>
  <c r="BR29" i="179"/>
  <c r="BS29" i="179"/>
  <c r="BT29" i="179"/>
  <c r="BU29" i="179"/>
  <c r="BV29" i="179"/>
  <c r="BW29" i="179"/>
  <c r="BX29" i="179"/>
  <c r="BY29" i="179"/>
  <c r="BZ29" i="179"/>
  <c r="CA29" i="179"/>
  <c r="CB29" i="179"/>
  <c r="CC29" i="179"/>
  <c r="CD29" i="179"/>
  <c r="CE29" i="179"/>
  <c r="CF29" i="179"/>
  <c r="CG29" i="179"/>
  <c r="CH29" i="179"/>
  <c r="CI29" i="179"/>
  <c r="CJ29" i="179"/>
  <c r="CK29" i="179"/>
  <c r="CL29" i="179"/>
  <c r="CM29" i="179"/>
  <c r="CN29" i="179"/>
  <c r="CO29" i="179"/>
  <c r="CP29" i="179"/>
  <c r="CQ29" i="179"/>
  <c r="CR29" i="179"/>
  <c r="BD30" i="179"/>
  <c r="BE30" i="179"/>
  <c r="BF30" i="179"/>
  <c r="BG30" i="179"/>
  <c r="BH30" i="179"/>
  <c r="BI30" i="179"/>
  <c r="BJ30" i="179"/>
  <c r="BK30" i="179"/>
  <c r="BL30" i="179"/>
  <c r="BM30" i="179"/>
  <c r="BN30" i="179"/>
  <c r="BO30" i="179"/>
  <c r="BP30" i="179"/>
  <c r="BQ30" i="179"/>
  <c r="BR30" i="179"/>
  <c r="BS30" i="179"/>
  <c r="BT30" i="179"/>
  <c r="BU30" i="179"/>
  <c r="BV30" i="179"/>
  <c r="BW30" i="179"/>
  <c r="BX30" i="179"/>
  <c r="BY30" i="179"/>
  <c r="BZ30" i="179"/>
  <c r="CA30" i="179"/>
  <c r="CB30" i="179"/>
  <c r="CC30" i="179"/>
  <c r="CD30" i="179"/>
  <c r="CE30" i="179"/>
  <c r="CF30" i="179"/>
  <c r="CG30" i="179"/>
  <c r="CH30" i="179"/>
  <c r="CI30" i="179"/>
  <c r="CJ30" i="179"/>
  <c r="CK30" i="179"/>
  <c r="CL30" i="179"/>
  <c r="CM30" i="179"/>
  <c r="CN30" i="179"/>
  <c r="CO30" i="179"/>
  <c r="CP30" i="179"/>
  <c r="CQ30" i="179"/>
  <c r="CR30" i="179"/>
  <c r="BD31" i="179"/>
  <c r="BE31" i="179"/>
  <c r="BF31" i="179"/>
  <c r="BG31" i="179"/>
  <c r="BH31" i="179"/>
  <c r="BI31" i="179"/>
  <c r="BJ31" i="179"/>
  <c r="BK31" i="179"/>
  <c r="BL31" i="179"/>
  <c r="BM31" i="179"/>
  <c r="BN31" i="179"/>
  <c r="BO31" i="179"/>
  <c r="BP31" i="179"/>
  <c r="BQ31" i="179"/>
  <c r="BR31" i="179"/>
  <c r="BS31" i="179"/>
  <c r="BT31" i="179"/>
  <c r="BU31" i="179"/>
  <c r="BV31" i="179"/>
  <c r="BW31" i="179"/>
  <c r="BX31" i="179"/>
  <c r="BY31" i="179"/>
  <c r="BZ31" i="179"/>
  <c r="CA31" i="179"/>
  <c r="CB31" i="179"/>
  <c r="CC31" i="179"/>
  <c r="CD31" i="179"/>
  <c r="CE31" i="179"/>
  <c r="CF31" i="179"/>
  <c r="CG31" i="179"/>
  <c r="CH31" i="179"/>
  <c r="CI31" i="179"/>
  <c r="CJ31" i="179"/>
  <c r="CK31" i="179"/>
  <c r="CL31" i="179"/>
  <c r="CM31" i="179"/>
  <c r="CN31" i="179"/>
  <c r="CO31" i="179"/>
  <c r="CP31" i="179"/>
  <c r="CQ31" i="179"/>
  <c r="CR31" i="179"/>
  <c r="BD32" i="179"/>
  <c r="BE32" i="179"/>
  <c r="BF32" i="179"/>
  <c r="BG32" i="179"/>
  <c r="BH32" i="179"/>
  <c r="BI32" i="179"/>
  <c r="BJ32" i="179"/>
  <c r="BK32" i="179"/>
  <c r="BL32" i="179"/>
  <c r="BM32" i="179"/>
  <c r="BN32" i="179"/>
  <c r="BO32" i="179"/>
  <c r="BP32" i="179"/>
  <c r="BQ32" i="179"/>
  <c r="BR32" i="179"/>
  <c r="BS32" i="179"/>
  <c r="BT32" i="179"/>
  <c r="BU32" i="179"/>
  <c r="BV32" i="179"/>
  <c r="BW32" i="179"/>
  <c r="BX32" i="179"/>
  <c r="BY32" i="179"/>
  <c r="BZ32" i="179"/>
  <c r="CA32" i="179"/>
  <c r="CB32" i="179"/>
  <c r="CC32" i="179"/>
  <c r="CD32" i="179"/>
  <c r="CE32" i="179"/>
  <c r="CF32" i="179"/>
  <c r="CG32" i="179"/>
  <c r="CH32" i="179"/>
  <c r="CI32" i="179"/>
  <c r="CJ32" i="179"/>
  <c r="CK32" i="179"/>
  <c r="CL32" i="179"/>
  <c r="CM32" i="179"/>
  <c r="CN32" i="179"/>
  <c r="CO32" i="179"/>
  <c r="CP32" i="179"/>
  <c r="CQ32" i="179"/>
  <c r="CR32" i="179"/>
  <c r="BD33" i="179"/>
  <c r="BE33" i="179"/>
  <c r="BF33" i="179"/>
  <c r="BG33" i="179"/>
  <c r="BH33" i="179"/>
  <c r="BI33" i="179"/>
  <c r="BJ33" i="179"/>
  <c r="BK33" i="179"/>
  <c r="BL33" i="179"/>
  <c r="BM33" i="179"/>
  <c r="BN33" i="179"/>
  <c r="BO33" i="179"/>
  <c r="BP33" i="179"/>
  <c r="BQ33" i="179"/>
  <c r="BR33" i="179"/>
  <c r="BS33" i="179"/>
  <c r="BT33" i="179"/>
  <c r="BU33" i="179"/>
  <c r="BV33" i="179"/>
  <c r="BW33" i="179"/>
  <c r="BX33" i="179"/>
  <c r="BY33" i="179"/>
  <c r="BZ33" i="179"/>
  <c r="CA33" i="179"/>
  <c r="CB33" i="179"/>
  <c r="CC33" i="179"/>
  <c r="CD33" i="179"/>
  <c r="CE33" i="179"/>
  <c r="CF33" i="179"/>
  <c r="CG33" i="179"/>
  <c r="CH33" i="179"/>
  <c r="CI33" i="179"/>
  <c r="CJ33" i="179"/>
  <c r="CK33" i="179"/>
  <c r="CL33" i="179"/>
  <c r="CM33" i="179"/>
  <c r="CN33" i="179"/>
  <c r="CO33" i="179"/>
  <c r="CP33" i="179"/>
  <c r="CQ33" i="179"/>
  <c r="CR33" i="179"/>
  <c r="BD34" i="179"/>
  <c r="BE34" i="179"/>
  <c r="BF34" i="179"/>
  <c r="BG34" i="179"/>
  <c r="BH34" i="179"/>
  <c r="BI34" i="179"/>
  <c r="BJ34" i="179"/>
  <c r="BK34" i="179"/>
  <c r="BL34" i="179"/>
  <c r="BM34" i="179"/>
  <c r="BN34" i="179"/>
  <c r="BO34" i="179"/>
  <c r="BP34" i="179"/>
  <c r="BQ34" i="179"/>
  <c r="BR34" i="179"/>
  <c r="BS34" i="179"/>
  <c r="BT34" i="179"/>
  <c r="BU34" i="179"/>
  <c r="BV34" i="179"/>
  <c r="BW34" i="179"/>
  <c r="BX34" i="179"/>
  <c r="BY34" i="179"/>
  <c r="BZ34" i="179"/>
  <c r="CA34" i="179"/>
  <c r="CB34" i="179"/>
  <c r="CC34" i="179"/>
  <c r="CD34" i="179"/>
  <c r="CE34" i="179"/>
  <c r="CF34" i="179"/>
  <c r="CG34" i="179"/>
  <c r="CH34" i="179"/>
  <c r="CI34" i="179"/>
  <c r="CJ34" i="179"/>
  <c r="CK34" i="179"/>
  <c r="CL34" i="179"/>
  <c r="CM34" i="179"/>
  <c r="CN34" i="179"/>
  <c r="CO34" i="179"/>
  <c r="CP34" i="179"/>
  <c r="CQ34" i="179"/>
  <c r="CR34" i="179"/>
  <c r="BD35" i="179"/>
  <c r="BE35" i="179"/>
  <c r="BF35" i="179"/>
  <c r="BG35" i="179"/>
  <c r="BH35" i="179"/>
  <c r="BI35" i="179"/>
  <c r="BJ35" i="179"/>
  <c r="BK35" i="179"/>
  <c r="BL35" i="179"/>
  <c r="BM35" i="179"/>
  <c r="BN35" i="179"/>
  <c r="BO35" i="179"/>
  <c r="BP35" i="179"/>
  <c r="BQ35" i="179"/>
  <c r="BR35" i="179"/>
  <c r="BS35" i="179"/>
  <c r="BT35" i="179"/>
  <c r="BU35" i="179"/>
  <c r="BV35" i="179"/>
  <c r="BW35" i="179"/>
  <c r="BX35" i="179"/>
  <c r="BY35" i="179"/>
  <c r="BZ35" i="179"/>
  <c r="CA35" i="179"/>
  <c r="CB35" i="179"/>
  <c r="CC35" i="179"/>
  <c r="CD35" i="179"/>
  <c r="CE35" i="179"/>
  <c r="CF35" i="179"/>
  <c r="CG35" i="179"/>
  <c r="CH35" i="179"/>
  <c r="CI35" i="179"/>
  <c r="CJ35" i="179"/>
  <c r="CK35" i="179"/>
  <c r="CL35" i="179"/>
  <c r="CM35" i="179"/>
  <c r="CN35" i="179"/>
  <c r="CO35" i="179"/>
  <c r="CP35" i="179"/>
  <c r="CQ35" i="179"/>
  <c r="CR35" i="179"/>
  <c r="BD36" i="179"/>
  <c r="BE36" i="179"/>
  <c r="BF36" i="179"/>
  <c r="BG36" i="179"/>
  <c r="BH36" i="179"/>
  <c r="BI36" i="179"/>
  <c r="BJ36" i="179"/>
  <c r="BK36" i="179"/>
  <c r="BL36" i="179"/>
  <c r="BM36" i="179"/>
  <c r="BN36" i="179"/>
  <c r="BO36" i="179"/>
  <c r="BP36" i="179"/>
  <c r="BQ36" i="179"/>
  <c r="BR36" i="179"/>
  <c r="BS36" i="179"/>
  <c r="BT36" i="179"/>
  <c r="BU36" i="179"/>
  <c r="BV36" i="179"/>
  <c r="BW36" i="179"/>
  <c r="BX36" i="179"/>
  <c r="BY36" i="179"/>
  <c r="BZ36" i="179"/>
  <c r="CA36" i="179"/>
  <c r="CB36" i="179"/>
  <c r="CC36" i="179"/>
  <c r="CD36" i="179"/>
  <c r="CE36" i="179"/>
  <c r="CF36" i="179"/>
  <c r="CG36" i="179"/>
  <c r="CH36" i="179"/>
  <c r="CI36" i="179"/>
  <c r="CJ36" i="179"/>
  <c r="CK36" i="179"/>
  <c r="CL36" i="179"/>
  <c r="CM36" i="179"/>
  <c r="CN36" i="179"/>
  <c r="CO36" i="179"/>
  <c r="CP36" i="179"/>
  <c r="CQ36" i="179"/>
  <c r="CR36" i="179"/>
  <c r="BD37" i="179"/>
  <c r="BE37" i="179"/>
  <c r="BF37" i="179"/>
  <c r="BG37" i="179"/>
  <c r="BH37" i="179"/>
  <c r="BI37" i="179"/>
  <c r="BJ37" i="179"/>
  <c r="BK37" i="179"/>
  <c r="BL37" i="179"/>
  <c r="BM37" i="179"/>
  <c r="BN37" i="179"/>
  <c r="BO37" i="179"/>
  <c r="BP37" i="179"/>
  <c r="BQ37" i="179"/>
  <c r="BR37" i="179"/>
  <c r="BS37" i="179"/>
  <c r="BT37" i="179"/>
  <c r="BU37" i="179"/>
  <c r="BV37" i="179"/>
  <c r="BW37" i="179"/>
  <c r="BX37" i="179"/>
  <c r="BY37" i="179"/>
  <c r="BZ37" i="179"/>
  <c r="CA37" i="179"/>
  <c r="CB37" i="179"/>
  <c r="CC37" i="179"/>
  <c r="CD37" i="179"/>
  <c r="CE37" i="179"/>
  <c r="CF37" i="179"/>
  <c r="CG37" i="179"/>
  <c r="CH37" i="179"/>
  <c r="CI37" i="179"/>
  <c r="CJ37" i="179"/>
  <c r="CK37" i="179"/>
  <c r="CL37" i="179"/>
  <c r="CM37" i="179"/>
  <c r="CN37" i="179"/>
  <c r="CO37" i="179"/>
  <c r="CP37" i="179"/>
  <c r="CQ37" i="179"/>
  <c r="CR37" i="179"/>
  <c r="BD38" i="179"/>
  <c r="BE38" i="179"/>
  <c r="BF38" i="179"/>
  <c r="BG38" i="179"/>
  <c r="BH38" i="179"/>
  <c r="BI38" i="179"/>
  <c r="BJ38" i="179"/>
  <c r="BK38" i="179"/>
  <c r="BL38" i="179"/>
  <c r="BM38" i="179"/>
  <c r="BN38" i="179"/>
  <c r="BO38" i="179"/>
  <c r="BP38" i="179"/>
  <c r="BQ38" i="179"/>
  <c r="BR38" i="179"/>
  <c r="BS38" i="179"/>
  <c r="BT38" i="179"/>
  <c r="BU38" i="179"/>
  <c r="BV38" i="179"/>
  <c r="BW38" i="179"/>
  <c r="BX38" i="179"/>
  <c r="BY38" i="179"/>
  <c r="BZ38" i="179"/>
  <c r="CA38" i="179"/>
  <c r="CB38" i="179"/>
  <c r="CC38" i="179"/>
  <c r="CD38" i="179"/>
  <c r="CE38" i="179"/>
  <c r="CF38" i="179"/>
  <c r="CG38" i="179"/>
  <c r="CH38" i="179"/>
  <c r="CI38" i="179"/>
  <c r="CJ38" i="179"/>
  <c r="CK38" i="179"/>
  <c r="CL38" i="179"/>
  <c r="CM38" i="179"/>
  <c r="CN38" i="179"/>
  <c r="CO38" i="179"/>
  <c r="CP38" i="179"/>
  <c r="CQ38" i="179"/>
  <c r="CR38" i="179"/>
  <c r="BD39" i="179"/>
  <c r="BE39" i="179"/>
  <c r="BF39" i="179"/>
  <c r="BG39" i="179"/>
  <c r="BH39" i="179"/>
  <c r="BI39" i="179"/>
  <c r="BJ39" i="179"/>
  <c r="BK39" i="179"/>
  <c r="BL39" i="179"/>
  <c r="BM39" i="179"/>
  <c r="BN39" i="179"/>
  <c r="BO39" i="179"/>
  <c r="BP39" i="179"/>
  <c r="BQ39" i="179"/>
  <c r="BR39" i="179"/>
  <c r="BS39" i="179"/>
  <c r="BT39" i="179"/>
  <c r="BU39" i="179"/>
  <c r="BV39" i="179"/>
  <c r="BW39" i="179"/>
  <c r="BX39" i="179"/>
  <c r="BY39" i="179"/>
  <c r="BZ39" i="179"/>
  <c r="CA39" i="179"/>
  <c r="CB39" i="179"/>
  <c r="CC39" i="179"/>
  <c r="CD39" i="179"/>
  <c r="CE39" i="179"/>
  <c r="CF39" i="179"/>
  <c r="CG39" i="179"/>
  <c r="CH39" i="179"/>
  <c r="CI39" i="179"/>
  <c r="CJ39" i="179"/>
  <c r="CK39" i="179"/>
  <c r="CL39" i="179"/>
  <c r="CM39" i="179"/>
  <c r="CN39" i="179"/>
  <c r="CO39" i="179"/>
  <c r="CP39" i="179"/>
  <c r="CQ39" i="179"/>
  <c r="CR39" i="179"/>
  <c r="BD40" i="179"/>
  <c r="BE40" i="179"/>
  <c r="BF40" i="179"/>
  <c r="BG40" i="179"/>
  <c r="BH40" i="179"/>
  <c r="BI40" i="179"/>
  <c r="BJ40" i="179"/>
  <c r="BK40" i="179"/>
  <c r="BL40" i="179"/>
  <c r="BM40" i="179"/>
  <c r="BN40" i="179"/>
  <c r="BO40" i="179"/>
  <c r="BP40" i="179"/>
  <c r="BQ40" i="179"/>
  <c r="BR40" i="179"/>
  <c r="BS40" i="179"/>
  <c r="BT40" i="179"/>
  <c r="BU40" i="179"/>
  <c r="BV40" i="179"/>
  <c r="BW40" i="179"/>
  <c r="BX40" i="179"/>
  <c r="BY40" i="179"/>
  <c r="BZ40" i="179"/>
  <c r="CA40" i="179"/>
  <c r="CB40" i="179"/>
  <c r="CC40" i="179"/>
  <c r="CD40" i="179"/>
  <c r="CE40" i="179"/>
  <c r="CF40" i="179"/>
  <c r="CG40" i="179"/>
  <c r="CH40" i="179"/>
  <c r="CI40" i="179"/>
  <c r="CJ40" i="179"/>
  <c r="CK40" i="179"/>
  <c r="CL40" i="179"/>
  <c r="CM40" i="179"/>
  <c r="CN40" i="179"/>
  <c r="CO40" i="179"/>
  <c r="CP40" i="179"/>
  <c r="CQ40" i="179"/>
  <c r="CR40" i="179"/>
  <c r="BD41" i="179"/>
  <c r="BE41" i="179"/>
  <c r="BF41" i="179"/>
  <c r="BG41" i="179"/>
  <c r="BH41" i="179"/>
  <c r="BI41" i="179"/>
  <c r="BJ41" i="179"/>
  <c r="BK41" i="179"/>
  <c r="BL41" i="179"/>
  <c r="BM41" i="179"/>
  <c r="BN41" i="179"/>
  <c r="BO41" i="179"/>
  <c r="BP41" i="179"/>
  <c r="BQ41" i="179"/>
  <c r="BR41" i="179"/>
  <c r="BS41" i="179"/>
  <c r="BT41" i="179"/>
  <c r="BU41" i="179"/>
  <c r="BV41" i="179"/>
  <c r="BW41" i="179"/>
  <c r="BX41" i="179"/>
  <c r="BY41" i="179"/>
  <c r="BZ41" i="179"/>
  <c r="CA41" i="179"/>
  <c r="CB41" i="179"/>
  <c r="CC41" i="179"/>
  <c r="CD41" i="179"/>
  <c r="CE41" i="179"/>
  <c r="CF41" i="179"/>
  <c r="CG41" i="179"/>
  <c r="CH41" i="179"/>
  <c r="CI41" i="179"/>
  <c r="CJ41" i="179"/>
  <c r="CK41" i="179"/>
  <c r="CL41" i="179"/>
  <c r="CM41" i="179"/>
  <c r="CN41" i="179"/>
  <c r="CO41" i="179"/>
  <c r="CP41" i="179"/>
  <c r="CQ41" i="179"/>
  <c r="CR41" i="179"/>
  <c r="BD42" i="179"/>
  <c r="BE42" i="179"/>
  <c r="BF42" i="179"/>
  <c r="BG42" i="179"/>
  <c r="BH42" i="179"/>
  <c r="BI42" i="179"/>
  <c r="BJ42" i="179"/>
  <c r="BK42" i="179"/>
  <c r="BL42" i="179"/>
  <c r="BM42" i="179"/>
  <c r="BN42" i="179"/>
  <c r="BO42" i="179"/>
  <c r="BP42" i="179"/>
  <c r="BQ42" i="179"/>
  <c r="BR42" i="179"/>
  <c r="BS42" i="179"/>
  <c r="BT42" i="179"/>
  <c r="BU42" i="179"/>
  <c r="BV42" i="179"/>
  <c r="BW42" i="179"/>
  <c r="BX42" i="179"/>
  <c r="BY42" i="179"/>
  <c r="BZ42" i="179"/>
  <c r="CA42" i="179"/>
  <c r="CB42" i="179"/>
  <c r="CC42" i="179"/>
  <c r="CD42" i="179"/>
  <c r="CE42" i="179"/>
  <c r="CF42" i="179"/>
  <c r="CG42" i="179"/>
  <c r="CH42" i="179"/>
  <c r="CI42" i="179"/>
  <c r="CJ42" i="179"/>
  <c r="CK42" i="179"/>
  <c r="CL42" i="179"/>
  <c r="CM42" i="179"/>
  <c r="CN42" i="179"/>
  <c r="CO42" i="179"/>
  <c r="CP42" i="179"/>
  <c r="CQ42" i="179"/>
  <c r="CR42" i="179"/>
  <c r="BD43" i="179"/>
  <c r="BE43" i="179"/>
  <c r="BF43" i="179"/>
  <c r="BG43" i="179"/>
  <c r="BH43" i="179"/>
  <c r="BI43" i="179"/>
  <c r="BJ43" i="179"/>
  <c r="BK43" i="179"/>
  <c r="BL43" i="179"/>
  <c r="BM43" i="179"/>
  <c r="BN43" i="179"/>
  <c r="BO43" i="179"/>
  <c r="BP43" i="179"/>
  <c r="BQ43" i="179"/>
  <c r="BR43" i="179"/>
  <c r="BS43" i="179"/>
  <c r="BT43" i="179"/>
  <c r="BU43" i="179"/>
  <c r="BV43" i="179"/>
  <c r="BW43" i="179"/>
  <c r="BX43" i="179"/>
  <c r="BY43" i="179"/>
  <c r="BZ43" i="179"/>
  <c r="CA43" i="179"/>
  <c r="CB43" i="179"/>
  <c r="CC43" i="179"/>
  <c r="CD43" i="179"/>
  <c r="CE43" i="179"/>
  <c r="CF43" i="179"/>
  <c r="CG43" i="179"/>
  <c r="CH43" i="179"/>
  <c r="CI43" i="179"/>
  <c r="CJ43" i="179"/>
  <c r="CK43" i="179"/>
  <c r="CL43" i="179"/>
  <c r="CM43" i="179"/>
  <c r="CN43" i="179"/>
  <c r="CO43" i="179"/>
  <c r="CP43" i="179"/>
  <c r="CQ43" i="179"/>
  <c r="CR43" i="179"/>
  <c r="BD44" i="179"/>
  <c r="BE44" i="179"/>
  <c r="BF44" i="179"/>
  <c r="BG44" i="179"/>
  <c r="BH44" i="179"/>
  <c r="BI44" i="179"/>
  <c r="BJ44" i="179"/>
  <c r="BK44" i="179"/>
  <c r="BL44" i="179"/>
  <c r="BM44" i="179"/>
  <c r="BN44" i="179"/>
  <c r="BO44" i="179"/>
  <c r="BP44" i="179"/>
  <c r="BQ44" i="179"/>
  <c r="BR44" i="179"/>
  <c r="BS44" i="179"/>
  <c r="BT44" i="179"/>
  <c r="BU44" i="179"/>
  <c r="BV44" i="179"/>
  <c r="BW44" i="179"/>
  <c r="BX44" i="179"/>
  <c r="BY44" i="179"/>
  <c r="BZ44" i="179"/>
  <c r="CA44" i="179"/>
  <c r="CB44" i="179"/>
  <c r="CC44" i="179"/>
  <c r="CD44" i="179"/>
  <c r="CE44" i="179"/>
  <c r="CF44" i="179"/>
  <c r="CG44" i="179"/>
  <c r="CH44" i="179"/>
  <c r="CI44" i="179"/>
  <c r="CJ44" i="179"/>
  <c r="CK44" i="179"/>
  <c r="CL44" i="179"/>
  <c r="CM44" i="179"/>
  <c r="CN44" i="179"/>
  <c r="CO44" i="179"/>
  <c r="CP44" i="179"/>
  <c r="CQ44" i="179"/>
  <c r="CR44" i="179"/>
  <c r="BD45" i="179"/>
  <c r="BE45" i="179"/>
  <c r="BF45" i="179"/>
  <c r="BG45" i="179"/>
  <c r="BH45" i="179"/>
  <c r="BI45" i="179"/>
  <c r="BJ45" i="179"/>
  <c r="BK45" i="179"/>
  <c r="BL45" i="179"/>
  <c r="BM45" i="179"/>
  <c r="BN45" i="179"/>
  <c r="BO45" i="179"/>
  <c r="BP45" i="179"/>
  <c r="BQ45" i="179"/>
  <c r="BR45" i="179"/>
  <c r="BS45" i="179"/>
  <c r="BT45" i="179"/>
  <c r="BU45" i="179"/>
  <c r="BV45" i="179"/>
  <c r="BW45" i="179"/>
  <c r="BX45" i="179"/>
  <c r="BY45" i="179"/>
  <c r="BZ45" i="179"/>
  <c r="CA45" i="179"/>
  <c r="CB45" i="179"/>
  <c r="CC45" i="179"/>
  <c r="CD45" i="179"/>
  <c r="CE45" i="179"/>
  <c r="CF45" i="179"/>
  <c r="CG45" i="179"/>
  <c r="CH45" i="179"/>
  <c r="CI45" i="179"/>
  <c r="CJ45" i="179"/>
  <c r="CK45" i="179"/>
  <c r="CL45" i="179"/>
  <c r="CM45" i="179"/>
  <c r="CN45" i="179"/>
  <c r="CO45" i="179"/>
  <c r="CP45" i="179"/>
  <c r="CQ45" i="179"/>
  <c r="CR45" i="179"/>
  <c r="BD46" i="179"/>
  <c r="BE46" i="179"/>
  <c r="BF46" i="179"/>
  <c r="BG46" i="179"/>
  <c r="BH46" i="179"/>
  <c r="BI46" i="179"/>
  <c r="BJ46" i="179"/>
  <c r="BK46" i="179"/>
  <c r="BL46" i="179"/>
  <c r="BM46" i="179"/>
  <c r="BN46" i="179"/>
  <c r="BO46" i="179"/>
  <c r="BP46" i="179"/>
  <c r="BQ46" i="179"/>
  <c r="BR46" i="179"/>
  <c r="BS46" i="179"/>
  <c r="BT46" i="179"/>
  <c r="BU46" i="179"/>
  <c r="BV46" i="179"/>
  <c r="BW46" i="179"/>
  <c r="BX46" i="179"/>
  <c r="BY46" i="179"/>
  <c r="BZ46" i="179"/>
  <c r="CA46" i="179"/>
  <c r="CB46" i="179"/>
  <c r="CC46" i="179"/>
  <c r="CD46" i="179"/>
  <c r="CE46" i="179"/>
  <c r="CF46" i="179"/>
  <c r="CG46" i="179"/>
  <c r="CH46" i="179"/>
  <c r="CI46" i="179"/>
  <c r="CJ46" i="179"/>
  <c r="CK46" i="179"/>
  <c r="CL46" i="179"/>
  <c r="CM46" i="179"/>
  <c r="CN46" i="179"/>
  <c r="CO46" i="179"/>
  <c r="CP46" i="179"/>
  <c r="CQ46" i="179"/>
  <c r="CR46" i="179"/>
  <c r="BD47" i="179"/>
  <c r="BE47" i="179"/>
  <c r="BF47" i="179"/>
  <c r="BG47" i="179"/>
  <c r="BH47" i="179"/>
  <c r="BI47" i="179"/>
  <c r="BJ47" i="179"/>
  <c r="BK47" i="179"/>
  <c r="BL47" i="179"/>
  <c r="BM47" i="179"/>
  <c r="BN47" i="179"/>
  <c r="BO47" i="179"/>
  <c r="BP47" i="179"/>
  <c r="BQ47" i="179"/>
  <c r="BR47" i="179"/>
  <c r="BS47" i="179"/>
  <c r="BT47" i="179"/>
  <c r="BU47" i="179"/>
  <c r="BV47" i="179"/>
  <c r="BW47" i="179"/>
  <c r="BX47" i="179"/>
  <c r="BY47" i="179"/>
  <c r="BZ47" i="179"/>
  <c r="CA47" i="179"/>
  <c r="CB47" i="179"/>
  <c r="CC47" i="179"/>
  <c r="CD47" i="179"/>
  <c r="CE47" i="179"/>
  <c r="CF47" i="179"/>
  <c r="CG47" i="179"/>
  <c r="CH47" i="179"/>
  <c r="CI47" i="179"/>
  <c r="CJ47" i="179"/>
  <c r="CK47" i="179"/>
  <c r="CL47" i="179"/>
  <c r="CM47" i="179"/>
  <c r="CN47" i="179"/>
  <c r="CO47" i="179"/>
  <c r="CP47" i="179"/>
  <c r="CQ47" i="179"/>
  <c r="CR47" i="179"/>
  <c r="BD48" i="179"/>
  <c r="BE48" i="179"/>
  <c r="BF48" i="179"/>
  <c r="BG48" i="179"/>
  <c r="BH48" i="179"/>
  <c r="BI48" i="179"/>
  <c r="BJ48" i="179"/>
  <c r="BK48" i="179"/>
  <c r="BL48" i="179"/>
  <c r="BM48" i="179"/>
  <c r="BN48" i="179"/>
  <c r="BO48" i="179"/>
  <c r="BP48" i="179"/>
  <c r="BQ48" i="179"/>
  <c r="BR48" i="179"/>
  <c r="BS48" i="179"/>
  <c r="BT48" i="179"/>
  <c r="BU48" i="179"/>
  <c r="BV48" i="179"/>
  <c r="BW48" i="179"/>
  <c r="BX48" i="179"/>
  <c r="BY48" i="179"/>
  <c r="BZ48" i="179"/>
  <c r="CA48" i="179"/>
  <c r="CB48" i="179"/>
  <c r="CC48" i="179"/>
  <c r="CD48" i="179"/>
  <c r="CE48" i="179"/>
  <c r="CF48" i="179"/>
  <c r="CG48" i="179"/>
  <c r="CH48" i="179"/>
  <c r="CI48" i="179"/>
  <c r="CJ48" i="179"/>
  <c r="CK48" i="179"/>
  <c r="CL48" i="179"/>
  <c r="CM48" i="179"/>
  <c r="CN48" i="179"/>
  <c r="CO48" i="179"/>
  <c r="CP48" i="179"/>
  <c r="CQ48" i="179"/>
  <c r="CR48" i="179"/>
  <c r="BD49" i="179"/>
  <c r="BE49" i="179"/>
  <c r="BF49" i="179"/>
  <c r="BG49" i="179"/>
  <c r="BH49" i="179"/>
  <c r="BI49" i="179"/>
  <c r="BJ49" i="179"/>
  <c r="BK49" i="179"/>
  <c r="BL49" i="179"/>
  <c r="BM49" i="179"/>
  <c r="BN49" i="179"/>
  <c r="BO49" i="179"/>
  <c r="BP49" i="179"/>
  <c r="BQ49" i="179"/>
  <c r="BR49" i="179"/>
  <c r="BS49" i="179"/>
  <c r="BT49" i="179"/>
  <c r="BU49" i="179"/>
  <c r="BV49" i="179"/>
  <c r="BW49" i="179"/>
  <c r="BX49" i="179"/>
  <c r="BY49" i="179"/>
  <c r="BZ49" i="179"/>
  <c r="CA49" i="179"/>
  <c r="CB49" i="179"/>
  <c r="CC49" i="179"/>
  <c r="CD49" i="179"/>
  <c r="CE49" i="179"/>
  <c r="CF49" i="179"/>
  <c r="CG49" i="179"/>
  <c r="CH49" i="179"/>
  <c r="CI49" i="179"/>
  <c r="CJ49" i="179"/>
  <c r="CK49" i="179"/>
  <c r="CL49" i="179"/>
  <c r="CM49" i="179"/>
  <c r="CN49" i="179"/>
  <c r="CO49" i="179"/>
  <c r="CP49" i="179"/>
  <c r="CQ49" i="179"/>
  <c r="CR49" i="179"/>
  <c r="BD50" i="179"/>
  <c r="BE50" i="179"/>
  <c r="BF50" i="179"/>
  <c r="BG50" i="179"/>
  <c r="BH50" i="179"/>
  <c r="BI50" i="179"/>
  <c r="BJ50" i="179"/>
  <c r="BK50" i="179"/>
  <c r="BL50" i="179"/>
  <c r="BM50" i="179"/>
  <c r="BN50" i="179"/>
  <c r="BO50" i="179"/>
  <c r="BP50" i="179"/>
  <c r="BQ50" i="179"/>
  <c r="BR50" i="179"/>
  <c r="BS50" i="179"/>
  <c r="BT50" i="179"/>
  <c r="BU50" i="179"/>
  <c r="BV50" i="179"/>
  <c r="BW50" i="179"/>
  <c r="BX50" i="179"/>
  <c r="BY50" i="179"/>
  <c r="BZ50" i="179"/>
  <c r="CA50" i="179"/>
  <c r="CB50" i="179"/>
  <c r="CC50" i="179"/>
  <c r="CD50" i="179"/>
  <c r="CE50" i="179"/>
  <c r="CF50" i="179"/>
  <c r="CG50" i="179"/>
  <c r="CH50" i="179"/>
  <c r="CI50" i="179"/>
  <c r="CJ50" i="179"/>
  <c r="CK50" i="179"/>
  <c r="CL50" i="179"/>
  <c r="CM50" i="179"/>
  <c r="CN50" i="179"/>
  <c r="CO50" i="179"/>
  <c r="CP50" i="179"/>
  <c r="CQ50" i="179"/>
  <c r="CR50" i="179"/>
  <c r="BD51" i="179"/>
  <c r="BE51" i="179"/>
  <c r="BF51" i="179"/>
  <c r="BG51" i="179"/>
  <c r="BH51" i="179"/>
  <c r="BI51" i="179"/>
  <c r="BJ51" i="179"/>
  <c r="BK51" i="179"/>
  <c r="BL51" i="179"/>
  <c r="BM51" i="179"/>
  <c r="BN51" i="179"/>
  <c r="BO51" i="179"/>
  <c r="BP51" i="179"/>
  <c r="BQ51" i="179"/>
  <c r="BR51" i="179"/>
  <c r="BS51" i="179"/>
  <c r="BT51" i="179"/>
  <c r="BU51" i="179"/>
  <c r="BV51" i="179"/>
  <c r="BW51" i="179"/>
  <c r="BX51" i="179"/>
  <c r="BY51" i="179"/>
  <c r="BZ51" i="179"/>
  <c r="CA51" i="179"/>
  <c r="CB51" i="179"/>
  <c r="CC51" i="179"/>
  <c r="CD51" i="179"/>
  <c r="CE51" i="179"/>
  <c r="CF51" i="179"/>
  <c r="CG51" i="179"/>
  <c r="CH51" i="179"/>
  <c r="CI51" i="179"/>
  <c r="CJ51" i="179"/>
  <c r="CK51" i="179"/>
  <c r="CL51" i="179"/>
  <c r="CM51" i="179"/>
  <c r="CN51" i="179"/>
  <c r="CO51" i="179"/>
  <c r="CP51" i="179"/>
  <c r="CQ51" i="179"/>
  <c r="CR51" i="179"/>
  <c r="BD52" i="179"/>
  <c r="BE52" i="179"/>
  <c r="BF52" i="179"/>
  <c r="BG52" i="179"/>
  <c r="BH52" i="179"/>
  <c r="BI52" i="179"/>
  <c r="BJ52" i="179"/>
  <c r="BK52" i="179"/>
  <c r="BL52" i="179"/>
  <c r="BM52" i="179"/>
  <c r="BN52" i="179"/>
  <c r="BO52" i="179"/>
  <c r="BP52" i="179"/>
  <c r="BQ52" i="179"/>
  <c r="BR52" i="179"/>
  <c r="BS52" i="179"/>
  <c r="BT52" i="179"/>
  <c r="BU52" i="179"/>
  <c r="BV52" i="179"/>
  <c r="BW52" i="179"/>
  <c r="BX52" i="179"/>
  <c r="BY52" i="179"/>
  <c r="BZ52" i="179"/>
  <c r="CA52" i="179"/>
  <c r="CB52" i="179"/>
  <c r="CC52" i="179"/>
  <c r="CD52" i="179"/>
  <c r="CE52" i="179"/>
  <c r="CF52" i="179"/>
  <c r="CG52" i="179"/>
  <c r="CH52" i="179"/>
  <c r="CI52" i="179"/>
  <c r="CJ52" i="179"/>
  <c r="CK52" i="179"/>
  <c r="CL52" i="179"/>
  <c r="CM52" i="179"/>
  <c r="CN52" i="179"/>
  <c r="CO52" i="179"/>
  <c r="CP52" i="179"/>
  <c r="CQ52" i="179"/>
  <c r="CR52" i="179"/>
  <c r="BD53" i="179"/>
  <c r="BE53" i="179"/>
  <c r="BF53" i="179"/>
  <c r="BG53" i="179"/>
  <c r="BH53" i="179"/>
  <c r="BI53" i="179"/>
  <c r="BJ53" i="179"/>
  <c r="BK53" i="179"/>
  <c r="BL53" i="179"/>
  <c r="BM53" i="179"/>
  <c r="BN53" i="179"/>
  <c r="BO53" i="179"/>
  <c r="BP53" i="179"/>
  <c r="BQ53" i="179"/>
  <c r="BR53" i="179"/>
  <c r="BS53" i="179"/>
  <c r="BT53" i="179"/>
  <c r="BU53" i="179"/>
  <c r="BV53" i="179"/>
  <c r="BW53" i="179"/>
  <c r="BX53" i="179"/>
  <c r="BY53" i="179"/>
  <c r="BZ53" i="179"/>
  <c r="CA53" i="179"/>
  <c r="CB53" i="179"/>
  <c r="CC53" i="179"/>
  <c r="CD53" i="179"/>
  <c r="CE53" i="179"/>
  <c r="CF53" i="179"/>
  <c r="CG53" i="179"/>
  <c r="CH53" i="179"/>
  <c r="CI53" i="179"/>
  <c r="CJ53" i="179"/>
  <c r="CK53" i="179"/>
  <c r="CL53" i="179"/>
  <c r="CM53" i="179"/>
  <c r="CN53" i="179"/>
  <c r="CO53" i="179"/>
  <c r="CP53" i="179"/>
  <c r="CQ53" i="179"/>
  <c r="CR53" i="179"/>
  <c r="BD54" i="179"/>
  <c r="BE54" i="179"/>
  <c r="BF54" i="179"/>
  <c r="BG54" i="179"/>
  <c r="BH54" i="179"/>
  <c r="BI54" i="179"/>
  <c r="BJ54" i="179"/>
  <c r="BK54" i="179"/>
  <c r="BL54" i="179"/>
  <c r="BM54" i="179"/>
  <c r="BN54" i="179"/>
  <c r="BO54" i="179"/>
  <c r="BP54" i="179"/>
  <c r="BQ54" i="179"/>
  <c r="BR54" i="179"/>
  <c r="BS54" i="179"/>
  <c r="BT54" i="179"/>
  <c r="BU54" i="179"/>
  <c r="BV54" i="179"/>
  <c r="BW54" i="179"/>
  <c r="BX54" i="179"/>
  <c r="BY54" i="179"/>
  <c r="BZ54" i="179"/>
  <c r="CA54" i="179"/>
  <c r="CB54" i="179"/>
  <c r="CC54" i="179"/>
  <c r="CD54" i="179"/>
  <c r="CE54" i="179"/>
  <c r="CF54" i="179"/>
  <c r="CG54" i="179"/>
  <c r="CH54" i="179"/>
  <c r="CI54" i="179"/>
  <c r="CJ54" i="179"/>
  <c r="CK54" i="179"/>
  <c r="CL54" i="179"/>
  <c r="CM54" i="179"/>
  <c r="CN54" i="179"/>
  <c r="CO54" i="179"/>
  <c r="CP54" i="179"/>
  <c r="CQ54" i="179"/>
  <c r="CR54" i="179"/>
  <c r="BD55" i="179"/>
  <c r="BE55" i="179"/>
  <c r="BF55" i="179"/>
  <c r="BG55" i="179"/>
  <c r="BH55" i="179"/>
  <c r="BI55" i="179"/>
  <c r="BJ55" i="179"/>
  <c r="BK55" i="179"/>
  <c r="BL55" i="179"/>
  <c r="BM55" i="179"/>
  <c r="BN55" i="179"/>
  <c r="BO55" i="179"/>
  <c r="BP55" i="179"/>
  <c r="BQ55" i="179"/>
  <c r="BR55" i="179"/>
  <c r="BS55" i="179"/>
  <c r="BT55" i="179"/>
  <c r="BU55" i="179"/>
  <c r="BV55" i="179"/>
  <c r="BW55" i="179"/>
  <c r="BX55" i="179"/>
  <c r="BY55" i="179"/>
  <c r="BZ55" i="179"/>
  <c r="CA55" i="179"/>
  <c r="CB55" i="179"/>
  <c r="CC55" i="179"/>
  <c r="CD55" i="179"/>
  <c r="CE55" i="179"/>
  <c r="CF55" i="179"/>
  <c r="CG55" i="179"/>
  <c r="CH55" i="179"/>
  <c r="CI55" i="179"/>
  <c r="CJ55" i="179"/>
  <c r="CK55" i="179"/>
  <c r="CL55" i="179"/>
  <c r="CM55" i="179"/>
  <c r="CN55" i="179"/>
  <c r="CO55" i="179"/>
  <c r="CP55" i="179"/>
  <c r="CQ55" i="179"/>
  <c r="CR55" i="179"/>
  <c r="BD56" i="179"/>
  <c r="BE56" i="179"/>
  <c r="BF56" i="179"/>
  <c r="BG56" i="179"/>
  <c r="BH56" i="179"/>
  <c r="BI56" i="179"/>
  <c r="BJ56" i="179"/>
  <c r="BK56" i="179"/>
  <c r="BL56" i="179"/>
  <c r="BM56" i="179"/>
  <c r="BN56" i="179"/>
  <c r="BO56" i="179"/>
  <c r="BP56" i="179"/>
  <c r="BQ56" i="179"/>
  <c r="BR56" i="179"/>
  <c r="BS56" i="179"/>
  <c r="BT56" i="179"/>
  <c r="BU56" i="179"/>
  <c r="BV56" i="179"/>
  <c r="BW56" i="179"/>
  <c r="BX56" i="179"/>
  <c r="BY56" i="179"/>
  <c r="BZ56" i="179"/>
  <c r="CA56" i="179"/>
  <c r="CB56" i="179"/>
  <c r="CC56" i="179"/>
  <c r="CD56" i="179"/>
  <c r="CE56" i="179"/>
  <c r="CF56" i="179"/>
  <c r="CG56" i="179"/>
  <c r="CH56" i="179"/>
  <c r="CI56" i="179"/>
  <c r="CJ56" i="179"/>
  <c r="CK56" i="179"/>
  <c r="CL56" i="179"/>
  <c r="CM56" i="179"/>
  <c r="CN56" i="179"/>
  <c r="CO56" i="179"/>
  <c r="CP56" i="179"/>
  <c r="CQ56" i="179"/>
  <c r="CR56" i="179"/>
  <c r="BD57" i="179"/>
  <c r="BE57" i="179"/>
  <c r="BF57" i="179"/>
  <c r="BG57" i="179"/>
  <c r="BH57" i="179"/>
  <c r="BI57" i="179"/>
  <c r="BJ57" i="179"/>
  <c r="BK57" i="179"/>
  <c r="BL57" i="179"/>
  <c r="BM57" i="179"/>
  <c r="BN57" i="179"/>
  <c r="BO57" i="179"/>
  <c r="BP57" i="179"/>
  <c r="BQ57" i="179"/>
  <c r="BR57" i="179"/>
  <c r="BS57" i="179"/>
  <c r="BT57" i="179"/>
  <c r="BU57" i="179"/>
  <c r="BV57" i="179"/>
  <c r="BW57" i="179"/>
  <c r="BX57" i="179"/>
  <c r="BY57" i="179"/>
  <c r="BZ57" i="179"/>
  <c r="CA57" i="179"/>
  <c r="CB57" i="179"/>
  <c r="CC57" i="179"/>
  <c r="CD57" i="179"/>
  <c r="CE57" i="179"/>
  <c r="CF57" i="179"/>
  <c r="CG57" i="179"/>
  <c r="CH57" i="179"/>
  <c r="CI57" i="179"/>
  <c r="CJ57" i="179"/>
  <c r="CK57" i="179"/>
  <c r="CL57" i="179"/>
  <c r="CM57" i="179"/>
  <c r="CN57" i="179"/>
  <c r="CO57" i="179"/>
  <c r="CP57" i="179"/>
  <c r="CQ57" i="179"/>
  <c r="CR57" i="179"/>
  <c r="BD58" i="179"/>
  <c r="BE58" i="179"/>
  <c r="BF58" i="179"/>
  <c r="BG58" i="179"/>
  <c r="BH58" i="179"/>
  <c r="BI58" i="179"/>
  <c r="BJ58" i="179"/>
  <c r="BK58" i="179"/>
  <c r="BL58" i="179"/>
  <c r="BM58" i="179"/>
  <c r="BN58" i="179"/>
  <c r="BO58" i="179"/>
  <c r="BP58" i="179"/>
  <c r="BQ58" i="179"/>
  <c r="BR58" i="179"/>
  <c r="BS58" i="179"/>
  <c r="BT58" i="179"/>
  <c r="BU58" i="179"/>
  <c r="BV58" i="179"/>
  <c r="BW58" i="179"/>
  <c r="BX58" i="179"/>
  <c r="BY58" i="179"/>
  <c r="BZ58" i="179"/>
  <c r="CA58" i="179"/>
  <c r="CB58" i="179"/>
  <c r="CC58" i="179"/>
  <c r="CD58" i="179"/>
  <c r="CE58" i="179"/>
  <c r="CF58" i="179"/>
  <c r="CG58" i="179"/>
  <c r="CH58" i="179"/>
  <c r="CI58" i="179"/>
  <c r="CJ58" i="179"/>
  <c r="CK58" i="179"/>
  <c r="CL58" i="179"/>
  <c r="CM58" i="179"/>
  <c r="CN58" i="179"/>
  <c r="CO58" i="179"/>
  <c r="CP58" i="179"/>
  <c r="CQ58" i="179"/>
  <c r="CR58" i="179"/>
  <c r="BD59" i="179"/>
  <c r="BE59" i="179"/>
  <c r="BF59" i="179"/>
  <c r="BG59" i="179"/>
  <c r="BH59" i="179"/>
  <c r="BI59" i="179"/>
  <c r="BJ59" i="179"/>
  <c r="BK59" i="179"/>
  <c r="BL59" i="179"/>
  <c r="BM59" i="179"/>
  <c r="BN59" i="179"/>
  <c r="BO59" i="179"/>
  <c r="BP59" i="179"/>
  <c r="BQ59" i="179"/>
  <c r="BR59" i="179"/>
  <c r="BS59" i="179"/>
  <c r="BT59" i="179"/>
  <c r="BU59" i="179"/>
  <c r="BV59" i="179"/>
  <c r="BW59" i="179"/>
  <c r="BX59" i="179"/>
  <c r="BY59" i="179"/>
  <c r="BZ59" i="179"/>
  <c r="CA59" i="179"/>
  <c r="CB59" i="179"/>
  <c r="CC59" i="179"/>
  <c r="CD59" i="179"/>
  <c r="CE59" i="179"/>
  <c r="CF59" i="179"/>
  <c r="CG59" i="179"/>
  <c r="CH59" i="179"/>
  <c r="CI59" i="179"/>
  <c r="CJ59" i="179"/>
  <c r="CK59" i="179"/>
  <c r="CL59" i="179"/>
  <c r="CM59" i="179"/>
  <c r="CN59" i="179"/>
  <c r="CO59" i="179"/>
  <c r="CP59" i="179"/>
  <c r="CQ59" i="179"/>
  <c r="CR59" i="179"/>
  <c r="BD60" i="179"/>
  <c r="BE60" i="179"/>
  <c r="BF60" i="179"/>
  <c r="BG60" i="179"/>
  <c r="BH60" i="179"/>
  <c r="BI60" i="179"/>
  <c r="BJ60" i="179"/>
  <c r="BK60" i="179"/>
  <c r="BL60" i="179"/>
  <c r="BM60" i="179"/>
  <c r="BN60" i="179"/>
  <c r="BO60" i="179"/>
  <c r="BP60" i="179"/>
  <c r="BQ60" i="179"/>
  <c r="BR60" i="179"/>
  <c r="BS60" i="179"/>
  <c r="BT60" i="179"/>
  <c r="BU60" i="179"/>
  <c r="BV60" i="179"/>
  <c r="BW60" i="179"/>
  <c r="BX60" i="179"/>
  <c r="BY60" i="179"/>
  <c r="BZ60" i="179"/>
  <c r="CA60" i="179"/>
  <c r="CB60" i="179"/>
  <c r="CC60" i="179"/>
  <c r="CD60" i="179"/>
  <c r="CE60" i="179"/>
  <c r="CF60" i="179"/>
  <c r="CG60" i="179"/>
  <c r="CH60" i="179"/>
  <c r="CI60" i="179"/>
  <c r="CJ60" i="179"/>
  <c r="CK60" i="179"/>
  <c r="CL60" i="179"/>
  <c r="CM60" i="179"/>
  <c r="CN60" i="179"/>
  <c r="CO60" i="179"/>
  <c r="CP60" i="179"/>
  <c r="CQ60" i="179"/>
  <c r="CR60" i="179"/>
  <c r="BD61" i="179"/>
  <c r="BE61" i="179"/>
  <c r="BF61" i="179"/>
  <c r="BG61" i="179"/>
  <c r="BH61" i="179"/>
  <c r="BI61" i="179"/>
  <c r="BJ61" i="179"/>
  <c r="BK61" i="179"/>
  <c r="BL61" i="179"/>
  <c r="BM61" i="179"/>
  <c r="BN61" i="179"/>
  <c r="BO61" i="179"/>
  <c r="BP61" i="179"/>
  <c r="BQ61" i="179"/>
  <c r="BR61" i="179"/>
  <c r="BS61" i="179"/>
  <c r="BT61" i="179"/>
  <c r="BU61" i="179"/>
  <c r="BV61" i="179"/>
  <c r="BW61" i="179"/>
  <c r="BX61" i="179"/>
  <c r="BY61" i="179"/>
  <c r="BZ61" i="179"/>
  <c r="CA61" i="179"/>
  <c r="CB61" i="179"/>
  <c r="CC61" i="179"/>
  <c r="CD61" i="179"/>
  <c r="CE61" i="179"/>
  <c r="CF61" i="179"/>
  <c r="CG61" i="179"/>
  <c r="CH61" i="179"/>
  <c r="CI61" i="179"/>
  <c r="CJ61" i="179"/>
  <c r="CK61" i="179"/>
  <c r="CL61" i="179"/>
  <c r="CM61" i="179"/>
  <c r="CN61" i="179"/>
  <c r="CO61" i="179"/>
  <c r="CP61" i="179"/>
  <c r="CQ61" i="179"/>
  <c r="CR61" i="179"/>
  <c r="BD62" i="179"/>
  <c r="BE62" i="179"/>
  <c r="BF62" i="179"/>
  <c r="BG62" i="179"/>
  <c r="BH62" i="179"/>
  <c r="BI62" i="179"/>
  <c r="BJ62" i="179"/>
  <c r="BK62" i="179"/>
  <c r="BL62" i="179"/>
  <c r="BM62" i="179"/>
  <c r="BN62" i="179"/>
  <c r="BO62" i="179"/>
  <c r="BP62" i="179"/>
  <c r="BQ62" i="179"/>
  <c r="BR62" i="179"/>
  <c r="BS62" i="179"/>
  <c r="BT62" i="179"/>
  <c r="BU62" i="179"/>
  <c r="BV62" i="179"/>
  <c r="BW62" i="179"/>
  <c r="BX62" i="179"/>
  <c r="BY62" i="179"/>
  <c r="BZ62" i="179"/>
  <c r="CA62" i="179"/>
  <c r="CB62" i="179"/>
  <c r="CC62" i="179"/>
  <c r="CD62" i="179"/>
  <c r="CE62" i="179"/>
  <c r="CF62" i="179"/>
  <c r="CG62" i="179"/>
  <c r="CH62" i="179"/>
  <c r="CI62" i="179"/>
  <c r="CJ62" i="179"/>
  <c r="CK62" i="179"/>
  <c r="CL62" i="179"/>
  <c r="CM62" i="179"/>
  <c r="CN62" i="179"/>
  <c r="CO62" i="179"/>
  <c r="CP62" i="179"/>
  <c r="CQ62" i="179"/>
  <c r="CR62" i="179"/>
  <c r="BD63" i="179"/>
  <c r="BE63" i="179"/>
  <c r="BF63" i="179"/>
  <c r="BG63" i="179"/>
  <c r="BH63" i="179"/>
  <c r="BI63" i="179"/>
  <c r="BJ63" i="179"/>
  <c r="BK63" i="179"/>
  <c r="BL63" i="179"/>
  <c r="BM63" i="179"/>
  <c r="BN63" i="179"/>
  <c r="BO63" i="179"/>
  <c r="BP63" i="179"/>
  <c r="BQ63" i="179"/>
  <c r="BR63" i="179"/>
  <c r="BS63" i="179"/>
  <c r="BT63" i="179"/>
  <c r="BU63" i="179"/>
  <c r="BV63" i="179"/>
  <c r="BW63" i="179"/>
  <c r="BX63" i="179"/>
  <c r="BY63" i="179"/>
  <c r="BZ63" i="179"/>
  <c r="CA63" i="179"/>
  <c r="CB63" i="179"/>
  <c r="CC63" i="179"/>
  <c r="CD63" i="179"/>
  <c r="CE63" i="179"/>
  <c r="CF63" i="179"/>
  <c r="CG63" i="179"/>
  <c r="CH63" i="179"/>
  <c r="CI63" i="179"/>
  <c r="CJ63" i="179"/>
  <c r="CK63" i="179"/>
  <c r="CL63" i="179"/>
  <c r="CM63" i="179"/>
  <c r="CN63" i="179"/>
  <c r="CO63" i="179"/>
  <c r="CP63" i="179"/>
  <c r="CQ63" i="179"/>
  <c r="CR63" i="179"/>
  <c r="BD64" i="179"/>
  <c r="BE64" i="179"/>
  <c r="BF64" i="179"/>
  <c r="BG64" i="179"/>
  <c r="BH64" i="179"/>
  <c r="BI64" i="179"/>
  <c r="BJ64" i="179"/>
  <c r="BK64" i="179"/>
  <c r="BL64" i="179"/>
  <c r="BM64" i="179"/>
  <c r="BN64" i="179"/>
  <c r="BO64" i="179"/>
  <c r="BP64" i="179"/>
  <c r="BQ64" i="179"/>
  <c r="BR64" i="179"/>
  <c r="BS64" i="179"/>
  <c r="BT64" i="179"/>
  <c r="BU64" i="179"/>
  <c r="BV64" i="179"/>
  <c r="BW64" i="179"/>
  <c r="BX64" i="179"/>
  <c r="BY64" i="179"/>
  <c r="BZ64" i="179"/>
  <c r="CA64" i="179"/>
  <c r="CB64" i="179"/>
  <c r="CC64" i="179"/>
  <c r="CD64" i="179"/>
  <c r="CE64" i="179"/>
  <c r="CF64" i="179"/>
  <c r="CG64" i="179"/>
  <c r="CH64" i="179"/>
  <c r="CI64" i="179"/>
  <c r="CJ64" i="179"/>
  <c r="CK64" i="179"/>
  <c r="CL64" i="179"/>
  <c r="CM64" i="179"/>
  <c r="CN64" i="179"/>
  <c r="CO64" i="179"/>
  <c r="CP64" i="179"/>
  <c r="CQ64" i="179"/>
  <c r="CR64" i="179"/>
  <c r="BD65" i="179"/>
  <c r="BE65" i="179"/>
  <c r="BF65" i="179"/>
  <c r="BG65" i="179"/>
  <c r="BH65" i="179"/>
  <c r="BI65" i="179"/>
  <c r="BJ65" i="179"/>
  <c r="BK65" i="179"/>
  <c r="BL65" i="179"/>
  <c r="BM65" i="179"/>
  <c r="BN65" i="179"/>
  <c r="BO65" i="179"/>
  <c r="BP65" i="179"/>
  <c r="BQ65" i="179"/>
  <c r="BR65" i="179"/>
  <c r="BS65" i="179"/>
  <c r="BT65" i="179"/>
  <c r="BU65" i="179"/>
  <c r="BV65" i="179"/>
  <c r="BW65" i="179"/>
  <c r="BX65" i="179"/>
  <c r="BY65" i="179"/>
  <c r="BZ65" i="179"/>
  <c r="CA65" i="179"/>
  <c r="CB65" i="179"/>
  <c r="CC65" i="179"/>
  <c r="CD65" i="179"/>
  <c r="CE65" i="179"/>
  <c r="CF65" i="179"/>
  <c r="CG65" i="179"/>
  <c r="CH65" i="179"/>
  <c r="CI65" i="179"/>
  <c r="CJ65" i="179"/>
  <c r="CK65" i="179"/>
  <c r="CL65" i="179"/>
  <c r="CM65" i="179"/>
  <c r="CN65" i="179"/>
  <c r="CO65" i="179"/>
  <c r="CP65" i="179"/>
  <c r="CQ65" i="179"/>
  <c r="CR65" i="179"/>
  <c r="BD66" i="179"/>
  <c r="BE66" i="179"/>
  <c r="BF66" i="179"/>
  <c r="BG66" i="179"/>
  <c r="BH66" i="179"/>
  <c r="BI66" i="179"/>
  <c r="BJ66" i="179"/>
  <c r="BK66" i="179"/>
  <c r="BL66" i="179"/>
  <c r="BM66" i="179"/>
  <c r="BN66" i="179"/>
  <c r="BO66" i="179"/>
  <c r="BP66" i="179"/>
  <c r="BQ66" i="179"/>
  <c r="BR66" i="179"/>
  <c r="BS66" i="179"/>
  <c r="BT66" i="179"/>
  <c r="BU66" i="179"/>
  <c r="BV66" i="179"/>
  <c r="BW66" i="179"/>
  <c r="BX66" i="179"/>
  <c r="BY66" i="179"/>
  <c r="BZ66" i="179"/>
  <c r="CA66" i="179"/>
  <c r="CB66" i="179"/>
  <c r="CC66" i="179"/>
  <c r="CD66" i="179"/>
  <c r="CE66" i="179"/>
  <c r="CF66" i="179"/>
  <c r="CG66" i="179"/>
  <c r="CH66" i="179"/>
  <c r="CI66" i="179"/>
  <c r="CJ66" i="179"/>
  <c r="CK66" i="179"/>
  <c r="CL66" i="179"/>
  <c r="CM66" i="179"/>
  <c r="CN66" i="179"/>
  <c r="CO66" i="179"/>
  <c r="CP66" i="179"/>
  <c r="CQ66" i="179"/>
  <c r="CR66" i="179"/>
  <c r="BD67" i="179"/>
  <c r="BE67" i="179"/>
  <c r="BF67" i="179"/>
  <c r="BG67" i="179"/>
  <c r="BH67" i="179"/>
  <c r="BI67" i="179"/>
  <c r="BJ67" i="179"/>
  <c r="BK67" i="179"/>
  <c r="BL67" i="179"/>
  <c r="BM67" i="179"/>
  <c r="BN67" i="179"/>
  <c r="BO67" i="179"/>
  <c r="BP67" i="179"/>
  <c r="BQ67" i="179"/>
  <c r="BR67" i="179"/>
  <c r="BS67" i="179"/>
  <c r="BT67" i="179"/>
  <c r="BU67" i="179"/>
  <c r="BV67" i="179"/>
  <c r="BW67" i="179"/>
  <c r="BX67" i="179"/>
  <c r="BY67" i="179"/>
  <c r="BZ67" i="179"/>
  <c r="CA67" i="179"/>
  <c r="CB67" i="179"/>
  <c r="CC67" i="179"/>
  <c r="CD67" i="179"/>
  <c r="CE67" i="179"/>
  <c r="CF67" i="179"/>
  <c r="CG67" i="179"/>
  <c r="CH67" i="179"/>
  <c r="CI67" i="179"/>
  <c r="CJ67" i="179"/>
  <c r="CK67" i="179"/>
  <c r="CL67" i="179"/>
  <c r="CM67" i="179"/>
  <c r="CN67" i="179"/>
  <c r="CO67" i="179"/>
  <c r="CP67" i="179"/>
  <c r="CQ67" i="179"/>
  <c r="CR67" i="179"/>
  <c r="BD68" i="179"/>
  <c r="BE68" i="179"/>
  <c r="BF68" i="179"/>
  <c r="BG68" i="179"/>
  <c r="BH68" i="179"/>
  <c r="BI68" i="179"/>
  <c r="BJ68" i="179"/>
  <c r="BK68" i="179"/>
  <c r="BL68" i="179"/>
  <c r="BM68" i="179"/>
  <c r="BN68" i="179"/>
  <c r="BO68" i="179"/>
  <c r="BP68" i="179"/>
  <c r="BQ68" i="179"/>
  <c r="BR68" i="179"/>
  <c r="BS68" i="179"/>
  <c r="BT68" i="179"/>
  <c r="BU68" i="179"/>
  <c r="BV68" i="179"/>
  <c r="BW68" i="179"/>
  <c r="BX68" i="179"/>
  <c r="BY68" i="179"/>
  <c r="BZ68" i="179"/>
  <c r="CA68" i="179"/>
  <c r="CB68" i="179"/>
  <c r="CC68" i="179"/>
  <c r="CD68" i="179"/>
  <c r="CE68" i="179"/>
  <c r="CF68" i="179"/>
  <c r="CG68" i="179"/>
  <c r="CH68" i="179"/>
  <c r="CI68" i="179"/>
  <c r="CJ68" i="179"/>
  <c r="CK68" i="179"/>
  <c r="CL68" i="179"/>
  <c r="CM68" i="179"/>
  <c r="CN68" i="179"/>
  <c r="CO68" i="179"/>
  <c r="CP68" i="179"/>
  <c r="CQ68" i="179"/>
  <c r="CR68" i="179"/>
  <c r="BD69" i="179"/>
  <c r="BE69" i="179"/>
  <c r="BF69" i="179"/>
  <c r="BG69" i="179"/>
  <c r="BH69" i="179"/>
  <c r="BI69" i="179"/>
  <c r="BJ69" i="179"/>
  <c r="BK69" i="179"/>
  <c r="BL69" i="179"/>
  <c r="BM69" i="179"/>
  <c r="BN69" i="179"/>
  <c r="BO69" i="179"/>
  <c r="BP69" i="179"/>
  <c r="BQ69" i="179"/>
  <c r="BR69" i="179"/>
  <c r="BS69" i="179"/>
  <c r="BT69" i="179"/>
  <c r="BU69" i="179"/>
  <c r="BV69" i="179"/>
  <c r="BW69" i="179"/>
  <c r="BX69" i="179"/>
  <c r="BY69" i="179"/>
  <c r="BZ69" i="179"/>
  <c r="CA69" i="179"/>
  <c r="CB69" i="179"/>
  <c r="CC69" i="179"/>
  <c r="CD69" i="179"/>
  <c r="CE69" i="179"/>
  <c r="CF69" i="179"/>
  <c r="CG69" i="179"/>
  <c r="CH69" i="179"/>
  <c r="CI69" i="179"/>
  <c r="CJ69" i="179"/>
  <c r="CK69" i="179"/>
  <c r="CL69" i="179"/>
  <c r="CM69" i="179"/>
  <c r="CN69" i="179"/>
  <c r="CO69" i="179"/>
  <c r="CP69" i="179"/>
  <c r="CQ69" i="179"/>
  <c r="CR69" i="179"/>
  <c r="BD70" i="179"/>
  <c r="BE70" i="179"/>
  <c r="BF70" i="179"/>
  <c r="BG70" i="179"/>
  <c r="BH70" i="179"/>
  <c r="BI70" i="179"/>
  <c r="BJ70" i="179"/>
  <c r="BK70" i="179"/>
  <c r="BL70" i="179"/>
  <c r="BM70" i="179"/>
  <c r="BN70" i="179"/>
  <c r="BO70" i="179"/>
  <c r="BP70" i="179"/>
  <c r="BQ70" i="179"/>
  <c r="BR70" i="179"/>
  <c r="BS70" i="179"/>
  <c r="BT70" i="179"/>
  <c r="BU70" i="179"/>
  <c r="BV70" i="179"/>
  <c r="BW70" i="179"/>
  <c r="BX70" i="179"/>
  <c r="BY70" i="179"/>
  <c r="BZ70" i="179"/>
  <c r="CA70" i="179"/>
  <c r="CB70" i="179"/>
  <c r="CC70" i="179"/>
  <c r="CD70" i="179"/>
  <c r="CE70" i="179"/>
  <c r="CF70" i="179"/>
  <c r="CG70" i="179"/>
  <c r="CH70" i="179"/>
  <c r="CI70" i="179"/>
  <c r="CJ70" i="179"/>
  <c r="CK70" i="179"/>
  <c r="CL70" i="179"/>
  <c r="CM70" i="179"/>
  <c r="CN70" i="179"/>
  <c r="CO70" i="179"/>
  <c r="CP70" i="179"/>
  <c r="CQ70" i="179"/>
  <c r="CR70" i="179"/>
  <c r="BD71" i="179"/>
  <c r="BE71" i="179"/>
  <c r="BF71" i="179"/>
  <c r="BG71" i="179"/>
  <c r="BH71" i="179"/>
  <c r="BI71" i="179"/>
  <c r="BJ71" i="179"/>
  <c r="BK71" i="179"/>
  <c r="BL71" i="179"/>
  <c r="BM71" i="179"/>
  <c r="BN71" i="179"/>
  <c r="BO71" i="179"/>
  <c r="BP71" i="179"/>
  <c r="BQ71" i="179"/>
  <c r="BR71" i="179"/>
  <c r="BS71" i="179"/>
  <c r="BT71" i="179"/>
  <c r="BU71" i="179"/>
  <c r="BV71" i="179"/>
  <c r="BW71" i="179"/>
  <c r="BX71" i="179"/>
  <c r="BY71" i="179"/>
  <c r="BZ71" i="179"/>
  <c r="CA71" i="179"/>
  <c r="CB71" i="179"/>
  <c r="CC71" i="179"/>
  <c r="CD71" i="179"/>
  <c r="CE71" i="179"/>
  <c r="CF71" i="179"/>
  <c r="CG71" i="179"/>
  <c r="CH71" i="179"/>
  <c r="CI71" i="179"/>
  <c r="CJ71" i="179"/>
  <c r="CK71" i="179"/>
  <c r="CL71" i="179"/>
  <c r="CM71" i="179"/>
  <c r="CN71" i="179"/>
  <c r="CO71" i="179"/>
  <c r="CP71" i="179"/>
  <c r="CQ71" i="179"/>
  <c r="CR71" i="179"/>
  <c r="BD72" i="179"/>
  <c r="BE72" i="179"/>
  <c r="BF72" i="179"/>
  <c r="BG72" i="179"/>
  <c r="BH72" i="179"/>
  <c r="BI72" i="179"/>
  <c r="BJ72" i="179"/>
  <c r="BK72" i="179"/>
  <c r="BL72" i="179"/>
  <c r="BM72" i="179"/>
  <c r="BN72" i="179"/>
  <c r="BO72" i="179"/>
  <c r="BP72" i="179"/>
  <c r="BQ72" i="179"/>
  <c r="BR72" i="179"/>
  <c r="BS72" i="179"/>
  <c r="BT72" i="179"/>
  <c r="BU72" i="179"/>
  <c r="BV72" i="179"/>
  <c r="BW72" i="179"/>
  <c r="BX72" i="179"/>
  <c r="BY72" i="179"/>
  <c r="BZ72" i="179"/>
  <c r="CA72" i="179"/>
  <c r="CB72" i="179"/>
  <c r="CC72" i="179"/>
  <c r="CD72" i="179"/>
  <c r="CE72" i="179"/>
  <c r="CF72" i="179"/>
  <c r="CG72" i="179"/>
  <c r="CH72" i="179"/>
  <c r="CI72" i="179"/>
  <c r="CJ72" i="179"/>
  <c r="CK72" i="179"/>
  <c r="CL72" i="179"/>
  <c r="CM72" i="179"/>
  <c r="CN72" i="179"/>
  <c r="CO72" i="179"/>
  <c r="CP72" i="179"/>
  <c r="CQ72" i="179"/>
  <c r="CR72" i="179"/>
  <c r="BK9" i="179"/>
  <c r="BL9" i="179"/>
  <c r="BM9" i="179"/>
  <c r="BN9" i="179"/>
  <c r="BO9" i="179"/>
  <c r="BP9" i="179"/>
  <c r="BQ9" i="179"/>
  <c r="BR9" i="179"/>
  <c r="BS9" i="179"/>
  <c r="BT9" i="179"/>
  <c r="BU9" i="179"/>
  <c r="BV9" i="179"/>
  <c r="BW9" i="179"/>
  <c r="BX9" i="179"/>
  <c r="BY9" i="179"/>
  <c r="BZ9" i="179"/>
  <c r="CA9" i="179"/>
  <c r="CB9" i="179"/>
  <c r="CC9" i="179"/>
  <c r="CD9" i="179"/>
  <c r="CE9" i="179"/>
  <c r="CF9" i="179"/>
  <c r="CG9" i="179"/>
  <c r="CH9" i="179"/>
  <c r="CI9" i="179"/>
  <c r="CJ9" i="179"/>
  <c r="CK9" i="179"/>
  <c r="CL9" i="179"/>
  <c r="CM9" i="179"/>
  <c r="CN9" i="179"/>
  <c r="CO9" i="179"/>
  <c r="CP9" i="179"/>
  <c r="CQ9" i="179"/>
  <c r="CR9" i="179"/>
  <c r="BE9" i="179"/>
  <c r="BF9" i="179"/>
  <c r="BG9" i="179"/>
  <c r="BH9" i="179"/>
  <c r="BI9" i="179"/>
  <c r="BJ9" i="179"/>
  <c r="D5" i="179"/>
  <c r="D2" i="179"/>
  <c r="D1" i="179"/>
  <c r="C2" i="179"/>
  <c r="C1" i="179"/>
  <c r="BC72" i="179"/>
  <c r="A72" i="179"/>
  <c r="BC71" i="179"/>
  <c r="A71" i="179"/>
  <c r="BC70" i="179"/>
  <c r="A70" i="179"/>
  <c r="BC69" i="179"/>
  <c r="A69" i="179"/>
  <c r="BC68" i="179"/>
  <c r="A68" i="179"/>
  <c r="BC67" i="179"/>
  <c r="A67" i="179"/>
  <c r="BC66" i="179"/>
  <c r="A66" i="179"/>
  <c r="BC65" i="179"/>
  <c r="A65" i="179"/>
  <c r="BC64" i="179"/>
  <c r="A64" i="179"/>
  <c r="BC63" i="179"/>
  <c r="A63" i="179"/>
  <c r="BC62" i="179"/>
  <c r="A62" i="179"/>
  <c r="BC61" i="179"/>
  <c r="A61" i="179"/>
  <c r="BC60" i="179"/>
  <c r="A60" i="179"/>
  <c r="BC59" i="179"/>
  <c r="A59" i="179"/>
  <c r="BC58" i="179"/>
  <c r="A58" i="179"/>
  <c r="BC57" i="179"/>
  <c r="A57" i="179"/>
  <c r="BC56" i="179"/>
  <c r="A56" i="179"/>
  <c r="BC55" i="179"/>
  <c r="A55" i="179"/>
  <c r="BC54" i="179"/>
  <c r="A54" i="179"/>
  <c r="BC53" i="179"/>
  <c r="A53" i="179"/>
  <c r="BC52" i="179"/>
  <c r="A52" i="179"/>
  <c r="BC51" i="179"/>
  <c r="A51" i="179"/>
  <c r="BC50" i="179"/>
  <c r="A50" i="179"/>
  <c r="BC49" i="179"/>
  <c r="A49" i="179"/>
  <c r="BC48" i="179"/>
  <c r="A48" i="179"/>
  <c r="BC47" i="179"/>
  <c r="A47" i="179"/>
  <c r="BC46" i="179"/>
  <c r="A46" i="179"/>
  <c r="BC45" i="179"/>
  <c r="A45" i="179"/>
  <c r="BC44" i="179"/>
  <c r="A44" i="179"/>
  <c r="BC43" i="179"/>
  <c r="A43" i="179"/>
  <c r="BC42" i="179"/>
  <c r="A42" i="179"/>
  <c r="BC41" i="179"/>
  <c r="A41" i="179"/>
  <c r="BC40" i="179"/>
  <c r="A40" i="179"/>
  <c r="BC39" i="179"/>
  <c r="A39" i="179"/>
  <c r="BC38" i="179"/>
  <c r="A38" i="179"/>
  <c r="BC37" i="179"/>
  <c r="A37" i="179"/>
  <c r="BC36" i="179"/>
  <c r="A36" i="179"/>
  <c r="BC35" i="179"/>
  <c r="A35" i="179"/>
  <c r="BC34" i="179"/>
  <c r="A34" i="179"/>
  <c r="BC33" i="179"/>
  <c r="A33" i="179"/>
  <c r="BC32" i="179"/>
  <c r="A32" i="179"/>
  <c r="BC31" i="179"/>
  <c r="A31" i="179"/>
  <c r="BC30" i="179"/>
  <c r="A30" i="179"/>
  <c r="BC29" i="179"/>
  <c r="A29" i="179"/>
  <c r="BC28" i="179"/>
  <c r="A28" i="179"/>
  <c r="BC27" i="179"/>
  <c r="A27" i="179"/>
  <c r="BC26" i="179"/>
  <c r="A26" i="179"/>
  <c r="BC25" i="179"/>
  <c r="A25" i="179"/>
  <c r="BC24" i="179"/>
  <c r="A24" i="179"/>
  <c r="BC23" i="179"/>
  <c r="A23" i="179"/>
  <c r="BC22" i="179"/>
  <c r="A22" i="179"/>
  <c r="BC21" i="179"/>
  <c r="A21" i="179"/>
  <c r="BC20" i="179"/>
  <c r="A20" i="179"/>
  <c r="BC19" i="179"/>
  <c r="A19" i="179"/>
  <c r="BC18" i="179"/>
  <c r="A18" i="179"/>
  <c r="BC17" i="179"/>
  <c r="A17" i="179"/>
  <c r="BC16" i="179"/>
  <c r="A16" i="179"/>
  <c r="BC15" i="179"/>
  <c r="A15" i="179"/>
  <c r="BC14" i="179"/>
  <c r="A14" i="179"/>
  <c r="BC13" i="179"/>
  <c r="A13" i="179"/>
  <c r="BC12" i="179"/>
  <c r="A12" i="179"/>
  <c r="BC11" i="179"/>
  <c r="DH10" i="179"/>
  <c r="DG10" i="179"/>
  <c r="DF10" i="179"/>
  <c r="DE10" i="179"/>
  <c r="DD10" i="179"/>
  <c r="DC10" i="179"/>
  <c r="DB10" i="179"/>
  <c r="DA10" i="179"/>
  <c r="CZ10" i="179"/>
  <c r="CY10" i="179"/>
  <c r="BC10" i="179"/>
  <c r="BD9" i="179"/>
  <c r="BC9" i="179"/>
  <c r="BB3" i="179"/>
  <c r="BJ2" i="179"/>
  <c r="BI2" i="179"/>
  <c r="BH2" i="179"/>
  <c r="BG2" i="179"/>
  <c r="BF2" i="179"/>
  <c r="BE2" i="179"/>
  <c r="BD2" i="179"/>
  <c r="AZ1" i="179"/>
  <c r="AZ11" i="179" l="1"/>
  <c r="BL2" i="179"/>
  <c r="J104" i="165"/>
  <c r="J104" i="166" s="1"/>
  <c r="D105" i="166"/>
  <c r="D106" i="166"/>
  <c r="D108" i="166"/>
  <c r="K110" i="165"/>
  <c r="D112" i="166"/>
  <c r="D114" i="166"/>
  <c r="D116" i="166"/>
  <c r="D118" i="166"/>
  <c r="D120" i="166"/>
  <c r="L122" i="165"/>
  <c r="L122" i="166" s="1"/>
  <c r="D123" i="166"/>
  <c r="J124" i="165"/>
  <c r="J124" i="166" s="1"/>
  <c r="D125" i="166"/>
  <c r="D126" i="166"/>
  <c r="D127" i="166"/>
  <c r="D128" i="166"/>
  <c r="D130" i="166"/>
  <c r="E94" i="166"/>
  <c r="E98" i="166"/>
  <c r="E102" i="166"/>
  <c r="E106" i="166"/>
  <c r="E110" i="166"/>
  <c r="E114" i="166"/>
  <c r="E118" i="166"/>
  <c r="E122" i="166"/>
  <c r="E130" i="166"/>
  <c r="V32" i="166"/>
  <c r="V33" i="166"/>
  <c r="V34" i="166"/>
  <c r="V35" i="166"/>
  <c r="V36" i="166"/>
  <c r="V37" i="166"/>
  <c r="V38" i="166"/>
  <c r="V39" i="166"/>
  <c r="V40" i="166"/>
  <c r="V41" i="166"/>
  <c r="V42" i="166"/>
  <c r="V43" i="166"/>
  <c r="V44" i="166"/>
  <c r="V45" i="166"/>
  <c r="V46" i="166"/>
  <c r="V47" i="166"/>
  <c r="V48" i="166"/>
  <c r="V49" i="166"/>
  <c r="V50" i="166"/>
  <c r="V51" i="166"/>
  <c r="V52" i="166"/>
  <c r="V53" i="166"/>
  <c r="V54" i="166"/>
  <c r="V55" i="166"/>
  <c r="V56" i="166"/>
  <c r="V57" i="166"/>
  <c r="V58" i="166"/>
  <c r="V59" i="166"/>
  <c r="V60" i="166"/>
  <c r="V61" i="166"/>
  <c r="V62" i="166"/>
  <c r="V63" i="166"/>
  <c r="V64" i="166"/>
  <c r="V65" i="166"/>
  <c r="V66" i="166"/>
  <c r="V67" i="166"/>
  <c r="V68" i="166"/>
  <c r="V69" i="166"/>
  <c r="V70" i="166"/>
  <c r="V71" i="166"/>
  <c r="V72" i="166"/>
  <c r="V73" i="166"/>
  <c r="V74" i="166"/>
  <c r="V75" i="166"/>
  <c r="V76" i="166"/>
  <c r="V77" i="166"/>
  <c r="V78" i="166"/>
  <c r="V79" i="166"/>
  <c r="V80" i="166"/>
  <c r="V81" i="166"/>
  <c r="V82" i="166"/>
  <c r="V83" i="166"/>
  <c r="V84" i="166"/>
  <c r="V85" i="166"/>
  <c r="V86" i="166"/>
  <c r="V87" i="166"/>
  <c r="V88" i="166"/>
  <c r="V89" i="166"/>
  <c r="V90" i="166"/>
  <c r="V91" i="166"/>
  <c r="V92" i="166"/>
  <c r="V93" i="166"/>
  <c r="V94" i="166"/>
  <c r="V95" i="166"/>
  <c r="V96" i="166"/>
  <c r="V97" i="166"/>
  <c r="V98" i="166"/>
  <c r="V99" i="166"/>
  <c r="V100" i="166"/>
  <c r="V101" i="166"/>
  <c r="V102" i="166"/>
  <c r="V103" i="166"/>
  <c r="V104" i="166"/>
  <c r="V105" i="166"/>
  <c r="V106" i="166"/>
  <c r="V107" i="166"/>
  <c r="V108" i="166"/>
  <c r="V109" i="166"/>
  <c r="V110" i="166"/>
  <c r="V111" i="166"/>
  <c r="V112" i="166"/>
  <c r="V113" i="166"/>
  <c r="V114" i="166"/>
  <c r="V115" i="166"/>
  <c r="V116" i="166"/>
  <c r="V117" i="166"/>
  <c r="V118" i="166"/>
  <c r="V119" i="166"/>
  <c r="V120" i="166"/>
  <c r="V121" i="166"/>
  <c r="V122" i="166"/>
  <c r="V123" i="166"/>
  <c r="V124" i="166"/>
  <c r="V125" i="166"/>
  <c r="V126" i="166"/>
  <c r="V127" i="166"/>
  <c r="V128" i="166"/>
  <c r="V129" i="166"/>
  <c r="V130" i="166"/>
  <c r="U130" i="166"/>
  <c r="T130" i="166"/>
  <c r="S130" i="166"/>
  <c r="R130" i="166"/>
  <c r="Q130" i="166"/>
  <c r="F130" i="166"/>
  <c r="C130" i="166"/>
  <c r="B130" i="166"/>
  <c r="U129" i="166"/>
  <c r="T129" i="166"/>
  <c r="S129" i="166"/>
  <c r="R129" i="166"/>
  <c r="Q129" i="166"/>
  <c r="F129" i="166"/>
  <c r="C129" i="166"/>
  <c r="B129" i="166"/>
  <c r="U128" i="166"/>
  <c r="T128" i="166"/>
  <c r="S128" i="166"/>
  <c r="R128" i="166"/>
  <c r="Q128" i="166"/>
  <c r="F128" i="166"/>
  <c r="E128" i="166"/>
  <c r="C128" i="166"/>
  <c r="B128" i="166"/>
  <c r="U127" i="166"/>
  <c r="T127" i="166"/>
  <c r="S127" i="166"/>
  <c r="R127" i="166"/>
  <c r="Q127" i="166"/>
  <c r="F127" i="166"/>
  <c r="C127" i="166"/>
  <c r="B127" i="166"/>
  <c r="U126" i="166"/>
  <c r="T126" i="166"/>
  <c r="S126" i="166"/>
  <c r="R126" i="166"/>
  <c r="Q126" i="166"/>
  <c r="F126" i="166"/>
  <c r="C126" i="166"/>
  <c r="B126" i="166"/>
  <c r="U125" i="166"/>
  <c r="T125" i="166"/>
  <c r="S125" i="166"/>
  <c r="R125" i="166"/>
  <c r="Q125" i="166"/>
  <c r="F125" i="166"/>
  <c r="E125" i="166"/>
  <c r="C125" i="166"/>
  <c r="B125" i="166"/>
  <c r="U124" i="166"/>
  <c r="T124" i="166"/>
  <c r="S124" i="166"/>
  <c r="R124" i="166"/>
  <c r="Q124" i="166"/>
  <c r="F124" i="166"/>
  <c r="E124" i="166"/>
  <c r="D124" i="166"/>
  <c r="C124" i="166"/>
  <c r="B124" i="166"/>
  <c r="U123" i="166"/>
  <c r="T123" i="166"/>
  <c r="S123" i="166"/>
  <c r="R123" i="166"/>
  <c r="Q123" i="166"/>
  <c r="F123" i="166"/>
  <c r="C123" i="166"/>
  <c r="B123" i="166"/>
  <c r="U122" i="166"/>
  <c r="T122" i="166"/>
  <c r="S122" i="166"/>
  <c r="R122" i="166"/>
  <c r="Q122" i="166"/>
  <c r="F122" i="166"/>
  <c r="C122" i="166"/>
  <c r="B122" i="166"/>
  <c r="U121" i="166"/>
  <c r="T121" i="166"/>
  <c r="S121" i="166"/>
  <c r="R121" i="166"/>
  <c r="Q121" i="166"/>
  <c r="F121" i="166"/>
  <c r="C121" i="166"/>
  <c r="B121" i="166"/>
  <c r="U120" i="166"/>
  <c r="T120" i="166"/>
  <c r="S120" i="166"/>
  <c r="R120" i="166"/>
  <c r="Q120" i="166"/>
  <c r="F120" i="166"/>
  <c r="E120" i="166"/>
  <c r="C120" i="166"/>
  <c r="B120" i="166"/>
  <c r="U119" i="166"/>
  <c r="T119" i="166"/>
  <c r="S119" i="166"/>
  <c r="R119" i="166"/>
  <c r="Q119" i="166"/>
  <c r="F119" i="166"/>
  <c r="C119" i="166"/>
  <c r="B119" i="166"/>
  <c r="U118" i="166"/>
  <c r="T118" i="166"/>
  <c r="S118" i="166"/>
  <c r="R118" i="166"/>
  <c r="Q118" i="166"/>
  <c r="F118" i="166"/>
  <c r="C118" i="166"/>
  <c r="B118" i="166"/>
  <c r="U117" i="166"/>
  <c r="T117" i="166"/>
  <c r="S117" i="166"/>
  <c r="R117" i="166"/>
  <c r="Q117" i="166"/>
  <c r="F117" i="166"/>
  <c r="C117" i="166"/>
  <c r="B117" i="166"/>
  <c r="U116" i="166"/>
  <c r="T116" i="166"/>
  <c r="S116" i="166"/>
  <c r="R116" i="166"/>
  <c r="Q116" i="166"/>
  <c r="F116" i="166"/>
  <c r="E116" i="166"/>
  <c r="C116" i="166"/>
  <c r="B116" i="166"/>
  <c r="U115" i="166"/>
  <c r="T115" i="166"/>
  <c r="S115" i="166"/>
  <c r="R115" i="166"/>
  <c r="Q115" i="166"/>
  <c r="F115" i="166"/>
  <c r="C115" i="166"/>
  <c r="B115" i="166"/>
  <c r="U114" i="166"/>
  <c r="T114" i="166"/>
  <c r="S114" i="166"/>
  <c r="R114" i="166"/>
  <c r="Q114" i="166"/>
  <c r="F114" i="166"/>
  <c r="C114" i="166"/>
  <c r="B114" i="166"/>
  <c r="U113" i="166"/>
  <c r="T113" i="166"/>
  <c r="S113" i="166"/>
  <c r="R113" i="166"/>
  <c r="Q113" i="166"/>
  <c r="F113" i="166"/>
  <c r="C113" i="166"/>
  <c r="B113" i="166"/>
  <c r="U112" i="166"/>
  <c r="T112" i="166"/>
  <c r="S112" i="166"/>
  <c r="R112" i="166"/>
  <c r="Q112" i="166"/>
  <c r="F112" i="166"/>
  <c r="E112" i="166"/>
  <c r="C112" i="166"/>
  <c r="B112" i="166"/>
  <c r="U111" i="166"/>
  <c r="T111" i="166"/>
  <c r="S111" i="166"/>
  <c r="R111" i="166"/>
  <c r="Q111" i="166"/>
  <c r="F111" i="166"/>
  <c r="C111" i="166"/>
  <c r="B111" i="166"/>
  <c r="U110" i="166"/>
  <c r="T110" i="166"/>
  <c r="S110" i="166"/>
  <c r="R110" i="166"/>
  <c r="Q110" i="166"/>
  <c r="F110" i="166"/>
  <c r="C110" i="166"/>
  <c r="B110" i="166"/>
  <c r="U109" i="166"/>
  <c r="T109" i="166"/>
  <c r="S109" i="166"/>
  <c r="R109" i="166"/>
  <c r="Q109" i="166"/>
  <c r="F109" i="166"/>
  <c r="C109" i="166"/>
  <c r="B109" i="166"/>
  <c r="U108" i="166"/>
  <c r="T108" i="166"/>
  <c r="S108" i="166"/>
  <c r="R108" i="166"/>
  <c r="Q108" i="166"/>
  <c r="F108" i="166"/>
  <c r="E108" i="166"/>
  <c r="C108" i="166"/>
  <c r="B108" i="166"/>
  <c r="U107" i="166"/>
  <c r="T107" i="166"/>
  <c r="S107" i="166"/>
  <c r="R107" i="166"/>
  <c r="Q107" i="166"/>
  <c r="F107" i="166"/>
  <c r="C107" i="166"/>
  <c r="B107" i="166"/>
  <c r="U106" i="166"/>
  <c r="T106" i="166"/>
  <c r="S106" i="166"/>
  <c r="R106" i="166"/>
  <c r="Q106" i="166"/>
  <c r="F106" i="166"/>
  <c r="C106" i="166"/>
  <c r="B106" i="166"/>
  <c r="U105" i="166"/>
  <c r="T105" i="166"/>
  <c r="S105" i="166"/>
  <c r="R105" i="166"/>
  <c r="Q105" i="166"/>
  <c r="F105" i="166"/>
  <c r="E105" i="166"/>
  <c r="C105" i="166"/>
  <c r="B105" i="166"/>
  <c r="U104" i="166"/>
  <c r="T104" i="166"/>
  <c r="S104" i="166"/>
  <c r="R104" i="166"/>
  <c r="Q104" i="166"/>
  <c r="F104" i="166"/>
  <c r="E104" i="166"/>
  <c r="D104" i="166"/>
  <c r="C104" i="166"/>
  <c r="B104" i="166"/>
  <c r="U103" i="166"/>
  <c r="T103" i="166"/>
  <c r="S103" i="166"/>
  <c r="R103" i="166"/>
  <c r="Q103" i="166"/>
  <c r="F103" i="166"/>
  <c r="C103" i="166"/>
  <c r="B103" i="166"/>
  <c r="U102" i="166"/>
  <c r="T102" i="166"/>
  <c r="S102" i="166"/>
  <c r="R102" i="166"/>
  <c r="Q102" i="166"/>
  <c r="F102" i="166"/>
  <c r="C102" i="166"/>
  <c r="B102" i="166"/>
  <c r="U101" i="166"/>
  <c r="T101" i="166"/>
  <c r="S101" i="166"/>
  <c r="R101" i="166"/>
  <c r="Q101" i="166"/>
  <c r="F101" i="166"/>
  <c r="C101" i="166"/>
  <c r="B101" i="166"/>
  <c r="U100" i="166"/>
  <c r="T100" i="166"/>
  <c r="S100" i="166"/>
  <c r="R100" i="166"/>
  <c r="Q100" i="166"/>
  <c r="F100" i="166"/>
  <c r="E100" i="166"/>
  <c r="C100" i="166"/>
  <c r="B100" i="166"/>
  <c r="U99" i="166"/>
  <c r="T99" i="166"/>
  <c r="S99" i="166"/>
  <c r="R99" i="166"/>
  <c r="Q99" i="166"/>
  <c r="F99" i="166"/>
  <c r="C99" i="166"/>
  <c r="B99" i="166"/>
  <c r="U98" i="166"/>
  <c r="T98" i="166"/>
  <c r="S98" i="166"/>
  <c r="R98" i="166"/>
  <c r="Q98" i="166"/>
  <c r="F98" i="166"/>
  <c r="C98" i="166"/>
  <c r="B98" i="166"/>
  <c r="U97" i="166"/>
  <c r="T97" i="166"/>
  <c r="S97" i="166"/>
  <c r="R97" i="166"/>
  <c r="Q97" i="166"/>
  <c r="F97" i="166"/>
  <c r="E97" i="166"/>
  <c r="C97" i="166"/>
  <c r="B97" i="166"/>
  <c r="U96" i="166"/>
  <c r="T96" i="166"/>
  <c r="S96" i="166"/>
  <c r="R96" i="166"/>
  <c r="Q96" i="166"/>
  <c r="F96" i="166"/>
  <c r="E96" i="166"/>
  <c r="D96" i="166"/>
  <c r="C96" i="166"/>
  <c r="B96" i="166"/>
  <c r="U95" i="166"/>
  <c r="T95" i="166"/>
  <c r="S95" i="166"/>
  <c r="R95" i="166"/>
  <c r="Q95" i="166"/>
  <c r="F95" i="166"/>
  <c r="C95" i="166"/>
  <c r="B95" i="166"/>
  <c r="U94" i="166"/>
  <c r="T94" i="166"/>
  <c r="S94" i="166"/>
  <c r="R94" i="166"/>
  <c r="Q94" i="166"/>
  <c r="F94" i="166"/>
  <c r="C94" i="166"/>
  <c r="B94" i="166"/>
  <c r="U93" i="166"/>
  <c r="T93" i="166"/>
  <c r="S93" i="166"/>
  <c r="R93" i="166"/>
  <c r="Q93" i="166"/>
  <c r="F93" i="166"/>
  <c r="E93" i="166"/>
  <c r="C93" i="166"/>
  <c r="B93" i="166"/>
  <c r="U92" i="166"/>
  <c r="T92" i="166"/>
  <c r="S92" i="166"/>
  <c r="R92" i="166"/>
  <c r="Q92" i="166"/>
  <c r="F92" i="166"/>
  <c r="U91" i="166"/>
  <c r="F91" i="166"/>
  <c r="U90" i="166"/>
  <c r="F90" i="166"/>
  <c r="U89" i="166"/>
  <c r="F89" i="166"/>
  <c r="U88" i="166"/>
  <c r="F88" i="166"/>
  <c r="U87" i="166"/>
  <c r="F87" i="166"/>
  <c r="U86" i="166"/>
  <c r="F86" i="166"/>
  <c r="U85" i="166"/>
  <c r="F85" i="166"/>
  <c r="U84" i="166"/>
  <c r="F84" i="166"/>
  <c r="U83" i="166"/>
  <c r="F83" i="166"/>
  <c r="U82" i="166"/>
  <c r="F82" i="166"/>
  <c r="U81" i="166"/>
  <c r="F81" i="166"/>
  <c r="U80" i="166"/>
  <c r="F80" i="166"/>
  <c r="U79" i="166"/>
  <c r="F79" i="166"/>
  <c r="U78" i="166"/>
  <c r="F78" i="166"/>
  <c r="U77" i="166"/>
  <c r="F77" i="166"/>
  <c r="U76" i="166"/>
  <c r="F76" i="166"/>
  <c r="U75" i="166"/>
  <c r="F75" i="166"/>
  <c r="U74" i="166"/>
  <c r="F74" i="166"/>
  <c r="U73" i="166"/>
  <c r="F73" i="166"/>
  <c r="U72" i="166"/>
  <c r="F72" i="166"/>
  <c r="U71" i="166"/>
  <c r="F71" i="166"/>
  <c r="U70" i="166"/>
  <c r="F70" i="166"/>
  <c r="U69" i="166"/>
  <c r="F69" i="166"/>
  <c r="U68" i="166"/>
  <c r="F68" i="166"/>
  <c r="U67" i="166"/>
  <c r="F67" i="166"/>
  <c r="U66" i="166"/>
  <c r="F66" i="166"/>
  <c r="U65" i="166"/>
  <c r="F65" i="166"/>
  <c r="U64" i="166"/>
  <c r="F64" i="166"/>
  <c r="U63" i="166"/>
  <c r="F63" i="166"/>
  <c r="U62" i="166"/>
  <c r="F62" i="166"/>
  <c r="U61" i="166"/>
  <c r="F61" i="166"/>
  <c r="U60" i="166"/>
  <c r="F60" i="166"/>
  <c r="U59" i="166"/>
  <c r="F59" i="166"/>
  <c r="U58" i="166"/>
  <c r="F58" i="166"/>
  <c r="U57" i="166"/>
  <c r="F57" i="166"/>
  <c r="U56" i="166"/>
  <c r="F56" i="166"/>
  <c r="U55" i="166"/>
  <c r="F55" i="166"/>
  <c r="U54" i="166"/>
  <c r="F54" i="166"/>
  <c r="U53" i="166"/>
  <c r="F53" i="166"/>
  <c r="U52" i="166"/>
  <c r="F52" i="166"/>
  <c r="U51" i="166"/>
  <c r="F51" i="166"/>
  <c r="U50" i="166"/>
  <c r="F50" i="166"/>
  <c r="U49" i="166"/>
  <c r="F49" i="166"/>
  <c r="U48" i="166"/>
  <c r="F48" i="166"/>
  <c r="U47" i="166"/>
  <c r="F47" i="166"/>
  <c r="U46" i="166"/>
  <c r="F46" i="166"/>
  <c r="U45" i="166"/>
  <c r="F45" i="166"/>
  <c r="U44" i="166"/>
  <c r="F44" i="166"/>
  <c r="U43" i="166"/>
  <c r="F43" i="166"/>
  <c r="U42" i="166"/>
  <c r="F42" i="166"/>
  <c r="U41" i="166"/>
  <c r="F41" i="166"/>
  <c r="U40" i="166"/>
  <c r="F40" i="166"/>
  <c r="U39" i="166"/>
  <c r="F39" i="166"/>
  <c r="U38" i="166"/>
  <c r="F38" i="166"/>
  <c r="U37" i="166"/>
  <c r="F37" i="166"/>
  <c r="U36" i="166"/>
  <c r="F36" i="166"/>
  <c r="U35" i="166"/>
  <c r="F35" i="166"/>
  <c r="U34" i="166"/>
  <c r="F34" i="166"/>
  <c r="U33" i="166"/>
  <c r="F33" i="166"/>
  <c r="U32" i="166"/>
  <c r="F32" i="166"/>
  <c r="V31" i="166"/>
  <c r="U31" i="166"/>
  <c r="F31" i="166"/>
  <c r="V30" i="166"/>
  <c r="U30" i="166"/>
  <c r="T30" i="166"/>
  <c r="S30" i="166"/>
  <c r="R30" i="166"/>
  <c r="Q30" i="166"/>
  <c r="P30" i="166"/>
  <c r="O30" i="166"/>
  <c r="N30" i="166"/>
  <c r="M30" i="166"/>
  <c r="L30" i="166"/>
  <c r="J30" i="166"/>
  <c r="I30" i="166"/>
  <c r="H30" i="166"/>
  <c r="G30" i="166"/>
  <c r="F30" i="166"/>
  <c r="E30" i="166"/>
  <c r="D30" i="166"/>
  <c r="C30" i="166"/>
  <c r="B30" i="166"/>
  <c r="G93" i="165"/>
  <c r="G93" i="166" s="1"/>
  <c r="J93" i="165"/>
  <c r="J93" i="166" s="1"/>
  <c r="M93" i="165"/>
  <c r="M93" i="166" s="1"/>
  <c r="G94" i="165"/>
  <c r="G94" i="166" s="1"/>
  <c r="J94" i="165"/>
  <c r="J94" i="166" s="1"/>
  <c r="G95" i="165"/>
  <c r="G95" i="166" s="1"/>
  <c r="G96" i="165"/>
  <c r="G96" i="166" s="1"/>
  <c r="K96" i="165"/>
  <c r="O96" i="165"/>
  <c r="O96" i="166" s="1"/>
  <c r="G97" i="165"/>
  <c r="G97" i="166" s="1"/>
  <c r="K97" i="165"/>
  <c r="N97" i="166"/>
  <c r="G98" i="165"/>
  <c r="G98" i="166" s="1"/>
  <c r="K98" i="165"/>
  <c r="G99" i="165"/>
  <c r="G99" i="166" s="1"/>
  <c r="G100" i="165"/>
  <c r="G100" i="166" s="1"/>
  <c r="K100" i="165"/>
  <c r="L100" i="165"/>
  <c r="L100" i="166" s="1"/>
  <c r="N100" i="166"/>
  <c r="O100" i="165"/>
  <c r="O100" i="166" s="1"/>
  <c r="G101" i="165"/>
  <c r="G101" i="166" s="1"/>
  <c r="N101" i="166"/>
  <c r="G102" i="165"/>
  <c r="G102" i="166" s="1"/>
  <c r="L102" i="165"/>
  <c r="L102" i="166" s="1"/>
  <c r="G103" i="165"/>
  <c r="G103" i="166" s="1"/>
  <c r="G104" i="165"/>
  <c r="G104" i="166" s="1"/>
  <c r="K104" i="165"/>
  <c r="L104" i="165"/>
  <c r="L104" i="166" s="1"/>
  <c r="M104" i="165"/>
  <c r="M104" i="166" s="1"/>
  <c r="O104" i="165"/>
  <c r="O104" i="166" s="1"/>
  <c r="G105" i="165"/>
  <c r="G105" i="166" s="1"/>
  <c r="I105" i="165"/>
  <c r="I105" i="166" s="1"/>
  <c r="K105" i="165"/>
  <c r="L105" i="165"/>
  <c r="L105" i="166" s="1"/>
  <c r="M105" i="165"/>
  <c r="M105" i="166" s="1"/>
  <c r="O105" i="165"/>
  <c r="O105" i="166" s="1"/>
  <c r="G106" i="165"/>
  <c r="G106" i="166" s="1"/>
  <c r="I106" i="165"/>
  <c r="I106" i="166" s="1"/>
  <c r="M106" i="165"/>
  <c r="M106" i="166" s="1"/>
  <c r="G107" i="165"/>
  <c r="G107" i="166" s="1"/>
  <c r="N107" i="166"/>
  <c r="G108" i="165"/>
  <c r="G108" i="166" s="1"/>
  <c r="I108" i="165"/>
  <c r="I108" i="166" s="1"/>
  <c r="J108" i="165"/>
  <c r="J108" i="166" s="1"/>
  <c r="L108" i="165"/>
  <c r="L108" i="166" s="1"/>
  <c r="M108" i="165"/>
  <c r="M108" i="166" s="1"/>
  <c r="N108" i="166"/>
  <c r="G109" i="165"/>
  <c r="G109" i="166" s="1"/>
  <c r="N109" i="166"/>
  <c r="G110" i="165"/>
  <c r="G110" i="166" s="1"/>
  <c r="J110" i="165"/>
  <c r="J110" i="166" s="1"/>
  <c r="O110" i="165"/>
  <c r="O110" i="166" s="1"/>
  <c r="G111" i="165"/>
  <c r="G111" i="166" s="1"/>
  <c r="N111" i="166"/>
  <c r="G112" i="165"/>
  <c r="G112" i="166" s="1"/>
  <c r="I112" i="165"/>
  <c r="I112" i="166" s="1"/>
  <c r="J112" i="165"/>
  <c r="J112" i="166" s="1"/>
  <c r="K112" i="165"/>
  <c r="M112" i="165"/>
  <c r="M112" i="166" s="1"/>
  <c r="N112" i="166"/>
  <c r="O112" i="165"/>
  <c r="O112" i="166" s="1"/>
  <c r="G113" i="165"/>
  <c r="G113" i="166" s="1"/>
  <c r="N113" i="166"/>
  <c r="G114" i="165"/>
  <c r="G114" i="166" s="1"/>
  <c r="K114" i="165"/>
  <c r="K114" i="166" s="1"/>
  <c r="G115" i="165"/>
  <c r="G115" i="166" s="1"/>
  <c r="G116" i="165"/>
  <c r="G116" i="166" s="1"/>
  <c r="I116" i="165"/>
  <c r="I116" i="166" s="1"/>
  <c r="K116" i="165"/>
  <c r="L116" i="165"/>
  <c r="L116" i="166" s="1"/>
  <c r="M116" i="165"/>
  <c r="M116" i="166" s="1"/>
  <c r="N116" i="166"/>
  <c r="O116" i="165"/>
  <c r="O116" i="166" s="1"/>
  <c r="G117" i="165"/>
  <c r="G117" i="166" s="1"/>
  <c r="G118" i="165"/>
  <c r="G118" i="166" s="1"/>
  <c r="I118" i="165"/>
  <c r="I118" i="166" s="1"/>
  <c r="M118" i="165"/>
  <c r="M118" i="166" s="1"/>
  <c r="G119" i="165"/>
  <c r="G119" i="166" s="1"/>
  <c r="G120" i="165"/>
  <c r="G120" i="166" s="1"/>
  <c r="I120" i="165"/>
  <c r="I120" i="166" s="1"/>
  <c r="J120" i="165"/>
  <c r="J120" i="166" s="1"/>
  <c r="K120" i="165"/>
  <c r="M120" i="165"/>
  <c r="M120" i="166" s="1"/>
  <c r="O120" i="165"/>
  <c r="O120" i="166" s="1"/>
  <c r="G121" i="165"/>
  <c r="G121" i="166" s="1"/>
  <c r="G122" i="165"/>
  <c r="G122" i="166" s="1"/>
  <c r="J122" i="165"/>
  <c r="J122" i="166" s="1"/>
  <c r="K122" i="165"/>
  <c r="K122" i="166" s="1"/>
  <c r="O122" i="165"/>
  <c r="O122" i="166" s="1"/>
  <c r="G123" i="165"/>
  <c r="G123" i="166" s="1"/>
  <c r="I123" i="165"/>
  <c r="I123" i="166" s="1"/>
  <c r="J123" i="165"/>
  <c r="J123" i="166" s="1"/>
  <c r="K123" i="165"/>
  <c r="K123" i="166" s="1"/>
  <c r="L123" i="165"/>
  <c r="L123" i="166" s="1"/>
  <c r="M123" i="165"/>
  <c r="M123" i="166" s="1"/>
  <c r="O123" i="165"/>
  <c r="O123" i="166" s="1"/>
  <c r="G124" i="165"/>
  <c r="G124" i="166" s="1"/>
  <c r="I124" i="165"/>
  <c r="I124" i="166" s="1"/>
  <c r="K124" i="165"/>
  <c r="L124" i="165"/>
  <c r="L124" i="166" s="1"/>
  <c r="M124" i="165"/>
  <c r="M124" i="166" s="1"/>
  <c r="N124" i="166"/>
  <c r="O124" i="165"/>
  <c r="O124" i="166" s="1"/>
  <c r="G125" i="165"/>
  <c r="G125" i="166" s="1"/>
  <c r="I125" i="165"/>
  <c r="I125" i="166" s="1"/>
  <c r="K125" i="165"/>
  <c r="K125" i="166" s="1"/>
  <c r="L125" i="165"/>
  <c r="L125" i="166" s="1"/>
  <c r="M125" i="165"/>
  <c r="M125" i="166" s="1"/>
  <c r="O125" i="165"/>
  <c r="O125" i="166" s="1"/>
  <c r="G126" i="165"/>
  <c r="G126" i="166" s="1"/>
  <c r="I126" i="165"/>
  <c r="I126" i="166" s="1"/>
  <c r="L126" i="165"/>
  <c r="L126" i="166" s="1"/>
  <c r="M126" i="165"/>
  <c r="M126" i="166" s="1"/>
  <c r="G127" i="165"/>
  <c r="G127" i="166" s="1"/>
  <c r="I127" i="165"/>
  <c r="I127" i="166" s="1"/>
  <c r="J127" i="165"/>
  <c r="J127" i="166" s="1"/>
  <c r="K127" i="165"/>
  <c r="K127" i="166" s="1"/>
  <c r="L127" i="165"/>
  <c r="L127" i="166" s="1"/>
  <c r="M127" i="165"/>
  <c r="M127" i="166" s="1"/>
  <c r="O127" i="165"/>
  <c r="O127" i="166" s="1"/>
  <c r="G128" i="165"/>
  <c r="G128" i="166" s="1"/>
  <c r="I128" i="165"/>
  <c r="I128" i="166" s="1"/>
  <c r="J128" i="165"/>
  <c r="J128" i="166" s="1"/>
  <c r="K128" i="165"/>
  <c r="M128" i="165"/>
  <c r="M128" i="166" s="1"/>
  <c r="N128" i="166"/>
  <c r="O128" i="165"/>
  <c r="O128" i="166" s="1"/>
  <c r="G129" i="165"/>
  <c r="G129" i="166" s="1"/>
  <c r="N129" i="166"/>
  <c r="G130" i="165"/>
  <c r="G130" i="166" s="1"/>
  <c r="J130" i="165"/>
  <c r="J130" i="166" s="1"/>
  <c r="K130" i="165"/>
  <c r="N130" i="166"/>
  <c r="O130" i="165"/>
  <c r="O130" i="166" s="1"/>
  <c r="I102" i="165" l="1"/>
  <c r="I102" i="166" s="1"/>
  <c r="M102" i="165"/>
  <c r="M102" i="166" s="1"/>
  <c r="D102" i="166"/>
  <c r="D98" i="166"/>
  <c r="L98" i="165"/>
  <c r="L98" i="166" s="1"/>
  <c r="I98" i="165"/>
  <c r="I98" i="166" s="1"/>
  <c r="M98" i="165"/>
  <c r="M98" i="166" s="1"/>
  <c r="K94" i="165"/>
  <c r="K94" i="166" s="1"/>
  <c r="D94" i="166"/>
  <c r="L94" i="165"/>
  <c r="L94" i="166" s="1"/>
  <c r="L118" i="165"/>
  <c r="L118" i="166" s="1"/>
  <c r="O114" i="165"/>
  <c r="O114" i="166" s="1"/>
  <c r="J114" i="165"/>
  <c r="J114" i="166" s="1"/>
  <c r="M110" i="165"/>
  <c r="M110" i="166" s="1"/>
  <c r="L106" i="165"/>
  <c r="L106" i="166" s="1"/>
  <c r="K102" i="165"/>
  <c r="H102" i="165" s="1"/>
  <c r="H102" i="166" s="1"/>
  <c r="J98" i="165"/>
  <c r="J98" i="166" s="1"/>
  <c r="I94" i="165"/>
  <c r="I94" i="166" s="1"/>
  <c r="D110" i="166"/>
  <c r="E129" i="166"/>
  <c r="E121" i="166"/>
  <c r="E117" i="166"/>
  <c r="E113" i="166"/>
  <c r="E109" i="166"/>
  <c r="E101" i="166"/>
  <c r="L97" i="165"/>
  <c r="L97" i="166" s="1"/>
  <c r="I97" i="165"/>
  <c r="I97" i="166" s="1"/>
  <c r="M97" i="165"/>
  <c r="M97" i="166" s="1"/>
  <c r="D93" i="166"/>
  <c r="K93" i="165"/>
  <c r="K93" i="166" s="1"/>
  <c r="O93" i="165"/>
  <c r="O93" i="166" s="1"/>
  <c r="L93" i="165"/>
  <c r="L93" i="166" s="1"/>
  <c r="I110" i="165"/>
  <c r="I110" i="166" s="1"/>
  <c r="M130" i="165"/>
  <c r="M130" i="166" s="1"/>
  <c r="I130" i="165"/>
  <c r="I130" i="166" s="1"/>
  <c r="K126" i="165"/>
  <c r="K126" i="166" s="1"/>
  <c r="M122" i="165"/>
  <c r="M122" i="166" s="1"/>
  <c r="I122" i="165"/>
  <c r="I122" i="166" s="1"/>
  <c r="K106" i="165"/>
  <c r="K106" i="166" s="1"/>
  <c r="J102" i="165"/>
  <c r="J102" i="166" s="1"/>
  <c r="D122" i="166"/>
  <c r="D100" i="166"/>
  <c r="I100" i="165"/>
  <c r="I100" i="166" s="1"/>
  <c r="M100" i="165"/>
  <c r="M100" i="166" s="1"/>
  <c r="J100" i="165"/>
  <c r="J100" i="166" s="1"/>
  <c r="L96" i="165"/>
  <c r="L96" i="166" s="1"/>
  <c r="I96" i="165"/>
  <c r="I96" i="166" s="1"/>
  <c r="M96" i="165"/>
  <c r="M96" i="166" s="1"/>
  <c r="K118" i="165"/>
  <c r="K118" i="166" s="1"/>
  <c r="M114" i="165"/>
  <c r="M114" i="166" s="1"/>
  <c r="I114" i="165"/>
  <c r="I114" i="166" s="1"/>
  <c r="L110" i="165"/>
  <c r="L110" i="166" s="1"/>
  <c r="J97" i="165"/>
  <c r="J97" i="166" s="1"/>
  <c r="O94" i="165"/>
  <c r="O94" i="166" s="1"/>
  <c r="I93" i="165"/>
  <c r="I93" i="166" s="1"/>
  <c r="L130" i="165"/>
  <c r="L130" i="166" s="1"/>
  <c r="L128" i="165"/>
  <c r="L128" i="166" s="1"/>
  <c r="O126" i="165"/>
  <c r="O126" i="166" s="1"/>
  <c r="J126" i="165"/>
  <c r="J126" i="166" s="1"/>
  <c r="P125" i="165"/>
  <c r="P125" i="166" s="1"/>
  <c r="J125" i="165"/>
  <c r="J125" i="166" s="1"/>
  <c r="L120" i="165"/>
  <c r="L120" i="166" s="1"/>
  <c r="O118" i="165"/>
  <c r="O118" i="166" s="1"/>
  <c r="J118" i="165"/>
  <c r="J118" i="166" s="1"/>
  <c r="N117" i="166"/>
  <c r="J116" i="165"/>
  <c r="J116" i="166" s="1"/>
  <c r="L114" i="165"/>
  <c r="L114" i="166" s="1"/>
  <c r="L112" i="165"/>
  <c r="L112" i="166" s="1"/>
  <c r="O108" i="165"/>
  <c r="O108" i="166" s="1"/>
  <c r="K108" i="165"/>
  <c r="K108" i="166" s="1"/>
  <c r="O106" i="165"/>
  <c r="O106" i="166" s="1"/>
  <c r="J106" i="165"/>
  <c r="J106" i="166" s="1"/>
  <c r="N105" i="166"/>
  <c r="J105" i="165"/>
  <c r="J105" i="166" s="1"/>
  <c r="I104" i="165"/>
  <c r="I104" i="166" s="1"/>
  <c r="O102" i="165"/>
  <c r="O102" i="166" s="1"/>
  <c r="O98" i="165"/>
  <c r="O98" i="166" s="1"/>
  <c r="O97" i="165"/>
  <c r="O97" i="166" s="1"/>
  <c r="J96" i="165"/>
  <c r="J96" i="166" s="1"/>
  <c r="M94" i="165"/>
  <c r="M94" i="166" s="1"/>
  <c r="P93" i="165"/>
  <c r="P93" i="166" s="1"/>
  <c r="D97" i="166"/>
  <c r="E119" i="166"/>
  <c r="N119" i="166"/>
  <c r="P115" i="165"/>
  <c r="P115" i="166" s="1"/>
  <c r="E115" i="166"/>
  <c r="E111" i="166"/>
  <c r="E107" i="166"/>
  <c r="E103" i="166"/>
  <c r="N103" i="166"/>
  <c r="N99" i="166"/>
  <c r="E99" i="166"/>
  <c r="E95" i="166"/>
  <c r="E126" i="166"/>
  <c r="P117" i="165"/>
  <c r="P117" i="166" s="1"/>
  <c r="N110" i="166"/>
  <c r="N102" i="166"/>
  <c r="N94" i="166"/>
  <c r="N122" i="166"/>
  <c r="N118" i="166"/>
  <c r="N114" i="166"/>
  <c r="P106" i="165"/>
  <c r="P106" i="166" s="1"/>
  <c r="N98" i="166"/>
  <c r="N126" i="166"/>
  <c r="N127" i="166"/>
  <c r="E127" i="166"/>
  <c r="N123" i="166"/>
  <c r="E123" i="166"/>
  <c r="P113" i="165"/>
  <c r="P113" i="166" s="1"/>
  <c r="P101" i="165"/>
  <c r="P101" i="166" s="1"/>
  <c r="P107" i="165"/>
  <c r="P107" i="166" s="1"/>
  <c r="H130" i="165"/>
  <c r="H130" i="166" s="1"/>
  <c r="K130" i="166"/>
  <c r="H128" i="165"/>
  <c r="H128" i="166" s="1"/>
  <c r="K128" i="166"/>
  <c r="P121" i="165"/>
  <c r="P121" i="166" s="1"/>
  <c r="N121" i="166"/>
  <c r="P120" i="165"/>
  <c r="P120" i="166" s="1"/>
  <c r="N120" i="166"/>
  <c r="H116" i="165"/>
  <c r="H116" i="166" s="1"/>
  <c r="K116" i="166"/>
  <c r="H124" i="165"/>
  <c r="H124" i="166" s="1"/>
  <c r="K124" i="166"/>
  <c r="P112" i="165"/>
  <c r="P112" i="166" s="1"/>
  <c r="H105" i="165"/>
  <c r="H105" i="166" s="1"/>
  <c r="K105" i="166"/>
  <c r="H104" i="165"/>
  <c r="H104" i="166" s="1"/>
  <c r="K104" i="166"/>
  <c r="H98" i="165"/>
  <c r="H98" i="166" s="1"/>
  <c r="K98" i="166"/>
  <c r="P97" i="165"/>
  <c r="P97" i="166" s="1"/>
  <c r="P130" i="165"/>
  <c r="P130" i="166" s="1"/>
  <c r="H112" i="165"/>
  <c r="H112" i="166" s="1"/>
  <c r="K112" i="166"/>
  <c r="P111" i="165"/>
  <c r="P111" i="166" s="1"/>
  <c r="P104" i="165"/>
  <c r="P104" i="166" s="1"/>
  <c r="N104" i="166"/>
  <c r="H97" i="165"/>
  <c r="H97" i="166" s="1"/>
  <c r="K97" i="166"/>
  <c r="H96" i="165"/>
  <c r="H96" i="166" s="1"/>
  <c r="K96" i="166"/>
  <c r="H120" i="165"/>
  <c r="H120" i="166" s="1"/>
  <c r="K120" i="166"/>
  <c r="H110" i="165"/>
  <c r="H110" i="166" s="1"/>
  <c r="K110" i="166"/>
  <c r="P96" i="165"/>
  <c r="P96" i="166" s="1"/>
  <c r="N96" i="166"/>
  <c r="P95" i="165"/>
  <c r="P95" i="166" s="1"/>
  <c r="N95" i="166"/>
  <c r="H100" i="165"/>
  <c r="H100" i="166" s="1"/>
  <c r="K100" i="166"/>
  <c r="P109" i="165"/>
  <c r="P109" i="166" s="1"/>
  <c r="H122" i="165"/>
  <c r="H122" i="166" s="1"/>
  <c r="H114" i="165"/>
  <c r="H114" i="166" s="1"/>
  <c r="P128" i="165"/>
  <c r="P128" i="166" s="1"/>
  <c r="P100" i="165"/>
  <c r="P100" i="166" s="1"/>
  <c r="P108" i="165"/>
  <c r="P108" i="166" s="1"/>
  <c r="H125" i="165"/>
  <c r="H125" i="166" s="1"/>
  <c r="P124" i="165"/>
  <c r="P124" i="166" s="1"/>
  <c r="H123" i="165"/>
  <c r="H123" i="166" s="1"/>
  <c r="P116" i="165"/>
  <c r="P116" i="166" s="1"/>
  <c r="H127" i="165"/>
  <c r="H127" i="166" s="1"/>
  <c r="P129" i="165"/>
  <c r="P129" i="166" s="1"/>
  <c r="K102" i="166" l="1"/>
  <c r="P114" i="165"/>
  <c r="P114" i="166" s="1"/>
  <c r="H118" i="165"/>
  <c r="H118" i="166" s="1"/>
  <c r="H94" i="165"/>
  <c r="H94" i="166" s="1"/>
  <c r="P103" i="165"/>
  <c r="P103" i="166" s="1"/>
  <c r="H108" i="165"/>
  <c r="H108" i="166" s="1"/>
  <c r="H126" i="165"/>
  <c r="H126" i="166" s="1"/>
  <c r="N93" i="166"/>
  <c r="P119" i="165"/>
  <c r="P119" i="166" s="1"/>
  <c r="N125" i="166"/>
  <c r="P110" i="165"/>
  <c r="P110" i="166" s="1"/>
  <c r="H93" i="165"/>
  <c r="H93" i="166" s="1"/>
  <c r="P105" i="165"/>
  <c r="P105" i="166" s="1"/>
  <c r="P99" i="165"/>
  <c r="P99" i="166" s="1"/>
  <c r="N115" i="166"/>
  <c r="K107" i="165"/>
  <c r="O107" i="165"/>
  <c r="O107" i="166" s="1"/>
  <c r="L107" i="165"/>
  <c r="L107" i="166" s="1"/>
  <c r="I107" i="165"/>
  <c r="I107" i="166" s="1"/>
  <c r="M107" i="165"/>
  <c r="M107" i="166" s="1"/>
  <c r="D107" i="166"/>
  <c r="J107" i="165"/>
  <c r="J107" i="166" s="1"/>
  <c r="I99" i="165"/>
  <c r="I99" i="166" s="1"/>
  <c r="M99" i="165"/>
  <c r="M99" i="166" s="1"/>
  <c r="J99" i="165"/>
  <c r="J99" i="166" s="1"/>
  <c r="D99" i="166"/>
  <c r="O99" i="165"/>
  <c r="O99" i="166" s="1"/>
  <c r="K99" i="165"/>
  <c r="L99" i="165"/>
  <c r="L99" i="166" s="1"/>
  <c r="D119" i="166"/>
  <c r="K119" i="165"/>
  <c r="L119" i="165"/>
  <c r="L119" i="166" s="1"/>
  <c r="O119" i="165"/>
  <c r="O119" i="166" s="1"/>
  <c r="I119" i="165"/>
  <c r="I119" i="166" s="1"/>
  <c r="M119" i="165"/>
  <c r="M119" i="166" s="1"/>
  <c r="J119" i="165"/>
  <c r="J119" i="166" s="1"/>
  <c r="I101" i="165"/>
  <c r="I101" i="166" s="1"/>
  <c r="M101" i="165"/>
  <c r="M101" i="166" s="1"/>
  <c r="D101" i="166"/>
  <c r="K101" i="165"/>
  <c r="L101" i="165"/>
  <c r="L101" i="166" s="1"/>
  <c r="J101" i="165"/>
  <c r="J101" i="166" s="1"/>
  <c r="O101" i="165"/>
  <c r="O101" i="166" s="1"/>
  <c r="D113" i="166"/>
  <c r="L113" i="165"/>
  <c r="L113" i="166" s="1"/>
  <c r="I113" i="165"/>
  <c r="I113" i="166" s="1"/>
  <c r="M113" i="165"/>
  <c r="M113" i="166" s="1"/>
  <c r="K113" i="165"/>
  <c r="O113" i="165"/>
  <c r="O113" i="166" s="1"/>
  <c r="J113" i="165"/>
  <c r="J113" i="166" s="1"/>
  <c r="D121" i="166"/>
  <c r="L121" i="165"/>
  <c r="L121" i="166" s="1"/>
  <c r="M121" i="165"/>
  <c r="M121" i="166" s="1"/>
  <c r="I121" i="165"/>
  <c r="I121" i="166" s="1"/>
  <c r="J121" i="165"/>
  <c r="J121" i="166" s="1"/>
  <c r="K121" i="165"/>
  <c r="O121" i="165"/>
  <c r="O121" i="166" s="1"/>
  <c r="J103" i="165"/>
  <c r="J103" i="166" s="1"/>
  <c r="D103" i="166"/>
  <c r="L103" i="165"/>
  <c r="L103" i="166" s="1"/>
  <c r="M103" i="165"/>
  <c r="M103" i="166" s="1"/>
  <c r="I103" i="165"/>
  <c r="I103" i="166" s="1"/>
  <c r="O103" i="165"/>
  <c r="O103" i="166" s="1"/>
  <c r="K103" i="165"/>
  <c r="D115" i="166"/>
  <c r="I115" i="165"/>
  <c r="I115" i="166" s="1"/>
  <c r="M115" i="165"/>
  <c r="M115" i="166" s="1"/>
  <c r="O115" i="165"/>
  <c r="O115" i="166" s="1"/>
  <c r="J115" i="165"/>
  <c r="J115" i="166" s="1"/>
  <c r="K115" i="165"/>
  <c r="L115" i="165"/>
  <c r="L115" i="166" s="1"/>
  <c r="D109" i="166"/>
  <c r="K109" i="165"/>
  <c r="O109" i="165"/>
  <c r="O109" i="166" s="1"/>
  <c r="L109" i="165"/>
  <c r="L109" i="166" s="1"/>
  <c r="I109" i="165"/>
  <c r="I109" i="166" s="1"/>
  <c r="M109" i="165"/>
  <c r="M109" i="166" s="1"/>
  <c r="J109" i="165"/>
  <c r="J109" i="166" s="1"/>
  <c r="D111" i="166"/>
  <c r="L111" i="165"/>
  <c r="L111" i="166" s="1"/>
  <c r="I111" i="165"/>
  <c r="I111" i="166" s="1"/>
  <c r="M111" i="165"/>
  <c r="M111" i="166" s="1"/>
  <c r="J111" i="165"/>
  <c r="J111" i="166" s="1"/>
  <c r="O111" i="165"/>
  <c r="O111" i="166" s="1"/>
  <c r="K111" i="165"/>
  <c r="D117" i="166"/>
  <c r="J117" i="165"/>
  <c r="J117" i="166" s="1"/>
  <c r="K117" i="165"/>
  <c r="O117" i="165"/>
  <c r="O117" i="166" s="1"/>
  <c r="L117" i="165"/>
  <c r="L117" i="166" s="1"/>
  <c r="I117" i="165"/>
  <c r="I117" i="166" s="1"/>
  <c r="M117" i="165"/>
  <c r="M117" i="166" s="1"/>
  <c r="L129" i="165"/>
  <c r="L129" i="166" s="1"/>
  <c r="D129" i="166"/>
  <c r="I129" i="165"/>
  <c r="I129" i="166" s="1"/>
  <c r="M129" i="165"/>
  <c r="M129" i="166" s="1"/>
  <c r="J129" i="165"/>
  <c r="J129" i="166" s="1"/>
  <c r="K129" i="165"/>
  <c r="O129" i="165"/>
  <c r="O129" i="166" s="1"/>
  <c r="P118" i="165"/>
  <c r="P118" i="166" s="1"/>
  <c r="H106" i="165"/>
  <c r="H106" i="166" s="1"/>
  <c r="L95" i="165"/>
  <c r="L95" i="166" s="1"/>
  <c r="I95" i="165"/>
  <c r="I95" i="166" s="1"/>
  <c r="M95" i="165"/>
  <c r="M95" i="166" s="1"/>
  <c r="D95" i="166"/>
  <c r="K95" i="165"/>
  <c r="O95" i="165"/>
  <c r="O95" i="166" s="1"/>
  <c r="J95" i="165"/>
  <c r="J95" i="166" s="1"/>
  <c r="P102" i="165"/>
  <c r="P102" i="166" s="1"/>
  <c r="P127" i="165"/>
  <c r="P127" i="166" s="1"/>
  <c r="P94" i="165"/>
  <c r="P94" i="166" s="1"/>
  <c r="N106" i="166"/>
  <c r="P126" i="165"/>
  <c r="P126" i="166" s="1"/>
  <c r="P123" i="165"/>
  <c r="P123" i="166" s="1"/>
  <c r="P122" i="165"/>
  <c r="P122" i="166" s="1"/>
  <c r="P98" i="165"/>
  <c r="P98" i="166" s="1"/>
  <c r="D3" i="119"/>
  <c r="B10" i="168"/>
  <c r="C10" i="168"/>
  <c r="D10" i="168"/>
  <c r="E10" i="168"/>
  <c r="B11" i="168"/>
  <c r="C11" i="168"/>
  <c r="D11" i="168"/>
  <c r="E11" i="168"/>
  <c r="B12" i="168"/>
  <c r="C12" i="168"/>
  <c r="D12" i="168"/>
  <c r="E12" i="168"/>
  <c r="B14" i="168"/>
  <c r="C14" i="168"/>
  <c r="D14" i="168"/>
  <c r="E14" i="168"/>
  <c r="B15" i="168"/>
  <c r="C15" i="168"/>
  <c r="D15" i="168"/>
  <c r="E15" i="168"/>
  <c r="B16" i="168"/>
  <c r="C16" i="168"/>
  <c r="D16" i="168"/>
  <c r="E16" i="168"/>
  <c r="B17" i="168"/>
  <c r="C17" i="168"/>
  <c r="D17" i="168"/>
  <c r="E17" i="168"/>
  <c r="B18" i="168"/>
  <c r="C18" i="168"/>
  <c r="D18" i="168"/>
  <c r="E18" i="168"/>
  <c r="E9" i="168"/>
  <c r="D9" i="168"/>
  <c r="C9" i="168"/>
  <c r="B9" i="168"/>
  <c r="H117" i="165" l="1"/>
  <c r="H117" i="166" s="1"/>
  <c r="K117" i="166"/>
  <c r="K103" i="166"/>
  <c r="H103" i="165"/>
  <c r="H103" i="166" s="1"/>
  <c r="K121" i="166"/>
  <c r="H121" i="165"/>
  <c r="H121" i="166" s="1"/>
  <c r="H113" i="165"/>
  <c r="H113" i="166" s="1"/>
  <c r="K113" i="166"/>
  <c r="K119" i="166"/>
  <c r="H119" i="165"/>
  <c r="H119" i="166" s="1"/>
  <c r="K101" i="166"/>
  <c r="H101" i="165"/>
  <c r="H101" i="166" s="1"/>
  <c r="H99" i="165"/>
  <c r="H99" i="166" s="1"/>
  <c r="K99" i="166"/>
  <c r="H107" i="165"/>
  <c r="H107" i="166" s="1"/>
  <c r="K107" i="166"/>
  <c r="K95" i="166"/>
  <c r="H95" i="165"/>
  <c r="H95" i="166" s="1"/>
  <c r="K129" i="166"/>
  <c r="H129" i="165"/>
  <c r="H129" i="166" s="1"/>
  <c r="K115" i="166"/>
  <c r="H115" i="165"/>
  <c r="H115" i="166" s="1"/>
  <c r="K111" i="166"/>
  <c r="H111" i="165"/>
  <c r="H111" i="166" s="1"/>
  <c r="H109" i="165"/>
  <c r="H109" i="166" s="1"/>
  <c r="K109" i="166"/>
  <c r="P28" i="22"/>
  <c r="L2" i="177"/>
  <c r="J15" i="177" l="1"/>
  <c r="I15" i="177"/>
  <c r="H15" i="177"/>
  <c r="G15" i="177"/>
  <c r="F15" i="177"/>
  <c r="E15" i="177"/>
  <c r="D15" i="177"/>
  <c r="C15" i="177"/>
  <c r="B15" i="177"/>
  <c r="B2" i="177"/>
  <c r="C2" i="177"/>
  <c r="B3" i="177"/>
  <c r="C3" i="177"/>
  <c r="B78" i="177"/>
  <c r="B77" i="177"/>
  <c r="B76" i="177"/>
  <c r="B75" i="177"/>
  <c r="B74" i="177"/>
  <c r="B73" i="177"/>
  <c r="B72" i="177"/>
  <c r="B71" i="177"/>
  <c r="B70" i="177"/>
  <c r="B69" i="177"/>
  <c r="B68" i="177"/>
  <c r="B67" i="177"/>
  <c r="B66" i="177"/>
  <c r="B65" i="177"/>
  <c r="B64" i="177"/>
  <c r="B63" i="177"/>
  <c r="B62" i="177"/>
  <c r="B61" i="177"/>
  <c r="B60" i="177"/>
  <c r="B59" i="177"/>
  <c r="B58" i="177"/>
  <c r="B57" i="177"/>
  <c r="B56" i="177"/>
  <c r="B55" i="177"/>
  <c r="B54" i="177"/>
  <c r="B53" i="177"/>
  <c r="B52" i="177"/>
  <c r="B51" i="177"/>
  <c r="B50" i="177"/>
  <c r="B49" i="177"/>
  <c r="B48" i="177"/>
  <c r="B47" i="177"/>
  <c r="B46" i="177"/>
  <c r="B45" i="177"/>
  <c r="B44" i="177"/>
  <c r="B43" i="177"/>
  <c r="B42" i="177"/>
  <c r="B41" i="177"/>
  <c r="B40" i="177"/>
  <c r="B39" i="177"/>
  <c r="B38" i="177"/>
  <c r="B37" i="177"/>
  <c r="B36" i="177"/>
  <c r="B35" i="177"/>
  <c r="B34" i="177"/>
  <c r="B33" i="177"/>
  <c r="B32" i="177"/>
  <c r="B31" i="177"/>
  <c r="B30" i="177"/>
  <c r="B29" i="177"/>
  <c r="B28" i="177"/>
  <c r="B27" i="177"/>
  <c r="B26" i="177"/>
  <c r="B25" i="177"/>
  <c r="B24" i="177"/>
  <c r="B23" i="177"/>
  <c r="B22" i="177"/>
  <c r="B21" i="177"/>
  <c r="B20" i="177"/>
  <c r="B19" i="177"/>
  <c r="B18" i="177"/>
  <c r="B17" i="177"/>
  <c r="AD93" i="174" l="1"/>
  <c r="AE93" i="174"/>
  <c r="B77" i="14"/>
  <c r="B78" i="14"/>
  <c r="I93" i="174"/>
  <c r="J93" i="174"/>
  <c r="K93" i="174"/>
  <c r="L93" i="174"/>
  <c r="M93" i="174"/>
  <c r="N93" i="174"/>
  <c r="O93" i="174"/>
  <c r="P93" i="174"/>
  <c r="Q93" i="174"/>
  <c r="R93" i="174"/>
  <c r="S93" i="174"/>
  <c r="T93" i="174"/>
  <c r="U93" i="174"/>
  <c r="V93" i="174"/>
  <c r="W93" i="174"/>
  <c r="X93" i="174"/>
  <c r="F93" i="174"/>
  <c r="B77" i="7"/>
  <c r="B78" i="7"/>
  <c r="B77" i="154"/>
  <c r="B78" i="154"/>
  <c r="B77" i="20"/>
  <c r="B78" i="20"/>
  <c r="B77" i="19"/>
  <c r="B78" i="19"/>
  <c r="B77" i="17"/>
  <c r="B78" i="17"/>
  <c r="B77" i="16"/>
  <c r="B78" i="16"/>
  <c r="B77" i="4"/>
  <c r="B78" i="4"/>
  <c r="C77" i="3"/>
  <c r="C78" i="3"/>
  <c r="F79" i="176"/>
  <c r="Z77" i="176"/>
  <c r="X77" i="176"/>
  <c r="W77" i="176"/>
  <c r="V77" i="176"/>
  <c r="U77" i="176"/>
  <c r="R77" i="176"/>
  <c r="Q77" i="176"/>
  <c r="L77" i="176"/>
  <c r="F77" i="176"/>
  <c r="Z76" i="176"/>
  <c r="X76" i="176"/>
  <c r="W76" i="176"/>
  <c r="V76" i="176"/>
  <c r="U76" i="176"/>
  <c r="R76" i="176"/>
  <c r="Q76" i="176"/>
  <c r="L76" i="176"/>
  <c r="F76" i="176"/>
  <c r="Z75" i="176"/>
  <c r="X75" i="176"/>
  <c r="W75" i="176"/>
  <c r="V75" i="176"/>
  <c r="U75" i="176"/>
  <c r="R75" i="176"/>
  <c r="Q75" i="176"/>
  <c r="L75" i="176"/>
  <c r="F75" i="176"/>
  <c r="Z74" i="176"/>
  <c r="X74" i="176"/>
  <c r="W74" i="176"/>
  <c r="V74" i="176"/>
  <c r="U74" i="176"/>
  <c r="R74" i="176"/>
  <c r="Q74" i="176"/>
  <c r="L74" i="176"/>
  <c r="F74" i="176"/>
  <c r="Z73" i="176"/>
  <c r="X73" i="176"/>
  <c r="W73" i="176"/>
  <c r="V73" i="176"/>
  <c r="U73" i="176"/>
  <c r="R73" i="176"/>
  <c r="Q73" i="176"/>
  <c r="L73" i="176"/>
  <c r="F73" i="176"/>
  <c r="Z72" i="176"/>
  <c r="X72" i="176"/>
  <c r="W72" i="176"/>
  <c r="V72" i="176"/>
  <c r="U72" i="176"/>
  <c r="R72" i="176"/>
  <c r="Q72" i="176"/>
  <c r="L72" i="176"/>
  <c r="F72" i="176"/>
  <c r="Z71" i="176"/>
  <c r="X71" i="176"/>
  <c r="W71" i="176"/>
  <c r="V71" i="176"/>
  <c r="U71" i="176"/>
  <c r="R71" i="176"/>
  <c r="Q71" i="176"/>
  <c r="L71" i="176"/>
  <c r="F71" i="176"/>
  <c r="Z70" i="176"/>
  <c r="X70" i="176"/>
  <c r="W70" i="176"/>
  <c r="V70" i="176"/>
  <c r="U70" i="176"/>
  <c r="R70" i="176"/>
  <c r="Q70" i="176"/>
  <c r="L70" i="176"/>
  <c r="F70" i="176"/>
  <c r="Z69" i="176"/>
  <c r="X69" i="176"/>
  <c r="W69" i="176"/>
  <c r="V69" i="176"/>
  <c r="U69" i="176"/>
  <c r="R69" i="176"/>
  <c r="Q69" i="176"/>
  <c r="L69" i="176"/>
  <c r="F69" i="176"/>
  <c r="Z68" i="176"/>
  <c r="X68" i="176"/>
  <c r="W68" i="176"/>
  <c r="V68" i="176"/>
  <c r="U68" i="176"/>
  <c r="R68" i="176"/>
  <c r="Q68" i="176"/>
  <c r="L68" i="176"/>
  <c r="F68" i="176"/>
  <c r="Z67" i="176"/>
  <c r="X67" i="176"/>
  <c r="W67" i="176"/>
  <c r="V67" i="176"/>
  <c r="U67" i="176"/>
  <c r="R67" i="176"/>
  <c r="Q67" i="176"/>
  <c r="L67" i="176"/>
  <c r="F67" i="176"/>
  <c r="Z66" i="176"/>
  <c r="X66" i="176"/>
  <c r="W66" i="176"/>
  <c r="V66" i="176"/>
  <c r="U66" i="176"/>
  <c r="R66" i="176"/>
  <c r="Q66" i="176"/>
  <c r="L66" i="176"/>
  <c r="F66" i="176"/>
  <c r="Z65" i="176"/>
  <c r="X65" i="176"/>
  <c r="W65" i="176"/>
  <c r="V65" i="176"/>
  <c r="U65" i="176"/>
  <c r="R65" i="176"/>
  <c r="Q65" i="176"/>
  <c r="L65" i="176"/>
  <c r="F65" i="176"/>
  <c r="Z64" i="176"/>
  <c r="X64" i="176"/>
  <c r="W64" i="176"/>
  <c r="V64" i="176"/>
  <c r="U64" i="176"/>
  <c r="R64" i="176"/>
  <c r="Q64" i="176"/>
  <c r="L64" i="176"/>
  <c r="F64" i="176"/>
  <c r="Z63" i="176"/>
  <c r="X63" i="176"/>
  <c r="W63" i="176"/>
  <c r="V63" i="176"/>
  <c r="U63" i="176"/>
  <c r="R63" i="176"/>
  <c r="Q63" i="176"/>
  <c r="L63" i="176"/>
  <c r="F63" i="176"/>
  <c r="Z62" i="176"/>
  <c r="X62" i="176"/>
  <c r="W62" i="176"/>
  <c r="V62" i="176"/>
  <c r="U62" i="176"/>
  <c r="R62" i="176"/>
  <c r="Q62" i="176"/>
  <c r="L62" i="176"/>
  <c r="F62" i="176"/>
  <c r="Z61" i="176"/>
  <c r="X61" i="176"/>
  <c r="W61" i="176"/>
  <c r="V61" i="176"/>
  <c r="U61" i="176"/>
  <c r="R61" i="176"/>
  <c r="Q61" i="176"/>
  <c r="L61" i="176"/>
  <c r="F61" i="176"/>
  <c r="Z60" i="176"/>
  <c r="X60" i="176"/>
  <c r="W60" i="176"/>
  <c r="V60" i="176"/>
  <c r="U60" i="176"/>
  <c r="R60" i="176"/>
  <c r="Q60" i="176"/>
  <c r="L60" i="176"/>
  <c r="F60" i="176"/>
  <c r="Z59" i="176"/>
  <c r="X59" i="176"/>
  <c r="W59" i="176"/>
  <c r="V59" i="176"/>
  <c r="U59" i="176"/>
  <c r="R59" i="176"/>
  <c r="Q59" i="176"/>
  <c r="L59" i="176"/>
  <c r="F59" i="176"/>
  <c r="Z58" i="176"/>
  <c r="X58" i="176"/>
  <c r="W58" i="176"/>
  <c r="V58" i="176"/>
  <c r="U58" i="176"/>
  <c r="R58" i="176"/>
  <c r="Q58" i="176"/>
  <c r="L58" i="176"/>
  <c r="F58" i="176"/>
  <c r="Z57" i="176"/>
  <c r="X57" i="176"/>
  <c r="W57" i="176"/>
  <c r="V57" i="176"/>
  <c r="U57" i="176"/>
  <c r="R57" i="176"/>
  <c r="Q57" i="176"/>
  <c r="L57" i="176"/>
  <c r="F57" i="176"/>
  <c r="Z56" i="176"/>
  <c r="X56" i="176"/>
  <c r="W56" i="176"/>
  <c r="V56" i="176"/>
  <c r="U56" i="176"/>
  <c r="R56" i="176"/>
  <c r="Q56" i="176"/>
  <c r="L56" i="176"/>
  <c r="F56" i="176"/>
  <c r="Z55" i="176"/>
  <c r="X55" i="176"/>
  <c r="W55" i="176"/>
  <c r="V55" i="176"/>
  <c r="U55" i="176"/>
  <c r="R55" i="176"/>
  <c r="Q55" i="176"/>
  <c r="L55" i="176"/>
  <c r="F55" i="176"/>
  <c r="Z54" i="176"/>
  <c r="X54" i="176"/>
  <c r="W54" i="176"/>
  <c r="V54" i="176"/>
  <c r="U54" i="176"/>
  <c r="R54" i="176"/>
  <c r="Q54" i="176"/>
  <c r="L54" i="176"/>
  <c r="F54" i="176"/>
  <c r="Z53" i="176"/>
  <c r="X53" i="176"/>
  <c r="W53" i="176"/>
  <c r="V53" i="176"/>
  <c r="U53" i="176"/>
  <c r="R53" i="176"/>
  <c r="Q53" i="176"/>
  <c r="L53" i="176"/>
  <c r="F53" i="176"/>
  <c r="Z52" i="176"/>
  <c r="X52" i="176"/>
  <c r="W52" i="176"/>
  <c r="V52" i="176"/>
  <c r="U52" i="176"/>
  <c r="R52" i="176"/>
  <c r="Q52" i="176"/>
  <c r="L52" i="176"/>
  <c r="F52" i="176"/>
  <c r="Z51" i="176"/>
  <c r="X51" i="176"/>
  <c r="W51" i="176"/>
  <c r="V51" i="176"/>
  <c r="U51" i="176"/>
  <c r="R51" i="176"/>
  <c r="Q51" i="176"/>
  <c r="L51" i="176"/>
  <c r="F51" i="176"/>
  <c r="Z50" i="176"/>
  <c r="X50" i="176"/>
  <c r="W50" i="176"/>
  <c r="V50" i="176"/>
  <c r="U50" i="176"/>
  <c r="R50" i="176"/>
  <c r="Q50" i="176"/>
  <c r="L50" i="176"/>
  <c r="F50" i="176"/>
  <c r="Z49" i="176"/>
  <c r="X49" i="176"/>
  <c r="W49" i="176"/>
  <c r="V49" i="176"/>
  <c r="U49" i="176"/>
  <c r="R49" i="176"/>
  <c r="Q49" i="176"/>
  <c r="L49" i="176"/>
  <c r="F49" i="176"/>
  <c r="Z48" i="176"/>
  <c r="X48" i="176"/>
  <c r="W48" i="176"/>
  <c r="V48" i="176"/>
  <c r="U48" i="176"/>
  <c r="R48" i="176"/>
  <c r="Q48" i="176"/>
  <c r="L48" i="176"/>
  <c r="F48" i="176"/>
  <c r="Z47" i="176"/>
  <c r="X47" i="176"/>
  <c r="W47" i="176"/>
  <c r="V47" i="176"/>
  <c r="U47" i="176"/>
  <c r="R47" i="176"/>
  <c r="Q47" i="176"/>
  <c r="L47" i="176"/>
  <c r="F47" i="176"/>
  <c r="Z46" i="176"/>
  <c r="X46" i="176"/>
  <c r="W46" i="176"/>
  <c r="V46" i="176"/>
  <c r="U46" i="176"/>
  <c r="R46" i="176"/>
  <c r="Q46" i="176"/>
  <c r="L46" i="176"/>
  <c r="F46" i="176"/>
  <c r="Z45" i="176"/>
  <c r="X45" i="176"/>
  <c r="W45" i="176"/>
  <c r="V45" i="176"/>
  <c r="U45" i="176"/>
  <c r="R45" i="176"/>
  <c r="Q45" i="176"/>
  <c r="L45" i="176"/>
  <c r="F45" i="176"/>
  <c r="Z44" i="176"/>
  <c r="X44" i="176"/>
  <c r="W44" i="176"/>
  <c r="V44" i="176"/>
  <c r="U44" i="176"/>
  <c r="R44" i="176"/>
  <c r="Q44" i="176"/>
  <c r="L44" i="176"/>
  <c r="F44" i="176"/>
  <c r="Z43" i="176"/>
  <c r="X43" i="176"/>
  <c r="W43" i="176"/>
  <c r="V43" i="176"/>
  <c r="U43" i="176"/>
  <c r="R43" i="176"/>
  <c r="Q43" i="176"/>
  <c r="L43" i="176"/>
  <c r="F43" i="176"/>
  <c r="Z42" i="176"/>
  <c r="X42" i="176"/>
  <c r="W42" i="176"/>
  <c r="V42" i="176"/>
  <c r="U42" i="176"/>
  <c r="R42" i="176"/>
  <c r="Q42" i="176"/>
  <c r="L42" i="176"/>
  <c r="F42" i="176"/>
  <c r="Z41" i="176"/>
  <c r="X41" i="176"/>
  <c r="W41" i="176"/>
  <c r="V41" i="176"/>
  <c r="U41" i="176"/>
  <c r="R41" i="176"/>
  <c r="Q41" i="176"/>
  <c r="L41" i="176"/>
  <c r="F41" i="176"/>
  <c r="Z40" i="176"/>
  <c r="X40" i="176"/>
  <c r="W40" i="176"/>
  <c r="V40" i="176"/>
  <c r="U40" i="176"/>
  <c r="R40" i="176"/>
  <c r="Q40" i="176"/>
  <c r="L40" i="176"/>
  <c r="F40" i="176"/>
  <c r="Z39" i="176"/>
  <c r="X39" i="176"/>
  <c r="W39" i="176"/>
  <c r="V39" i="176"/>
  <c r="U39" i="176"/>
  <c r="R39" i="176"/>
  <c r="Q39" i="176"/>
  <c r="L39" i="176"/>
  <c r="F39" i="176"/>
  <c r="Z38" i="176"/>
  <c r="X38" i="176"/>
  <c r="W38" i="176"/>
  <c r="V38" i="176"/>
  <c r="U38" i="176"/>
  <c r="R38" i="176"/>
  <c r="Q38" i="176"/>
  <c r="L38" i="176"/>
  <c r="F38" i="176"/>
  <c r="Z37" i="176"/>
  <c r="X37" i="176"/>
  <c r="W37" i="176"/>
  <c r="V37" i="176"/>
  <c r="U37" i="176"/>
  <c r="R37" i="176"/>
  <c r="Q37" i="176"/>
  <c r="L37" i="176"/>
  <c r="F37" i="176"/>
  <c r="Z36" i="176"/>
  <c r="X36" i="176"/>
  <c r="W36" i="176"/>
  <c r="V36" i="176"/>
  <c r="U36" i="176"/>
  <c r="R36" i="176"/>
  <c r="Q36" i="176"/>
  <c r="L36" i="176"/>
  <c r="F36" i="176"/>
  <c r="Z35" i="176"/>
  <c r="X35" i="176"/>
  <c r="W35" i="176"/>
  <c r="V35" i="176"/>
  <c r="U35" i="176"/>
  <c r="R35" i="176"/>
  <c r="Q35" i="176"/>
  <c r="L35" i="176"/>
  <c r="F35" i="176"/>
  <c r="Z34" i="176"/>
  <c r="X34" i="176"/>
  <c r="W34" i="176"/>
  <c r="V34" i="176"/>
  <c r="U34" i="176"/>
  <c r="R34" i="176"/>
  <c r="Q34" i="176"/>
  <c r="L34" i="176"/>
  <c r="F34" i="176"/>
  <c r="Z33" i="176"/>
  <c r="X33" i="176"/>
  <c r="W33" i="176"/>
  <c r="V33" i="176"/>
  <c r="U33" i="176"/>
  <c r="R33" i="176"/>
  <c r="Q33" i="176"/>
  <c r="L33" i="176"/>
  <c r="F33" i="176"/>
  <c r="Z32" i="176"/>
  <c r="X32" i="176"/>
  <c r="W32" i="176"/>
  <c r="V32" i="176"/>
  <c r="U32" i="176"/>
  <c r="R32" i="176"/>
  <c r="Q32" i="176"/>
  <c r="L32" i="176"/>
  <c r="F32" i="176"/>
  <c r="Z31" i="176"/>
  <c r="X31" i="176"/>
  <c r="W31" i="176"/>
  <c r="V31" i="176"/>
  <c r="U31" i="176"/>
  <c r="R31" i="176"/>
  <c r="Q31" i="176"/>
  <c r="L31" i="176"/>
  <c r="F31" i="176"/>
  <c r="Z30" i="176"/>
  <c r="X30" i="176"/>
  <c r="W30" i="176"/>
  <c r="V30" i="176"/>
  <c r="U30" i="176"/>
  <c r="R30" i="176"/>
  <c r="Q30" i="176"/>
  <c r="L30" i="176"/>
  <c r="F30" i="176"/>
  <c r="Z29" i="176"/>
  <c r="X29" i="176"/>
  <c r="W29" i="176"/>
  <c r="V29" i="176"/>
  <c r="U29" i="176"/>
  <c r="R29" i="176"/>
  <c r="Q29" i="176"/>
  <c r="L29" i="176"/>
  <c r="F29" i="176"/>
  <c r="Z28" i="176"/>
  <c r="X28" i="176"/>
  <c r="W28" i="176"/>
  <c r="V28" i="176"/>
  <c r="U28" i="176"/>
  <c r="R28" i="176"/>
  <c r="Q28" i="176"/>
  <c r="L28" i="176"/>
  <c r="F28" i="176"/>
  <c r="I21" i="176"/>
  <c r="I20" i="176"/>
  <c r="J18" i="176"/>
  <c r="F16" i="176" a="1"/>
  <c r="F16" i="176" s="1"/>
  <c r="C16" i="176" a="1"/>
  <c r="C25" i="176" s="1"/>
  <c r="V15" i="176" a="1"/>
  <c r="V15" i="176" s="1"/>
  <c r="V9" i="176" a="1"/>
  <c r="W9" i="176" s="1"/>
  <c r="F7" i="176"/>
  <c r="E7" i="176"/>
  <c r="W5" i="176"/>
  <c r="V5" i="176"/>
  <c r="D3" i="176"/>
  <c r="B78" i="2" s="1"/>
  <c r="F79" i="175"/>
  <c r="Z77" i="175"/>
  <c r="X77" i="175"/>
  <c r="W77" i="175"/>
  <c r="V77" i="175"/>
  <c r="U77" i="175"/>
  <c r="R77" i="175"/>
  <c r="Q77" i="175"/>
  <c r="L77" i="175"/>
  <c r="F77" i="175"/>
  <c r="Z76" i="175"/>
  <c r="X76" i="175"/>
  <c r="W76" i="175"/>
  <c r="V76" i="175"/>
  <c r="U76" i="175"/>
  <c r="R76" i="175"/>
  <c r="Q76" i="175"/>
  <c r="L76" i="175"/>
  <c r="F76" i="175"/>
  <c r="Z75" i="175"/>
  <c r="X75" i="175"/>
  <c r="W75" i="175"/>
  <c r="V75" i="175"/>
  <c r="U75" i="175"/>
  <c r="R75" i="175"/>
  <c r="Q75" i="175"/>
  <c r="L75" i="175"/>
  <c r="F75" i="175"/>
  <c r="Z74" i="175"/>
  <c r="X74" i="175"/>
  <c r="W74" i="175"/>
  <c r="V74" i="175"/>
  <c r="U74" i="175"/>
  <c r="R74" i="175"/>
  <c r="Q74" i="175"/>
  <c r="L74" i="175"/>
  <c r="F74" i="175"/>
  <c r="Z73" i="175"/>
  <c r="X73" i="175"/>
  <c r="W73" i="175"/>
  <c r="V73" i="175"/>
  <c r="U73" i="175"/>
  <c r="R73" i="175"/>
  <c r="Q73" i="175"/>
  <c r="L73" i="175"/>
  <c r="F73" i="175"/>
  <c r="Z72" i="175"/>
  <c r="X72" i="175"/>
  <c r="W72" i="175"/>
  <c r="V72" i="175"/>
  <c r="U72" i="175"/>
  <c r="R72" i="175"/>
  <c r="Q72" i="175"/>
  <c r="L72" i="175"/>
  <c r="F72" i="175"/>
  <c r="Z71" i="175"/>
  <c r="X71" i="175"/>
  <c r="W71" i="175"/>
  <c r="V71" i="175"/>
  <c r="U71" i="175"/>
  <c r="R71" i="175"/>
  <c r="Q71" i="175"/>
  <c r="L71" i="175"/>
  <c r="F71" i="175"/>
  <c r="Z70" i="175"/>
  <c r="X70" i="175"/>
  <c r="W70" i="175"/>
  <c r="V70" i="175"/>
  <c r="U70" i="175"/>
  <c r="R70" i="175"/>
  <c r="Q70" i="175"/>
  <c r="L70" i="175"/>
  <c r="F70" i="175"/>
  <c r="Z69" i="175"/>
  <c r="X69" i="175"/>
  <c r="W69" i="175"/>
  <c r="V69" i="175"/>
  <c r="U69" i="175"/>
  <c r="R69" i="175"/>
  <c r="Q69" i="175"/>
  <c r="L69" i="175"/>
  <c r="F69" i="175"/>
  <c r="Z68" i="175"/>
  <c r="X68" i="175"/>
  <c r="W68" i="175"/>
  <c r="V68" i="175"/>
  <c r="U68" i="175"/>
  <c r="R68" i="175"/>
  <c r="Q68" i="175"/>
  <c r="L68" i="175"/>
  <c r="F68" i="175"/>
  <c r="Z67" i="175"/>
  <c r="X67" i="175"/>
  <c r="W67" i="175"/>
  <c r="V67" i="175"/>
  <c r="U67" i="175"/>
  <c r="R67" i="175"/>
  <c r="Q67" i="175"/>
  <c r="L67" i="175"/>
  <c r="F67" i="175"/>
  <c r="Z66" i="175"/>
  <c r="X66" i="175"/>
  <c r="W66" i="175"/>
  <c r="V66" i="175"/>
  <c r="U66" i="175"/>
  <c r="R66" i="175"/>
  <c r="Q66" i="175"/>
  <c r="L66" i="175"/>
  <c r="F66" i="175"/>
  <c r="Z65" i="175"/>
  <c r="X65" i="175"/>
  <c r="W65" i="175"/>
  <c r="V65" i="175"/>
  <c r="U65" i="175"/>
  <c r="R65" i="175"/>
  <c r="Q65" i="175"/>
  <c r="L65" i="175"/>
  <c r="F65" i="175"/>
  <c r="Z64" i="175"/>
  <c r="X64" i="175"/>
  <c r="W64" i="175"/>
  <c r="V64" i="175"/>
  <c r="U64" i="175"/>
  <c r="R64" i="175"/>
  <c r="Q64" i="175"/>
  <c r="L64" i="175"/>
  <c r="F64" i="175"/>
  <c r="Z63" i="175"/>
  <c r="X63" i="175"/>
  <c r="W63" i="175"/>
  <c r="V63" i="175"/>
  <c r="U63" i="175"/>
  <c r="R63" i="175"/>
  <c r="Q63" i="175"/>
  <c r="L63" i="175"/>
  <c r="F63" i="175"/>
  <c r="Z62" i="175"/>
  <c r="X62" i="175"/>
  <c r="W62" i="175"/>
  <c r="V62" i="175"/>
  <c r="U62" i="175"/>
  <c r="R62" i="175"/>
  <c r="Q62" i="175"/>
  <c r="L62" i="175"/>
  <c r="F62" i="175"/>
  <c r="Z61" i="175"/>
  <c r="X61" i="175"/>
  <c r="W61" i="175"/>
  <c r="V61" i="175"/>
  <c r="U61" i="175"/>
  <c r="R61" i="175"/>
  <c r="Q61" i="175"/>
  <c r="L61" i="175"/>
  <c r="F61" i="175"/>
  <c r="Z60" i="175"/>
  <c r="X60" i="175"/>
  <c r="W60" i="175"/>
  <c r="V60" i="175"/>
  <c r="U60" i="175"/>
  <c r="R60" i="175"/>
  <c r="Q60" i="175"/>
  <c r="L60" i="175"/>
  <c r="F60" i="175"/>
  <c r="Z59" i="175"/>
  <c r="X59" i="175"/>
  <c r="W59" i="175"/>
  <c r="V59" i="175"/>
  <c r="U59" i="175"/>
  <c r="R59" i="175"/>
  <c r="Q59" i="175"/>
  <c r="L59" i="175"/>
  <c r="F59" i="175"/>
  <c r="Z58" i="175"/>
  <c r="X58" i="175"/>
  <c r="W58" i="175"/>
  <c r="V58" i="175"/>
  <c r="U58" i="175"/>
  <c r="R58" i="175"/>
  <c r="Q58" i="175"/>
  <c r="L58" i="175"/>
  <c r="F58" i="175"/>
  <c r="Z57" i="175"/>
  <c r="X57" i="175"/>
  <c r="W57" i="175"/>
  <c r="V57" i="175"/>
  <c r="U57" i="175"/>
  <c r="R57" i="175"/>
  <c r="Q57" i="175"/>
  <c r="L57" i="175"/>
  <c r="F57" i="175"/>
  <c r="Z56" i="175"/>
  <c r="X56" i="175"/>
  <c r="W56" i="175"/>
  <c r="V56" i="175"/>
  <c r="U56" i="175"/>
  <c r="R56" i="175"/>
  <c r="Q56" i="175"/>
  <c r="L56" i="175"/>
  <c r="F56" i="175"/>
  <c r="Z55" i="175"/>
  <c r="X55" i="175"/>
  <c r="W55" i="175"/>
  <c r="V55" i="175"/>
  <c r="U55" i="175"/>
  <c r="R55" i="175"/>
  <c r="Q55" i="175"/>
  <c r="L55" i="175"/>
  <c r="F55" i="175"/>
  <c r="Z54" i="175"/>
  <c r="X54" i="175"/>
  <c r="W54" i="175"/>
  <c r="V54" i="175"/>
  <c r="U54" i="175"/>
  <c r="R54" i="175"/>
  <c r="Q54" i="175"/>
  <c r="L54" i="175"/>
  <c r="F54" i="175"/>
  <c r="Z53" i="175"/>
  <c r="X53" i="175"/>
  <c r="W53" i="175"/>
  <c r="V53" i="175"/>
  <c r="U53" i="175"/>
  <c r="R53" i="175"/>
  <c r="Q53" i="175"/>
  <c r="L53" i="175"/>
  <c r="F53" i="175"/>
  <c r="Z52" i="175"/>
  <c r="X52" i="175"/>
  <c r="W52" i="175"/>
  <c r="V52" i="175"/>
  <c r="U52" i="175"/>
  <c r="R52" i="175"/>
  <c r="Q52" i="175"/>
  <c r="L52" i="175"/>
  <c r="F52" i="175"/>
  <c r="Z51" i="175"/>
  <c r="X51" i="175"/>
  <c r="W51" i="175"/>
  <c r="V51" i="175"/>
  <c r="U51" i="175"/>
  <c r="R51" i="175"/>
  <c r="Q51" i="175"/>
  <c r="L51" i="175"/>
  <c r="F51" i="175"/>
  <c r="Z50" i="175"/>
  <c r="X50" i="175"/>
  <c r="W50" i="175"/>
  <c r="V50" i="175"/>
  <c r="U50" i="175"/>
  <c r="R50" i="175"/>
  <c r="Q50" i="175"/>
  <c r="L50" i="175"/>
  <c r="F50" i="175"/>
  <c r="Z49" i="175"/>
  <c r="X49" i="175"/>
  <c r="W49" i="175"/>
  <c r="V49" i="175"/>
  <c r="U49" i="175"/>
  <c r="R49" i="175"/>
  <c r="Q49" i="175"/>
  <c r="L49" i="175"/>
  <c r="F49" i="175"/>
  <c r="Z48" i="175"/>
  <c r="X48" i="175"/>
  <c r="W48" i="175"/>
  <c r="V48" i="175"/>
  <c r="U48" i="175"/>
  <c r="R48" i="175"/>
  <c r="Q48" i="175"/>
  <c r="L48" i="175"/>
  <c r="F48" i="175"/>
  <c r="Z47" i="175"/>
  <c r="X47" i="175"/>
  <c r="W47" i="175"/>
  <c r="V47" i="175"/>
  <c r="U47" i="175"/>
  <c r="R47" i="175"/>
  <c r="Q47" i="175"/>
  <c r="L47" i="175"/>
  <c r="F47" i="175"/>
  <c r="Z46" i="175"/>
  <c r="X46" i="175"/>
  <c r="W46" i="175"/>
  <c r="V46" i="175"/>
  <c r="U46" i="175"/>
  <c r="R46" i="175"/>
  <c r="Q46" i="175"/>
  <c r="L46" i="175"/>
  <c r="F46" i="175"/>
  <c r="Z45" i="175"/>
  <c r="X45" i="175"/>
  <c r="W45" i="175"/>
  <c r="V45" i="175"/>
  <c r="U45" i="175"/>
  <c r="R45" i="175"/>
  <c r="Q45" i="175"/>
  <c r="L45" i="175"/>
  <c r="F45" i="175"/>
  <c r="Z44" i="175"/>
  <c r="X44" i="175"/>
  <c r="W44" i="175"/>
  <c r="V44" i="175"/>
  <c r="U44" i="175"/>
  <c r="R44" i="175"/>
  <c r="Q44" i="175"/>
  <c r="L44" i="175"/>
  <c r="F44" i="175"/>
  <c r="Z43" i="175"/>
  <c r="X43" i="175"/>
  <c r="W43" i="175"/>
  <c r="V43" i="175"/>
  <c r="U43" i="175"/>
  <c r="R43" i="175"/>
  <c r="Q43" i="175"/>
  <c r="L43" i="175"/>
  <c r="F43" i="175"/>
  <c r="Z42" i="175"/>
  <c r="X42" i="175"/>
  <c r="W42" i="175"/>
  <c r="V42" i="175"/>
  <c r="U42" i="175"/>
  <c r="R42" i="175"/>
  <c r="Q42" i="175"/>
  <c r="L42" i="175"/>
  <c r="F42" i="175"/>
  <c r="Z41" i="175"/>
  <c r="X41" i="175"/>
  <c r="W41" i="175"/>
  <c r="V41" i="175"/>
  <c r="U41" i="175"/>
  <c r="R41" i="175"/>
  <c r="Q41" i="175"/>
  <c r="L41" i="175"/>
  <c r="F41" i="175"/>
  <c r="Z40" i="175"/>
  <c r="X40" i="175"/>
  <c r="W40" i="175"/>
  <c r="V40" i="175"/>
  <c r="U40" i="175"/>
  <c r="R40" i="175"/>
  <c r="Q40" i="175"/>
  <c r="L40" i="175"/>
  <c r="F40" i="175"/>
  <c r="Z39" i="175"/>
  <c r="X39" i="175"/>
  <c r="W39" i="175"/>
  <c r="V39" i="175"/>
  <c r="U39" i="175"/>
  <c r="R39" i="175"/>
  <c r="Q39" i="175"/>
  <c r="L39" i="175"/>
  <c r="F39" i="175"/>
  <c r="Z38" i="175"/>
  <c r="X38" i="175"/>
  <c r="W38" i="175"/>
  <c r="V38" i="175"/>
  <c r="U38" i="175"/>
  <c r="R38" i="175"/>
  <c r="Q38" i="175"/>
  <c r="L38" i="175"/>
  <c r="F38" i="175"/>
  <c r="Z37" i="175"/>
  <c r="X37" i="175"/>
  <c r="W37" i="175"/>
  <c r="V37" i="175"/>
  <c r="U37" i="175"/>
  <c r="R37" i="175"/>
  <c r="Q37" i="175"/>
  <c r="L37" i="175"/>
  <c r="F37" i="175"/>
  <c r="Z36" i="175"/>
  <c r="X36" i="175"/>
  <c r="W36" i="175"/>
  <c r="V36" i="175"/>
  <c r="U36" i="175"/>
  <c r="R36" i="175"/>
  <c r="Q36" i="175"/>
  <c r="L36" i="175"/>
  <c r="F36" i="175"/>
  <c r="Z35" i="175"/>
  <c r="X35" i="175"/>
  <c r="W35" i="175"/>
  <c r="V35" i="175"/>
  <c r="U35" i="175"/>
  <c r="R35" i="175"/>
  <c r="Q35" i="175"/>
  <c r="L35" i="175"/>
  <c r="F35" i="175"/>
  <c r="Z34" i="175"/>
  <c r="X34" i="175"/>
  <c r="W34" i="175"/>
  <c r="V34" i="175"/>
  <c r="U34" i="175"/>
  <c r="R34" i="175"/>
  <c r="Q34" i="175"/>
  <c r="L34" i="175"/>
  <c r="F34" i="175"/>
  <c r="Z33" i="175"/>
  <c r="X33" i="175"/>
  <c r="W33" i="175"/>
  <c r="V33" i="175"/>
  <c r="U33" i="175"/>
  <c r="R33" i="175"/>
  <c r="Q33" i="175"/>
  <c r="L33" i="175"/>
  <c r="F33" i="175"/>
  <c r="Z32" i="175"/>
  <c r="X32" i="175"/>
  <c r="W32" i="175"/>
  <c r="V32" i="175"/>
  <c r="U32" i="175"/>
  <c r="R32" i="175"/>
  <c r="Q32" i="175"/>
  <c r="L32" i="175"/>
  <c r="F32" i="175"/>
  <c r="Z31" i="175"/>
  <c r="X31" i="175"/>
  <c r="W31" i="175"/>
  <c r="V31" i="175"/>
  <c r="U31" i="175"/>
  <c r="R31" i="175"/>
  <c r="Q31" i="175"/>
  <c r="L31" i="175"/>
  <c r="F31" i="175"/>
  <c r="Z30" i="175"/>
  <c r="X30" i="175"/>
  <c r="W30" i="175"/>
  <c r="V30" i="175"/>
  <c r="U30" i="175"/>
  <c r="R30" i="175"/>
  <c r="Q30" i="175"/>
  <c r="L30" i="175"/>
  <c r="F30" i="175"/>
  <c r="Z29" i="175"/>
  <c r="X29" i="175"/>
  <c r="W29" i="175"/>
  <c r="V29" i="175"/>
  <c r="U29" i="175"/>
  <c r="R29" i="175"/>
  <c r="Q29" i="175"/>
  <c r="L29" i="175"/>
  <c r="F29" i="175"/>
  <c r="Z28" i="175"/>
  <c r="X28" i="175"/>
  <c r="W28" i="175"/>
  <c r="V28" i="175"/>
  <c r="U28" i="175"/>
  <c r="R28" i="175"/>
  <c r="Q28" i="175"/>
  <c r="L28" i="175"/>
  <c r="F28" i="175"/>
  <c r="I21" i="175"/>
  <c r="I20" i="175"/>
  <c r="J18" i="175"/>
  <c r="F16" i="175" a="1"/>
  <c r="F16" i="175" s="1"/>
  <c r="C16" i="175" a="1"/>
  <c r="C25" i="175" s="1"/>
  <c r="V15" i="175" a="1"/>
  <c r="W15" i="175" s="1"/>
  <c r="V9" i="175" a="1"/>
  <c r="W9" i="175" s="1"/>
  <c r="F7" i="175"/>
  <c r="E7" i="175"/>
  <c r="W5" i="175"/>
  <c r="V5" i="175"/>
  <c r="D3" i="175"/>
  <c r="B77" i="2" s="1"/>
  <c r="P41" i="176"/>
  <c r="P41" i="175"/>
  <c r="C92" i="165" l="1"/>
  <c r="C91" i="165"/>
  <c r="F78" i="176"/>
  <c r="C24" i="176"/>
  <c r="V9" i="176"/>
  <c r="C16" i="176"/>
  <c r="P29" i="175"/>
  <c r="X9" i="176"/>
  <c r="C18" i="176"/>
  <c r="F17" i="176"/>
  <c r="C20" i="176"/>
  <c r="L78" i="176"/>
  <c r="P37" i="175"/>
  <c r="P33" i="176"/>
  <c r="P77" i="176"/>
  <c r="P75" i="176"/>
  <c r="P73" i="176"/>
  <c r="P71" i="176"/>
  <c r="P69" i="176"/>
  <c r="P67" i="176"/>
  <c r="P65" i="176"/>
  <c r="P63" i="176"/>
  <c r="P61" i="176"/>
  <c r="P59" i="176"/>
  <c r="P57" i="176"/>
  <c r="P55" i="176"/>
  <c r="P53" i="176"/>
  <c r="P51" i="176"/>
  <c r="P49" i="176"/>
  <c r="P47" i="176"/>
  <c r="P45" i="176"/>
  <c r="P43" i="176"/>
  <c r="P76" i="176"/>
  <c r="P74" i="176"/>
  <c r="P72" i="176"/>
  <c r="P70" i="176"/>
  <c r="P68" i="176"/>
  <c r="P66" i="176"/>
  <c r="P64" i="176"/>
  <c r="P62" i="176"/>
  <c r="P60" i="176"/>
  <c r="P58" i="176"/>
  <c r="P56" i="176"/>
  <c r="P54" i="176"/>
  <c r="P52" i="176"/>
  <c r="P50" i="176"/>
  <c r="P48" i="176"/>
  <c r="P46" i="176"/>
  <c r="P44" i="176"/>
  <c r="P42" i="176"/>
  <c r="P40" i="176"/>
  <c r="P38" i="176"/>
  <c r="P36" i="176"/>
  <c r="P34" i="176"/>
  <c r="P32" i="176"/>
  <c r="P30" i="176"/>
  <c r="P28" i="176"/>
  <c r="V9" i="175"/>
  <c r="P35" i="175"/>
  <c r="P43" i="175"/>
  <c r="P31" i="176"/>
  <c r="P39" i="176"/>
  <c r="X9" i="175"/>
  <c r="P33" i="175"/>
  <c r="P29" i="176"/>
  <c r="P37" i="176"/>
  <c r="P76" i="175"/>
  <c r="P74" i="175"/>
  <c r="P72" i="175"/>
  <c r="P70" i="175"/>
  <c r="P68" i="175"/>
  <c r="P66" i="175"/>
  <c r="P64" i="175"/>
  <c r="P62" i="175"/>
  <c r="P60" i="175"/>
  <c r="P58" i="175"/>
  <c r="P56" i="175"/>
  <c r="P54" i="175"/>
  <c r="P52" i="175"/>
  <c r="P50" i="175"/>
  <c r="P48" i="175"/>
  <c r="P46" i="175"/>
  <c r="P44" i="175"/>
  <c r="P42" i="175"/>
  <c r="P40" i="175"/>
  <c r="P38" i="175"/>
  <c r="P36" i="175"/>
  <c r="P34" i="175"/>
  <c r="P32" i="175"/>
  <c r="P30" i="175"/>
  <c r="P28" i="175"/>
  <c r="P77" i="175"/>
  <c r="P75" i="175"/>
  <c r="P73" i="175"/>
  <c r="P71" i="175"/>
  <c r="P69" i="175"/>
  <c r="P67" i="175"/>
  <c r="P65" i="175"/>
  <c r="P63" i="175"/>
  <c r="P61" i="175"/>
  <c r="P59" i="175"/>
  <c r="P57" i="175"/>
  <c r="P55" i="175"/>
  <c r="P53" i="175"/>
  <c r="P51" i="175"/>
  <c r="P49" i="175"/>
  <c r="P47" i="175"/>
  <c r="P45" i="175"/>
  <c r="P31" i="175"/>
  <c r="P39" i="175"/>
  <c r="P35" i="176"/>
  <c r="F78" i="175"/>
  <c r="C22" i="176"/>
  <c r="L78" i="175"/>
  <c r="B78" i="3"/>
  <c r="B77" i="3"/>
  <c r="W15" i="176"/>
  <c r="Y9" i="176"/>
  <c r="C19" i="176"/>
  <c r="C23" i="176"/>
  <c r="C17" i="176"/>
  <c r="C21" i="176"/>
  <c r="C16" i="175"/>
  <c r="C24" i="175"/>
  <c r="C18" i="175"/>
  <c r="C20" i="175"/>
  <c r="F17" i="175"/>
  <c r="C22" i="175"/>
  <c r="Y9" i="175"/>
  <c r="C19" i="175"/>
  <c r="C23" i="175"/>
  <c r="V15" i="175"/>
  <c r="C17" i="175"/>
  <c r="C21" i="175"/>
  <c r="C1" i="174"/>
  <c r="E29" i="174" s="1"/>
  <c r="B1" i="174"/>
  <c r="C2" i="174"/>
  <c r="B2" i="174"/>
  <c r="A77" i="2"/>
  <c r="A78" i="2"/>
  <c r="D77" i="3"/>
  <c r="D78" i="3"/>
  <c r="X78" i="3" l="1"/>
  <c r="L78" i="3"/>
  <c r="C72" i="179"/>
  <c r="AX72" i="179" s="1" a="1"/>
  <c r="AX72" i="179" s="1"/>
  <c r="C71" i="179"/>
  <c r="C91" i="166"/>
  <c r="C92" i="166"/>
  <c r="G92" i="165"/>
  <c r="G92" i="166" s="1"/>
  <c r="B91" i="165"/>
  <c r="B91" i="166" s="1"/>
  <c r="B92" i="165"/>
  <c r="B92" i="166" s="1"/>
  <c r="Y77" i="3"/>
  <c r="AC77" i="3"/>
  <c r="Z77" i="3"/>
  <c r="AD77" i="3"/>
  <c r="AB78" i="3"/>
  <c r="AF78" i="3"/>
  <c r="AJ78" i="3"/>
  <c r="AN78" i="3"/>
  <c r="Y78" i="3"/>
  <c r="AC78" i="3"/>
  <c r="AG78" i="3"/>
  <c r="Z78" i="3"/>
  <c r="AD78" i="3"/>
  <c r="AH78" i="3"/>
  <c r="AE78" i="3"/>
  <c r="AI78" i="3"/>
  <c r="I78" i="3"/>
  <c r="E4" i="174"/>
  <c r="C23" i="1"/>
  <c r="D22" i="1"/>
  <c r="H78" i="3"/>
  <c r="E78" i="3"/>
  <c r="G78" i="3"/>
  <c r="K78" i="3"/>
  <c r="P78" i="3"/>
  <c r="F78" i="3"/>
  <c r="J78" i="3"/>
  <c r="O78" i="3"/>
  <c r="R78" i="3"/>
  <c r="T78" i="3"/>
  <c r="V78" i="3"/>
  <c r="J77" i="3"/>
  <c r="H77" i="3"/>
  <c r="K77" i="3"/>
  <c r="G77" i="3"/>
  <c r="F77" i="3"/>
  <c r="E77" i="3"/>
  <c r="P77" i="3"/>
  <c r="R77" i="3"/>
  <c r="P71" i="179" l="1"/>
  <c r="AX71" i="179" s="1" a="1"/>
  <c r="AX71" i="179" s="1"/>
  <c r="P72" i="179"/>
  <c r="D92" i="166"/>
  <c r="I92" i="165"/>
  <c r="I92" i="166" s="1"/>
  <c r="M92" i="165"/>
  <c r="M92" i="166" s="1"/>
  <c r="J92" i="165"/>
  <c r="J92" i="166" s="1"/>
  <c r="O92" i="165"/>
  <c r="O92" i="166" s="1"/>
  <c r="K92" i="165"/>
  <c r="K92" i="166" s="1"/>
  <c r="L92" i="165"/>
  <c r="L92" i="166" s="1"/>
  <c r="D91" i="166"/>
  <c r="K91" i="165"/>
  <c r="K91" i="166" s="1"/>
  <c r="L91" i="165"/>
  <c r="L91" i="166" s="1"/>
  <c r="I91" i="165"/>
  <c r="I91" i="166" s="1"/>
  <c r="M91" i="165"/>
  <c r="M91" i="166" s="1"/>
  <c r="J91" i="165"/>
  <c r="J91" i="166" s="1"/>
  <c r="O91" i="165"/>
  <c r="E91" i="166"/>
  <c r="E92" i="166"/>
  <c r="R91" i="165"/>
  <c r="R91" i="166" s="1"/>
  <c r="F78" i="14"/>
  <c r="E92" i="174"/>
  <c r="AG92" i="174" s="1"/>
  <c r="AO78" i="3"/>
  <c r="C78" i="4"/>
  <c r="AM78" i="3"/>
  <c r="AL78" i="3"/>
  <c r="AI77" i="3"/>
  <c r="AJ77" i="3"/>
  <c r="AK77" i="3" s="1"/>
  <c r="AK78" i="3"/>
  <c r="K27" i="171"/>
  <c r="V77" i="3"/>
  <c r="T77" i="3"/>
  <c r="H91" i="165" l="1"/>
  <c r="H91" i="166" s="1"/>
  <c r="H92" i="165"/>
  <c r="H92" i="166" s="1"/>
  <c r="N91" i="166"/>
  <c r="O77" i="3"/>
  <c r="O91" i="166"/>
  <c r="D91" i="161"/>
  <c r="N92" i="166"/>
  <c r="P92" i="165"/>
  <c r="P92" i="166" s="1"/>
  <c r="C78" i="16"/>
  <c r="C78" i="17" s="1"/>
  <c r="C78" i="19" s="1"/>
  <c r="C78" i="20" s="1"/>
  <c r="C78" i="21" s="1"/>
  <c r="P78" i="4"/>
  <c r="AM77" i="3"/>
  <c r="AL77" i="3"/>
  <c r="D78" i="4"/>
  <c r="E78" i="4" s="1"/>
  <c r="F78" i="4" s="1"/>
  <c r="G78" i="4" s="1"/>
  <c r="H78" i="4" s="1"/>
  <c r="I78" i="4" s="1"/>
  <c r="N78" i="4"/>
  <c r="O78" i="4" s="1"/>
  <c r="D93" i="170"/>
  <c r="D94" i="170"/>
  <c r="D95" i="170"/>
  <c r="D96" i="170"/>
  <c r="D97" i="170"/>
  <c r="D98" i="170"/>
  <c r="D99" i="170"/>
  <c r="D100" i="170"/>
  <c r="D101" i="170"/>
  <c r="D102" i="170"/>
  <c r="D103" i="170"/>
  <c r="D104" i="170"/>
  <c r="D105" i="170"/>
  <c r="D106" i="170"/>
  <c r="D107" i="170"/>
  <c r="D108" i="170"/>
  <c r="D109" i="170"/>
  <c r="D110" i="170"/>
  <c r="D111" i="170"/>
  <c r="D112" i="170"/>
  <c r="D113" i="170"/>
  <c r="D114" i="170"/>
  <c r="D115" i="170"/>
  <c r="D116" i="170"/>
  <c r="D117" i="170"/>
  <c r="D118" i="170"/>
  <c r="D119" i="170"/>
  <c r="D120" i="170"/>
  <c r="D121" i="170"/>
  <c r="D122" i="170"/>
  <c r="D123" i="170"/>
  <c r="D124" i="170"/>
  <c r="D125" i="170"/>
  <c r="D126" i="170"/>
  <c r="D127" i="170"/>
  <c r="D128" i="170"/>
  <c r="D129" i="170"/>
  <c r="D130" i="170"/>
  <c r="C93" i="170"/>
  <c r="C94" i="170"/>
  <c r="C94" i="171" s="1"/>
  <c r="C95" i="170"/>
  <c r="C96" i="170"/>
  <c r="C97" i="170"/>
  <c r="C98" i="170"/>
  <c r="K98" i="170" s="1"/>
  <c r="C99" i="170"/>
  <c r="C100" i="170"/>
  <c r="C100" i="171" s="1"/>
  <c r="C101" i="170"/>
  <c r="C102" i="170"/>
  <c r="C102" i="171" s="1"/>
  <c r="C103" i="170"/>
  <c r="C104" i="170"/>
  <c r="C104" i="171" s="1"/>
  <c r="C105" i="170"/>
  <c r="C106" i="170"/>
  <c r="K106" i="170" s="1"/>
  <c r="C107" i="170"/>
  <c r="C108" i="170"/>
  <c r="C109" i="170"/>
  <c r="C110" i="170"/>
  <c r="C110" i="171" s="1"/>
  <c r="C111" i="170"/>
  <c r="C112" i="170"/>
  <c r="K112" i="170" s="1"/>
  <c r="C113" i="170"/>
  <c r="C114" i="170"/>
  <c r="J114" i="170" s="1"/>
  <c r="C115" i="170"/>
  <c r="C116" i="170"/>
  <c r="J116" i="170" s="1"/>
  <c r="C117" i="170"/>
  <c r="C118" i="170"/>
  <c r="J118" i="170" s="1"/>
  <c r="C119" i="170"/>
  <c r="C120" i="170"/>
  <c r="J120" i="170" s="1"/>
  <c r="C121" i="170"/>
  <c r="C122" i="170"/>
  <c r="J122" i="170" s="1"/>
  <c r="C123" i="170"/>
  <c r="C124" i="170"/>
  <c r="J124" i="170" s="1"/>
  <c r="C125" i="170"/>
  <c r="C126" i="170"/>
  <c r="J126" i="170" s="1"/>
  <c r="C127" i="170"/>
  <c r="C128" i="170"/>
  <c r="J128" i="170" s="1"/>
  <c r="C129" i="170"/>
  <c r="C130" i="170"/>
  <c r="C2" i="171"/>
  <c r="B2" i="171"/>
  <c r="C1" i="171"/>
  <c r="B1" i="171"/>
  <c r="C2" i="170"/>
  <c r="B2" i="170"/>
  <c r="C1" i="170"/>
  <c r="B1" i="170"/>
  <c r="E131" i="171"/>
  <c r="B28" i="171"/>
  <c r="E131" i="170"/>
  <c r="J130" i="170"/>
  <c r="C103" i="171"/>
  <c r="B28" i="170"/>
  <c r="E91" i="174" l="1"/>
  <c r="AG91" i="174" s="1"/>
  <c r="F77" i="14"/>
  <c r="F108" i="170"/>
  <c r="F96" i="170"/>
  <c r="D78" i="7"/>
  <c r="D78" i="177"/>
  <c r="C78" i="154"/>
  <c r="E78" i="154" s="1"/>
  <c r="F78" i="154" s="1"/>
  <c r="C78" i="177"/>
  <c r="K78" i="19"/>
  <c r="F78" i="16"/>
  <c r="J78" i="19"/>
  <c r="D78" i="16"/>
  <c r="E78" i="16" s="1"/>
  <c r="I78" i="19"/>
  <c r="G78" i="20"/>
  <c r="D78" i="17"/>
  <c r="E78" i="19"/>
  <c r="E78" i="20"/>
  <c r="F78" i="20" s="1"/>
  <c r="J78" i="17"/>
  <c r="L78" i="19"/>
  <c r="D78" i="21"/>
  <c r="E78" i="21" s="1"/>
  <c r="C78" i="7"/>
  <c r="E78" i="17"/>
  <c r="F78" i="17" s="1"/>
  <c r="M78" i="19" a="1"/>
  <c r="M78" i="19" s="1"/>
  <c r="N78" i="19" s="1"/>
  <c r="D78" i="19"/>
  <c r="H78" i="19" s="1"/>
  <c r="D78" i="20"/>
  <c r="F78" i="21"/>
  <c r="G78" i="21" s="1"/>
  <c r="F78" i="19"/>
  <c r="O78" i="19"/>
  <c r="G78" i="19"/>
  <c r="H78" i="21"/>
  <c r="K78" i="4"/>
  <c r="M78" i="4" s="1"/>
  <c r="J78" i="4"/>
  <c r="L78" i="4" s="1"/>
  <c r="K96" i="170"/>
  <c r="K108" i="170"/>
  <c r="C96" i="171"/>
  <c r="B96" i="171" s="1"/>
  <c r="F100" i="170"/>
  <c r="G100" i="170" s="1"/>
  <c r="C108" i="171"/>
  <c r="I108" i="171" s="1"/>
  <c r="K110" i="170"/>
  <c r="F94" i="170"/>
  <c r="G94" i="170" s="1"/>
  <c r="C98" i="171"/>
  <c r="I98" i="171" s="1"/>
  <c r="K100" i="170"/>
  <c r="K104" i="170"/>
  <c r="C112" i="171"/>
  <c r="B112" i="171" s="1"/>
  <c r="K94" i="170"/>
  <c r="F98" i="170"/>
  <c r="G98" i="170" s="1"/>
  <c r="F102" i="170"/>
  <c r="G102" i="170" s="1"/>
  <c r="C106" i="171"/>
  <c r="I106" i="171" s="1"/>
  <c r="K102" i="170"/>
  <c r="F106" i="170"/>
  <c r="G106" i="170" s="1"/>
  <c r="F110" i="170"/>
  <c r="G110" i="170" s="1"/>
  <c r="F112" i="170"/>
  <c r="G112" i="170" s="1"/>
  <c r="F104" i="170"/>
  <c r="G104" i="170" s="1"/>
  <c r="J103" i="171"/>
  <c r="I103" i="171"/>
  <c r="B103" i="171"/>
  <c r="C116" i="171"/>
  <c r="B116" i="170"/>
  <c r="F116" i="170"/>
  <c r="G116" i="170" s="1"/>
  <c r="K116" i="170"/>
  <c r="L116" i="170" s="1"/>
  <c r="C120" i="171"/>
  <c r="B120" i="170"/>
  <c r="F120" i="170"/>
  <c r="G120" i="170" s="1"/>
  <c r="K120" i="170"/>
  <c r="L120" i="170" s="1"/>
  <c r="C124" i="171"/>
  <c r="B124" i="170"/>
  <c r="F124" i="170"/>
  <c r="G124" i="170" s="1"/>
  <c r="K124" i="170"/>
  <c r="L124" i="170" s="1"/>
  <c r="C128" i="171"/>
  <c r="B128" i="170"/>
  <c r="F128" i="170"/>
  <c r="G128" i="170" s="1"/>
  <c r="K128" i="170"/>
  <c r="L128" i="170" s="1"/>
  <c r="C95" i="171"/>
  <c r="B95" i="170"/>
  <c r="K95" i="170"/>
  <c r="F95" i="170"/>
  <c r="G95" i="170" s="1"/>
  <c r="J95" i="170"/>
  <c r="C97" i="171"/>
  <c r="B97" i="170"/>
  <c r="K97" i="170"/>
  <c r="F97" i="170"/>
  <c r="G97" i="170" s="1"/>
  <c r="J97" i="170"/>
  <c r="C101" i="171"/>
  <c r="B101" i="170"/>
  <c r="K101" i="170"/>
  <c r="F101" i="170"/>
  <c r="G101" i="170" s="1"/>
  <c r="J101" i="170"/>
  <c r="B103" i="170"/>
  <c r="K103" i="170"/>
  <c r="F103" i="170"/>
  <c r="G103" i="170" s="1"/>
  <c r="J103" i="170"/>
  <c r="C107" i="171"/>
  <c r="B107" i="170"/>
  <c r="K107" i="170"/>
  <c r="F107" i="170"/>
  <c r="G107" i="170" s="1"/>
  <c r="J107" i="170"/>
  <c r="C113" i="171"/>
  <c r="J113" i="170"/>
  <c r="B113" i="170"/>
  <c r="F113" i="170"/>
  <c r="G113" i="170" s="1"/>
  <c r="K113" i="170"/>
  <c r="C125" i="171"/>
  <c r="J125" i="170"/>
  <c r="B125" i="170"/>
  <c r="F125" i="170"/>
  <c r="G125" i="170" s="1"/>
  <c r="K125" i="170"/>
  <c r="C129" i="171"/>
  <c r="J129" i="170"/>
  <c r="B129" i="170"/>
  <c r="F129" i="170"/>
  <c r="G129" i="170" s="1"/>
  <c r="K129" i="170"/>
  <c r="C115" i="171"/>
  <c r="J115" i="170"/>
  <c r="B115" i="170"/>
  <c r="F115" i="170"/>
  <c r="G115" i="170" s="1"/>
  <c r="K115" i="170"/>
  <c r="C119" i="171"/>
  <c r="J119" i="170"/>
  <c r="B119" i="170"/>
  <c r="F119" i="170"/>
  <c r="G119" i="170" s="1"/>
  <c r="K119" i="170"/>
  <c r="C123" i="171"/>
  <c r="J123" i="170"/>
  <c r="B123" i="170"/>
  <c r="F123" i="170"/>
  <c r="G123" i="170" s="1"/>
  <c r="K123" i="170"/>
  <c r="C127" i="171"/>
  <c r="J127" i="170"/>
  <c r="B127" i="170"/>
  <c r="F127" i="170"/>
  <c r="G127" i="170" s="1"/>
  <c r="K127" i="170"/>
  <c r="C93" i="171"/>
  <c r="B93" i="170"/>
  <c r="K93" i="170"/>
  <c r="F93" i="170"/>
  <c r="G93" i="170" s="1"/>
  <c r="J93" i="170"/>
  <c r="C99" i="171"/>
  <c r="B99" i="170"/>
  <c r="K99" i="170"/>
  <c r="F99" i="170"/>
  <c r="G99" i="170" s="1"/>
  <c r="J99" i="170"/>
  <c r="C105" i="171"/>
  <c r="B105" i="170"/>
  <c r="K105" i="170"/>
  <c r="F105" i="170"/>
  <c r="G105" i="170" s="1"/>
  <c r="J105" i="170"/>
  <c r="C109" i="171"/>
  <c r="B109" i="170"/>
  <c r="K109" i="170"/>
  <c r="F109" i="170"/>
  <c r="G109" i="170" s="1"/>
  <c r="J109" i="170"/>
  <c r="C111" i="171"/>
  <c r="B111" i="170"/>
  <c r="K111" i="170"/>
  <c r="F111" i="170"/>
  <c r="G111" i="170" s="1"/>
  <c r="J111" i="170"/>
  <c r="C117" i="171"/>
  <c r="J117" i="170"/>
  <c r="B117" i="170"/>
  <c r="F117" i="170"/>
  <c r="G117" i="170" s="1"/>
  <c r="K117" i="170"/>
  <c r="C121" i="171"/>
  <c r="J121" i="170"/>
  <c r="B121" i="170"/>
  <c r="F121" i="170"/>
  <c r="G121" i="170" s="1"/>
  <c r="K121" i="170"/>
  <c r="C114" i="171"/>
  <c r="B114" i="170"/>
  <c r="F114" i="170"/>
  <c r="G114" i="170" s="1"/>
  <c r="K114" i="170"/>
  <c r="L114" i="170" s="1"/>
  <c r="B118" i="170"/>
  <c r="C118" i="171"/>
  <c r="F118" i="170"/>
  <c r="G118" i="170" s="1"/>
  <c r="K118" i="170"/>
  <c r="L118" i="170" s="1"/>
  <c r="C122" i="171"/>
  <c r="B122" i="170"/>
  <c r="F122" i="170"/>
  <c r="G122" i="170" s="1"/>
  <c r="K122" i="170"/>
  <c r="L122" i="170" s="1"/>
  <c r="C126" i="171"/>
  <c r="B126" i="170"/>
  <c r="F126" i="170"/>
  <c r="G126" i="170" s="1"/>
  <c r="K126" i="170"/>
  <c r="L126" i="170" s="1"/>
  <c r="B130" i="170"/>
  <c r="C130" i="171"/>
  <c r="F130" i="170"/>
  <c r="G130" i="170" s="1"/>
  <c r="K130" i="170"/>
  <c r="L130" i="170" s="1"/>
  <c r="B94" i="170"/>
  <c r="B96" i="170"/>
  <c r="G96" i="170"/>
  <c r="B98" i="170"/>
  <c r="B100" i="170"/>
  <c r="B102" i="170"/>
  <c r="B104" i="170"/>
  <c r="B106" i="170"/>
  <c r="B108" i="170"/>
  <c r="G108" i="170"/>
  <c r="B110" i="170"/>
  <c r="B112" i="170"/>
  <c r="J94" i="171"/>
  <c r="B94" i="171"/>
  <c r="I94" i="171"/>
  <c r="J100" i="171"/>
  <c r="I100" i="171"/>
  <c r="B100" i="171"/>
  <c r="B102" i="171"/>
  <c r="J102" i="171"/>
  <c r="I102" i="171"/>
  <c r="J104" i="171"/>
  <c r="I104" i="171"/>
  <c r="B104" i="171"/>
  <c r="B110" i="171"/>
  <c r="J110" i="171"/>
  <c r="I110" i="171"/>
  <c r="J94" i="170"/>
  <c r="J96" i="170"/>
  <c r="J98" i="170"/>
  <c r="L98" i="170" s="1"/>
  <c r="J100" i="170"/>
  <c r="J102" i="170"/>
  <c r="J104" i="170"/>
  <c r="J106" i="170"/>
  <c r="L106" i="170" s="1"/>
  <c r="J108" i="170"/>
  <c r="J110" i="170"/>
  <c r="J112" i="170"/>
  <c r="L112" i="170" s="1"/>
  <c r="E8" i="168"/>
  <c r="D8" i="168"/>
  <c r="P29" i="112" s="1"/>
  <c r="E7" i="168"/>
  <c r="D7" i="168"/>
  <c r="E6" i="168"/>
  <c r="D6" i="168"/>
  <c r="E5" i="168"/>
  <c r="D5" i="168"/>
  <c r="P44" i="140"/>
  <c r="P32" i="119"/>
  <c r="P66" i="139"/>
  <c r="P51" i="141"/>
  <c r="P36" i="145"/>
  <c r="P70" i="143"/>
  <c r="P37" i="143"/>
  <c r="P54" i="142"/>
  <c r="P60" i="98"/>
  <c r="P44" i="98"/>
  <c r="P77" i="135"/>
  <c r="P61" i="135"/>
  <c r="P45" i="135"/>
  <c r="P29" i="135"/>
  <c r="P62" i="134"/>
  <c r="P46" i="134"/>
  <c r="P30" i="134"/>
  <c r="P63" i="137"/>
  <c r="P47" i="137"/>
  <c r="P31" i="137"/>
  <c r="P65" i="126"/>
  <c r="P49" i="126"/>
  <c r="P33" i="126"/>
  <c r="P66" i="128"/>
  <c r="P52" i="128"/>
  <c r="P44" i="128"/>
  <c r="P36" i="128"/>
  <c r="P77" i="129"/>
  <c r="P69" i="129"/>
  <c r="P61" i="129"/>
  <c r="P53" i="129"/>
  <c r="P45" i="129"/>
  <c r="P37" i="129"/>
  <c r="P29" i="129"/>
  <c r="P70" i="130"/>
  <c r="P62" i="130"/>
  <c r="P54" i="130"/>
  <c r="P46" i="130"/>
  <c r="P41" i="130"/>
  <c r="P37" i="130"/>
  <c r="P33" i="130"/>
  <c r="P29" i="130"/>
  <c r="P74" i="123"/>
  <c r="P70" i="123"/>
  <c r="P66" i="123"/>
  <c r="P62" i="123"/>
  <c r="P58" i="123"/>
  <c r="P54" i="123"/>
  <c r="P50" i="123"/>
  <c r="P46" i="123"/>
  <c r="P42" i="123"/>
  <c r="P38" i="123"/>
  <c r="P34" i="123"/>
  <c r="P30" i="123"/>
  <c r="P29" i="123"/>
  <c r="P77" i="124"/>
  <c r="P76" i="124"/>
  <c r="P75" i="124"/>
  <c r="P74" i="124"/>
  <c r="P73" i="124"/>
  <c r="P72" i="124"/>
  <c r="P71" i="124"/>
  <c r="P70" i="124"/>
  <c r="P69" i="124"/>
  <c r="P68" i="124"/>
  <c r="P67" i="124"/>
  <c r="P66" i="124"/>
  <c r="P65" i="124"/>
  <c r="P64" i="124"/>
  <c r="P63" i="124"/>
  <c r="P62" i="124"/>
  <c r="P61" i="124"/>
  <c r="P60" i="124"/>
  <c r="P59" i="124"/>
  <c r="P58" i="124"/>
  <c r="P57" i="124"/>
  <c r="P56" i="124"/>
  <c r="P55" i="124"/>
  <c r="P54" i="124"/>
  <c r="P53" i="124"/>
  <c r="P52" i="124"/>
  <c r="P51" i="124"/>
  <c r="P50" i="124"/>
  <c r="P49" i="124"/>
  <c r="P48" i="124"/>
  <c r="P47" i="124"/>
  <c r="P46" i="124"/>
  <c r="P45" i="124"/>
  <c r="P44" i="124"/>
  <c r="P43" i="124"/>
  <c r="P42" i="124"/>
  <c r="P41" i="124"/>
  <c r="P40" i="124"/>
  <c r="P39" i="124"/>
  <c r="P38" i="124"/>
  <c r="P37" i="124"/>
  <c r="P36" i="124"/>
  <c r="P35" i="124"/>
  <c r="P34" i="124"/>
  <c r="P33" i="124"/>
  <c r="P32" i="124"/>
  <c r="P31" i="124"/>
  <c r="P30" i="124"/>
  <c r="P29" i="124"/>
  <c r="P77" i="125"/>
  <c r="P76" i="125"/>
  <c r="P75" i="125"/>
  <c r="P74" i="125"/>
  <c r="P73" i="125"/>
  <c r="P72" i="125"/>
  <c r="P71" i="125"/>
  <c r="P70" i="125"/>
  <c r="P69" i="125"/>
  <c r="P68" i="125"/>
  <c r="P67" i="125"/>
  <c r="P66" i="125"/>
  <c r="P65" i="125"/>
  <c r="P64" i="125"/>
  <c r="P63" i="125"/>
  <c r="P62" i="125"/>
  <c r="P61" i="125"/>
  <c r="P60" i="125"/>
  <c r="P59" i="125"/>
  <c r="P58" i="125"/>
  <c r="P57" i="125"/>
  <c r="P56" i="125"/>
  <c r="P55" i="125"/>
  <c r="P54" i="125"/>
  <c r="P53" i="125"/>
  <c r="P52" i="125"/>
  <c r="P51" i="125"/>
  <c r="P50" i="125"/>
  <c r="P49" i="125"/>
  <c r="P48" i="125"/>
  <c r="P47" i="125"/>
  <c r="P46" i="125"/>
  <c r="P45" i="125"/>
  <c r="P44" i="125"/>
  <c r="P43" i="125"/>
  <c r="P42" i="125"/>
  <c r="P41" i="125"/>
  <c r="P40" i="125"/>
  <c r="P39" i="125"/>
  <c r="P38" i="125"/>
  <c r="P37" i="125"/>
  <c r="P36" i="125"/>
  <c r="P35" i="125"/>
  <c r="P34" i="125"/>
  <c r="P33" i="125"/>
  <c r="P32" i="125"/>
  <c r="P31" i="125"/>
  <c r="P30" i="125"/>
  <c r="P29" i="125"/>
  <c r="P77" i="116"/>
  <c r="P76" i="116"/>
  <c r="P75" i="116"/>
  <c r="P74" i="116"/>
  <c r="P73" i="116"/>
  <c r="P72" i="116"/>
  <c r="P71" i="116"/>
  <c r="P70" i="116"/>
  <c r="P69" i="116"/>
  <c r="P68" i="116"/>
  <c r="P67" i="116"/>
  <c r="P66" i="116"/>
  <c r="P65" i="116"/>
  <c r="P64" i="116"/>
  <c r="P63" i="116"/>
  <c r="P62" i="116"/>
  <c r="P61" i="116"/>
  <c r="P60" i="116"/>
  <c r="P59" i="116"/>
  <c r="P58" i="116"/>
  <c r="P57" i="116"/>
  <c r="P56" i="116"/>
  <c r="P55" i="116"/>
  <c r="P54" i="116"/>
  <c r="P53" i="116"/>
  <c r="P52" i="116"/>
  <c r="P51" i="116"/>
  <c r="P50" i="116"/>
  <c r="P49" i="116"/>
  <c r="P48" i="116"/>
  <c r="P47" i="116"/>
  <c r="P46" i="116"/>
  <c r="P45" i="116"/>
  <c r="P44" i="116"/>
  <c r="P43" i="116"/>
  <c r="P42" i="116"/>
  <c r="P41" i="116"/>
  <c r="P40" i="116"/>
  <c r="P39" i="116"/>
  <c r="P38" i="116"/>
  <c r="P37" i="116"/>
  <c r="P36" i="116"/>
  <c r="P35" i="116"/>
  <c r="P34" i="116"/>
  <c r="P33" i="116"/>
  <c r="P32" i="116"/>
  <c r="P31" i="116"/>
  <c r="P30" i="116"/>
  <c r="P29" i="116"/>
  <c r="P77" i="105"/>
  <c r="P76" i="105"/>
  <c r="P75" i="105"/>
  <c r="P74" i="105"/>
  <c r="P73" i="105"/>
  <c r="P72" i="105"/>
  <c r="P71" i="105"/>
  <c r="P70" i="105"/>
  <c r="P69" i="105"/>
  <c r="P68" i="105"/>
  <c r="P67" i="105"/>
  <c r="P66" i="105"/>
  <c r="P65" i="105"/>
  <c r="P64" i="105"/>
  <c r="P63" i="105"/>
  <c r="P62" i="105"/>
  <c r="P61" i="105"/>
  <c r="P60" i="105"/>
  <c r="P59" i="105"/>
  <c r="P58" i="105"/>
  <c r="P57" i="105"/>
  <c r="P56" i="105"/>
  <c r="P55" i="105"/>
  <c r="P54" i="105"/>
  <c r="P53" i="105"/>
  <c r="P52" i="105"/>
  <c r="P51" i="105"/>
  <c r="P50" i="105"/>
  <c r="P49" i="105"/>
  <c r="P48" i="105"/>
  <c r="P47" i="105"/>
  <c r="P46" i="105"/>
  <c r="P45" i="105"/>
  <c r="P44" i="105"/>
  <c r="P43" i="105"/>
  <c r="P42" i="105"/>
  <c r="P41" i="105"/>
  <c r="P40" i="105"/>
  <c r="P39" i="105"/>
  <c r="P38" i="105"/>
  <c r="P37" i="105"/>
  <c r="P36" i="105"/>
  <c r="P35" i="105"/>
  <c r="P34" i="105"/>
  <c r="P33" i="105"/>
  <c r="P32" i="105"/>
  <c r="P31" i="105"/>
  <c r="P30" i="105"/>
  <c r="P29" i="105"/>
  <c r="P77" i="115"/>
  <c r="P76" i="115"/>
  <c r="P75" i="115"/>
  <c r="P74" i="115"/>
  <c r="P73" i="115"/>
  <c r="P72" i="115"/>
  <c r="P71" i="115"/>
  <c r="P70" i="115"/>
  <c r="P69" i="115"/>
  <c r="P68" i="115"/>
  <c r="P67" i="115"/>
  <c r="P66" i="115"/>
  <c r="P65" i="115"/>
  <c r="P64" i="115"/>
  <c r="P63" i="115"/>
  <c r="P62" i="115"/>
  <c r="P61" i="115"/>
  <c r="P60" i="115"/>
  <c r="P59" i="115"/>
  <c r="P58" i="115"/>
  <c r="P57" i="115"/>
  <c r="P56" i="115"/>
  <c r="P55" i="115"/>
  <c r="P54" i="115"/>
  <c r="P53" i="115"/>
  <c r="P52" i="115"/>
  <c r="P51" i="115"/>
  <c r="P50" i="115"/>
  <c r="P49" i="115"/>
  <c r="P48" i="115"/>
  <c r="P47" i="115"/>
  <c r="P46" i="115"/>
  <c r="P45" i="115"/>
  <c r="P44" i="115"/>
  <c r="P43" i="115"/>
  <c r="P42" i="115"/>
  <c r="P41" i="115"/>
  <c r="P40" i="115"/>
  <c r="P39" i="115"/>
  <c r="P38" i="115"/>
  <c r="P37" i="115"/>
  <c r="P36" i="115"/>
  <c r="P35" i="115"/>
  <c r="P34" i="115"/>
  <c r="P33" i="115"/>
  <c r="P32" i="115"/>
  <c r="P31" i="115"/>
  <c r="P30" i="115"/>
  <c r="P29" i="115"/>
  <c r="P77" i="106"/>
  <c r="P76" i="106"/>
  <c r="P75" i="106"/>
  <c r="P74" i="106"/>
  <c r="P73" i="106"/>
  <c r="P72" i="106"/>
  <c r="P71" i="106"/>
  <c r="P70" i="106"/>
  <c r="P69" i="106"/>
  <c r="P68" i="106"/>
  <c r="P67" i="106"/>
  <c r="P66" i="106"/>
  <c r="P65" i="106"/>
  <c r="P64" i="106"/>
  <c r="P63" i="106"/>
  <c r="P62" i="106"/>
  <c r="P61" i="106"/>
  <c r="P60" i="106"/>
  <c r="P59" i="106"/>
  <c r="P58" i="106"/>
  <c r="P57" i="106"/>
  <c r="P56" i="106"/>
  <c r="P55" i="106"/>
  <c r="P54" i="106"/>
  <c r="P53" i="106"/>
  <c r="P52" i="106"/>
  <c r="P51" i="106"/>
  <c r="P50" i="106"/>
  <c r="P49" i="106"/>
  <c r="P48" i="106"/>
  <c r="P47" i="106"/>
  <c r="P46" i="106"/>
  <c r="P45" i="106"/>
  <c r="P44" i="106"/>
  <c r="P43" i="106"/>
  <c r="P42" i="106"/>
  <c r="P41" i="106"/>
  <c r="P40" i="106"/>
  <c r="P39" i="106"/>
  <c r="P38" i="106"/>
  <c r="P37" i="106"/>
  <c r="P36" i="106"/>
  <c r="P35" i="106"/>
  <c r="P34" i="106"/>
  <c r="P33" i="106"/>
  <c r="P32" i="106"/>
  <c r="P31" i="106"/>
  <c r="P30" i="106"/>
  <c r="P29" i="106"/>
  <c r="P77" i="120"/>
  <c r="P76" i="120"/>
  <c r="P75" i="120"/>
  <c r="P74" i="120"/>
  <c r="P73" i="120"/>
  <c r="P72" i="120"/>
  <c r="P71" i="120"/>
  <c r="P70" i="120"/>
  <c r="P69" i="120"/>
  <c r="P68" i="120"/>
  <c r="P67" i="120"/>
  <c r="P66" i="120"/>
  <c r="P65" i="120"/>
  <c r="P64" i="120"/>
  <c r="P63" i="120"/>
  <c r="P62" i="120"/>
  <c r="P61" i="120"/>
  <c r="P60" i="120"/>
  <c r="P59" i="120"/>
  <c r="P58" i="120"/>
  <c r="P57" i="120"/>
  <c r="P56" i="120"/>
  <c r="P55" i="120"/>
  <c r="P54" i="120"/>
  <c r="P53" i="120"/>
  <c r="P52" i="120"/>
  <c r="P51" i="120"/>
  <c r="P50" i="120"/>
  <c r="P49" i="120"/>
  <c r="P48" i="120"/>
  <c r="P47" i="120"/>
  <c r="P46" i="120"/>
  <c r="P45" i="120"/>
  <c r="P44" i="120"/>
  <c r="P43" i="120"/>
  <c r="P42" i="120"/>
  <c r="P41" i="120"/>
  <c r="P40" i="120"/>
  <c r="P39" i="120"/>
  <c r="P38" i="120"/>
  <c r="P37" i="120"/>
  <c r="P36" i="120"/>
  <c r="P35" i="120"/>
  <c r="P34" i="120"/>
  <c r="P33" i="120"/>
  <c r="P32" i="120"/>
  <c r="P31" i="120"/>
  <c r="P30" i="120"/>
  <c r="P29" i="120"/>
  <c r="P77" i="121"/>
  <c r="P76" i="121"/>
  <c r="P75" i="121"/>
  <c r="P74" i="121"/>
  <c r="P73" i="121"/>
  <c r="P72" i="121"/>
  <c r="P71" i="121"/>
  <c r="P70" i="121"/>
  <c r="P69" i="121"/>
  <c r="P68" i="121"/>
  <c r="P67" i="121"/>
  <c r="P66" i="121"/>
  <c r="P65" i="121"/>
  <c r="P64" i="121"/>
  <c r="P63" i="121"/>
  <c r="P62" i="121"/>
  <c r="P61" i="121"/>
  <c r="P60" i="121"/>
  <c r="P59" i="121"/>
  <c r="P58" i="121"/>
  <c r="P57" i="121"/>
  <c r="P56" i="121"/>
  <c r="P55" i="121"/>
  <c r="P54" i="121"/>
  <c r="P53" i="121"/>
  <c r="P52" i="121"/>
  <c r="P51" i="121"/>
  <c r="P50" i="121"/>
  <c r="P49" i="121"/>
  <c r="P48" i="121"/>
  <c r="P47" i="121"/>
  <c r="P46" i="121"/>
  <c r="P45" i="121"/>
  <c r="P44" i="121"/>
  <c r="P43" i="121"/>
  <c r="P42" i="121"/>
  <c r="P41" i="121"/>
  <c r="P40" i="121"/>
  <c r="P39" i="121"/>
  <c r="P38" i="121"/>
  <c r="P37" i="121"/>
  <c r="P36" i="121"/>
  <c r="P35" i="121"/>
  <c r="P34" i="121"/>
  <c r="P33" i="121"/>
  <c r="P32" i="121"/>
  <c r="P31" i="121"/>
  <c r="P30" i="121"/>
  <c r="P29" i="121"/>
  <c r="P77" i="117"/>
  <c r="P76" i="117"/>
  <c r="P75" i="117"/>
  <c r="P74" i="117"/>
  <c r="P73" i="117"/>
  <c r="P72" i="117"/>
  <c r="P71" i="117"/>
  <c r="P70" i="117"/>
  <c r="P69" i="117"/>
  <c r="P68" i="117"/>
  <c r="P67" i="117"/>
  <c r="P66" i="117"/>
  <c r="P65" i="117"/>
  <c r="P64" i="117"/>
  <c r="P63" i="117"/>
  <c r="P62" i="117"/>
  <c r="P61" i="117"/>
  <c r="P60" i="117"/>
  <c r="P59" i="117"/>
  <c r="P58" i="117"/>
  <c r="P57" i="117"/>
  <c r="P56" i="117"/>
  <c r="P55" i="117"/>
  <c r="P54" i="117"/>
  <c r="P53" i="117"/>
  <c r="P52" i="117"/>
  <c r="P51" i="117"/>
  <c r="P50" i="117"/>
  <c r="P49" i="117"/>
  <c r="P48" i="117"/>
  <c r="P47" i="117"/>
  <c r="P46" i="117"/>
  <c r="P45" i="117"/>
  <c r="P44" i="117"/>
  <c r="P43" i="117"/>
  <c r="P42" i="117"/>
  <c r="P41" i="117"/>
  <c r="P40" i="117"/>
  <c r="P39" i="117"/>
  <c r="P38" i="117"/>
  <c r="P37" i="117"/>
  <c r="P36" i="117"/>
  <c r="P35" i="117"/>
  <c r="P34" i="117"/>
  <c r="P33" i="117"/>
  <c r="P32" i="117"/>
  <c r="P31" i="117"/>
  <c r="P30" i="117"/>
  <c r="P29" i="117"/>
  <c r="P77" i="111"/>
  <c r="P76" i="111"/>
  <c r="P75" i="111"/>
  <c r="P74" i="111"/>
  <c r="P73" i="111"/>
  <c r="P72" i="111"/>
  <c r="P71" i="111"/>
  <c r="P70" i="111"/>
  <c r="P69" i="111"/>
  <c r="P68" i="111"/>
  <c r="P67" i="111"/>
  <c r="P66" i="111"/>
  <c r="P65" i="111"/>
  <c r="P64" i="111"/>
  <c r="P63" i="111"/>
  <c r="P62" i="111"/>
  <c r="P61" i="111"/>
  <c r="P60" i="111"/>
  <c r="P59" i="111"/>
  <c r="P58" i="111"/>
  <c r="P57" i="111"/>
  <c r="P56" i="111"/>
  <c r="P55" i="111"/>
  <c r="P54" i="111"/>
  <c r="P53" i="111"/>
  <c r="P52" i="111"/>
  <c r="P51" i="111"/>
  <c r="P50" i="111"/>
  <c r="P49" i="111"/>
  <c r="P48" i="111"/>
  <c r="P47" i="111"/>
  <c r="P46" i="111"/>
  <c r="P45" i="111"/>
  <c r="P44" i="111"/>
  <c r="P43" i="111"/>
  <c r="P42" i="111"/>
  <c r="P41" i="111"/>
  <c r="P40" i="111"/>
  <c r="P39" i="111"/>
  <c r="P38" i="111"/>
  <c r="P37" i="111"/>
  <c r="P36" i="111"/>
  <c r="P35" i="111"/>
  <c r="P34" i="111"/>
  <c r="P33" i="111"/>
  <c r="P32" i="111"/>
  <c r="P31" i="111"/>
  <c r="P30" i="111"/>
  <c r="P29" i="111"/>
  <c r="P28" i="90"/>
  <c r="P28" i="95"/>
  <c r="P28" i="97"/>
  <c r="P28" i="99"/>
  <c r="P28" i="103"/>
  <c r="P28" i="140"/>
  <c r="P28" i="112"/>
  <c r="P28" i="114"/>
  <c r="P28" i="118"/>
  <c r="P28" i="119"/>
  <c r="P28" i="127"/>
  <c r="P28" i="139"/>
  <c r="P28" i="141"/>
  <c r="P28" i="145"/>
  <c r="P28" i="144"/>
  <c r="P28" i="143"/>
  <c r="P28" i="142"/>
  <c r="P28" i="98"/>
  <c r="P28" i="135"/>
  <c r="P28" i="134"/>
  <c r="P28" i="137"/>
  <c r="P28" i="126"/>
  <c r="P28" i="128"/>
  <c r="P28" i="129"/>
  <c r="P28" i="130"/>
  <c r="P28" i="123"/>
  <c r="P28" i="124"/>
  <c r="P28" i="125"/>
  <c r="P28" i="116"/>
  <c r="P28" i="105"/>
  <c r="P28" i="115"/>
  <c r="P28" i="106"/>
  <c r="P28" i="120"/>
  <c r="P28" i="121"/>
  <c r="P28" i="117"/>
  <c r="P28" i="111"/>
  <c r="G78" i="154" l="1"/>
  <c r="J78" i="7" s="1"/>
  <c r="M78" i="177"/>
  <c r="K78" i="177"/>
  <c r="L78" i="177" s="1"/>
  <c r="D78" i="154"/>
  <c r="G78" i="7"/>
  <c r="G78" i="177"/>
  <c r="I78" i="7"/>
  <c r="I78" i="177"/>
  <c r="F78" i="7"/>
  <c r="F78" i="177"/>
  <c r="H78" i="7"/>
  <c r="H78" i="177"/>
  <c r="E78" i="7"/>
  <c r="E78" i="177"/>
  <c r="C92" i="174"/>
  <c r="G78" i="17"/>
  <c r="H78" i="17" s="1"/>
  <c r="I78" i="17" s="1"/>
  <c r="K78" i="7"/>
  <c r="L78" i="7" s="1"/>
  <c r="M78" i="7"/>
  <c r="J106" i="171"/>
  <c r="J96" i="171"/>
  <c r="J98" i="171"/>
  <c r="K98" i="171" s="1"/>
  <c r="B98" i="171"/>
  <c r="J108" i="171"/>
  <c r="K108" i="171" s="1"/>
  <c r="L108" i="170"/>
  <c r="L102" i="170"/>
  <c r="L94" i="170"/>
  <c r="P31" i="123"/>
  <c r="P35" i="123"/>
  <c r="P39" i="123"/>
  <c r="P43" i="123"/>
  <c r="P47" i="123"/>
  <c r="P51" i="123"/>
  <c r="P55" i="123"/>
  <c r="P59" i="123"/>
  <c r="P63" i="123"/>
  <c r="P67" i="123"/>
  <c r="P71" i="123"/>
  <c r="P75" i="123"/>
  <c r="P30" i="130"/>
  <c r="P34" i="130"/>
  <c r="P38" i="130"/>
  <c r="P42" i="130"/>
  <c r="P48" i="130"/>
  <c r="P56" i="130"/>
  <c r="P64" i="130"/>
  <c r="P72" i="130"/>
  <c r="P31" i="129"/>
  <c r="P39" i="129"/>
  <c r="P47" i="129"/>
  <c r="P55" i="129"/>
  <c r="P63" i="129"/>
  <c r="P71" i="129"/>
  <c r="P30" i="128"/>
  <c r="P38" i="128"/>
  <c r="P46" i="128"/>
  <c r="P54" i="128"/>
  <c r="P70" i="128"/>
  <c r="P37" i="126"/>
  <c r="P53" i="126"/>
  <c r="P69" i="126"/>
  <c r="P35" i="137"/>
  <c r="P51" i="137"/>
  <c r="P67" i="137"/>
  <c r="P34" i="134"/>
  <c r="P50" i="134"/>
  <c r="P66" i="134"/>
  <c r="P33" i="135"/>
  <c r="P49" i="135"/>
  <c r="P65" i="135"/>
  <c r="P32" i="98"/>
  <c r="P48" i="98"/>
  <c r="P64" i="98"/>
  <c r="P30" i="142"/>
  <c r="P62" i="142"/>
  <c r="P45" i="143"/>
  <c r="P37" i="144"/>
  <c r="P52" i="145"/>
  <c r="P67" i="141"/>
  <c r="P33" i="127"/>
  <c r="P59" i="119"/>
  <c r="P31" i="90"/>
  <c r="P32" i="123"/>
  <c r="P36" i="123"/>
  <c r="P40" i="123"/>
  <c r="P44" i="123"/>
  <c r="P48" i="123"/>
  <c r="P52" i="123"/>
  <c r="P56" i="123"/>
  <c r="P60" i="123"/>
  <c r="P64" i="123"/>
  <c r="P68" i="123"/>
  <c r="P72" i="123"/>
  <c r="P76" i="123"/>
  <c r="P31" i="130"/>
  <c r="P35" i="130"/>
  <c r="P39" i="130"/>
  <c r="P43" i="130"/>
  <c r="P50" i="130"/>
  <c r="P58" i="130"/>
  <c r="P66" i="130"/>
  <c r="P74" i="130"/>
  <c r="P33" i="129"/>
  <c r="P41" i="129"/>
  <c r="P49" i="129"/>
  <c r="P57" i="129"/>
  <c r="P65" i="129"/>
  <c r="P73" i="129"/>
  <c r="P32" i="128"/>
  <c r="P40" i="128"/>
  <c r="P48" i="128"/>
  <c r="P58" i="128"/>
  <c r="P74" i="128"/>
  <c r="P41" i="126"/>
  <c r="P57" i="126"/>
  <c r="P73" i="126"/>
  <c r="P39" i="137"/>
  <c r="P55" i="137"/>
  <c r="P71" i="137"/>
  <c r="P38" i="134"/>
  <c r="P54" i="134"/>
  <c r="P70" i="134"/>
  <c r="P37" i="135"/>
  <c r="P53" i="135"/>
  <c r="P69" i="135"/>
  <c r="P36" i="98"/>
  <c r="P52" i="98"/>
  <c r="P72" i="98"/>
  <c r="P38" i="142"/>
  <c r="P70" i="142"/>
  <c r="P53" i="143"/>
  <c r="P53" i="144"/>
  <c r="P68" i="145"/>
  <c r="P34" i="139"/>
  <c r="P49" i="127"/>
  <c r="P63" i="118"/>
  <c r="P33" i="123"/>
  <c r="P37" i="123"/>
  <c r="P41" i="123"/>
  <c r="P45" i="123"/>
  <c r="P49" i="123"/>
  <c r="P53" i="123"/>
  <c r="P57" i="123"/>
  <c r="P61" i="123"/>
  <c r="P65" i="123"/>
  <c r="P69" i="123"/>
  <c r="P73" i="123"/>
  <c r="P77" i="123"/>
  <c r="P32" i="130"/>
  <c r="P36" i="130"/>
  <c r="P40" i="130"/>
  <c r="P44" i="130"/>
  <c r="P52" i="130"/>
  <c r="P60" i="130"/>
  <c r="P68" i="130"/>
  <c r="P76" i="130"/>
  <c r="P35" i="129"/>
  <c r="P43" i="129"/>
  <c r="P51" i="129"/>
  <c r="P59" i="129"/>
  <c r="P67" i="129"/>
  <c r="P75" i="129"/>
  <c r="P34" i="128"/>
  <c r="P42" i="128"/>
  <c r="P50" i="128"/>
  <c r="P62" i="128"/>
  <c r="P29" i="126"/>
  <c r="P45" i="126"/>
  <c r="P61" i="126"/>
  <c r="P77" i="126"/>
  <c r="P43" i="137"/>
  <c r="P59" i="137"/>
  <c r="P75" i="137"/>
  <c r="P42" i="134"/>
  <c r="P58" i="134"/>
  <c r="P74" i="134"/>
  <c r="P41" i="135"/>
  <c r="P57" i="135"/>
  <c r="P73" i="135"/>
  <c r="P40" i="98"/>
  <c r="P56" i="98"/>
  <c r="P46" i="142"/>
  <c r="P29" i="143"/>
  <c r="P61" i="143"/>
  <c r="P69" i="144"/>
  <c r="P35" i="141"/>
  <c r="P50" i="139"/>
  <c r="P65" i="127"/>
  <c r="L110" i="170"/>
  <c r="P52" i="99"/>
  <c r="P67" i="140"/>
  <c r="P77" i="112"/>
  <c r="P45" i="112"/>
  <c r="P62" i="114"/>
  <c r="P30" i="114"/>
  <c r="P47" i="118"/>
  <c r="P67" i="119"/>
  <c r="P51" i="119"/>
  <c r="P36" i="119"/>
  <c r="P77" i="127"/>
  <c r="P69" i="127"/>
  <c r="P61" i="127"/>
  <c r="P53" i="127"/>
  <c r="P45" i="127"/>
  <c r="P37" i="127"/>
  <c r="P29" i="127"/>
  <c r="P70" i="139"/>
  <c r="P62" i="139"/>
  <c r="P54" i="139"/>
  <c r="P46" i="139"/>
  <c r="P38" i="139"/>
  <c r="P30" i="139"/>
  <c r="P71" i="141"/>
  <c r="P63" i="141"/>
  <c r="P55" i="141"/>
  <c r="P47" i="141"/>
  <c r="P39" i="141"/>
  <c r="P31" i="141"/>
  <c r="P72" i="145"/>
  <c r="P64" i="145"/>
  <c r="P56" i="145"/>
  <c r="P48" i="145"/>
  <c r="P40" i="145"/>
  <c r="P32" i="145"/>
  <c r="P73" i="144"/>
  <c r="P65" i="144"/>
  <c r="P57" i="144"/>
  <c r="P49" i="144"/>
  <c r="P41" i="144"/>
  <c r="P33" i="144"/>
  <c r="P74" i="143"/>
  <c r="P66" i="143"/>
  <c r="P62" i="143"/>
  <c r="P58" i="143"/>
  <c r="P54" i="143"/>
  <c r="P50" i="143"/>
  <c r="P46" i="143"/>
  <c r="P42" i="143"/>
  <c r="P38" i="143"/>
  <c r="P34" i="143"/>
  <c r="P30" i="143"/>
  <c r="P75" i="142"/>
  <c r="P71" i="142"/>
  <c r="P67" i="142"/>
  <c r="P63" i="142"/>
  <c r="P59" i="142"/>
  <c r="P55" i="142"/>
  <c r="P51" i="142"/>
  <c r="P47" i="142"/>
  <c r="P43" i="142"/>
  <c r="P39" i="142"/>
  <c r="P35" i="142"/>
  <c r="P31" i="142"/>
  <c r="P77" i="98"/>
  <c r="P73" i="98"/>
  <c r="P69" i="98"/>
  <c r="P65" i="98"/>
  <c r="P51" i="103"/>
  <c r="P61" i="112"/>
  <c r="P46" i="114"/>
  <c r="P31" i="118"/>
  <c r="P43" i="119"/>
  <c r="P73" i="127"/>
  <c r="P57" i="127"/>
  <c r="P41" i="127"/>
  <c r="P74" i="139"/>
  <c r="P58" i="139"/>
  <c r="P42" i="139"/>
  <c r="P75" i="141"/>
  <c r="P59" i="141"/>
  <c r="P43" i="141"/>
  <c r="P76" i="145"/>
  <c r="P60" i="145"/>
  <c r="P44" i="145"/>
  <c r="P77" i="144"/>
  <c r="P61" i="144"/>
  <c r="P45" i="144"/>
  <c r="P29" i="144"/>
  <c r="P65" i="143"/>
  <c r="P57" i="143"/>
  <c r="P49" i="143"/>
  <c r="P41" i="143"/>
  <c r="P33" i="143"/>
  <c r="P74" i="142"/>
  <c r="P66" i="142"/>
  <c r="P58" i="142"/>
  <c r="P50" i="142"/>
  <c r="P42" i="142"/>
  <c r="P34" i="142"/>
  <c r="P76" i="98"/>
  <c r="P68" i="98"/>
  <c r="P61" i="98"/>
  <c r="P57" i="98"/>
  <c r="P53" i="98"/>
  <c r="P49" i="98"/>
  <c r="P45" i="98"/>
  <c r="P41" i="98"/>
  <c r="P37" i="98"/>
  <c r="P33" i="98"/>
  <c r="P29" i="98"/>
  <c r="P74" i="135"/>
  <c r="P70" i="135"/>
  <c r="P66" i="135"/>
  <c r="P62" i="135"/>
  <c r="P58" i="135"/>
  <c r="P54" i="135"/>
  <c r="P50" i="135"/>
  <c r="P46" i="135"/>
  <c r="P42" i="135"/>
  <c r="P38" i="135"/>
  <c r="P34" i="135"/>
  <c r="P30" i="135"/>
  <c r="P75" i="134"/>
  <c r="P71" i="134"/>
  <c r="P67" i="134"/>
  <c r="P63" i="134"/>
  <c r="P59" i="134"/>
  <c r="P55" i="134"/>
  <c r="P51" i="134"/>
  <c r="P47" i="134"/>
  <c r="P43" i="134"/>
  <c r="P39" i="134"/>
  <c r="P35" i="134"/>
  <c r="P31" i="134"/>
  <c r="P76" i="137"/>
  <c r="P72" i="137"/>
  <c r="P68" i="137"/>
  <c r="P64" i="137"/>
  <c r="P60" i="137"/>
  <c r="P56" i="137"/>
  <c r="P52" i="137"/>
  <c r="P48" i="137"/>
  <c r="P44" i="137"/>
  <c r="P40" i="137"/>
  <c r="P36" i="137"/>
  <c r="P32" i="137"/>
  <c r="P74" i="126"/>
  <c r="P70" i="126"/>
  <c r="P66" i="126"/>
  <c r="P62" i="126"/>
  <c r="P58" i="126"/>
  <c r="P54" i="126"/>
  <c r="P50" i="126"/>
  <c r="P46" i="126"/>
  <c r="P42" i="126"/>
  <c r="P38" i="126"/>
  <c r="P34" i="126"/>
  <c r="P30" i="126"/>
  <c r="P75" i="128"/>
  <c r="P71" i="128"/>
  <c r="P67" i="128"/>
  <c r="P63" i="128"/>
  <c r="P59" i="128"/>
  <c r="P55" i="128"/>
  <c r="P53" i="128"/>
  <c r="P51" i="128"/>
  <c r="P49" i="128"/>
  <c r="P47" i="128"/>
  <c r="P45" i="128"/>
  <c r="P43" i="128"/>
  <c r="P41" i="128"/>
  <c r="P39" i="128"/>
  <c r="P37" i="128"/>
  <c r="P35" i="128"/>
  <c r="P33" i="128"/>
  <c r="P31" i="128"/>
  <c r="P29" i="128"/>
  <c r="P76" i="129"/>
  <c r="P74" i="129"/>
  <c r="P72" i="129"/>
  <c r="P70" i="129"/>
  <c r="P68" i="129"/>
  <c r="P66" i="129"/>
  <c r="P64" i="129"/>
  <c r="P62" i="129"/>
  <c r="P60" i="129"/>
  <c r="P58" i="129"/>
  <c r="P56" i="129"/>
  <c r="P54" i="129"/>
  <c r="P52" i="129"/>
  <c r="P50" i="129"/>
  <c r="P48" i="129"/>
  <c r="P46" i="129"/>
  <c r="P44" i="129"/>
  <c r="P42" i="129"/>
  <c r="P40" i="129"/>
  <c r="P38" i="129"/>
  <c r="P36" i="129"/>
  <c r="P34" i="129"/>
  <c r="P32" i="129"/>
  <c r="P30" i="129"/>
  <c r="P77" i="130"/>
  <c r="P75" i="130"/>
  <c r="P73" i="130"/>
  <c r="P71" i="130"/>
  <c r="P69" i="130"/>
  <c r="P67" i="130"/>
  <c r="P65" i="130"/>
  <c r="P63" i="130"/>
  <c r="P61" i="130"/>
  <c r="P59" i="130"/>
  <c r="P57" i="130"/>
  <c r="P55" i="130"/>
  <c r="P53" i="130"/>
  <c r="P51" i="130"/>
  <c r="P49" i="130"/>
  <c r="P47" i="130"/>
  <c r="P45" i="130"/>
  <c r="L96" i="170"/>
  <c r="J112" i="171"/>
  <c r="B108" i="171"/>
  <c r="B106" i="171"/>
  <c r="P35" i="97"/>
  <c r="P66" i="97"/>
  <c r="P69" i="103"/>
  <c r="P76" i="140"/>
  <c r="P59" i="140"/>
  <c r="P36" i="140"/>
  <c r="P69" i="112"/>
  <c r="P53" i="112"/>
  <c r="P37" i="112"/>
  <c r="P70" i="114"/>
  <c r="P54" i="114"/>
  <c r="P38" i="114"/>
  <c r="P71" i="118"/>
  <c r="P55" i="118"/>
  <c r="P39" i="118"/>
  <c r="P72" i="119"/>
  <c r="P63" i="119"/>
  <c r="P55" i="119"/>
  <c r="P47" i="119"/>
  <c r="P39" i="119"/>
  <c r="P35" i="119"/>
  <c r="P31" i="119"/>
  <c r="P76" i="127"/>
  <c r="P72" i="127"/>
  <c r="P68" i="127"/>
  <c r="P64" i="127"/>
  <c r="P60" i="127"/>
  <c r="P56" i="127"/>
  <c r="P52" i="127"/>
  <c r="P48" i="127"/>
  <c r="P44" i="127"/>
  <c r="P40" i="127"/>
  <c r="P36" i="127"/>
  <c r="P32" i="127"/>
  <c r="P77" i="139"/>
  <c r="P73" i="139"/>
  <c r="P69" i="139"/>
  <c r="P65" i="139"/>
  <c r="P61" i="139"/>
  <c r="P57" i="139"/>
  <c r="P53" i="139"/>
  <c r="P49" i="139"/>
  <c r="P45" i="139"/>
  <c r="P41" i="139"/>
  <c r="P37" i="139"/>
  <c r="P33" i="139"/>
  <c r="P29" i="139"/>
  <c r="P74" i="141"/>
  <c r="P70" i="141"/>
  <c r="P66" i="141"/>
  <c r="P62" i="141"/>
  <c r="P58" i="141"/>
  <c r="P54" i="141"/>
  <c r="P50" i="141"/>
  <c r="P46" i="141"/>
  <c r="P42" i="141"/>
  <c r="P38" i="141"/>
  <c r="P34" i="141"/>
  <c r="P30" i="141"/>
  <c r="P75" i="145"/>
  <c r="P71" i="145"/>
  <c r="P67" i="145"/>
  <c r="P63" i="145"/>
  <c r="P59" i="145"/>
  <c r="P55" i="145"/>
  <c r="P51" i="145"/>
  <c r="P47" i="145"/>
  <c r="P43" i="145"/>
  <c r="P39" i="145"/>
  <c r="P35" i="145"/>
  <c r="P31" i="145"/>
  <c r="P76" i="144"/>
  <c r="P72" i="144"/>
  <c r="P68" i="144"/>
  <c r="P64" i="144"/>
  <c r="P60" i="144"/>
  <c r="P56" i="144"/>
  <c r="P52" i="144"/>
  <c r="P48" i="144"/>
  <c r="P44" i="144"/>
  <c r="P40" i="144"/>
  <c r="P36" i="144"/>
  <c r="P32" i="144"/>
  <c r="P77" i="143"/>
  <c r="P73" i="143"/>
  <c r="P69" i="143"/>
  <c r="L125" i="170"/>
  <c r="P40" i="119"/>
  <c r="P44" i="119"/>
  <c r="P48" i="119"/>
  <c r="P52" i="119"/>
  <c r="P56" i="119"/>
  <c r="P60" i="119"/>
  <c r="P64" i="119"/>
  <c r="P68" i="119"/>
  <c r="P73" i="119"/>
  <c r="P32" i="118"/>
  <c r="P40" i="118"/>
  <c r="P48" i="118"/>
  <c r="P56" i="118"/>
  <c r="P64" i="118"/>
  <c r="P72" i="118"/>
  <c r="P31" i="114"/>
  <c r="P39" i="114"/>
  <c r="P47" i="114"/>
  <c r="P55" i="114"/>
  <c r="P63" i="114"/>
  <c r="P71" i="114"/>
  <c r="P30" i="112"/>
  <c r="P38" i="112"/>
  <c r="P46" i="112"/>
  <c r="P54" i="112"/>
  <c r="P62" i="112"/>
  <c r="P70" i="112"/>
  <c r="P35" i="140"/>
  <c r="P43" i="140"/>
  <c r="P51" i="140"/>
  <c r="P60" i="140"/>
  <c r="P75" i="140"/>
  <c r="P35" i="103"/>
  <c r="P52" i="103"/>
  <c r="P51" i="99"/>
  <c r="P34" i="97"/>
  <c r="P67" i="97"/>
  <c r="L100" i="170"/>
  <c r="I112" i="171"/>
  <c r="K104" i="171"/>
  <c r="I96" i="171"/>
  <c r="L121" i="170"/>
  <c r="P52" i="140"/>
  <c r="P68" i="140"/>
  <c r="P36" i="103"/>
  <c r="P71" i="103"/>
  <c r="L104" i="170"/>
  <c r="L97" i="170"/>
  <c r="K110" i="171"/>
  <c r="L113" i="170"/>
  <c r="K103" i="171"/>
  <c r="L101" i="170"/>
  <c r="K106" i="171"/>
  <c r="L99" i="170"/>
  <c r="L107" i="170"/>
  <c r="K100" i="171"/>
  <c r="L109" i="170"/>
  <c r="L95" i="170"/>
  <c r="L105" i="170"/>
  <c r="L127" i="170"/>
  <c r="L115" i="170"/>
  <c r="L129" i="170"/>
  <c r="L117" i="170"/>
  <c r="L123" i="170"/>
  <c r="K102" i="171"/>
  <c r="K94" i="171"/>
  <c r="L119" i="170"/>
  <c r="L103" i="170"/>
  <c r="L111" i="170"/>
  <c r="L93" i="170"/>
  <c r="B126" i="171"/>
  <c r="J126" i="171"/>
  <c r="I126" i="171"/>
  <c r="B114" i="171"/>
  <c r="J114" i="171"/>
  <c r="I114" i="171"/>
  <c r="J111" i="171"/>
  <c r="I111" i="171"/>
  <c r="B111" i="171"/>
  <c r="B93" i="171"/>
  <c r="J93" i="171"/>
  <c r="I93" i="171"/>
  <c r="B118" i="171"/>
  <c r="J118" i="171"/>
  <c r="I118" i="171"/>
  <c r="J95" i="171"/>
  <c r="I95" i="171"/>
  <c r="B95" i="171"/>
  <c r="J119" i="171"/>
  <c r="I119" i="171"/>
  <c r="B119" i="171"/>
  <c r="J115" i="171"/>
  <c r="I115" i="171"/>
  <c r="B115" i="171"/>
  <c r="B130" i="171"/>
  <c r="J130" i="171"/>
  <c r="I130" i="171"/>
  <c r="I121" i="171"/>
  <c r="B121" i="171"/>
  <c r="J121" i="171"/>
  <c r="I117" i="171"/>
  <c r="B117" i="171"/>
  <c r="J117" i="171"/>
  <c r="J99" i="171"/>
  <c r="B99" i="171"/>
  <c r="I99" i="171"/>
  <c r="I105" i="171"/>
  <c r="B105" i="171"/>
  <c r="J105" i="171"/>
  <c r="J107" i="171"/>
  <c r="B107" i="171"/>
  <c r="I107" i="171"/>
  <c r="I97" i="171"/>
  <c r="B97" i="171"/>
  <c r="J97" i="171"/>
  <c r="B122" i="171"/>
  <c r="J122" i="171"/>
  <c r="I122" i="171"/>
  <c r="J123" i="171"/>
  <c r="I123" i="171"/>
  <c r="B123" i="171"/>
  <c r="I109" i="171"/>
  <c r="B109" i="171"/>
  <c r="J109" i="171"/>
  <c r="J127" i="171"/>
  <c r="I127" i="171"/>
  <c r="B127" i="171"/>
  <c r="I129" i="171"/>
  <c r="B129" i="171"/>
  <c r="J129" i="171"/>
  <c r="I125" i="171"/>
  <c r="B125" i="171"/>
  <c r="J125" i="171"/>
  <c r="I113" i="171"/>
  <c r="B113" i="171"/>
  <c r="J113" i="171"/>
  <c r="I101" i="171"/>
  <c r="B101" i="171"/>
  <c r="J101" i="171"/>
  <c r="J128" i="171"/>
  <c r="I128" i="171"/>
  <c r="B128" i="171"/>
  <c r="J124" i="171"/>
  <c r="I124" i="171"/>
  <c r="B124" i="171"/>
  <c r="J120" i="171"/>
  <c r="I120" i="171"/>
  <c r="B120" i="171"/>
  <c r="J116" i="171"/>
  <c r="I116" i="171"/>
  <c r="B116" i="171"/>
  <c r="P74" i="90"/>
  <c r="P70" i="90"/>
  <c r="P66" i="90"/>
  <c r="P62" i="90"/>
  <c r="P58" i="90"/>
  <c r="P54" i="90"/>
  <c r="P50" i="90"/>
  <c r="P46" i="90"/>
  <c r="P42" i="90"/>
  <c r="P38" i="90"/>
  <c r="P34" i="90"/>
  <c r="P30" i="90"/>
  <c r="P74" i="95"/>
  <c r="P70" i="95"/>
  <c r="P66" i="95"/>
  <c r="P62" i="95"/>
  <c r="P58" i="95"/>
  <c r="P54" i="95"/>
  <c r="P50" i="95"/>
  <c r="P46" i="95"/>
  <c r="P42" i="95"/>
  <c r="P38" i="95"/>
  <c r="P34" i="95"/>
  <c r="P30" i="95"/>
  <c r="P77" i="90"/>
  <c r="P73" i="90"/>
  <c r="P69" i="90"/>
  <c r="P65" i="90"/>
  <c r="P61" i="90"/>
  <c r="P57" i="90"/>
  <c r="P53" i="90"/>
  <c r="P49" i="90"/>
  <c r="P45" i="90"/>
  <c r="P41" i="90"/>
  <c r="P37" i="90"/>
  <c r="P33" i="90"/>
  <c r="P29" i="90"/>
  <c r="P77" i="95"/>
  <c r="P73" i="95"/>
  <c r="P69" i="95"/>
  <c r="P65" i="95"/>
  <c r="P61" i="95"/>
  <c r="P57" i="95"/>
  <c r="P53" i="95"/>
  <c r="P49" i="95"/>
  <c r="P45" i="95"/>
  <c r="P41" i="95"/>
  <c r="P37" i="95"/>
  <c r="P33" i="95"/>
  <c r="P29" i="95"/>
  <c r="P76" i="90"/>
  <c r="P72" i="90"/>
  <c r="P68" i="90"/>
  <c r="P64" i="90"/>
  <c r="P60" i="90"/>
  <c r="P56" i="90"/>
  <c r="P52" i="90"/>
  <c r="P48" i="90"/>
  <c r="P44" i="90"/>
  <c r="P40" i="90"/>
  <c r="P36" i="90"/>
  <c r="P32" i="90"/>
  <c r="P76" i="95"/>
  <c r="P72" i="95"/>
  <c r="P68" i="95"/>
  <c r="P64" i="95"/>
  <c r="P60" i="95"/>
  <c r="P56" i="95"/>
  <c r="P52" i="95"/>
  <c r="P48" i="95"/>
  <c r="P44" i="95"/>
  <c r="P40" i="95"/>
  <c r="P36" i="95"/>
  <c r="P32" i="95"/>
  <c r="P71" i="90"/>
  <c r="P55" i="90"/>
  <c r="P39" i="90"/>
  <c r="P75" i="95"/>
  <c r="P59" i="95"/>
  <c r="P43" i="95"/>
  <c r="P77" i="97"/>
  <c r="P73" i="97"/>
  <c r="P69" i="97"/>
  <c r="P65" i="97"/>
  <c r="P61" i="97"/>
  <c r="P57" i="97"/>
  <c r="P53" i="97"/>
  <c r="P49" i="97"/>
  <c r="P45" i="97"/>
  <c r="P41" i="97"/>
  <c r="P37" i="97"/>
  <c r="P33" i="97"/>
  <c r="P29" i="97"/>
  <c r="P74" i="99"/>
  <c r="P70" i="99"/>
  <c r="P66" i="99"/>
  <c r="P62" i="99"/>
  <c r="P58" i="99"/>
  <c r="P54" i="99"/>
  <c r="P50" i="99"/>
  <c r="P46" i="99"/>
  <c r="P42" i="99"/>
  <c r="P38" i="99"/>
  <c r="P34" i="99"/>
  <c r="P30" i="99"/>
  <c r="P74" i="103"/>
  <c r="P70" i="103"/>
  <c r="P66" i="103"/>
  <c r="P62" i="103"/>
  <c r="P67" i="90"/>
  <c r="P51" i="90"/>
  <c r="P35" i="90"/>
  <c r="P71" i="95"/>
  <c r="P55" i="95"/>
  <c r="P39" i="95"/>
  <c r="P76" i="97"/>
  <c r="P72" i="97"/>
  <c r="P68" i="97"/>
  <c r="P64" i="97"/>
  <c r="P60" i="97"/>
  <c r="P56" i="97"/>
  <c r="P52" i="97"/>
  <c r="P48" i="97"/>
  <c r="P44" i="97"/>
  <c r="P40" i="97"/>
  <c r="P36" i="97"/>
  <c r="P32" i="97"/>
  <c r="P77" i="99"/>
  <c r="P73" i="99"/>
  <c r="P69" i="99"/>
  <c r="P65" i="99"/>
  <c r="P61" i="99"/>
  <c r="P57" i="99"/>
  <c r="P53" i="99"/>
  <c r="P49" i="99"/>
  <c r="P45" i="99"/>
  <c r="P41" i="99"/>
  <c r="P37" i="99"/>
  <c r="P33" i="99"/>
  <c r="P29" i="99"/>
  <c r="P47" i="90"/>
  <c r="P51" i="95"/>
  <c r="P71" i="97"/>
  <c r="P63" i="97"/>
  <c r="P55" i="97"/>
  <c r="P47" i="97"/>
  <c r="P39" i="97"/>
  <c r="P31" i="97"/>
  <c r="P72" i="99"/>
  <c r="P64" i="99"/>
  <c r="P56" i="99"/>
  <c r="P48" i="99"/>
  <c r="P40" i="99"/>
  <c r="P32" i="99"/>
  <c r="P73" i="103"/>
  <c r="P68" i="103"/>
  <c r="P63" i="103"/>
  <c r="P58" i="103"/>
  <c r="P54" i="103"/>
  <c r="P50" i="103"/>
  <c r="P46" i="103"/>
  <c r="P42" i="103"/>
  <c r="P38" i="103"/>
  <c r="P34" i="103"/>
  <c r="P30" i="103"/>
  <c r="P75" i="90"/>
  <c r="P43" i="90"/>
  <c r="P47" i="95"/>
  <c r="P70" i="97"/>
  <c r="P62" i="97"/>
  <c r="P54" i="97"/>
  <c r="P46" i="97"/>
  <c r="P38" i="97"/>
  <c r="P30" i="97"/>
  <c r="P71" i="99"/>
  <c r="P63" i="99"/>
  <c r="P55" i="99"/>
  <c r="P47" i="99"/>
  <c r="P39" i="99"/>
  <c r="P31" i="99"/>
  <c r="P77" i="103"/>
  <c r="P72" i="103"/>
  <c r="P67" i="103"/>
  <c r="P61" i="103"/>
  <c r="P57" i="103"/>
  <c r="P53" i="103"/>
  <c r="P49" i="103"/>
  <c r="P45" i="103"/>
  <c r="P41" i="103"/>
  <c r="P37" i="103"/>
  <c r="P33" i="103"/>
  <c r="P29" i="103"/>
  <c r="P63" i="90"/>
  <c r="P67" i="95"/>
  <c r="P75" i="97"/>
  <c r="P59" i="97"/>
  <c r="P43" i="97"/>
  <c r="P76" i="99"/>
  <c r="P60" i="99"/>
  <c r="P44" i="99"/>
  <c r="P76" i="103"/>
  <c r="P65" i="103"/>
  <c r="P56" i="103"/>
  <c r="P48" i="103"/>
  <c r="P40" i="103"/>
  <c r="P32" i="103"/>
  <c r="P74" i="140"/>
  <c r="P70" i="140"/>
  <c r="P66" i="140"/>
  <c r="P62" i="140"/>
  <c r="P58" i="140"/>
  <c r="P54" i="140"/>
  <c r="P50" i="140"/>
  <c r="P46" i="140"/>
  <c r="P42" i="140"/>
  <c r="P38" i="140"/>
  <c r="P34" i="140"/>
  <c r="P30" i="140"/>
  <c r="P76" i="112"/>
  <c r="P72" i="112"/>
  <c r="P68" i="112"/>
  <c r="P64" i="112"/>
  <c r="P60" i="112"/>
  <c r="P56" i="112"/>
  <c r="P52" i="112"/>
  <c r="P48" i="112"/>
  <c r="P44" i="112"/>
  <c r="P40" i="112"/>
  <c r="P36" i="112"/>
  <c r="P32" i="112"/>
  <c r="P77" i="114"/>
  <c r="P73" i="114"/>
  <c r="P69" i="114"/>
  <c r="P65" i="114"/>
  <c r="P61" i="114"/>
  <c r="P57" i="114"/>
  <c r="P53" i="114"/>
  <c r="P49" i="114"/>
  <c r="P45" i="114"/>
  <c r="P41" i="114"/>
  <c r="P37" i="114"/>
  <c r="P33" i="114"/>
  <c r="P29" i="114"/>
  <c r="P74" i="118"/>
  <c r="P70" i="118"/>
  <c r="P66" i="118"/>
  <c r="P62" i="118"/>
  <c r="P58" i="118"/>
  <c r="P54" i="118"/>
  <c r="P50" i="118"/>
  <c r="P46" i="118"/>
  <c r="P42" i="118"/>
  <c r="P38" i="118"/>
  <c r="P34" i="118"/>
  <c r="P30" i="118"/>
  <c r="P75" i="119"/>
  <c r="P71" i="119"/>
  <c r="P59" i="90"/>
  <c r="P63" i="95"/>
  <c r="P74" i="97"/>
  <c r="P58" i="97"/>
  <c r="P42" i="97"/>
  <c r="P75" i="99"/>
  <c r="P59" i="99"/>
  <c r="P43" i="99"/>
  <c r="P75" i="103"/>
  <c r="P64" i="103"/>
  <c r="P55" i="103"/>
  <c r="P47" i="103"/>
  <c r="P39" i="103"/>
  <c r="P31" i="103"/>
  <c r="P77" i="140"/>
  <c r="P73" i="140"/>
  <c r="P69" i="140"/>
  <c r="P65" i="140"/>
  <c r="P61" i="140"/>
  <c r="P57" i="140"/>
  <c r="P53" i="140"/>
  <c r="P49" i="140"/>
  <c r="P45" i="140"/>
  <c r="P41" i="140"/>
  <c r="P37" i="140"/>
  <c r="P33" i="140"/>
  <c r="P29" i="140"/>
  <c r="P75" i="112"/>
  <c r="P71" i="112"/>
  <c r="P67" i="112"/>
  <c r="P63" i="112"/>
  <c r="P59" i="112"/>
  <c r="P55" i="112"/>
  <c r="P51" i="112"/>
  <c r="P47" i="112"/>
  <c r="P43" i="112"/>
  <c r="P39" i="112"/>
  <c r="P35" i="112"/>
  <c r="P31" i="112"/>
  <c r="P76" i="114"/>
  <c r="P72" i="114"/>
  <c r="P68" i="114"/>
  <c r="P64" i="114"/>
  <c r="P60" i="114"/>
  <c r="P56" i="114"/>
  <c r="P52" i="114"/>
  <c r="P48" i="114"/>
  <c r="P44" i="114"/>
  <c r="P40" i="114"/>
  <c r="P36" i="114"/>
  <c r="P32" i="114"/>
  <c r="P77" i="118"/>
  <c r="P73" i="118"/>
  <c r="P69" i="118"/>
  <c r="P65" i="118"/>
  <c r="P61" i="118"/>
  <c r="P57" i="118"/>
  <c r="P53" i="118"/>
  <c r="P49" i="118"/>
  <c r="P45" i="118"/>
  <c r="P41" i="118"/>
  <c r="P37" i="118"/>
  <c r="P33" i="118"/>
  <c r="P29" i="118"/>
  <c r="P74" i="119"/>
  <c r="P56" i="128"/>
  <c r="P60" i="128"/>
  <c r="P64" i="128"/>
  <c r="P68" i="128"/>
  <c r="P72" i="128"/>
  <c r="P76" i="128"/>
  <c r="P31" i="126"/>
  <c r="P35" i="126"/>
  <c r="P39" i="126"/>
  <c r="P43" i="126"/>
  <c r="P47" i="126"/>
  <c r="P51" i="126"/>
  <c r="P55" i="126"/>
  <c r="P59" i="126"/>
  <c r="P63" i="126"/>
  <c r="P67" i="126"/>
  <c r="P71" i="126"/>
  <c r="P75" i="126"/>
  <c r="P29" i="137"/>
  <c r="P33" i="137"/>
  <c r="P37" i="137"/>
  <c r="P41" i="137"/>
  <c r="P45" i="137"/>
  <c r="P49" i="137"/>
  <c r="P53" i="137"/>
  <c r="P57" i="137"/>
  <c r="P61" i="137"/>
  <c r="P65" i="137"/>
  <c r="P69" i="137"/>
  <c r="P73" i="137"/>
  <c r="P77" i="137"/>
  <c r="P32" i="134"/>
  <c r="P36" i="134"/>
  <c r="P40" i="134"/>
  <c r="P44" i="134"/>
  <c r="P48" i="134"/>
  <c r="P52" i="134"/>
  <c r="P56" i="134"/>
  <c r="P60" i="134"/>
  <c r="P64" i="134"/>
  <c r="P68" i="134"/>
  <c r="P72" i="134"/>
  <c r="P76" i="134"/>
  <c r="P31" i="135"/>
  <c r="P35" i="135"/>
  <c r="P39" i="135"/>
  <c r="P43" i="135"/>
  <c r="P47" i="135"/>
  <c r="P51" i="135"/>
  <c r="P55" i="135"/>
  <c r="P59" i="135"/>
  <c r="P63" i="135"/>
  <c r="P67" i="135"/>
  <c r="P71" i="135"/>
  <c r="P75" i="135"/>
  <c r="P30" i="98"/>
  <c r="P34" i="98"/>
  <c r="P38" i="98"/>
  <c r="P42" i="98"/>
  <c r="P46" i="98"/>
  <c r="P50" i="98"/>
  <c r="P54" i="98"/>
  <c r="P58" i="98"/>
  <c r="P62" i="98"/>
  <c r="P66" i="98"/>
  <c r="P70" i="98"/>
  <c r="P74" i="98"/>
  <c r="P32" i="142"/>
  <c r="P36" i="142"/>
  <c r="P40" i="142"/>
  <c r="P44" i="142"/>
  <c r="P48" i="142"/>
  <c r="P52" i="142"/>
  <c r="P56" i="142"/>
  <c r="P60" i="142"/>
  <c r="P64" i="142"/>
  <c r="P68" i="142"/>
  <c r="P72" i="142"/>
  <c r="P76" i="142"/>
  <c r="P31" i="143"/>
  <c r="P35" i="143"/>
  <c r="P39" i="143"/>
  <c r="P43" i="143"/>
  <c r="P47" i="143"/>
  <c r="P51" i="143"/>
  <c r="P55" i="143"/>
  <c r="P59" i="143"/>
  <c r="P63" i="143"/>
  <c r="P67" i="143"/>
  <c r="P71" i="143"/>
  <c r="P75" i="143"/>
  <c r="P30" i="144"/>
  <c r="P34" i="144"/>
  <c r="P38" i="144"/>
  <c r="P42" i="144"/>
  <c r="P46" i="144"/>
  <c r="P50" i="144"/>
  <c r="P54" i="144"/>
  <c r="P58" i="144"/>
  <c r="P62" i="144"/>
  <c r="P66" i="144"/>
  <c r="P70" i="144"/>
  <c r="P74" i="144"/>
  <c r="P29" i="145"/>
  <c r="P33" i="145"/>
  <c r="P37" i="145"/>
  <c r="P41" i="145"/>
  <c r="P45" i="145"/>
  <c r="P49" i="145"/>
  <c r="P53" i="145"/>
  <c r="P57" i="145"/>
  <c r="P61" i="145"/>
  <c r="P65" i="145"/>
  <c r="P69" i="145"/>
  <c r="P73" i="145"/>
  <c r="P77" i="145"/>
  <c r="P32" i="141"/>
  <c r="P36" i="141"/>
  <c r="P40" i="141"/>
  <c r="P44" i="141"/>
  <c r="P48" i="141"/>
  <c r="P52" i="141"/>
  <c r="P56" i="141"/>
  <c r="P60" i="141"/>
  <c r="P64" i="141"/>
  <c r="P68" i="141"/>
  <c r="P72" i="141"/>
  <c r="P76" i="141"/>
  <c r="P31" i="139"/>
  <c r="P35" i="139"/>
  <c r="P39" i="139"/>
  <c r="P43" i="139"/>
  <c r="P47" i="139"/>
  <c r="P51" i="139"/>
  <c r="P55" i="139"/>
  <c r="P59" i="139"/>
  <c r="P63" i="139"/>
  <c r="P67" i="139"/>
  <c r="P71" i="139"/>
  <c r="P75" i="139"/>
  <c r="P30" i="127"/>
  <c r="P34" i="127"/>
  <c r="P38" i="127"/>
  <c r="P42" i="127"/>
  <c r="P46" i="127"/>
  <c r="P50" i="127"/>
  <c r="P54" i="127"/>
  <c r="P58" i="127"/>
  <c r="P62" i="127"/>
  <c r="P66" i="127"/>
  <c r="P70" i="127"/>
  <c r="P74" i="127"/>
  <c r="P29" i="119"/>
  <c r="P33" i="119"/>
  <c r="P37" i="119"/>
  <c r="P41" i="119"/>
  <c r="P45" i="119"/>
  <c r="P49" i="119"/>
  <c r="P53" i="119"/>
  <c r="P57" i="119"/>
  <c r="P61" i="119"/>
  <c r="P65" i="119"/>
  <c r="P69" i="119"/>
  <c r="P76" i="119"/>
  <c r="P35" i="118"/>
  <c r="P43" i="118"/>
  <c r="P51" i="118"/>
  <c r="P59" i="118"/>
  <c r="P67" i="118"/>
  <c r="P75" i="118"/>
  <c r="P34" i="114"/>
  <c r="P42" i="114"/>
  <c r="P50" i="114"/>
  <c r="P58" i="114"/>
  <c r="P66" i="114"/>
  <c r="P74" i="114"/>
  <c r="P33" i="112"/>
  <c r="P41" i="112"/>
  <c r="P49" i="112"/>
  <c r="P57" i="112"/>
  <c r="P65" i="112"/>
  <c r="P73" i="112"/>
  <c r="P31" i="140"/>
  <c r="P39" i="140"/>
  <c r="P47" i="140"/>
  <c r="P55" i="140"/>
  <c r="P63" i="140"/>
  <c r="P71" i="140"/>
  <c r="P43" i="103"/>
  <c r="P59" i="103"/>
  <c r="P35" i="99"/>
  <c r="P67" i="99"/>
  <c r="P50" i="97"/>
  <c r="P31" i="95"/>
  <c r="P57" i="128"/>
  <c r="P61" i="128"/>
  <c r="P65" i="128"/>
  <c r="P69" i="128"/>
  <c r="P73" i="128"/>
  <c r="P77" i="128"/>
  <c r="P32" i="126"/>
  <c r="P36" i="126"/>
  <c r="P40" i="126"/>
  <c r="P44" i="126"/>
  <c r="P48" i="126"/>
  <c r="P52" i="126"/>
  <c r="P56" i="126"/>
  <c r="P60" i="126"/>
  <c r="P64" i="126"/>
  <c r="P68" i="126"/>
  <c r="P72" i="126"/>
  <c r="P76" i="126"/>
  <c r="P30" i="137"/>
  <c r="P34" i="137"/>
  <c r="P38" i="137"/>
  <c r="P42" i="137"/>
  <c r="P46" i="137"/>
  <c r="P50" i="137"/>
  <c r="P54" i="137"/>
  <c r="P58" i="137"/>
  <c r="P62" i="137"/>
  <c r="P66" i="137"/>
  <c r="P70" i="137"/>
  <c r="P74" i="137"/>
  <c r="P29" i="134"/>
  <c r="P33" i="134"/>
  <c r="P37" i="134"/>
  <c r="P41" i="134"/>
  <c r="P45" i="134"/>
  <c r="P49" i="134"/>
  <c r="P53" i="134"/>
  <c r="P57" i="134"/>
  <c r="P61" i="134"/>
  <c r="P65" i="134"/>
  <c r="P69" i="134"/>
  <c r="P73" i="134"/>
  <c r="P77" i="134"/>
  <c r="P32" i="135"/>
  <c r="P36" i="135"/>
  <c r="P40" i="135"/>
  <c r="P44" i="135"/>
  <c r="P48" i="135"/>
  <c r="P52" i="135"/>
  <c r="P56" i="135"/>
  <c r="P60" i="135"/>
  <c r="P64" i="135"/>
  <c r="P68" i="135"/>
  <c r="P72" i="135"/>
  <c r="P76" i="135"/>
  <c r="P31" i="98"/>
  <c r="P35" i="98"/>
  <c r="P39" i="98"/>
  <c r="P43" i="98"/>
  <c r="P47" i="98"/>
  <c r="P51" i="98"/>
  <c r="P55" i="98"/>
  <c r="P59" i="98"/>
  <c r="P63" i="98"/>
  <c r="P67" i="98"/>
  <c r="P71" i="98"/>
  <c r="P75" i="98"/>
  <c r="P29" i="142"/>
  <c r="P33" i="142"/>
  <c r="P37" i="142"/>
  <c r="P41" i="142"/>
  <c r="P45" i="142"/>
  <c r="P49" i="142"/>
  <c r="P53" i="142"/>
  <c r="P57" i="142"/>
  <c r="P61" i="142"/>
  <c r="P65" i="142"/>
  <c r="P69" i="142"/>
  <c r="P73" i="142"/>
  <c r="P77" i="142"/>
  <c r="P32" i="143"/>
  <c r="P36" i="143"/>
  <c r="P40" i="143"/>
  <c r="P44" i="143"/>
  <c r="P48" i="143"/>
  <c r="P52" i="143"/>
  <c r="P56" i="143"/>
  <c r="P60" i="143"/>
  <c r="P64" i="143"/>
  <c r="P68" i="143"/>
  <c r="P72" i="143"/>
  <c r="P76" i="143"/>
  <c r="P31" i="144"/>
  <c r="P35" i="144"/>
  <c r="P39" i="144"/>
  <c r="P43" i="144"/>
  <c r="P47" i="144"/>
  <c r="P51" i="144"/>
  <c r="P55" i="144"/>
  <c r="P59" i="144"/>
  <c r="P63" i="144"/>
  <c r="P67" i="144"/>
  <c r="P71" i="144"/>
  <c r="P75" i="144"/>
  <c r="P30" i="145"/>
  <c r="P34" i="145"/>
  <c r="P38" i="145"/>
  <c r="P42" i="145"/>
  <c r="P46" i="145"/>
  <c r="P50" i="145"/>
  <c r="P54" i="145"/>
  <c r="P58" i="145"/>
  <c r="P62" i="145"/>
  <c r="P66" i="145"/>
  <c r="P70" i="145"/>
  <c r="P74" i="145"/>
  <c r="P29" i="141"/>
  <c r="P33" i="141"/>
  <c r="P37" i="141"/>
  <c r="P41" i="141"/>
  <c r="P45" i="141"/>
  <c r="P49" i="141"/>
  <c r="P53" i="141"/>
  <c r="P57" i="141"/>
  <c r="P61" i="141"/>
  <c r="P65" i="141"/>
  <c r="P69" i="141"/>
  <c r="P73" i="141"/>
  <c r="P77" i="141"/>
  <c r="P32" i="139"/>
  <c r="P36" i="139"/>
  <c r="P40" i="139"/>
  <c r="P44" i="139"/>
  <c r="P48" i="139"/>
  <c r="P52" i="139"/>
  <c r="P56" i="139"/>
  <c r="P60" i="139"/>
  <c r="P64" i="139"/>
  <c r="P68" i="139"/>
  <c r="P72" i="139"/>
  <c r="P76" i="139"/>
  <c r="P31" i="127"/>
  <c r="P35" i="127"/>
  <c r="P39" i="127"/>
  <c r="P43" i="127"/>
  <c r="P47" i="127"/>
  <c r="P51" i="127"/>
  <c r="P55" i="127"/>
  <c r="P59" i="127"/>
  <c r="P63" i="127"/>
  <c r="P67" i="127"/>
  <c r="P71" i="127"/>
  <c r="P75" i="127"/>
  <c r="P30" i="119"/>
  <c r="P34" i="119"/>
  <c r="P38" i="119"/>
  <c r="P42" i="119"/>
  <c r="P46" i="119"/>
  <c r="P50" i="119"/>
  <c r="P54" i="119"/>
  <c r="P58" i="119"/>
  <c r="P62" i="119"/>
  <c r="P66" i="119"/>
  <c r="P70" i="119"/>
  <c r="P77" i="119"/>
  <c r="P36" i="118"/>
  <c r="P44" i="118"/>
  <c r="P52" i="118"/>
  <c r="P60" i="118"/>
  <c r="P68" i="118"/>
  <c r="P76" i="118"/>
  <c r="P35" i="114"/>
  <c r="P43" i="114"/>
  <c r="P51" i="114"/>
  <c r="P59" i="114"/>
  <c r="P67" i="114"/>
  <c r="P75" i="114"/>
  <c r="P34" i="112"/>
  <c r="P42" i="112"/>
  <c r="P50" i="112"/>
  <c r="P58" i="112"/>
  <c r="P66" i="112"/>
  <c r="P74" i="112"/>
  <c r="P32" i="140"/>
  <c r="P40" i="140"/>
  <c r="P48" i="140"/>
  <c r="P56" i="140"/>
  <c r="P64" i="140"/>
  <c r="P72" i="140"/>
  <c r="P44" i="103"/>
  <c r="P60" i="103"/>
  <c r="P36" i="99"/>
  <c r="P68" i="99"/>
  <c r="P51" i="97"/>
  <c r="P35" i="95"/>
  <c r="C8" i="168"/>
  <c r="B8" i="168"/>
  <c r="AE92" i="174" l="1"/>
  <c r="C78" i="14"/>
  <c r="K96" i="171"/>
  <c r="J78" i="177"/>
  <c r="N78" i="177"/>
  <c r="AD92" i="174"/>
  <c r="H92" i="174"/>
  <c r="B92" i="174"/>
  <c r="Z92" i="174"/>
  <c r="E78" i="14" s="1"/>
  <c r="G92" i="174"/>
  <c r="Y92" i="174"/>
  <c r="AI92" i="174"/>
  <c r="D92" i="174"/>
  <c r="AF92" i="174" s="1"/>
  <c r="K112" i="171"/>
  <c r="P63" i="94"/>
  <c r="P31" i="94"/>
  <c r="P76" i="131"/>
  <c r="P60" i="131"/>
  <c r="P44" i="131"/>
  <c r="P28" i="94"/>
  <c r="P55" i="94"/>
  <c r="P72" i="131"/>
  <c r="P56" i="131"/>
  <c r="P40" i="131"/>
  <c r="P28" i="131"/>
  <c r="P47" i="94"/>
  <c r="P68" i="131"/>
  <c r="P52" i="131"/>
  <c r="P36" i="131"/>
  <c r="P71" i="94"/>
  <c r="P39" i="94"/>
  <c r="P64" i="131"/>
  <c r="P48" i="131"/>
  <c r="P32" i="131"/>
  <c r="P66" i="94"/>
  <c r="P50" i="94"/>
  <c r="P34" i="94"/>
  <c r="P71" i="131"/>
  <c r="P55" i="131"/>
  <c r="P39" i="131"/>
  <c r="P77" i="94"/>
  <c r="P61" i="94"/>
  <c r="P45" i="94"/>
  <c r="P29" i="94"/>
  <c r="P66" i="131"/>
  <c r="P50" i="131"/>
  <c r="P34" i="131"/>
  <c r="P29" i="131"/>
  <c r="P45" i="131"/>
  <c r="P61" i="131"/>
  <c r="P77" i="131"/>
  <c r="P35" i="94"/>
  <c r="P67" i="94"/>
  <c r="P40" i="94"/>
  <c r="P56" i="94"/>
  <c r="P72" i="94"/>
  <c r="P62" i="94"/>
  <c r="P46" i="94"/>
  <c r="P30" i="94"/>
  <c r="P67" i="131"/>
  <c r="P51" i="131"/>
  <c r="P35" i="131"/>
  <c r="P73" i="94"/>
  <c r="P57" i="94"/>
  <c r="P41" i="94"/>
  <c r="P62" i="131"/>
  <c r="P46" i="131"/>
  <c r="P30" i="131"/>
  <c r="P33" i="131"/>
  <c r="P49" i="131"/>
  <c r="P65" i="131"/>
  <c r="P43" i="94"/>
  <c r="P75" i="94"/>
  <c r="P44" i="94"/>
  <c r="P60" i="94"/>
  <c r="P76" i="94"/>
  <c r="P74" i="94"/>
  <c r="P58" i="94"/>
  <c r="P42" i="94"/>
  <c r="P63" i="131"/>
  <c r="P47" i="131"/>
  <c r="P31" i="131"/>
  <c r="P69" i="94"/>
  <c r="P53" i="94"/>
  <c r="P37" i="94"/>
  <c r="P74" i="131"/>
  <c r="P58" i="131"/>
  <c r="P42" i="131"/>
  <c r="P37" i="131"/>
  <c r="P53" i="131"/>
  <c r="P69" i="131"/>
  <c r="P51" i="94"/>
  <c r="P32" i="94"/>
  <c r="P48" i="94"/>
  <c r="P64" i="94"/>
  <c r="P70" i="94"/>
  <c r="P54" i="94"/>
  <c r="P38" i="94"/>
  <c r="P75" i="131"/>
  <c r="P59" i="131"/>
  <c r="P43" i="131"/>
  <c r="P65" i="94"/>
  <c r="P49" i="94"/>
  <c r="P33" i="94"/>
  <c r="P70" i="131"/>
  <c r="P54" i="131"/>
  <c r="P38" i="131"/>
  <c r="P41" i="131"/>
  <c r="P57" i="131"/>
  <c r="P73" i="131"/>
  <c r="P59" i="94"/>
  <c r="P36" i="94"/>
  <c r="P52" i="94"/>
  <c r="P68" i="94"/>
  <c r="K119" i="171"/>
  <c r="K111" i="171"/>
  <c r="K130" i="171"/>
  <c r="K118" i="171"/>
  <c r="K113" i="171"/>
  <c r="K97" i="171"/>
  <c r="K117" i="171"/>
  <c r="K125" i="171"/>
  <c r="K109" i="171"/>
  <c r="K107" i="171"/>
  <c r="K116" i="171"/>
  <c r="K95" i="171"/>
  <c r="K114" i="171"/>
  <c r="K115" i="171"/>
  <c r="K93" i="171"/>
  <c r="K120" i="171"/>
  <c r="K129" i="171"/>
  <c r="K105" i="171"/>
  <c r="K121" i="171"/>
  <c r="K122" i="171"/>
  <c r="K128" i="171"/>
  <c r="K127" i="171"/>
  <c r="K124" i="171"/>
  <c r="K101" i="171"/>
  <c r="K123" i="171"/>
  <c r="K99" i="171"/>
  <c r="K126" i="171"/>
  <c r="B7" i="168"/>
  <c r="B6" i="168"/>
  <c r="C5" i="168" l="1"/>
  <c r="B5" i="168"/>
  <c r="C6" i="168"/>
  <c r="C7" i="168"/>
  <c r="P61" i="22" s="1"/>
  <c r="E92" i="161" l="1"/>
  <c r="C92" i="161"/>
  <c r="B92" i="161" s="1"/>
  <c r="P38" i="88"/>
  <c r="P76" i="91"/>
  <c r="P48" i="22"/>
  <c r="P32" i="22"/>
  <c r="P62" i="88"/>
  <c r="P63" i="89"/>
  <c r="P36" i="110"/>
  <c r="P58" i="88"/>
  <c r="P28" i="136"/>
  <c r="P43" i="133"/>
  <c r="P54" i="122"/>
  <c r="P32" i="89"/>
  <c r="P59" i="88"/>
  <c r="P29" i="89"/>
  <c r="P64" i="92"/>
  <c r="P49" i="93"/>
  <c r="P41" i="88"/>
  <c r="P62" i="91"/>
  <c r="P47" i="92"/>
  <c r="P32" i="93"/>
  <c r="P62" i="89"/>
  <c r="P45" i="91"/>
  <c r="P30" i="92"/>
  <c r="P65" i="96"/>
  <c r="P76" i="96"/>
  <c r="P47" i="100"/>
  <c r="P32" i="101"/>
  <c r="P72" i="89"/>
  <c r="P47" i="96"/>
  <c r="P30" i="100"/>
  <c r="P64" i="102"/>
  <c r="P30" i="96"/>
  <c r="P66" i="101"/>
  <c r="P51" i="102"/>
  <c r="P63" i="104"/>
  <c r="P31" i="104"/>
  <c r="P48" i="107"/>
  <c r="P65" i="122"/>
  <c r="P33" i="122"/>
  <c r="P50" i="108"/>
  <c r="P67" i="109"/>
  <c r="P35" i="109"/>
  <c r="P52" i="132"/>
  <c r="P69" i="136"/>
  <c r="P37" i="136"/>
  <c r="P54" i="133"/>
  <c r="P71" i="138"/>
  <c r="P39" i="138"/>
  <c r="P77" i="92"/>
  <c r="P29" i="96"/>
  <c r="P65" i="101"/>
  <c r="P50" i="102"/>
  <c r="P58" i="104"/>
  <c r="P75" i="107"/>
  <c r="P43" i="107"/>
  <c r="P60" i="122"/>
  <c r="P77" i="108"/>
  <c r="P45" i="108"/>
  <c r="P62" i="109"/>
  <c r="P30" i="109"/>
  <c r="P47" i="132"/>
  <c r="P64" i="136"/>
  <c r="P32" i="136"/>
  <c r="P49" i="133"/>
  <c r="P66" i="138"/>
  <c r="P34" i="138"/>
  <c r="P42" i="96"/>
  <c r="P63" i="102"/>
  <c r="P33" i="104"/>
  <c r="P67" i="122"/>
  <c r="P52" i="108"/>
  <c r="P37" i="109"/>
  <c r="P71" i="136"/>
  <c r="P56" i="133"/>
  <c r="P41" i="138"/>
  <c r="P48" i="113"/>
  <c r="P65" i="152"/>
  <c r="P33" i="152"/>
  <c r="P51" i="110"/>
  <c r="P29" i="92"/>
  <c r="P45" i="101"/>
  <c r="P48" i="104"/>
  <c r="P33" i="107"/>
  <c r="P67" i="108"/>
  <c r="P52" i="109"/>
  <c r="P37" i="132"/>
  <c r="P71" i="133"/>
  <c r="P56" i="138"/>
  <c r="P37" i="88"/>
  <c r="P63" i="91"/>
  <c r="P48" i="92"/>
  <c r="P33" i="93"/>
  <c r="P69" i="89"/>
  <c r="P46" i="91"/>
  <c r="P31" i="92"/>
  <c r="P62" i="96"/>
  <c r="P44" i="89"/>
  <c r="P29" i="91"/>
  <c r="P63" i="93"/>
  <c r="P77" i="89"/>
  <c r="P48" i="96"/>
  <c r="P31" i="100"/>
  <c r="P65" i="102"/>
  <c r="P52" i="91"/>
  <c r="P31" i="96"/>
  <c r="P63" i="101"/>
  <c r="P60" i="88"/>
  <c r="P57" i="100"/>
  <c r="P42" i="101"/>
  <c r="P35" i="102"/>
  <c r="P51" i="104"/>
  <c r="P68" i="107"/>
  <c r="P36" i="107"/>
  <c r="P53" i="122"/>
  <c r="P70" i="108"/>
  <c r="P38" i="108"/>
  <c r="P55" i="109"/>
  <c r="P72" i="132"/>
  <c r="P40" i="132"/>
  <c r="P57" i="136"/>
  <c r="P74" i="133"/>
  <c r="P42" i="133"/>
  <c r="P59" i="138"/>
  <c r="P76" i="113"/>
  <c r="P30" i="93"/>
  <c r="P56" i="100"/>
  <c r="P41" i="101"/>
  <c r="P34" i="102"/>
  <c r="P46" i="104"/>
  <c r="P63" i="107"/>
  <c r="P31" i="107"/>
  <c r="P48" i="122"/>
  <c r="P65" i="108"/>
  <c r="P33" i="108"/>
  <c r="P50" i="109"/>
  <c r="P67" i="132"/>
  <c r="P35" i="132"/>
  <c r="P52" i="136"/>
  <c r="P69" i="133"/>
  <c r="P37" i="133"/>
  <c r="P54" i="138"/>
  <c r="P71" i="113"/>
  <c r="P45" i="100"/>
  <c r="P73" i="104"/>
  <c r="P58" i="107"/>
  <c r="P43" i="122"/>
  <c r="P77" i="109"/>
  <c r="P62" i="132"/>
  <c r="P47" i="136"/>
  <c r="P32" i="133"/>
  <c r="P68" i="113"/>
  <c r="P36" i="113"/>
  <c r="P53" i="152"/>
  <c r="P71" i="110"/>
  <c r="P39" i="110"/>
  <c r="P76" i="100"/>
  <c r="P47" i="102"/>
  <c r="P73" i="107"/>
  <c r="P58" i="122"/>
  <c r="P43" i="108"/>
  <c r="P77" i="132"/>
  <c r="P62" i="136"/>
  <c r="P47" i="133"/>
  <c r="P32" i="138"/>
  <c r="P43" i="113"/>
  <c r="P60" i="152"/>
  <c r="P74" i="110"/>
  <c r="P42" i="110"/>
  <c r="P70" i="101"/>
  <c r="P62" i="107"/>
  <c r="P65" i="89"/>
  <c r="P47" i="91"/>
  <c r="P32" i="92"/>
  <c r="P67" i="96"/>
  <c r="P49" i="89"/>
  <c r="P30" i="91"/>
  <c r="P64" i="93"/>
  <c r="P56" i="88"/>
  <c r="P77" i="91"/>
  <c r="P62" i="92"/>
  <c r="P47" i="93"/>
  <c r="P56" i="91"/>
  <c r="P32" i="96"/>
  <c r="P64" i="101"/>
  <c r="P49" i="102"/>
  <c r="P37" i="92"/>
  <c r="P62" i="100"/>
  <c r="P47" i="101"/>
  <c r="P32" i="91"/>
  <c r="P49" i="100"/>
  <c r="P34" i="101"/>
  <c r="P30" i="102"/>
  <c r="P47" i="104"/>
  <c r="P64" i="107"/>
  <c r="P32" i="107"/>
  <c r="P49" i="122"/>
  <c r="P66" i="108"/>
  <c r="P34" i="108"/>
  <c r="P51" i="109"/>
  <c r="P68" i="132"/>
  <c r="P36" i="132"/>
  <c r="P53" i="136"/>
  <c r="P70" i="133"/>
  <c r="P38" i="133"/>
  <c r="P55" i="138"/>
  <c r="P72" i="113"/>
  <c r="P64" i="96"/>
  <c r="P48" i="100"/>
  <c r="P33" i="101"/>
  <c r="P74" i="104"/>
  <c r="P42" i="104"/>
  <c r="P59" i="107"/>
  <c r="P76" i="122"/>
  <c r="P44" i="122"/>
  <c r="P61" i="108"/>
  <c r="P29" i="108"/>
  <c r="P46" i="109"/>
  <c r="P63" i="132"/>
  <c r="P31" i="132"/>
  <c r="P48" i="136"/>
  <c r="P65" i="133"/>
  <c r="P33" i="133"/>
  <c r="P50" i="138"/>
  <c r="P39" i="88"/>
  <c r="P29" i="100"/>
  <c r="P65" i="104"/>
  <c r="P50" i="107"/>
  <c r="P35" i="122"/>
  <c r="P69" i="109"/>
  <c r="P54" i="132"/>
  <c r="P39" i="136"/>
  <c r="P73" i="138"/>
  <c r="P64" i="113"/>
  <c r="P32" i="113"/>
  <c r="P49" i="152"/>
  <c r="P67" i="110"/>
  <c r="P35" i="110"/>
  <c r="P60" i="100"/>
  <c r="P36" i="102"/>
  <c r="P65" i="107"/>
  <c r="P50" i="122"/>
  <c r="P35" i="108"/>
  <c r="P69" i="132"/>
  <c r="P54" i="136"/>
  <c r="P39" i="133"/>
  <c r="P73" i="113"/>
  <c r="P39" i="113"/>
  <c r="P56" i="152"/>
  <c r="P70" i="110"/>
  <c r="P38" i="110"/>
  <c r="P38" i="101"/>
  <c r="P46" i="107"/>
  <c r="P65" i="109"/>
  <c r="P35" i="136"/>
  <c r="P62" i="113"/>
  <c r="P46" i="89"/>
  <c r="P31" i="91"/>
  <c r="P65" i="93"/>
  <c r="P63" i="88"/>
  <c r="P33" i="89"/>
  <c r="P63" i="92"/>
  <c r="P48" i="93"/>
  <c r="P35" i="88"/>
  <c r="P61" i="91"/>
  <c r="P46" i="92"/>
  <c r="P31" i="93"/>
  <c r="P41" i="92"/>
  <c r="P63" i="100"/>
  <c r="P48" i="101"/>
  <c r="P33" i="102"/>
  <c r="P72" i="96"/>
  <c r="P46" i="100"/>
  <c r="P31" i="101"/>
  <c r="P68" i="96"/>
  <c r="P74" i="101"/>
  <c r="P59" i="102"/>
  <c r="P67" i="104"/>
  <c r="P35" i="104"/>
  <c r="P52" i="107"/>
  <c r="P69" i="122"/>
  <c r="P37" i="122"/>
  <c r="P54" i="108"/>
  <c r="P71" i="109"/>
  <c r="P39" i="109"/>
  <c r="P56" i="132"/>
  <c r="P73" i="136"/>
  <c r="P41" i="136"/>
  <c r="P58" i="133"/>
  <c r="P75" i="138"/>
  <c r="P43" i="138"/>
  <c r="P60" i="91"/>
  <c r="P37" i="96"/>
  <c r="P73" i="101"/>
  <c r="P58" i="102"/>
  <c r="P62" i="104"/>
  <c r="P30" i="104"/>
  <c r="P47" i="107"/>
  <c r="P64" i="122"/>
  <c r="P32" i="122"/>
  <c r="P49" i="108"/>
  <c r="P66" i="109"/>
  <c r="P34" i="109"/>
  <c r="P51" i="132"/>
  <c r="P68" i="136"/>
  <c r="P36" i="136"/>
  <c r="P53" i="133"/>
  <c r="P70" i="138"/>
  <c r="P38" i="138"/>
  <c r="P58" i="96"/>
  <c r="P30" i="101"/>
  <c r="P41" i="104"/>
  <c r="P75" i="122"/>
  <c r="P60" i="108"/>
  <c r="P45" i="109"/>
  <c r="P30" i="132"/>
  <c r="P64" i="133"/>
  <c r="P49" i="138"/>
  <c r="P52" i="113"/>
  <c r="P69" i="152"/>
  <c r="P37" i="152"/>
  <c r="P55" i="110"/>
  <c r="P44" i="91"/>
  <c r="P61" i="101"/>
  <c r="P56" i="104"/>
  <c r="P41" i="107"/>
  <c r="P75" i="108"/>
  <c r="P60" i="109"/>
  <c r="P45" i="132"/>
  <c r="P30" i="136"/>
  <c r="P64" i="138"/>
  <c r="P59" i="113"/>
  <c r="P76" i="152"/>
  <c r="P44" i="152"/>
  <c r="P58" i="110"/>
  <c r="P47" i="89"/>
  <c r="P77" i="104"/>
  <c r="P47" i="122"/>
  <c r="P66" i="132"/>
  <c r="P36" i="133"/>
  <c r="P38" i="113"/>
  <c r="P66" i="88"/>
  <c r="P74" i="152"/>
  <c r="P75" i="89"/>
  <c r="P74" i="88"/>
  <c r="P50" i="88"/>
  <c r="P28" i="88"/>
  <c r="P72" i="22"/>
  <c r="P28" i="92"/>
  <c r="P41" i="113"/>
  <c r="P73" i="132"/>
  <c r="P68" i="104"/>
  <c r="P29" i="22"/>
  <c r="P45" i="110"/>
  <c r="P59" i="152"/>
  <c r="P29" i="138"/>
  <c r="P59" i="136"/>
  <c r="P40" i="108"/>
  <c r="P70" i="107"/>
  <c r="P69" i="100"/>
  <c r="P44" i="138"/>
  <c r="P55" i="108"/>
  <c r="P49" i="96"/>
  <c r="P57" i="22"/>
  <c r="P28" i="100"/>
  <c r="P58" i="22"/>
  <c r="P56" i="110"/>
  <c r="P70" i="152"/>
  <c r="P52" i="138"/>
  <c r="P33" i="132"/>
  <c r="P63" i="108"/>
  <c r="P44" i="104"/>
  <c r="P33" i="96"/>
  <c r="P35" i="22"/>
  <c r="P67" i="22"/>
  <c r="P73" i="110"/>
  <c r="P70" i="113"/>
  <c r="P32" i="108"/>
  <c r="P54" i="110"/>
  <c r="P28" i="122"/>
  <c r="P28" i="102"/>
  <c r="P69" i="88"/>
  <c r="P70" i="88"/>
  <c r="P77" i="88"/>
  <c r="P34" i="152"/>
  <c r="P76" i="22"/>
  <c r="P68" i="22"/>
  <c r="P60" i="138"/>
  <c r="P71" i="108"/>
  <c r="P46" i="93"/>
  <c r="P53" i="22"/>
  <c r="P69" i="110"/>
  <c r="P34" i="113"/>
  <c r="P77" i="138"/>
  <c r="P58" i="132"/>
  <c r="P39" i="122"/>
  <c r="P69" i="104"/>
  <c r="P50" i="152"/>
  <c r="P42" i="136"/>
  <c r="P53" i="107"/>
  <c r="P28" i="101"/>
  <c r="P77" i="22"/>
  <c r="P38" i="22"/>
  <c r="P70" i="22"/>
  <c r="P30" i="152"/>
  <c r="P45" i="113"/>
  <c r="P51" i="133"/>
  <c r="P32" i="109"/>
  <c r="P62" i="122"/>
  <c r="P31" i="102"/>
  <c r="P28" i="133"/>
  <c r="P47" i="22"/>
  <c r="P33" i="110"/>
  <c r="P47" i="152"/>
  <c r="P69" i="138"/>
  <c r="P31" i="122"/>
  <c r="P40" i="152"/>
  <c r="P77" i="110"/>
  <c r="P42" i="113"/>
  <c r="P44" i="133"/>
  <c r="P74" i="132"/>
  <c r="P55" i="122"/>
  <c r="P43" i="102"/>
  <c r="P66" i="152"/>
  <c r="P74" i="136"/>
  <c r="P36" i="104"/>
  <c r="P28" i="91"/>
  <c r="P28" i="110"/>
  <c r="P42" i="22"/>
  <c r="P74" i="22"/>
  <c r="P38" i="152"/>
  <c r="P53" i="113"/>
  <c r="P67" i="133"/>
  <c r="P48" i="109"/>
  <c r="P29" i="107"/>
  <c r="P54" i="102"/>
  <c r="P28" i="108"/>
  <c r="P51" i="22"/>
  <c r="P41" i="110"/>
  <c r="P55" i="152"/>
  <c r="P51" i="136"/>
  <c r="P61" i="104"/>
  <c r="P72" i="152"/>
  <c r="P40" i="22"/>
  <c r="P41" i="132"/>
  <c r="P52" i="104"/>
  <c r="P28" i="96"/>
  <c r="P37" i="110"/>
  <c r="P51" i="152"/>
  <c r="P66" i="113"/>
  <c r="P43" i="136"/>
  <c r="P73" i="109"/>
  <c r="P54" i="107"/>
  <c r="P37" i="100"/>
  <c r="P65" i="113"/>
  <c r="P72" i="109"/>
  <c r="P68" i="100"/>
  <c r="P49" i="22"/>
  <c r="P28" i="104"/>
  <c r="P54" i="22"/>
  <c r="P48" i="110"/>
  <c r="P62" i="152"/>
  <c r="P36" i="138"/>
  <c r="P66" i="136"/>
  <c r="P47" i="108"/>
  <c r="P77" i="107"/>
  <c r="P52" i="100"/>
  <c r="P31" i="22"/>
  <c r="P63" i="22"/>
  <c r="P65" i="110"/>
  <c r="P30" i="113"/>
  <c r="P50" i="132"/>
  <c r="P65" i="92"/>
  <c r="P55" i="113"/>
  <c r="P38" i="96"/>
  <c r="P34" i="93"/>
  <c r="P64" i="91"/>
  <c r="P52" i="102"/>
  <c r="P68" i="102"/>
  <c r="P35" i="101"/>
  <c r="P51" i="101"/>
  <c r="P67" i="101"/>
  <c r="P34" i="100"/>
  <c r="P50" i="100"/>
  <c r="P66" i="100"/>
  <c r="P35" i="96"/>
  <c r="P51" i="96"/>
  <c r="P38" i="93"/>
  <c r="P53" i="92"/>
  <c r="P68" i="91"/>
  <c r="P44" i="88"/>
  <c r="P37" i="102"/>
  <c r="P53" i="102"/>
  <c r="P69" i="102"/>
  <c r="P36" i="101"/>
  <c r="P52" i="101"/>
  <c r="P68" i="101"/>
  <c r="P35" i="100"/>
  <c r="P51" i="100"/>
  <c r="P67" i="100"/>
  <c r="P36" i="96"/>
  <c r="P52" i="96"/>
  <c r="P42" i="93"/>
  <c r="P57" i="92"/>
  <c r="P72" i="91"/>
  <c r="P49" i="88"/>
  <c r="P69" i="96"/>
  <c r="P35" i="93"/>
  <c r="P51" i="93"/>
  <c r="P67" i="93"/>
  <c r="P34" i="92"/>
  <c r="P50" i="92"/>
  <c r="P66" i="92"/>
  <c r="P33" i="91"/>
  <c r="P49" i="91"/>
  <c r="P65" i="91"/>
  <c r="P31" i="89"/>
  <c r="P48" i="89"/>
  <c r="P68" i="89"/>
  <c r="P40" i="88"/>
  <c r="P61" i="88"/>
  <c r="P66" i="96"/>
  <c r="P36" i="93"/>
  <c r="P52" i="93"/>
  <c r="P68" i="93"/>
  <c r="P35" i="92"/>
  <c r="P51" i="92"/>
  <c r="P67" i="92"/>
  <c r="P34" i="91"/>
  <c r="P50" i="91"/>
  <c r="P66" i="91"/>
  <c r="P37" i="89"/>
  <c r="P53" i="89"/>
  <c r="P74" i="89"/>
  <c r="P47" i="88"/>
  <c r="P68" i="88"/>
  <c r="P71" i="96"/>
  <c r="P37" i="93"/>
  <c r="P53" i="93"/>
  <c r="P69" i="93"/>
  <c r="P36" i="92"/>
  <c r="P52" i="92"/>
  <c r="P68" i="92"/>
  <c r="P35" i="91"/>
  <c r="P51" i="91"/>
  <c r="P67" i="91"/>
  <c r="P34" i="89"/>
  <c r="P50" i="89"/>
  <c r="P70" i="89"/>
  <c r="P43" i="88"/>
  <c r="P64" i="88"/>
  <c r="P54" i="88"/>
  <c r="P46" i="88"/>
  <c r="P42" i="88"/>
  <c r="P71" i="89"/>
  <c r="P34" i="88"/>
  <c r="P56" i="22"/>
  <c r="P60" i="22"/>
  <c r="P60" i="110"/>
  <c r="P44" i="110"/>
  <c r="P64" i="22"/>
  <c r="P36" i="22"/>
  <c r="P68" i="110"/>
  <c r="P57" i="113"/>
  <c r="P75" i="133"/>
  <c r="P56" i="109"/>
  <c r="P37" i="107"/>
  <c r="P42" i="102"/>
  <c r="P28" i="113"/>
  <c r="P37" i="22"/>
  <c r="P73" i="22"/>
  <c r="P53" i="110"/>
  <c r="P35" i="152"/>
  <c r="P67" i="152"/>
  <c r="P50" i="113"/>
  <c r="P45" i="138"/>
  <c r="P60" i="133"/>
  <c r="P75" i="136"/>
  <c r="P41" i="109"/>
  <c r="P56" i="108"/>
  <c r="P71" i="122"/>
  <c r="P37" i="104"/>
  <c r="P71" i="102"/>
  <c r="P50" i="96"/>
  <c r="P33" i="113"/>
  <c r="P76" i="138"/>
  <c r="P57" i="132"/>
  <c r="P38" i="122"/>
  <c r="P70" i="102"/>
  <c r="P33" i="22"/>
  <c r="P65" i="22"/>
  <c r="P28" i="138"/>
  <c r="P30" i="22"/>
  <c r="P46" i="22"/>
  <c r="P62" i="22"/>
  <c r="P32" i="110"/>
  <c r="P64" i="110"/>
  <c r="P46" i="152"/>
  <c r="P29" i="113"/>
  <c r="P61" i="113"/>
  <c r="P68" i="138"/>
  <c r="P34" i="136"/>
  <c r="P49" i="132"/>
  <c r="P64" i="109"/>
  <c r="P30" i="122"/>
  <c r="P45" i="107"/>
  <c r="P60" i="104"/>
  <c r="P37" i="101"/>
  <c r="P61" i="92"/>
  <c r="P28" i="93"/>
  <c r="P39" i="22"/>
  <c r="P55" i="22"/>
  <c r="P71" i="22"/>
  <c r="P49" i="110"/>
  <c r="P31" i="152"/>
  <c r="P63" i="152"/>
  <c r="P46" i="113"/>
  <c r="P37" i="138"/>
  <c r="P52" i="133"/>
  <c r="P67" i="136"/>
  <c r="P33" i="109"/>
  <c r="P48" i="108"/>
  <c r="P63" i="122"/>
  <c r="P29" i="104"/>
  <c r="P32" i="102"/>
  <c r="P53" i="100"/>
  <c r="P30" i="110"/>
  <c r="P46" i="110"/>
  <c r="P62" i="110"/>
  <c r="P32" i="152"/>
  <c r="P48" i="152"/>
  <c r="P64" i="152"/>
  <c r="P31" i="113"/>
  <c r="P47" i="113"/>
  <c r="P63" i="113"/>
  <c r="P40" i="138"/>
  <c r="P72" i="138"/>
  <c r="P55" i="133"/>
  <c r="P38" i="136"/>
  <c r="P70" i="136"/>
  <c r="P53" i="132"/>
  <c r="P36" i="109"/>
  <c r="P68" i="109"/>
  <c r="P51" i="108"/>
  <c r="P34" i="122"/>
  <c r="P66" i="122"/>
  <c r="P49" i="107"/>
  <c r="P32" i="104"/>
  <c r="P64" i="104"/>
  <c r="P62" i="102"/>
  <c r="P77" i="101"/>
  <c r="P41" i="96"/>
  <c r="P33" i="88"/>
  <c r="P43" i="110"/>
  <c r="P59" i="110"/>
  <c r="P75" i="110"/>
  <c r="P41" i="152"/>
  <c r="P57" i="152"/>
  <c r="P73" i="152"/>
  <c r="P40" i="113"/>
  <c r="P56" i="113"/>
  <c r="P74" i="113"/>
  <c r="P57" i="138"/>
  <c r="P40" i="133"/>
  <c r="P72" i="133"/>
  <c r="P55" i="136"/>
  <c r="P38" i="132"/>
  <c r="P70" i="132"/>
  <c r="P53" i="109"/>
  <c r="P36" i="108"/>
  <c r="P68" i="108"/>
  <c r="P51" i="122"/>
  <c r="P34" i="107"/>
  <c r="P66" i="107"/>
  <c r="P49" i="104"/>
  <c r="P38" i="102"/>
  <c r="P46" i="101"/>
  <c r="P61" i="100"/>
  <c r="P33" i="92"/>
  <c r="P75" i="113"/>
  <c r="P42" i="138"/>
  <c r="P58" i="138"/>
  <c r="P74" i="138"/>
  <c r="P41" i="133"/>
  <c r="P57" i="133"/>
  <c r="P73" i="133"/>
  <c r="P40" i="136"/>
  <c r="P56" i="136"/>
  <c r="P72" i="136"/>
  <c r="P39" i="132"/>
  <c r="P55" i="132"/>
  <c r="P71" i="132"/>
  <c r="P38" i="109"/>
  <c r="P54" i="109"/>
  <c r="P70" i="109"/>
  <c r="P37" i="108"/>
  <c r="P53" i="108"/>
  <c r="P69" i="108"/>
  <c r="P36" i="122"/>
  <c r="P52" i="122"/>
  <c r="P68" i="122"/>
  <c r="P35" i="107"/>
  <c r="P51" i="107"/>
  <c r="P67" i="107"/>
  <c r="P34" i="104"/>
  <c r="P50" i="104"/>
  <c r="P66" i="104"/>
  <c r="P39" i="102"/>
  <c r="P66" i="102"/>
  <c r="P49" i="101"/>
  <c r="P32" i="100"/>
  <c r="P64" i="100"/>
  <c r="P45" i="96"/>
  <c r="P62" i="93"/>
  <c r="P61" i="89"/>
  <c r="P31" i="138"/>
  <c r="P47" i="138"/>
  <c r="P63" i="138"/>
  <c r="P30" i="133"/>
  <c r="P46" i="133"/>
  <c r="P62" i="133"/>
  <c r="P29" i="136"/>
  <c r="P45" i="136"/>
  <c r="P61" i="136"/>
  <c r="P77" i="136"/>
  <c r="P44" i="132"/>
  <c r="P60" i="132"/>
  <c r="P76" i="132"/>
  <c r="P43" i="109"/>
  <c r="P59" i="109"/>
  <c r="P75" i="109"/>
  <c r="P42" i="108"/>
  <c r="P58" i="108"/>
  <c r="P74" i="108"/>
  <c r="P41" i="122"/>
  <c r="P57" i="122"/>
  <c r="P73" i="122"/>
  <c r="P40" i="107"/>
  <c r="P56" i="107"/>
  <c r="P72" i="107"/>
  <c r="P39" i="104"/>
  <c r="P55" i="104"/>
  <c r="P71" i="104"/>
  <c r="P40" i="102"/>
  <c r="P67" i="102"/>
  <c r="P50" i="101"/>
  <c r="P33" i="100"/>
  <c r="P65" i="100"/>
  <c r="P46" i="96"/>
  <c r="P66" i="93"/>
  <c r="P30" i="89"/>
  <c r="P56" i="102"/>
  <c r="P72" i="102"/>
  <c r="P39" i="101"/>
  <c r="P55" i="101"/>
  <c r="P71" i="101"/>
  <c r="P38" i="100"/>
  <c r="P54" i="100"/>
  <c r="P70" i="100"/>
  <c r="P39" i="96"/>
  <c r="P55" i="96"/>
  <c r="P54" i="93"/>
  <c r="P69" i="92"/>
  <c r="P35" i="89"/>
  <c r="P65" i="88"/>
  <c r="P41" i="102"/>
  <c r="P57" i="102"/>
  <c r="P73" i="102"/>
  <c r="P40" i="101"/>
  <c r="P56" i="101"/>
  <c r="P72" i="101"/>
  <c r="P39" i="100"/>
  <c r="P55" i="100"/>
  <c r="P71" i="100"/>
  <c r="P40" i="96"/>
  <c r="P56" i="96"/>
  <c r="P58" i="93"/>
  <c r="P73" i="92"/>
  <c r="P39" i="89"/>
  <c r="P72" i="88"/>
  <c r="P73" i="96"/>
  <c r="P39" i="93"/>
  <c r="P55" i="93"/>
  <c r="P71" i="93"/>
  <c r="P38" i="92"/>
  <c r="P54" i="92"/>
  <c r="P70" i="92"/>
  <c r="P37" i="91"/>
  <c r="P53" i="91"/>
  <c r="P69" i="91"/>
  <c r="P36" i="89"/>
  <c r="P52" i="89"/>
  <c r="P73" i="89"/>
  <c r="P45" i="88"/>
  <c r="P67" i="88"/>
  <c r="P70" i="96"/>
  <c r="P40" i="93"/>
  <c r="P56" i="93"/>
  <c r="P72" i="93"/>
  <c r="P39" i="92"/>
  <c r="P55" i="92"/>
  <c r="P71" i="92"/>
  <c r="P38" i="91"/>
  <c r="P54" i="91"/>
  <c r="P70" i="91"/>
  <c r="P41" i="89"/>
  <c r="P58" i="89"/>
  <c r="P31" i="88"/>
  <c r="P52" i="88"/>
  <c r="P76" i="88"/>
  <c r="P75" i="96"/>
  <c r="P41" i="93"/>
  <c r="P57" i="93"/>
  <c r="P73" i="93"/>
  <c r="P40" i="92"/>
  <c r="P56" i="92"/>
  <c r="P72" i="92"/>
  <c r="P39" i="91"/>
  <c r="P55" i="91"/>
  <c r="P71" i="91"/>
  <c r="P38" i="89"/>
  <c r="P54" i="89"/>
  <c r="P76" i="89"/>
  <c r="P48" i="88"/>
  <c r="P71" i="88"/>
  <c r="P55" i="89"/>
  <c r="P30" i="88"/>
  <c r="P59" i="89"/>
  <c r="P73" i="88"/>
  <c r="P67" i="89"/>
  <c r="P76" i="110"/>
  <c r="P52" i="110"/>
  <c r="P42" i="152"/>
  <c r="P44" i="22"/>
  <c r="P28" i="152"/>
  <c r="P52" i="22"/>
  <c r="P58" i="152"/>
  <c r="P77" i="113"/>
  <c r="P58" i="136"/>
  <c r="P39" i="108"/>
  <c r="P69" i="107"/>
  <c r="P53" i="101"/>
  <c r="P28" i="107"/>
  <c r="P45" i="22"/>
  <c r="P29" i="110"/>
  <c r="P61" i="110"/>
  <c r="P43" i="152"/>
  <c r="P75" i="152"/>
  <c r="P58" i="113"/>
  <c r="P61" i="138"/>
  <c r="P76" i="133"/>
  <c r="P42" i="132"/>
  <c r="P57" i="109"/>
  <c r="P72" i="108"/>
  <c r="P38" i="107"/>
  <c r="P53" i="104"/>
  <c r="P54" i="101"/>
  <c r="P50" i="93"/>
  <c r="P49" i="113"/>
  <c r="P59" i="133"/>
  <c r="P40" i="109"/>
  <c r="P70" i="122"/>
  <c r="P36" i="100"/>
  <c r="P28" i="132"/>
  <c r="P41" i="22"/>
  <c r="P69" i="22"/>
  <c r="P28" i="109"/>
  <c r="P34" i="22"/>
  <c r="P50" i="22"/>
  <c r="P66" i="22"/>
  <c r="P40" i="110"/>
  <c r="P72" i="110"/>
  <c r="P54" i="152"/>
  <c r="P37" i="113"/>
  <c r="P69" i="113"/>
  <c r="P35" i="133"/>
  <c r="P50" i="136"/>
  <c r="P65" i="132"/>
  <c r="P31" i="108"/>
  <c r="P46" i="122"/>
  <c r="P61" i="107"/>
  <c r="P76" i="104"/>
  <c r="P69" i="101"/>
  <c r="P43" i="89"/>
  <c r="P28" i="89"/>
  <c r="P43" i="22"/>
  <c r="P59" i="22"/>
  <c r="P75" i="22"/>
  <c r="P57" i="110"/>
  <c r="P39" i="152"/>
  <c r="P71" i="152"/>
  <c r="P54" i="113"/>
  <c r="P53" i="138"/>
  <c r="P68" i="133"/>
  <c r="P34" i="132"/>
  <c r="P49" i="109"/>
  <c r="P64" i="108"/>
  <c r="P30" i="107"/>
  <c r="P45" i="104"/>
  <c r="P55" i="102"/>
  <c r="P34" i="96"/>
  <c r="P34" i="110"/>
  <c r="P50" i="110"/>
  <c r="P66" i="110"/>
  <c r="P36" i="152"/>
  <c r="P52" i="152"/>
  <c r="P68" i="152"/>
  <c r="P35" i="113"/>
  <c r="P51" i="113"/>
  <c r="P67" i="113"/>
  <c r="P48" i="138"/>
  <c r="P31" i="133"/>
  <c r="P63" i="133"/>
  <c r="P46" i="136"/>
  <c r="P29" i="132"/>
  <c r="P61" i="132"/>
  <c r="P44" i="109"/>
  <c r="P76" i="109"/>
  <c r="P59" i="108"/>
  <c r="P42" i="122"/>
  <c r="P74" i="122"/>
  <c r="P57" i="107"/>
  <c r="P40" i="104"/>
  <c r="P72" i="104"/>
  <c r="P29" i="101"/>
  <c r="P44" i="100"/>
  <c r="P57" i="96"/>
  <c r="P31" i="110"/>
  <c r="P47" i="110"/>
  <c r="P63" i="110"/>
  <c r="P29" i="152"/>
  <c r="P45" i="152"/>
  <c r="P61" i="152"/>
  <c r="P77" i="152"/>
  <c r="P44" i="113"/>
  <c r="P60" i="113"/>
  <c r="P33" i="138"/>
  <c r="P65" i="138"/>
  <c r="P48" i="133"/>
  <c r="P31" i="136"/>
  <c r="P63" i="136"/>
  <c r="P46" i="132"/>
  <c r="P29" i="109"/>
  <c r="P61" i="109"/>
  <c r="P44" i="108"/>
  <c r="P76" i="108"/>
  <c r="P59" i="122"/>
  <c r="P42" i="107"/>
  <c r="P74" i="107"/>
  <c r="P57" i="104"/>
  <c r="P48" i="102"/>
  <c r="P62" i="101"/>
  <c r="P77" i="100"/>
  <c r="P48" i="91"/>
  <c r="P30" i="138"/>
  <c r="P46" i="138"/>
  <c r="P62" i="138"/>
  <c r="P29" i="133"/>
  <c r="P45" i="133"/>
  <c r="P61" i="133"/>
  <c r="P77" i="133"/>
  <c r="P44" i="136"/>
  <c r="P60" i="136"/>
  <c r="P76" i="136"/>
  <c r="P43" i="132"/>
  <c r="P59" i="132"/>
  <c r="P75" i="132"/>
  <c r="P42" i="109"/>
  <c r="P58" i="109"/>
  <c r="P74" i="109"/>
  <c r="P41" i="108"/>
  <c r="P57" i="108"/>
  <c r="P73" i="108"/>
  <c r="P40" i="122"/>
  <c r="P56" i="122"/>
  <c r="P72" i="122"/>
  <c r="P39" i="107"/>
  <c r="P55" i="107"/>
  <c r="P71" i="107"/>
  <c r="P38" i="104"/>
  <c r="P54" i="104"/>
  <c r="P70" i="104"/>
  <c r="P44" i="102"/>
  <c r="P74" i="102"/>
  <c r="P57" i="101"/>
  <c r="P40" i="100"/>
  <c r="P72" i="100"/>
  <c r="P53" i="96"/>
  <c r="P45" i="92"/>
  <c r="P55" i="88"/>
  <c r="P35" i="138"/>
  <c r="P51" i="138"/>
  <c r="P67" i="138"/>
  <c r="P34" i="133"/>
  <c r="P50" i="133"/>
  <c r="P66" i="133"/>
  <c r="P33" i="136"/>
  <c r="P49" i="136"/>
  <c r="P65" i="136"/>
  <c r="P32" i="132"/>
  <c r="P48" i="132"/>
  <c r="P64" i="132"/>
  <c r="P31" i="109"/>
  <c r="P47" i="109"/>
  <c r="P63" i="109"/>
  <c r="P30" i="108"/>
  <c r="P46" i="108"/>
  <c r="P62" i="108"/>
  <c r="P29" i="122"/>
  <c r="P45" i="122"/>
  <c r="P61" i="122"/>
  <c r="P77" i="122"/>
  <c r="P44" i="107"/>
  <c r="P60" i="107"/>
  <c r="P76" i="107"/>
  <c r="P43" i="104"/>
  <c r="P59" i="104"/>
  <c r="P75" i="104"/>
  <c r="P46" i="102"/>
  <c r="P75" i="102"/>
  <c r="P58" i="101"/>
  <c r="P41" i="100"/>
  <c r="P73" i="100"/>
  <c r="P54" i="96"/>
  <c r="P49" i="92"/>
  <c r="P66" i="89"/>
  <c r="P60" i="102"/>
  <c r="P76" i="102"/>
  <c r="P43" i="101"/>
  <c r="P59" i="101"/>
  <c r="P75" i="101"/>
  <c r="P42" i="100"/>
  <c r="P58" i="100"/>
  <c r="P74" i="100"/>
  <c r="P43" i="96"/>
  <c r="P59" i="96"/>
  <c r="P70" i="93"/>
  <c r="P36" i="91"/>
  <c r="P51" i="89"/>
  <c r="P29" i="102"/>
  <c r="P45" i="102"/>
  <c r="P61" i="102"/>
  <c r="P77" i="102"/>
  <c r="P44" i="101"/>
  <c r="P60" i="101"/>
  <c r="P76" i="101"/>
  <c r="P43" i="100"/>
  <c r="P59" i="100"/>
  <c r="P75" i="100"/>
  <c r="P44" i="96"/>
  <c r="P60" i="96"/>
  <c r="P74" i="93"/>
  <c r="P40" i="91"/>
  <c r="P56" i="89"/>
  <c r="P61" i="96"/>
  <c r="P77" i="96"/>
  <c r="P43" i="93"/>
  <c r="P59" i="93"/>
  <c r="P75" i="93"/>
  <c r="P42" i="92"/>
  <c r="P58" i="92"/>
  <c r="P74" i="92"/>
  <c r="P41" i="91"/>
  <c r="P57" i="91"/>
  <c r="P73" i="91"/>
  <c r="P40" i="89"/>
  <c r="P57" i="89"/>
  <c r="P29" i="88"/>
  <c r="P51" i="88"/>
  <c r="P75" i="88"/>
  <c r="P74" i="96"/>
  <c r="P44" i="93"/>
  <c r="P60" i="93"/>
  <c r="P76" i="93"/>
  <c r="P43" i="92"/>
  <c r="P59" i="92"/>
  <c r="P75" i="92"/>
  <c r="P42" i="91"/>
  <c r="P58" i="91"/>
  <c r="P74" i="91"/>
  <c r="P45" i="89"/>
  <c r="P64" i="89"/>
  <c r="P36" i="88"/>
  <c r="P57" i="88"/>
  <c r="P63" i="96"/>
  <c r="P29" i="93"/>
  <c r="P45" i="93"/>
  <c r="P61" i="93"/>
  <c r="P77" i="93"/>
  <c r="P44" i="92"/>
  <c r="P60" i="92"/>
  <c r="P76" i="92"/>
  <c r="P43" i="91"/>
  <c r="P59" i="91"/>
  <c r="P75" i="91"/>
  <c r="P42" i="89"/>
  <c r="P60" i="89"/>
  <c r="P32" i="88"/>
  <c r="P53" i="88"/>
  <c r="D15" i="4"/>
  <c r="M92" i="161" l="1"/>
  <c r="F92" i="161"/>
  <c r="G92" i="161"/>
  <c r="C92" i="170"/>
  <c r="B92" i="170" s="1"/>
  <c r="H92" i="161"/>
  <c r="N92" i="161"/>
  <c r="S92" i="161"/>
  <c r="D78" i="14"/>
  <c r="J92" i="161"/>
  <c r="T92" i="161"/>
  <c r="U92" i="161" s="1"/>
  <c r="D92" i="170" s="1"/>
  <c r="K92" i="161"/>
  <c r="G78" i="14"/>
  <c r="Z92" i="161"/>
  <c r="Q92" i="161"/>
  <c r="P92" i="161"/>
  <c r="C2" i="166"/>
  <c r="B2" i="166"/>
  <c r="C1" i="166"/>
  <c r="B1" i="166"/>
  <c r="C2" i="164"/>
  <c r="B2" i="164"/>
  <c r="C1" i="164"/>
  <c r="B1" i="164"/>
  <c r="C2" i="165"/>
  <c r="B2" i="165"/>
  <c r="C1" i="165"/>
  <c r="G91" i="165" s="1"/>
  <c r="G91" i="166" s="1"/>
  <c r="B1" i="165"/>
  <c r="C2" i="161"/>
  <c r="B2" i="161"/>
  <c r="C1" i="161"/>
  <c r="B1" i="161"/>
  <c r="F92" i="170" l="1"/>
  <c r="G92" i="170" s="1"/>
  <c r="K92" i="170"/>
  <c r="J92" i="170"/>
  <c r="L92" i="170" s="1"/>
  <c r="C92" i="171"/>
  <c r="C92" i="164" s="1"/>
  <c r="O92" i="164" s="1"/>
  <c r="I92" i="161"/>
  <c r="L92" i="161" s="1"/>
  <c r="O92" i="161" s="1"/>
  <c r="R92" i="161" s="1"/>
  <c r="AX131" i="166"/>
  <c r="AA131" i="166"/>
  <c r="X131" i="166"/>
  <c r="W131" i="166"/>
  <c r="V131" i="166"/>
  <c r="AX130" i="166"/>
  <c r="AA130" i="166"/>
  <c r="X130" i="166"/>
  <c r="Z130" i="166" s="1"/>
  <c r="W130" i="166"/>
  <c r="Y130" i="166" s="1"/>
  <c r="AX129" i="166"/>
  <c r="AA129" i="166"/>
  <c r="X129" i="166"/>
  <c r="Z129" i="166" s="1"/>
  <c r="W129" i="166"/>
  <c r="Y129" i="166" s="1"/>
  <c r="AX128" i="166"/>
  <c r="AA128" i="166"/>
  <c r="X128" i="166"/>
  <c r="Z128" i="166" s="1"/>
  <c r="W128" i="166"/>
  <c r="Y128" i="166" s="1"/>
  <c r="AX127" i="166"/>
  <c r="AA127" i="166"/>
  <c r="X127" i="166"/>
  <c r="Z127" i="166" s="1"/>
  <c r="W127" i="166"/>
  <c r="Y127" i="166" s="1"/>
  <c r="AX126" i="166"/>
  <c r="AA126" i="166"/>
  <c r="X126" i="166"/>
  <c r="Z126" i="166" s="1"/>
  <c r="W126" i="166"/>
  <c r="Y126" i="166" s="1"/>
  <c r="AX125" i="166"/>
  <c r="AA125" i="166"/>
  <c r="X125" i="166"/>
  <c r="Z125" i="166" s="1"/>
  <c r="W125" i="166"/>
  <c r="Y125" i="166" s="1"/>
  <c r="AX124" i="166"/>
  <c r="AA124" i="166"/>
  <c r="X124" i="166"/>
  <c r="Z124" i="166" s="1"/>
  <c r="W124" i="166"/>
  <c r="Y124" i="166" s="1"/>
  <c r="AX123" i="166"/>
  <c r="AA123" i="166"/>
  <c r="X123" i="166"/>
  <c r="Z123" i="166" s="1"/>
  <c r="W123" i="166"/>
  <c r="Y123" i="166" s="1"/>
  <c r="AX122" i="166"/>
  <c r="AA122" i="166"/>
  <c r="X122" i="166"/>
  <c r="Z122" i="166" s="1"/>
  <c r="W122" i="166"/>
  <c r="Y122" i="166" s="1"/>
  <c r="AX121" i="166"/>
  <c r="AA121" i="166"/>
  <c r="X121" i="166"/>
  <c r="Z121" i="166" s="1"/>
  <c r="W121" i="166"/>
  <c r="Y121" i="166" s="1"/>
  <c r="AX120" i="166"/>
  <c r="AA120" i="166"/>
  <c r="X120" i="166"/>
  <c r="Z120" i="166" s="1"/>
  <c r="W120" i="166"/>
  <c r="Y120" i="166" s="1"/>
  <c r="AX119" i="166"/>
  <c r="AA119" i="166"/>
  <c r="X119" i="166"/>
  <c r="Z119" i="166" s="1"/>
  <c r="W119" i="166"/>
  <c r="Y119" i="166" s="1"/>
  <c r="AX118" i="166"/>
  <c r="AA118" i="166"/>
  <c r="X118" i="166"/>
  <c r="Z118" i="166" s="1"/>
  <c r="W118" i="166"/>
  <c r="Y118" i="166" s="1"/>
  <c r="AX117" i="166"/>
  <c r="AA117" i="166"/>
  <c r="X117" i="166"/>
  <c r="Z117" i="166" s="1"/>
  <c r="W117" i="166"/>
  <c r="Y117" i="166" s="1"/>
  <c r="AX116" i="166"/>
  <c r="AA116" i="166"/>
  <c r="X116" i="166"/>
  <c r="Z116" i="166" s="1"/>
  <c r="W116" i="166"/>
  <c r="Y116" i="166" s="1"/>
  <c r="AX115" i="166"/>
  <c r="AA115" i="166"/>
  <c r="X115" i="166"/>
  <c r="Z115" i="166" s="1"/>
  <c r="W115" i="166"/>
  <c r="Y115" i="166" s="1"/>
  <c r="AX114" i="166"/>
  <c r="AA114" i="166"/>
  <c r="X114" i="166"/>
  <c r="Z114" i="166" s="1"/>
  <c r="W114" i="166"/>
  <c r="Y114" i="166" s="1"/>
  <c r="AX113" i="166"/>
  <c r="AA113" i="166"/>
  <c r="X113" i="166"/>
  <c r="Z113" i="166" s="1"/>
  <c r="W113" i="166"/>
  <c r="Y113" i="166" s="1"/>
  <c r="AX112" i="166"/>
  <c r="AA112" i="166"/>
  <c r="X112" i="166"/>
  <c r="Z112" i="166" s="1"/>
  <c r="W112" i="166"/>
  <c r="Y112" i="166" s="1"/>
  <c r="AX111" i="166"/>
  <c r="AA111" i="166"/>
  <c r="X111" i="166"/>
  <c r="Z111" i="166" s="1"/>
  <c r="W111" i="166"/>
  <c r="Y111" i="166" s="1"/>
  <c r="AX110" i="166"/>
  <c r="AA110" i="166"/>
  <c r="X110" i="166"/>
  <c r="Z110" i="166" s="1"/>
  <c r="W110" i="166"/>
  <c r="Y110" i="166" s="1"/>
  <c r="AX109" i="166"/>
  <c r="AA109" i="166"/>
  <c r="X109" i="166"/>
  <c r="Z109" i="166" s="1"/>
  <c r="W109" i="166"/>
  <c r="Y109" i="166" s="1"/>
  <c r="AX108" i="166"/>
  <c r="AA108" i="166"/>
  <c r="X108" i="166"/>
  <c r="Z108" i="166" s="1"/>
  <c r="W108" i="166"/>
  <c r="Y108" i="166" s="1"/>
  <c r="AX107" i="166"/>
  <c r="AA107" i="166"/>
  <c r="X107" i="166"/>
  <c r="Z107" i="166" s="1"/>
  <c r="W107" i="166"/>
  <c r="Y107" i="166" s="1"/>
  <c r="AX106" i="166"/>
  <c r="AA106" i="166"/>
  <c r="X106" i="166"/>
  <c r="Z106" i="166" s="1"/>
  <c r="W106" i="166"/>
  <c r="Y106" i="166" s="1"/>
  <c r="AX105" i="166"/>
  <c r="AA105" i="166"/>
  <c r="X105" i="166"/>
  <c r="Z105" i="166" s="1"/>
  <c r="W105" i="166"/>
  <c r="Y105" i="166" s="1"/>
  <c r="AX104" i="166"/>
  <c r="AA104" i="166"/>
  <c r="X104" i="166"/>
  <c r="Z104" i="166" s="1"/>
  <c r="W104" i="166"/>
  <c r="Y104" i="166" s="1"/>
  <c r="AX103" i="166"/>
  <c r="AA103" i="166"/>
  <c r="X103" i="166"/>
  <c r="Z103" i="166" s="1"/>
  <c r="W103" i="166"/>
  <c r="Y103" i="166" s="1"/>
  <c r="AX102" i="166"/>
  <c r="AA102" i="166"/>
  <c r="X102" i="166"/>
  <c r="Z102" i="166" s="1"/>
  <c r="W102" i="166"/>
  <c r="Y102" i="166" s="1"/>
  <c r="AX101" i="166"/>
  <c r="AA101" i="166"/>
  <c r="X101" i="166"/>
  <c r="Z101" i="166" s="1"/>
  <c r="W101" i="166"/>
  <c r="Y101" i="166" s="1"/>
  <c r="AX100" i="166"/>
  <c r="AA100" i="166"/>
  <c r="X100" i="166"/>
  <c r="Z100" i="166" s="1"/>
  <c r="W100" i="166"/>
  <c r="Y100" i="166" s="1"/>
  <c r="AX99" i="166"/>
  <c r="AA99" i="166"/>
  <c r="X99" i="166"/>
  <c r="Z99" i="166" s="1"/>
  <c r="W99" i="166"/>
  <c r="Y99" i="166" s="1"/>
  <c r="AX98" i="166"/>
  <c r="AA98" i="166"/>
  <c r="X98" i="166"/>
  <c r="Z98" i="166" s="1"/>
  <c r="W98" i="166"/>
  <c r="Y98" i="166" s="1"/>
  <c r="AX97" i="166"/>
  <c r="AA97" i="166"/>
  <c r="X97" i="166"/>
  <c r="Z97" i="166" s="1"/>
  <c r="W97" i="166"/>
  <c r="Y97" i="166" s="1"/>
  <c r="AX96" i="166"/>
  <c r="AA96" i="166"/>
  <c r="X96" i="166"/>
  <c r="Z96" i="166" s="1"/>
  <c r="W96" i="166"/>
  <c r="Y96" i="166" s="1"/>
  <c r="AX95" i="166"/>
  <c r="AA95" i="166"/>
  <c r="X95" i="166"/>
  <c r="Z95" i="166" s="1"/>
  <c r="W95" i="166"/>
  <c r="Y95" i="166" s="1"/>
  <c r="AX94" i="166"/>
  <c r="AA94" i="166"/>
  <c r="X94" i="166"/>
  <c r="Z94" i="166" s="1"/>
  <c r="W94" i="166"/>
  <c r="Y94" i="166" s="1"/>
  <c r="AX93" i="166"/>
  <c r="AA93" i="166"/>
  <c r="X93" i="166"/>
  <c r="Z93" i="166" s="1"/>
  <c r="W93" i="166"/>
  <c r="Y93" i="166" s="1"/>
  <c r="AX92" i="166"/>
  <c r="AA92" i="166"/>
  <c r="X92" i="166"/>
  <c r="Z92" i="166" s="1"/>
  <c r="W92" i="166"/>
  <c r="Y92" i="166" s="1"/>
  <c r="AX91" i="166"/>
  <c r="AY30" i="166"/>
  <c r="AW30" i="166"/>
  <c r="AV30" i="166"/>
  <c r="AU30" i="166"/>
  <c r="AT30" i="166"/>
  <c r="AS30" i="166"/>
  <c r="AR30" i="166"/>
  <c r="AQ30" i="166"/>
  <c r="AP30" i="166"/>
  <c r="AO30" i="166"/>
  <c r="AN30" i="166"/>
  <c r="AM30" i="166"/>
  <c r="AL30" i="166"/>
  <c r="AK30" i="166"/>
  <c r="AJ30" i="166"/>
  <c r="AI30" i="166"/>
  <c r="AH30" i="166"/>
  <c r="AG30" i="166"/>
  <c r="AF30" i="166"/>
  <c r="AE30" i="166"/>
  <c r="AD30" i="166"/>
  <c r="AC30" i="166"/>
  <c r="AB30" i="166"/>
  <c r="AZ38" i="166"/>
  <c r="B28" i="164"/>
  <c r="AC130" i="161"/>
  <c r="AC129" i="161"/>
  <c r="AC128" i="161"/>
  <c r="AC127" i="161"/>
  <c r="AC126" i="161"/>
  <c r="AC125" i="161"/>
  <c r="AC124" i="161"/>
  <c r="AC123" i="161"/>
  <c r="AC122" i="161"/>
  <c r="AC121" i="161"/>
  <c r="AC120" i="161"/>
  <c r="AC119" i="161"/>
  <c r="AC118" i="161"/>
  <c r="AC117" i="161"/>
  <c r="AC116" i="161"/>
  <c r="AC115" i="161"/>
  <c r="AC114" i="161"/>
  <c r="AC113" i="161"/>
  <c r="AC112" i="161"/>
  <c r="AC111" i="161"/>
  <c r="AC110" i="161"/>
  <c r="AC109" i="161"/>
  <c r="AC108" i="161"/>
  <c r="AC107" i="161"/>
  <c r="AC106" i="161"/>
  <c r="AC105" i="161"/>
  <c r="AC104" i="161"/>
  <c r="AC103" i="161"/>
  <c r="AC102" i="161"/>
  <c r="AC101" i="161"/>
  <c r="AC100" i="161"/>
  <c r="AC99" i="161"/>
  <c r="AC98" i="161"/>
  <c r="AC97" i="161"/>
  <c r="AC96" i="161"/>
  <c r="AC95" i="161"/>
  <c r="AC94" i="161"/>
  <c r="AC93" i="161"/>
  <c r="AC92" i="161"/>
  <c r="AC91" i="161"/>
  <c r="B28" i="161"/>
  <c r="D15" i="154"/>
  <c r="D15" i="21"/>
  <c r="D15" i="20"/>
  <c r="D15" i="19"/>
  <c r="D15" i="17"/>
  <c r="D15" i="16"/>
  <c r="K92" i="171" l="1"/>
  <c r="D92" i="164"/>
  <c r="E92" i="164"/>
  <c r="B92" i="171"/>
  <c r="J92" i="164"/>
  <c r="B92" i="164"/>
  <c r="F92" i="164"/>
  <c r="X92" i="164" s="1"/>
  <c r="H92" i="164"/>
  <c r="I92" i="164"/>
  <c r="J92" i="171"/>
  <c r="P92" i="164"/>
  <c r="V92" i="164"/>
  <c r="W92" i="164" s="1"/>
  <c r="U92" i="164"/>
  <c r="S92" i="164"/>
  <c r="I92" i="171"/>
  <c r="L92" i="164"/>
  <c r="R92" i="164"/>
  <c r="M92" i="164"/>
  <c r="AZ32" i="166"/>
  <c r="AZ36" i="166"/>
  <c r="AZ44" i="166"/>
  <c r="AZ33" i="166"/>
  <c r="AZ37" i="166"/>
  <c r="AZ40" i="166"/>
  <c r="AZ41" i="166"/>
  <c r="AZ34" i="166"/>
  <c r="AZ131" i="166"/>
  <c r="AZ127" i="166"/>
  <c r="AZ123" i="166"/>
  <c r="AZ119" i="166"/>
  <c r="AZ115" i="166"/>
  <c r="AZ128" i="166"/>
  <c r="AZ129" i="166"/>
  <c r="AZ125" i="166"/>
  <c r="AZ130" i="166"/>
  <c r="AZ126" i="166"/>
  <c r="AZ122" i="166"/>
  <c r="AZ118" i="166"/>
  <c r="AZ114" i="166"/>
  <c r="AZ110" i="166"/>
  <c r="AZ106" i="166"/>
  <c r="AZ102" i="166"/>
  <c r="AZ98" i="166"/>
  <c r="AZ94" i="166"/>
  <c r="AZ90" i="166"/>
  <c r="AZ89" i="166"/>
  <c r="AZ88" i="166"/>
  <c r="AZ87" i="166"/>
  <c r="AZ86" i="166"/>
  <c r="AZ85" i="166"/>
  <c r="AZ84" i="166"/>
  <c r="AZ83" i="166"/>
  <c r="AZ82" i="166"/>
  <c r="AZ81" i="166"/>
  <c r="AZ80" i="166"/>
  <c r="AZ121" i="166"/>
  <c r="AZ113" i="166"/>
  <c r="AZ120" i="166"/>
  <c r="AZ112" i="166"/>
  <c r="AZ109" i="166"/>
  <c r="AZ99" i="166"/>
  <c r="AZ96" i="166"/>
  <c r="AZ93" i="166"/>
  <c r="AZ79" i="166"/>
  <c r="AZ78" i="166"/>
  <c r="AZ77" i="166"/>
  <c r="AZ76" i="166"/>
  <c r="AZ75" i="166"/>
  <c r="AZ74" i="166"/>
  <c r="AZ73" i="166"/>
  <c r="AZ72" i="166"/>
  <c r="AZ71" i="166"/>
  <c r="AZ70" i="166"/>
  <c r="AZ69" i="166"/>
  <c r="AZ68" i="166"/>
  <c r="AZ67" i="166"/>
  <c r="AZ66" i="166"/>
  <c r="AZ65" i="166"/>
  <c r="AZ64" i="166"/>
  <c r="AZ117" i="166"/>
  <c r="AZ107" i="166"/>
  <c r="AZ104" i="166"/>
  <c r="AZ101" i="166"/>
  <c r="AZ124" i="166"/>
  <c r="AZ108" i="166"/>
  <c r="AZ105" i="166"/>
  <c r="AZ91" i="166"/>
  <c r="AZ111" i="166"/>
  <c r="AZ97" i="166"/>
  <c r="AZ92" i="166"/>
  <c r="AZ116" i="166"/>
  <c r="AZ103" i="166"/>
  <c r="AZ100" i="166"/>
  <c r="AZ95" i="166"/>
  <c r="AZ63" i="166"/>
  <c r="AZ62" i="166"/>
  <c r="AZ61" i="166"/>
  <c r="AZ60" i="166"/>
  <c r="AZ59" i="166"/>
  <c r="AZ58" i="166"/>
  <c r="AZ57" i="166"/>
  <c r="AZ56" i="166"/>
  <c r="AZ55" i="166"/>
  <c r="AZ54" i="166"/>
  <c r="AZ53" i="166"/>
  <c r="AZ52" i="166"/>
  <c r="AZ51" i="166"/>
  <c r="AZ50" i="166"/>
  <c r="AZ49" i="166"/>
  <c r="AZ48" i="166"/>
  <c r="AZ46" i="166"/>
  <c r="AZ42" i="166"/>
  <c r="AZ45" i="166"/>
  <c r="AZ47" i="166"/>
  <c r="AZ43" i="166"/>
  <c r="AZ39" i="166"/>
  <c r="AZ31" i="166"/>
  <c r="AZ35" i="166"/>
  <c r="K92" i="164" l="1"/>
  <c r="N92" i="164" s="1"/>
  <c r="Q92" i="164" s="1"/>
  <c r="J18" i="88"/>
  <c r="J18" i="89"/>
  <c r="J18" i="90"/>
  <c r="J18" i="91"/>
  <c r="J18" i="92"/>
  <c r="J18" i="93"/>
  <c r="J18" i="94"/>
  <c r="J18" i="95"/>
  <c r="J18" i="96"/>
  <c r="J18" i="97"/>
  <c r="J18" i="98"/>
  <c r="J18" i="99"/>
  <c r="J18" i="100"/>
  <c r="J18" i="101"/>
  <c r="J18" i="102"/>
  <c r="J18" i="103"/>
  <c r="J18" i="104"/>
  <c r="J18" i="105"/>
  <c r="J18" i="106"/>
  <c r="J18" i="107"/>
  <c r="J18" i="108"/>
  <c r="J18" i="109"/>
  <c r="J18" i="110"/>
  <c r="J18" i="111"/>
  <c r="J18" i="112"/>
  <c r="J18" i="113"/>
  <c r="J18" i="114"/>
  <c r="J18" i="115"/>
  <c r="J18" i="116"/>
  <c r="J18" i="117"/>
  <c r="J18" i="118"/>
  <c r="J18" i="119"/>
  <c r="J18" i="120"/>
  <c r="J18" i="121"/>
  <c r="J18" i="122"/>
  <c r="J18" i="123"/>
  <c r="J18" i="124"/>
  <c r="J18" i="125"/>
  <c r="J18" i="126"/>
  <c r="J18" i="127"/>
  <c r="J18" i="128"/>
  <c r="J18" i="129"/>
  <c r="J18" i="130"/>
  <c r="J18" i="131"/>
  <c r="J18" i="132"/>
  <c r="J18" i="133"/>
  <c r="J18" i="134"/>
  <c r="J18" i="135"/>
  <c r="J18" i="136"/>
  <c r="J18" i="137"/>
  <c r="J18" i="138"/>
  <c r="J18" i="139"/>
  <c r="J18" i="140"/>
  <c r="J18" i="141"/>
  <c r="J18" i="142"/>
  <c r="J18" i="143"/>
  <c r="J18" i="144"/>
  <c r="J18" i="145"/>
  <c r="J18" i="152"/>
  <c r="J18" i="22"/>
  <c r="T92" i="164" l="1"/>
  <c r="B23" i="1"/>
  <c r="Z16" i="2" l="1"/>
  <c r="E16" i="21" s="1"/>
  <c r="Y16" i="2"/>
  <c r="D16" i="21" s="1"/>
  <c r="F79" i="137" l="1"/>
  <c r="E7" i="88" l="1"/>
  <c r="E7" i="89"/>
  <c r="E7" i="90"/>
  <c r="E7" i="91"/>
  <c r="E7" i="92"/>
  <c r="E7" i="93"/>
  <c r="E7" i="94"/>
  <c r="E7" i="95"/>
  <c r="E7" i="96"/>
  <c r="E7" i="97"/>
  <c r="E7" i="98"/>
  <c r="E7" i="99"/>
  <c r="E7" i="100"/>
  <c r="E7" i="101"/>
  <c r="E7" i="102"/>
  <c r="E7" i="103"/>
  <c r="E7" i="104"/>
  <c r="E7" i="105"/>
  <c r="E7" i="106"/>
  <c r="E7" i="107"/>
  <c r="E7" i="108"/>
  <c r="E7" i="109"/>
  <c r="E7" i="110"/>
  <c r="E7" i="111"/>
  <c r="E7" i="112"/>
  <c r="E7" i="113"/>
  <c r="E7" i="114"/>
  <c r="E7" i="115"/>
  <c r="E7" i="116"/>
  <c r="E7" i="117"/>
  <c r="E7" i="118"/>
  <c r="E7" i="119"/>
  <c r="E7" i="120"/>
  <c r="E7" i="121"/>
  <c r="E7" i="122"/>
  <c r="E7" i="123"/>
  <c r="E7" i="124"/>
  <c r="E7" i="125"/>
  <c r="E7" i="126"/>
  <c r="E7" i="127"/>
  <c r="E7" i="128"/>
  <c r="E7" i="129"/>
  <c r="E7" i="130"/>
  <c r="E7" i="131"/>
  <c r="E7" i="132"/>
  <c r="E7" i="133"/>
  <c r="E7" i="134"/>
  <c r="E7" i="135"/>
  <c r="E7" i="136"/>
  <c r="E7" i="137"/>
  <c r="E7" i="138"/>
  <c r="E7" i="139"/>
  <c r="E7" i="140"/>
  <c r="E7" i="141"/>
  <c r="E7" i="142"/>
  <c r="E7" i="143"/>
  <c r="E7" i="144"/>
  <c r="E7" i="145"/>
  <c r="E7" i="152"/>
  <c r="E7" i="22"/>
  <c r="L46" i="88" l="1"/>
  <c r="L47" i="88"/>
  <c r="L48" i="88"/>
  <c r="L49" i="88"/>
  <c r="L50" i="88"/>
  <c r="L51" i="88"/>
  <c r="L52" i="88"/>
  <c r="L53" i="88"/>
  <c r="L54" i="88"/>
  <c r="L55" i="88"/>
  <c r="L56" i="88"/>
  <c r="L57" i="88"/>
  <c r="L58" i="88"/>
  <c r="L59" i="88"/>
  <c r="L60" i="88"/>
  <c r="L61" i="88"/>
  <c r="L62" i="88"/>
  <c r="L63" i="88"/>
  <c r="L64" i="88"/>
  <c r="L65" i="88"/>
  <c r="L66" i="88"/>
  <c r="L67" i="88"/>
  <c r="L68" i="88"/>
  <c r="L69" i="88"/>
  <c r="L70" i="88"/>
  <c r="L71" i="88"/>
  <c r="L72" i="88"/>
  <c r="L73" i="88"/>
  <c r="L74" i="88"/>
  <c r="L75" i="88"/>
  <c r="L76" i="88"/>
  <c r="L77" i="88"/>
  <c r="L46" i="89"/>
  <c r="L47" i="89"/>
  <c r="L48" i="89"/>
  <c r="L49" i="89"/>
  <c r="L50" i="89"/>
  <c r="L51" i="89"/>
  <c r="L52" i="89"/>
  <c r="L53" i="89"/>
  <c r="L54" i="89"/>
  <c r="L55" i="89"/>
  <c r="L56" i="89"/>
  <c r="L57" i="89"/>
  <c r="L58" i="89"/>
  <c r="L59" i="89"/>
  <c r="L60" i="89"/>
  <c r="L61" i="89"/>
  <c r="L62" i="89"/>
  <c r="L63" i="89"/>
  <c r="L64" i="89"/>
  <c r="L65" i="89"/>
  <c r="L66" i="89"/>
  <c r="L67" i="89"/>
  <c r="L68" i="89"/>
  <c r="L69" i="89"/>
  <c r="L70" i="89"/>
  <c r="L71" i="89"/>
  <c r="L72" i="89"/>
  <c r="L73" i="89"/>
  <c r="L74" i="89"/>
  <c r="L75" i="89"/>
  <c r="L76" i="89"/>
  <c r="L77" i="89"/>
  <c r="L46" i="90"/>
  <c r="L47" i="90"/>
  <c r="L48" i="90"/>
  <c r="L49" i="90"/>
  <c r="L50" i="90"/>
  <c r="L51" i="90"/>
  <c r="L52" i="90"/>
  <c r="L53" i="90"/>
  <c r="L54" i="90"/>
  <c r="L55" i="90"/>
  <c r="L56" i="90"/>
  <c r="L57" i="90"/>
  <c r="L58" i="90"/>
  <c r="L59" i="90"/>
  <c r="L60" i="90"/>
  <c r="L61" i="90"/>
  <c r="L62" i="90"/>
  <c r="L63" i="90"/>
  <c r="L64" i="90"/>
  <c r="L65" i="90"/>
  <c r="L66" i="90"/>
  <c r="L67" i="90"/>
  <c r="L68" i="90"/>
  <c r="L69" i="90"/>
  <c r="L70" i="90"/>
  <c r="L71" i="90"/>
  <c r="L72" i="90"/>
  <c r="L73" i="90"/>
  <c r="L74" i="90"/>
  <c r="L75" i="90"/>
  <c r="L76" i="90"/>
  <c r="L77" i="90"/>
  <c r="L46" i="91"/>
  <c r="L47" i="91"/>
  <c r="L48" i="91"/>
  <c r="L49" i="91"/>
  <c r="L50" i="91"/>
  <c r="L51" i="91"/>
  <c r="L52" i="91"/>
  <c r="L53" i="91"/>
  <c r="L54" i="91"/>
  <c r="L55" i="91"/>
  <c r="L56" i="91"/>
  <c r="L57" i="91"/>
  <c r="L58" i="91"/>
  <c r="L59" i="91"/>
  <c r="L60" i="91"/>
  <c r="L61" i="91"/>
  <c r="L62" i="91"/>
  <c r="L63" i="91"/>
  <c r="L64" i="91"/>
  <c r="L65" i="91"/>
  <c r="L66" i="91"/>
  <c r="L67" i="91"/>
  <c r="L68" i="91"/>
  <c r="L69" i="91"/>
  <c r="L70" i="91"/>
  <c r="L71" i="91"/>
  <c r="L72" i="91"/>
  <c r="L73" i="91"/>
  <c r="L74" i="91"/>
  <c r="L75" i="91"/>
  <c r="L76" i="91"/>
  <c r="L77" i="91"/>
  <c r="L46" i="92"/>
  <c r="L47" i="92"/>
  <c r="L48" i="92"/>
  <c r="L49" i="92"/>
  <c r="L50" i="92"/>
  <c r="L51" i="92"/>
  <c r="L52" i="92"/>
  <c r="L53" i="92"/>
  <c r="L54" i="92"/>
  <c r="L55" i="92"/>
  <c r="L56" i="92"/>
  <c r="L57" i="92"/>
  <c r="L58" i="92"/>
  <c r="L59" i="92"/>
  <c r="L60" i="92"/>
  <c r="L61" i="92"/>
  <c r="L62" i="92"/>
  <c r="L63" i="92"/>
  <c r="L64" i="92"/>
  <c r="L65" i="92"/>
  <c r="L66" i="92"/>
  <c r="L67" i="92"/>
  <c r="L68" i="92"/>
  <c r="L69" i="92"/>
  <c r="L70" i="92"/>
  <c r="L71" i="92"/>
  <c r="L72" i="92"/>
  <c r="L73" i="92"/>
  <c r="L74" i="92"/>
  <c r="L75" i="92"/>
  <c r="L76" i="92"/>
  <c r="L77" i="92"/>
  <c r="L46" i="93"/>
  <c r="L47" i="93"/>
  <c r="L48" i="93"/>
  <c r="L49" i="93"/>
  <c r="L50" i="93"/>
  <c r="L51" i="93"/>
  <c r="L52" i="93"/>
  <c r="L53" i="93"/>
  <c r="L54" i="93"/>
  <c r="L55" i="93"/>
  <c r="L56" i="93"/>
  <c r="L57" i="93"/>
  <c r="L58" i="93"/>
  <c r="L59" i="93"/>
  <c r="L60" i="93"/>
  <c r="L61" i="93"/>
  <c r="L62" i="93"/>
  <c r="L63" i="93"/>
  <c r="L64" i="93"/>
  <c r="L65" i="93"/>
  <c r="L66" i="93"/>
  <c r="L67" i="93"/>
  <c r="L68" i="93"/>
  <c r="L69" i="93"/>
  <c r="L70" i="93"/>
  <c r="L71" i="93"/>
  <c r="L72" i="93"/>
  <c r="L73" i="93"/>
  <c r="L74" i="93"/>
  <c r="L75" i="93"/>
  <c r="L76" i="93"/>
  <c r="L77" i="93"/>
  <c r="L46" i="94"/>
  <c r="L47" i="94"/>
  <c r="L48" i="94"/>
  <c r="L49" i="94"/>
  <c r="L50" i="94"/>
  <c r="L51" i="94"/>
  <c r="L52" i="94"/>
  <c r="L53" i="94"/>
  <c r="L54" i="94"/>
  <c r="L55" i="94"/>
  <c r="L56" i="94"/>
  <c r="L57" i="94"/>
  <c r="L58" i="94"/>
  <c r="L59" i="94"/>
  <c r="L60" i="94"/>
  <c r="L61" i="94"/>
  <c r="L62" i="94"/>
  <c r="L63" i="94"/>
  <c r="L64" i="94"/>
  <c r="L65" i="94"/>
  <c r="L66" i="94"/>
  <c r="L67" i="94"/>
  <c r="L68" i="94"/>
  <c r="L69" i="94"/>
  <c r="L70" i="94"/>
  <c r="L71" i="94"/>
  <c r="L72" i="94"/>
  <c r="L73" i="94"/>
  <c r="L74" i="94"/>
  <c r="L75" i="94"/>
  <c r="L76" i="94"/>
  <c r="L77" i="94"/>
  <c r="L46" i="95"/>
  <c r="L47" i="95"/>
  <c r="L48" i="95"/>
  <c r="L49" i="95"/>
  <c r="L50" i="95"/>
  <c r="L51" i="95"/>
  <c r="L52" i="95"/>
  <c r="L53" i="95"/>
  <c r="L54" i="95"/>
  <c r="L55" i="95"/>
  <c r="L56" i="95"/>
  <c r="L57" i="95"/>
  <c r="L58" i="95"/>
  <c r="L59" i="95"/>
  <c r="L60" i="95"/>
  <c r="L61" i="95"/>
  <c r="L62" i="95"/>
  <c r="L63" i="95"/>
  <c r="L64" i="95"/>
  <c r="L65" i="95"/>
  <c r="L66" i="95"/>
  <c r="L67" i="95"/>
  <c r="L68" i="95"/>
  <c r="L69" i="95"/>
  <c r="L70" i="95"/>
  <c r="L71" i="95"/>
  <c r="L72" i="95"/>
  <c r="L73" i="95"/>
  <c r="L74" i="95"/>
  <c r="L75" i="95"/>
  <c r="L76" i="95"/>
  <c r="L77" i="95"/>
  <c r="L46" i="96"/>
  <c r="L47" i="96"/>
  <c r="L48" i="96"/>
  <c r="L49" i="96"/>
  <c r="L50" i="96"/>
  <c r="L51" i="96"/>
  <c r="L52" i="96"/>
  <c r="L53" i="96"/>
  <c r="L54" i="96"/>
  <c r="L55" i="96"/>
  <c r="L56" i="96"/>
  <c r="L57" i="96"/>
  <c r="L58" i="96"/>
  <c r="L59" i="96"/>
  <c r="L60" i="96"/>
  <c r="L61" i="96"/>
  <c r="L62" i="96"/>
  <c r="L63" i="96"/>
  <c r="L64" i="96"/>
  <c r="L65" i="96"/>
  <c r="L66" i="96"/>
  <c r="L67" i="96"/>
  <c r="L68" i="96"/>
  <c r="L69" i="96"/>
  <c r="L70" i="96"/>
  <c r="L71" i="96"/>
  <c r="L72" i="96"/>
  <c r="L73" i="96"/>
  <c r="L74" i="96"/>
  <c r="L75" i="96"/>
  <c r="L76" i="96"/>
  <c r="L77" i="96"/>
  <c r="L46" i="97"/>
  <c r="L47" i="97"/>
  <c r="L48" i="97"/>
  <c r="L49" i="97"/>
  <c r="L50" i="97"/>
  <c r="L51" i="97"/>
  <c r="L52" i="97"/>
  <c r="L53" i="97"/>
  <c r="L54" i="97"/>
  <c r="L55" i="97"/>
  <c r="L56" i="97"/>
  <c r="L57" i="97"/>
  <c r="L58" i="97"/>
  <c r="L59" i="97"/>
  <c r="L60" i="97"/>
  <c r="L61" i="97"/>
  <c r="L62" i="97"/>
  <c r="L63" i="97"/>
  <c r="L64" i="97"/>
  <c r="L65" i="97"/>
  <c r="L66" i="97"/>
  <c r="L67" i="97"/>
  <c r="L68" i="97"/>
  <c r="L69" i="97"/>
  <c r="L70" i="97"/>
  <c r="L71" i="97"/>
  <c r="L72" i="97"/>
  <c r="L73" i="97"/>
  <c r="L74" i="97"/>
  <c r="L75" i="97"/>
  <c r="L76" i="97"/>
  <c r="L77" i="97"/>
  <c r="L46" i="98"/>
  <c r="L47" i="98"/>
  <c r="L48" i="98"/>
  <c r="L49" i="98"/>
  <c r="L50" i="98"/>
  <c r="L51" i="98"/>
  <c r="L52" i="98"/>
  <c r="L53" i="98"/>
  <c r="L54" i="98"/>
  <c r="L55" i="98"/>
  <c r="L56" i="98"/>
  <c r="L57" i="98"/>
  <c r="L58" i="98"/>
  <c r="L59" i="98"/>
  <c r="L60" i="98"/>
  <c r="L61" i="98"/>
  <c r="L62" i="98"/>
  <c r="L63" i="98"/>
  <c r="L64" i="98"/>
  <c r="L65" i="98"/>
  <c r="L66" i="98"/>
  <c r="L67" i="98"/>
  <c r="L68" i="98"/>
  <c r="L69" i="98"/>
  <c r="L70" i="98"/>
  <c r="L71" i="98"/>
  <c r="L72" i="98"/>
  <c r="L73" i="98"/>
  <c r="L74" i="98"/>
  <c r="L75" i="98"/>
  <c r="L76" i="98"/>
  <c r="L77" i="98"/>
  <c r="L46" i="99"/>
  <c r="L47" i="99"/>
  <c r="L48" i="99"/>
  <c r="L49" i="99"/>
  <c r="L50" i="99"/>
  <c r="L51" i="99"/>
  <c r="L52" i="99"/>
  <c r="L53" i="99"/>
  <c r="L54" i="99"/>
  <c r="L55" i="99"/>
  <c r="L56" i="99"/>
  <c r="L57" i="99"/>
  <c r="L58" i="99"/>
  <c r="L59" i="99"/>
  <c r="L60" i="99"/>
  <c r="L61" i="99"/>
  <c r="L62" i="99"/>
  <c r="L63" i="99"/>
  <c r="L64" i="99"/>
  <c r="L65" i="99"/>
  <c r="L66" i="99"/>
  <c r="L67" i="99"/>
  <c r="L68" i="99"/>
  <c r="L69" i="99"/>
  <c r="L70" i="99"/>
  <c r="L71" i="99"/>
  <c r="L72" i="99"/>
  <c r="L73" i="99"/>
  <c r="L74" i="99"/>
  <c r="L75" i="99"/>
  <c r="L76" i="99"/>
  <c r="L77" i="99"/>
  <c r="L46" i="100"/>
  <c r="L47" i="100"/>
  <c r="L48" i="100"/>
  <c r="L49" i="100"/>
  <c r="L50" i="100"/>
  <c r="L51" i="100"/>
  <c r="L52" i="100"/>
  <c r="L53" i="100"/>
  <c r="L54" i="100"/>
  <c r="L55" i="100"/>
  <c r="L56" i="100"/>
  <c r="L57" i="100"/>
  <c r="L58" i="100"/>
  <c r="L59" i="100"/>
  <c r="L60" i="100"/>
  <c r="L61" i="100"/>
  <c r="L62" i="100"/>
  <c r="L63" i="100"/>
  <c r="L64" i="100"/>
  <c r="L65" i="100"/>
  <c r="L66" i="100"/>
  <c r="L67" i="100"/>
  <c r="L68" i="100"/>
  <c r="L69" i="100"/>
  <c r="L70" i="100"/>
  <c r="L71" i="100"/>
  <c r="L72" i="100"/>
  <c r="L73" i="100"/>
  <c r="L74" i="100"/>
  <c r="L75" i="100"/>
  <c r="L76" i="100"/>
  <c r="L77" i="100"/>
  <c r="L46" i="101"/>
  <c r="L47" i="101"/>
  <c r="L48" i="101"/>
  <c r="L49" i="101"/>
  <c r="L50" i="101"/>
  <c r="L51" i="101"/>
  <c r="L52" i="101"/>
  <c r="L53" i="101"/>
  <c r="L54" i="101"/>
  <c r="L55" i="101"/>
  <c r="L56" i="101"/>
  <c r="L57" i="101"/>
  <c r="L58" i="101"/>
  <c r="L59" i="101"/>
  <c r="L60" i="101"/>
  <c r="L61" i="101"/>
  <c r="L62" i="101"/>
  <c r="L63" i="101"/>
  <c r="L64" i="101"/>
  <c r="L65" i="101"/>
  <c r="L66" i="101"/>
  <c r="L67" i="101"/>
  <c r="L68" i="101"/>
  <c r="L69" i="101"/>
  <c r="L70" i="101"/>
  <c r="L71" i="101"/>
  <c r="L72" i="101"/>
  <c r="L73" i="101"/>
  <c r="L74" i="101"/>
  <c r="L75" i="101"/>
  <c r="L76" i="101"/>
  <c r="L77" i="101"/>
  <c r="L46" i="102"/>
  <c r="L47" i="102"/>
  <c r="L48" i="102"/>
  <c r="L49" i="102"/>
  <c r="L50" i="102"/>
  <c r="L51" i="102"/>
  <c r="L52" i="102"/>
  <c r="L53" i="102"/>
  <c r="L54" i="102"/>
  <c r="L55" i="102"/>
  <c r="L56" i="102"/>
  <c r="L57" i="102"/>
  <c r="L58" i="102"/>
  <c r="L59" i="102"/>
  <c r="L60" i="102"/>
  <c r="L61" i="102"/>
  <c r="L62" i="102"/>
  <c r="L63" i="102"/>
  <c r="L64" i="102"/>
  <c r="L65" i="102"/>
  <c r="L66" i="102"/>
  <c r="L67" i="102"/>
  <c r="L68" i="102"/>
  <c r="L69" i="102"/>
  <c r="L70" i="102"/>
  <c r="L71" i="102"/>
  <c r="L72" i="102"/>
  <c r="L73" i="102"/>
  <c r="L74" i="102"/>
  <c r="L75" i="102"/>
  <c r="L76" i="102"/>
  <c r="L77" i="102"/>
  <c r="L46" i="103"/>
  <c r="L47" i="103"/>
  <c r="L48" i="103"/>
  <c r="L49" i="103"/>
  <c r="L50" i="103"/>
  <c r="L51" i="103"/>
  <c r="L52" i="103"/>
  <c r="L53" i="103"/>
  <c r="L54" i="103"/>
  <c r="L55" i="103"/>
  <c r="L56" i="103"/>
  <c r="L57" i="103"/>
  <c r="L58" i="103"/>
  <c r="L59" i="103"/>
  <c r="L60" i="103"/>
  <c r="L61" i="103"/>
  <c r="L62" i="103"/>
  <c r="L63" i="103"/>
  <c r="L64" i="103"/>
  <c r="L65" i="103"/>
  <c r="L66" i="103"/>
  <c r="L67" i="103"/>
  <c r="L68" i="103"/>
  <c r="L69" i="103"/>
  <c r="L70" i="103"/>
  <c r="L71" i="103"/>
  <c r="L72" i="103"/>
  <c r="L73" i="103"/>
  <c r="L74" i="103"/>
  <c r="L75" i="103"/>
  <c r="L76" i="103"/>
  <c r="L77" i="103"/>
  <c r="L46" i="104"/>
  <c r="L47" i="104"/>
  <c r="L48" i="104"/>
  <c r="L49" i="104"/>
  <c r="L50" i="104"/>
  <c r="L51" i="104"/>
  <c r="L52" i="104"/>
  <c r="L53" i="104"/>
  <c r="L54" i="104"/>
  <c r="L55" i="104"/>
  <c r="L56" i="104"/>
  <c r="L57" i="104"/>
  <c r="L58" i="104"/>
  <c r="L59" i="104"/>
  <c r="L60" i="104"/>
  <c r="L61" i="104"/>
  <c r="L62" i="104"/>
  <c r="L63" i="104"/>
  <c r="L64" i="104"/>
  <c r="L65" i="104"/>
  <c r="L66" i="104"/>
  <c r="L67" i="104"/>
  <c r="L68" i="104"/>
  <c r="L69" i="104"/>
  <c r="L70" i="104"/>
  <c r="L71" i="104"/>
  <c r="L72" i="104"/>
  <c r="L73" i="104"/>
  <c r="L74" i="104"/>
  <c r="L75" i="104"/>
  <c r="L76" i="104"/>
  <c r="L77" i="104"/>
  <c r="L46" i="105"/>
  <c r="L47" i="105"/>
  <c r="L48" i="105"/>
  <c r="L49" i="105"/>
  <c r="L50" i="105"/>
  <c r="L51" i="105"/>
  <c r="L52" i="105"/>
  <c r="L53" i="105"/>
  <c r="L54" i="105"/>
  <c r="L55" i="105"/>
  <c r="L56" i="105"/>
  <c r="L57" i="105"/>
  <c r="L58" i="105"/>
  <c r="L59" i="105"/>
  <c r="L60" i="105"/>
  <c r="L61" i="105"/>
  <c r="L62" i="105"/>
  <c r="L63" i="105"/>
  <c r="L64" i="105"/>
  <c r="L65" i="105"/>
  <c r="L66" i="105"/>
  <c r="L67" i="105"/>
  <c r="L68" i="105"/>
  <c r="L69" i="105"/>
  <c r="L70" i="105"/>
  <c r="L71" i="105"/>
  <c r="L72" i="105"/>
  <c r="L73" i="105"/>
  <c r="L74" i="105"/>
  <c r="L75" i="105"/>
  <c r="L76" i="105"/>
  <c r="L77" i="105"/>
  <c r="L46" i="106"/>
  <c r="L47" i="106"/>
  <c r="L48" i="106"/>
  <c r="L49" i="106"/>
  <c r="L50" i="106"/>
  <c r="L51" i="106"/>
  <c r="L52" i="106"/>
  <c r="L53" i="106"/>
  <c r="L54" i="106"/>
  <c r="L55" i="106"/>
  <c r="L56" i="106"/>
  <c r="L57" i="106"/>
  <c r="L58" i="106"/>
  <c r="L59" i="106"/>
  <c r="L60" i="106"/>
  <c r="L61" i="106"/>
  <c r="L62" i="106"/>
  <c r="L63" i="106"/>
  <c r="L64" i="106"/>
  <c r="L65" i="106"/>
  <c r="L66" i="106"/>
  <c r="L67" i="106"/>
  <c r="L68" i="106"/>
  <c r="L69" i="106"/>
  <c r="L70" i="106"/>
  <c r="L71" i="106"/>
  <c r="L72" i="106"/>
  <c r="L73" i="106"/>
  <c r="L74" i="106"/>
  <c r="L75" i="106"/>
  <c r="L76" i="106"/>
  <c r="L77" i="106"/>
  <c r="L46" i="107"/>
  <c r="L47" i="107"/>
  <c r="L48" i="107"/>
  <c r="L49" i="107"/>
  <c r="L50" i="107"/>
  <c r="L51" i="107"/>
  <c r="L52" i="107"/>
  <c r="L53" i="107"/>
  <c r="L54" i="107"/>
  <c r="L55" i="107"/>
  <c r="L56" i="107"/>
  <c r="L57" i="107"/>
  <c r="L58" i="107"/>
  <c r="L59" i="107"/>
  <c r="L60" i="107"/>
  <c r="L61" i="107"/>
  <c r="L62" i="107"/>
  <c r="L63" i="107"/>
  <c r="L64" i="107"/>
  <c r="L65" i="107"/>
  <c r="L66" i="107"/>
  <c r="L67" i="107"/>
  <c r="L68" i="107"/>
  <c r="L69" i="107"/>
  <c r="L70" i="107"/>
  <c r="L71" i="107"/>
  <c r="L72" i="107"/>
  <c r="L73" i="107"/>
  <c r="L74" i="107"/>
  <c r="L75" i="107"/>
  <c r="L76" i="107"/>
  <c r="L77" i="107"/>
  <c r="L46" i="108"/>
  <c r="L47" i="108"/>
  <c r="L48" i="108"/>
  <c r="L49" i="108"/>
  <c r="L50" i="108"/>
  <c r="L51" i="108"/>
  <c r="L52" i="108"/>
  <c r="L53" i="108"/>
  <c r="L54" i="108"/>
  <c r="L55" i="108"/>
  <c r="L56" i="108"/>
  <c r="L57" i="108"/>
  <c r="L58" i="108"/>
  <c r="L59" i="108"/>
  <c r="L60" i="108"/>
  <c r="L61" i="108"/>
  <c r="L62" i="108"/>
  <c r="L63" i="108"/>
  <c r="L64" i="108"/>
  <c r="L65" i="108"/>
  <c r="L66" i="108"/>
  <c r="L67" i="108"/>
  <c r="L68" i="108"/>
  <c r="L69" i="108"/>
  <c r="L70" i="108"/>
  <c r="L71" i="108"/>
  <c r="L72" i="108"/>
  <c r="L73" i="108"/>
  <c r="L74" i="108"/>
  <c r="L75" i="108"/>
  <c r="L76" i="108"/>
  <c r="L77" i="108"/>
  <c r="L46" i="109"/>
  <c r="L47" i="109"/>
  <c r="L48" i="109"/>
  <c r="L49" i="109"/>
  <c r="L50" i="109"/>
  <c r="L51" i="109"/>
  <c r="L52" i="109"/>
  <c r="L53" i="109"/>
  <c r="L54" i="109"/>
  <c r="L55" i="109"/>
  <c r="L56" i="109"/>
  <c r="L57" i="109"/>
  <c r="L58" i="109"/>
  <c r="L59" i="109"/>
  <c r="L60" i="109"/>
  <c r="L61" i="109"/>
  <c r="L62" i="109"/>
  <c r="L63" i="109"/>
  <c r="L64" i="109"/>
  <c r="L65" i="109"/>
  <c r="L66" i="109"/>
  <c r="L67" i="109"/>
  <c r="L68" i="109"/>
  <c r="L69" i="109"/>
  <c r="L70" i="109"/>
  <c r="L71" i="109"/>
  <c r="L72" i="109"/>
  <c r="L73" i="109"/>
  <c r="L74" i="109"/>
  <c r="L75" i="109"/>
  <c r="L76" i="109"/>
  <c r="L77" i="109"/>
  <c r="L46" i="110"/>
  <c r="L47" i="110"/>
  <c r="L48" i="110"/>
  <c r="L49" i="110"/>
  <c r="L50" i="110"/>
  <c r="L51" i="110"/>
  <c r="L52" i="110"/>
  <c r="L53" i="110"/>
  <c r="L54" i="110"/>
  <c r="L55" i="110"/>
  <c r="L56" i="110"/>
  <c r="L57" i="110"/>
  <c r="L58" i="110"/>
  <c r="L59" i="110"/>
  <c r="L60" i="110"/>
  <c r="L61" i="110"/>
  <c r="L62" i="110"/>
  <c r="L63" i="110"/>
  <c r="L64" i="110"/>
  <c r="L65" i="110"/>
  <c r="L66" i="110"/>
  <c r="L67" i="110"/>
  <c r="L68" i="110"/>
  <c r="L69" i="110"/>
  <c r="L70" i="110"/>
  <c r="L71" i="110"/>
  <c r="L72" i="110"/>
  <c r="L73" i="110"/>
  <c r="L74" i="110"/>
  <c r="L75" i="110"/>
  <c r="L76" i="110"/>
  <c r="L77" i="110"/>
  <c r="L46" i="111"/>
  <c r="L47" i="111"/>
  <c r="L48" i="111"/>
  <c r="L49" i="111"/>
  <c r="L50" i="111"/>
  <c r="L51" i="111"/>
  <c r="L52" i="111"/>
  <c r="L53" i="111"/>
  <c r="L54" i="111"/>
  <c r="L55" i="111"/>
  <c r="L56" i="111"/>
  <c r="L57" i="111"/>
  <c r="L58" i="111"/>
  <c r="L59" i="111"/>
  <c r="L60" i="111"/>
  <c r="L61" i="111"/>
  <c r="L62" i="111"/>
  <c r="L63" i="111"/>
  <c r="L64" i="111"/>
  <c r="L65" i="111"/>
  <c r="L66" i="111"/>
  <c r="L67" i="111"/>
  <c r="L68" i="111"/>
  <c r="L69" i="111"/>
  <c r="L70" i="111"/>
  <c r="L71" i="111"/>
  <c r="L72" i="111"/>
  <c r="L73" i="111"/>
  <c r="L74" i="111"/>
  <c r="L75" i="111"/>
  <c r="L76" i="111"/>
  <c r="L77" i="111"/>
  <c r="L46" i="112"/>
  <c r="L47" i="112"/>
  <c r="L48" i="112"/>
  <c r="L49" i="112"/>
  <c r="L50" i="112"/>
  <c r="L51" i="112"/>
  <c r="L52" i="112"/>
  <c r="L53" i="112"/>
  <c r="L54" i="112"/>
  <c r="L55" i="112"/>
  <c r="L56" i="112"/>
  <c r="L57" i="112"/>
  <c r="L58" i="112"/>
  <c r="L59" i="112"/>
  <c r="L60" i="112"/>
  <c r="L61" i="112"/>
  <c r="L62" i="112"/>
  <c r="L63" i="112"/>
  <c r="L64" i="112"/>
  <c r="L65" i="112"/>
  <c r="L66" i="112"/>
  <c r="L67" i="112"/>
  <c r="L68" i="112"/>
  <c r="L69" i="112"/>
  <c r="L70" i="112"/>
  <c r="L71" i="112"/>
  <c r="L72" i="112"/>
  <c r="L73" i="112"/>
  <c r="L74" i="112"/>
  <c r="L75" i="112"/>
  <c r="L76" i="112"/>
  <c r="L77" i="112"/>
  <c r="L46" i="113"/>
  <c r="L47" i="113"/>
  <c r="L48" i="113"/>
  <c r="L49" i="113"/>
  <c r="L50" i="113"/>
  <c r="L51" i="113"/>
  <c r="L52" i="113"/>
  <c r="L53" i="113"/>
  <c r="L54" i="113"/>
  <c r="L55" i="113"/>
  <c r="L56" i="113"/>
  <c r="L57" i="113"/>
  <c r="L58" i="113"/>
  <c r="L59" i="113"/>
  <c r="L60" i="113"/>
  <c r="L61" i="113"/>
  <c r="L62" i="113"/>
  <c r="L63" i="113"/>
  <c r="L64" i="113"/>
  <c r="L65" i="113"/>
  <c r="L66" i="113"/>
  <c r="L67" i="113"/>
  <c r="L68" i="113"/>
  <c r="L69" i="113"/>
  <c r="L70" i="113"/>
  <c r="L71" i="113"/>
  <c r="L72" i="113"/>
  <c r="L73" i="113"/>
  <c r="L74" i="113"/>
  <c r="L75" i="113"/>
  <c r="L76" i="113"/>
  <c r="L77" i="113"/>
  <c r="L46" i="114"/>
  <c r="L47" i="114"/>
  <c r="L48" i="114"/>
  <c r="L49" i="114"/>
  <c r="L50" i="114"/>
  <c r="L51" i="114"/>
  <c r="L52" i="114"/>
  <c r="L53" i="114"/>
  <c r="L54" i="114"/>
  <c r="L55" i="114"/>
  <c r="L56" i="114"/>
  <c r="L57" i="114"/>
  <c r="L58" i="114"/>
  <c r="L59" i="114"/>
  <c r="L60" i="114"/>
  <c r="L61" i="114"/>
  <c r="L62" i="114"/>
  <c r="L63" i="114"/>
  <c r="L64" i="114"/>
  <c r="L65" i="114"/>
  <c r="L66" i="114"/>
  <c r="L67" i="114"/>
  <c r="L68" i="114"/>
  <c r="L69" i="114"/>
  <c r="L70" i="114"/>
  <c r="L71" i="114"/>
  <c r="L72" i="114"/>
  <c r="L73" i="114"/>
  <c r="L74" i="114"/>
  <c r="L75" i="114"/>
  <c r="L76" i="114"/>
  <c r="L77" i="114"/>
  <c r="L46" i="115"/>
  <c r="L47" i="115"/>
  <c r="L48" i="115"/>
  <c r="L49" i="115"/>
  <c r="L50" i="115"/>
  <c r="L51" i="115"/>
  <c r="L52" i="115"/>
  <c r="L53" i="115"/>
  <c r="L54" i="115"/>
  <c r="L55" i="115"/>
  <c r="L56" i="115"/>
  <c r="L57" i="115"/>
  <c r="L58" i="115"/>
  <c r="L59" i="115"/>
  <c r="L60" i="115"/>
  <c r="L61" i="115"/>
  <c r="L62" i="115"/>
  <c r="L63" i="115"/>
  <c r="L64" i="115"/>
  <c r="L65" i="115"/>
  <c r="L66" i="115"/>
  <c r="L67" i="115"/>
  <c r="L68" i="115"/>
  <c r="L69" i="115"/>
  <c r="L70" i="115"/>
  <c r="L71" i="115"/>
  <c r="L72" i="115"/>
  <c r="L73" i="115"/>
  <c r="L74" i="115"/>
  <c r="L75" i="115"/>
  <c r="L76" i="115"/>
  <c r="L77" i="115"/>
  <c r="L46" i="116"/>
  <c r="L47" i="116"/>
  <c r="L48" i="116"/>
  <c r="L49" i="116"/>
  <c r="L50" i="116"/>
  <c r="L51" i="116"/>
  <c r="L52" i="116"/>
  <c r="L53" i="116"/>
  <c r="L54" i="116"/>
  <c r="L55" i="116"/>
  <c r="L56" i="116"/>
  <c r="L57" i="116"/>
  <c r="L58" i="116"/>
  <c r="L59" i="116"/>
  <c r="L60" i="116"/>
  <c r="L61" i="116"/>
  <c r="L62" i="116"/>
  <c r="L63" i="116"/>
  <c r="L64" i="116"/>
  <c r="L65" i="116"/>
  <c r="L66" i="116"/>
  <c r="L67" i="116"/>
  <c r="L68" i="116"/>
  <c r="L69" i="116"/>
  <c r="L70" i="116"/>
  <c r="L71" i="116"/>
  <c r="L72" i="116"/>
  <c r="L73" i="116"/>
  <c r="L74" i="116"/>
  <c r="L75" i="116"/>
  <c r="L76" i="116"/>
  <c r="L77" i="116"/>
  <c r="L46" i="117"/>
  <c r="L47" i="117"/>
  <c r="L48" i="117"/>
  <c r="L49" i="117"/>
  <c r="L50" i="117"/>
  <c r="L51" i="117"/>
  <c r="L52" i="117"/>
  <c r="L53" i="117"/>
  <c r="L54" i="117"/>
  <c r="L55" i="117"/>
  <c r="L56" i="117"/>
  <c r="L57" i="117"/>
  <c r="L58" i="117"/>
  <c r="L59" i="117"/>
  <c r="L60" i="117"/>
  <c r="L61" i="117"/>
  <c r="L62" i="117"/>
  <c r="L63" i="117"/>
  <c r="L64" i="117"/>
  <c r="L65" i="117"/>
  <c r="L66" i="117"/>
  <c r="L67" i="117"/>
  <c r="L68" i="117"/>
  <c r="L69" i="117"/>
  <c r="L70" i="117"/>
  <c r="L71" i="117"/>
  <c r="L72" i="117"/>
  <c r="L73" i="117"/>
  <c r="L74" i="117"/>
  <c r="L75" i="117"/>
  <c r="L76" i="117"/>
  <c r="L77" i="117"/>
  <c r="L46" i="118"/>
  <c r="L47" i="118"/>
  <c r="L48" i="118"/>
  <c r="L49" i="118"/>
  <c r="L50" i="118"/>
  <c r="L51" i="118"/>
  <c r="L52" i="118"/>
  <c r="L53" i="118"/>
  <c r="L54" i="118"/>
  <c r="L55" i="118"/>
  <c r="L56" i="118"/>
  <c r="L57" i="118"/>
  <c r="L58" i="118"/>
  <c r="L59" i="118"/>
  <c r="L60" i="118"/>
  <c r="L61" i="118"/>
  <c r="L62" i="118"/>
  <c r="L63" i="118"/>
  <c r="L64" i="118"/>
  <c r="L65" i="118"/>
  <c r="L66" i="118"/>
  <c r="L67" i="118"/>
  <c r="L68" i="118"/>
  <c r="L69" i="118"/>
  <c r="L70" i="118"/>
  <c r="L71" i="118"/>
  <c r="L72" i="118"/>
  <c r="L73" i="118"/>
  <c r="L74" i="118"/>
  <c r="L75" i="118"/>
  <c r="L76" i="118"/>
  <c r="L77" i="118"/>
  <c r="L46" i="119"/>
  <c r="L47" i="119"/>
  <c r="L48" i="119"/>
  <c r="L49" i="119"/>
  <c r="L50" i="119"/>
  <c r="L51" i="119"/>
  <c r="L52" i="119"/>
  <c r="L53" i="119"/>
  <c r="L54" i="119"/>
  <c r="L55" i="119"/>
  <c r="L56" i="119"/>
  <c r="L57" i="119"/>
  <c r="L58" i="119"/>
  <c r="L59" i="119"/>
  <c r="L60" i="119"/>
  <c r="L61" i="119"/>
  <c r="L62" i="119"/>
  <c r="L63" i="119"/>
  <c r="L64" i="119"/>
  <c r="L65" i="119"/>
  <c r="L66" i="119"/>
  <c r="L67" i="119"/>
  <c r="L68" i="119"/>
  <c r="L69" i="119"/>
  <c r="L70" i="119"/>
  <c r="L71" i="119"/>
  <c r="L72" i="119"/>
  <c r="L73" i="119"/>
  <c r="L74" i="119"/>
  <c r="L75" i="119"/>
  <c r="L76" i="119"/>
  <c r="L77" i="119"/>
  <c r="L46" i="120"/>
  <c r="L47" i="120"/>
  <c r="L48" i="120"/>
  <c r="L49" i="120"/>
  <c r="L50" i="120"/>
  <c r="L51" i="120"/>
  <c r="L52" i="120"/>
  <c r="L53" i="120"/>
  <c r="L54" i="120"/>
  <c r="L55" i="120"/>
  <c r="L56" i="120"/>
  <c r="L57" i="120"/>
  <c r="L58" i="120"/>
  <c r="L59" i="120"/>
  <c r="L60" i="120"/>
  <c r="L61" i="120"/>
  <c r="L62" i="120"/>
  <c r="L63" i="120"/>
  <c r="L64" i="120"/>
  <c r="L65" i="120"/>
  <c r="L66" i="120"/>
  <c r="L67" i="120"/>
  <c r="L68" i="120"/>
  <c r="L69" i="120"/>
  <c r="L70" i="120"/>
  <c r="L71" i="120"/>
  <c r="L72" i="120"/>
  <c r="L73" i="120"/>
  <c r="L74" i="120"/>
  <c r="L75" i="120"/>
  <c r="L76" i="120"/>
  <c r="L77" i="120"/>
  <c r="L46" i="121"/>
  <c r="L47" i="121"/>
  <c r="L48" i="121"/>
  <c r="L49" i="121"/>
  <c r="L50" i="121"/>
  <c r="L51" i="121"/>
  <c r="L52" i="121"/>
  <c r="L53" i="121"/>
  <c r="L54" i="121"/>
  <c r="L55" i="121"/>
  <c r="L56" i="121"/>
  <c r="L57" i="121"/>
  <c r="L58" i="121"/>
  <c r="L59" i="121"/>
  <c r="L60" i="121"/>
  <c r="L61" i="121"/>
  <c r="L62" i="121"/>
  <c r="L63" i="121"/>
  <c r="L64" i="121"/>
  <c r="L65" i="121"/>
  <c r="L66" i="121"/>
  <c r="L67" i="121"/>
  <c r="L68" i="121"/>
  <c r="L69" i="121"/>
  <c r="L70" i="121"/>
  <c r="L71" i="121"/>
  <c r="L72" i="121"/>
  <c r="L73" i="121"/>
  <c r="L74" i="121"/>
  <c r="L75" i="121"/>
  <c r="L76" i="121"/>
  <c r="L77" i="121"/>
  <c r="L46" i="122"/>
  <c r="L47" i="122"/>
  <c r="L48" i="122"/>
  <c r="L49" i="122"/>
  <c r="L50" i="122"/>
  <c r="L51" i="122"/>
  <c r="L52" i="122"/>
  <c r="L53" i="122"/>
  <c r="L54" i="122"/>
  <c r="L55" i="122"/>
  <c r="L56" i="122"/>
  <c r="L57" i="122"/>
  <c r="L58" i="122"/>
  <c r="L59" i="122"/>
  <c r="L60" i="122"/>
  <c r="L61" i="122"/>
  <c r="L62" i="122"/>
  <c r="L63" i="122"/>
  <c r="L64" i="122"/>
  <c r="L65" i="122"/>
  <c r="L66" i="122"/>
  <c r="L67" i="122"/>
  <c r="L68" i="122"/>
  <c r="L69" i="122"/>
  <c r="L70" i="122"/>
  <c r="L71" i="122"/>
  <c r="L72" i="122"/>
  <c r="L73" i="122"/>
  <c r="L74" i="122"/>
  <c r="L75" i="122"/>
  <c r="L76" i="122"/>
  <c r="L77" i="122"/>
  <c r="L46" i="123"/>
  <c r="L47" i="123"/>
  <c r="L48" i="123"/>
  <c r="L49" i="123"/>
  <c r="L50" i="123"/>
  <c r="L51" i="123"/>
  <c r="L52" i="123"/>
  <c r="L53" i="123"/>
  <c r="L54" i="123"/>
  <c r="L55" i="123"/>
  <c r="L56" i="123"/>
  <c r="L57" i="123"/>
  <c r="L58" i="123"/>
  <c r="L59" i="123"/>
  <c r="L60" i="123"/>
  <c r="L61" i="123"/>
  <c r="L62" i="123"/>
  <c r="L63" i="123"/>
  <c r="L64" i="123"/>
  <c r="L65" i="123"/>
  <c r="L66" i="123"/>
  <c r="L67" i="123"/>
  <c r="L68" i="123"/>
  <c r="L69" i="123"/>
  <c r="L70" i="123"/>
  <c r="L71" i="123"/>
  <c r="L72" i="123"/>
  <c r="L73" i="123"/>
  <c r="L74" i="123"/>
  <c r="L75" i="123"/>
  <c r="L76" i="123"/>
  <c r="L77" i="123"/>
  <c r="L46" i="124"/>
  <c r="L47" i="124"/>
  <c r="L48" i="124"/>
  <c r="L49" i="124"/>
  <c r="L50" i="124"/>
  <c r="L51" i="124"/>
  <c r="L52" i="124"/>
  <c r="L53" i="124"/>
  <c r="L54" i="124"/>
  <c r="L55" i="124"/>
  <c r="L56" i="124"/>
  <c r="L57" i="124"/>
  <c r="L58" i="124"/>
  <c r="L59" i="124"/>
  <c r="L60" i="124"/>
  <c r="L61" i="124"/>
  <c r="L62" i="124"/>
  <c r="L63" i="124"/>
  <c r="L64" i="124"/>
  <c r="L65" i="124"/>
  <c r="L66" i="124"/>
  <c r="L67" i="124"/>
  <c r="L68" i="124"/>
  <c r="L69" i="124"/>
  <c r="L70" i="124"/>
  <c r="L71" i="124"/>
  <c r="L72" i="124"/>
  <c r="L73" i="124"/>
  <c r="L74" i="124"/>
  <c r="L75" i="124"/>
  <c r="L76" i="124"/>
  <c r="L77" i="124"/>
  <c r="L46" i="125"/>
  <c r="L47" i="125"/>
  <c r="L48" i="125"/>
  <c r="L49" i="125"/>
  <c r="L50" i="125"/>
  <c r="L51" i="125"/>
  <c r="L52" i="125"/>
  <c r="L53" i="125"/>
  <c r="L54" i="125"/>
  <c r="L55" i="125"/>
  <c r="L56" i="125"/>
  <c r="L57" i="125"/>
  <c r="L58" i="125"/>
  <c r="L59" i="125"/>
  <c r="L60" i="125"/>
  <c r="L61" i="125"/>
  <c r="L62" i="125"/>
  <c r="L63" i="125"/>
  <c r="L64" i="125"/>
  <c r="L65" i="125"/>
  <c r="L66" i="125"/>
  <c r="L67" i="125"/>
  <c r="L68" i="125"/>
  <c r="L69" i="125"/>
  <c r="L70" i="125"/>
  <c r="L71" i="125"/>
  <c r="L72" i="125"/>
  <c r="L73" i="125"/>
  <c r="L74" i="125"/>
  <c r="L75" i="125"/>
  <c r="L76" i="125"/>
  <c r="L77" i="125"/>
  <c r="L46" i="126"/>
  <c r="L47" i="126"/>
  <c r="L48" i="126"/>
  <c r="L49" i="126"/>
  <c r="L50" i="126"/>
  <c r="L51" i="126"/>
  <c r="L52" i="126"/>
  <c r="L53" i="126"/>
  <c r="L54" i="126"/>
  <c r="L55" i="126"/>
  <c r="L56" i="126"/>
  <c r="L57" i="126"/>
  <c r="L58" i="126"/>
  <c r="L59" i="126"/>
  <c r="L60" i="126"/>
  <c r="L61" i="126"/>
  <c r="L62" i="126"/>
  <c r="L63" i="126"/>
  <c r="L64" i="126"/>
  <c r="L65" i="126"/>
  <c r="L66" i="126"/>
  <c r="L67" i="126"/>
  <c r="L68" i="126"/>
  <c r="L69" i="126"/>
  <c r="L70" i="126"/>
  <c r="L71" i="126"/>
  <c r="L72" i="126"/>
  <c r="L73" i="126"/>
  <c r="L74" i="126"/>
  <c r="L75" i="126"/>
  <c r="L76" i="126"/>
  <c r="L77" i="126"/>
  <c r="L46" i="127"/>
  <c r="L47" i="127"/>
  <c r="L48" i="127"/>
  <c r="L49" i="127"/>
  <c r="L50" i="127"/>
  <c r="L51" i="127"/>
  <c r="L52" i="127"/>
  <c r="L53" i="127"/>
  <c r="L54" i="127"/>
  <c r="L55" i="127"/>
  <c r="L56" i="127"/>
  <c r="L57" i="127"/>
  <c r="L58" i="127"/>
  <c r="L59" i="127"/>
  <c r="L60" i="127"/>
  <c r="L61" i="127"/>
  <c r="L62" i="127"/>
  <c r="L63" i="127"/>
  <c r="L64" i="127"/>
  <c r="L65" i="127"/>
  <c r="L66" i="127"/>
  <c r="L67" i="127"/>
  <c r="L68" i="127"/>
  <c r="L69" i="127"/>
  <c r="L70" i="127"/>
  <c r="L71" i="127"/>
  <c r="L72" i="127"/>
  <c r="L73" i="127"/>
  <c r="L74" i="127"/>
  <c r="L75" i="127"/>
  <c r="L76" i="127"/>
  <c r="L77" i="127"/>
  <c r="L46" i="128"/>
  <c r="L47" i="128"/>
  <c r="L48" i="128"/>
  <c r="L49" i="128"/>
  <c r="L50" i="128"/>
  <c r="L51" i="128"/>
  <c r="L52" i="128"/>
  <c r="L53" i="128"/>
  <c r="L54" i="128"/>
  <c r="L55" i="128"/>
  <c r="L56" i="128"/>
  <c r="L57" i="128"/>
  <c r="L58" i="128"/>
  <c r="L59" i="128"/>
  <c r="L60" i="128"/>
  <c r="L61" i="128"/>
  <c r="L62" i="128"/>
  <c r="L63" i="128"/>
  <c r="L64" i="128"/>
  <c r="L65" i="128"/>
  <c r="L66" i="128"/>
  <c r="L67" i="128"/>
  <c r="L68" i="128"/>
  <c r="L69" i="128"/>
  <c r="L70" i="128"/>
  <c r="L71" i="128"/>
  <c r="L72" i="128"/>
  <c r="L73" i="128"/>
  <c r="L74" i="128"/>
  <c r="L75" i="128"/>
  <c r="L76" i="128"/>
  <c r="L77" i="128"/>
  <c r="L46" i="129"/>
  <c r="L47" i="129"/>
  <c r="L48" i="129"/>
  <c r="L49" i="129"/>
  <c r="L50" i="129"/>
  <c r="L51" i="129"/>
  <c r="L52" i="129"/>
  <c r="L53" i="129"/>
  <c r="L54" i="129"/>
  <c r="L55" i="129"/>
  <c r="L56" i="129"/>
  <c r="L57" i="129"/>
  <c r="L58" i="129"/>
  <c r="L59" i="129"/>
  <c r="L60" i="129"/>
  <c r="L61" i="129"/>
  <c r="L62" i="129"/>
  <c r="L63" i="129"/>
  <c r="L64" i="129"/>
  <c r="L65" i="129"/>
  <c r="L66" i="129"/>
  <c r="L67" i="129"/>
  <c r="L68" i="129"/>
  <c r="L69" i="129"/>
  <c r="L70" i="129"/>
  <c r="L71" i="129"/>
  <c r="L72" i="129"/>
  <c r="L73" i="129"/>
  <c r="L74" i="129"/>
  <c r="L75" i="129"/>
  <c r="L76" i="129"/>
  <c r="L77" i="129"/>
  <c r="L46" i="130"/>
  <c r="L47" i="130"/>
  <c r="L48" i="130"/>
  <c r="L49" i="130"/>
  <c r="L50" i="130"/>
  <c r="L51" i="130"/>
  <c r="L52" i="130"/>
  <c r="L53" i="130"/>
  <c r="L54" i="130"/>
  <c r="L55" i="130"/>
  <c r="L56" i="130"/>
  <c r="L57" i="130"/>
  <c r="L58" i="130"/>
  <c r="L59" i="130"/>
  <c r="L60" i="130"/>
  <c r="L61" i="130"/>
  <c r="L62" i="130"/>
  <c r="L63" i="130"/>
  <c r="L64" i="130"/>
  <c r="L65" i="130"/>
  <c r="L66" i="130"/>
  <c r="L67" i="130"/>
  <c r="L68" i="130"/>
  <c r="L69" i="130"/>
  <c r="L70" i="130"/>
  <c r="L71" i="130"/>
  <c r="L72" i="130"/>
  <c r="L73" i="130"/>
  <c r="L74" i="130"/>
  <c r="L75" i="130"/>
  <c r="L76" i="130"/>
  <c r="L77" i="130"/>
  <c r="L46" i="131"/>
  <c r="L47" i="131"/>
  <c r="L48" i="131"/>
  <c r="L49" i="131"/>
  <c r="L50" i="131"/>
  <c r="L51" i="131"/>
  <c r="L52" i="131"/>
  <c r="L53" i="131"/>
  <c r="L54" i="131"/>
  <c r="L55" i="131"/>
  <c r="L56" i="131"/>
  <c r="L57" i="131"/>
  <c r="L58" i="131"/>
  <c r="L59" i="131"/>
  <c r="L60" i="131"/>
  <c r="L61" i="131"/>
  <c r="L62" i="131"/>
  <c r="L63" i="131"/>
  <c r="L64" i="131"/>
  <c r="L65" i="131"/>
  <c r="L66" i="131"/>
  <c r="L67" i="131"/>
  <c r="L68" i="131"/>
  <c r="L69" i="131"/>
  <c r="L70" i="131"/>
  <c r="L71" i="131"/>
  <c r="L72" i="131"/>
  <c r="L73" i="131"/>
  <c r="L74" i="131"/>
  <c r="L75" i="131"/>
  <c r="L76" i="131"/>
  <c r="L77" i="131"/>
  <c r="L46" i="132"/>
  <c r="L47" i="132"/>
  <c r="L48" i="132"/>
  <c r="L49" i="132"/>
  <c r="L50" i="132"/>
  <c r="L51" i="132"/>
  <c r="L52" i="132"/>
  <c r="L53" i="132"/>
  <c r="L54" i="132"/>
  <c r="L55" i="132"/>
  <c r="L56" i="132"/>
  <c r="L57" i="132"/>
  <c r="L58" i="132"/>
  <c r="L59" i="132"/>
  <c r="L60" i="132"/>
  <c r="L61" i="132"/>
  <c r="L62" i="132"/>
  <c r="L63" i="132"/>
  <c r="L64" i="132"/>
  <c r="L65" i="132"/>
  <c r="L66" i="132"/>
  <c r="L67" i="132"/>
  <c r="L68" i="132"/>
  <c r="L69" i="132"/>
  <c r="L70" i="132"/>
  <c r="L71" i="132"/>
  <c r="L72" i="132"/>
  <c r="L73" i="132"/>
  <c r="L74" i="132"/>
  <c r="L75" i="132"/>
  <c r="L76" i="132"/>
  <c r="L77" i="132"/>
  <c r="L46" i="133"/>
  <c r="L47" i="133"/>
  <c r="L48" i="133"/>
  <c r="L49" i="133"/>
  <c r="L50" i="133"/>
  <c r="L51" i="133"/>
  <c r="L52" i="133"/>
  <c r="L53" i="133"/>
  <c r="L54" i="133"/>
  <c r="L55" i="133"/>
  <c r="L56" i="133"/>
  <c r="L57" i="133"/>
  <c r="L58" i="133"/>
  <c r="L59" i="133"/>
  <c r="L60" i="133"/>
  <c r="L61" i="133"/>
  <c r="L62" i="133"/>
  <c r="L63" i="133"/>
  <c r="L64" i="133"/>
  <c r="L65" i="133"/>
  <c r="L66" i="133"/>
  <c r="L67" i="133"/>
  <c r="L68" i="133"/>
  <c r="L69" i="133"/>
  <c r="L70" i="133"/>
  <c r="L71" i="133"/>
  <c r="L72" i="133"/>
  <c r="L73" i="133"/>
  <c r="L74" i="133"/>
  <c r="L75" i="133"/>
  <c r="L76" i="133"/>
  <c r="L77" i="133"/>
  <c r="L46" i="134"/>
  <c r="L47" i="134"/>
  <c r="L48" i="134"/>
  <c r="L49" i="134"/>
  <c r="L50" i="134"/>
  <c r="L51" i="134"/>
  <c r="L52" i="134"/>
  <c r="L53" i="134"/>
  <c r="L54" i="134"/>
  <c r="L55" i="134"/>
  <c r="L56" i="134"/>
  <c r="L57" i="134"/>
  <c r="L58" i="134"/>
  <c r="L59" i="134"/>
  <c r="L60" i="134"/>
  <c r="L61" i="134"/>
  <c r="L62" i="134"/>
  <c r="L63" i="134"/>
  <c r="L64" i="134"/>
  <c r="L65" i="134"/>
  <c r="L66" i="134"/>
  <c r="L67" i="134"/>
  <c r="L68" i="134"/>
  <c r="L69" i="134"/>
  <c r="L70" i="134"/>
  <c r="L71" i="134"/>
  <c r="L72" i="134"/>
  <c r="L73" i="134"/>
  <c r="L74" i="134"/>
  <c r="L75" i="134"/>
  <c r="L76" i="134"/>
  <c r="L77" i="134"/>
  <c r="L46" i="135"/>
  <c r="L47" i="135"/>
  <c r="L48" i="135"/>
  <c r="L49" i="135"/>
  <c r="L50" i="135"/>
  <c r="L51" i="135"/>
  <c r="L52" i="135"/>
  <c r="L53" i="135"/>
  <c r="L54" i="135"/>
  <c r="L55" i="135"/>
  <c r="L56" i="135"/>
  <c r="L57" i="135"/>
  <c r="L58" i="135"/>
  <c r="L59" i="135"/>
  <c r="L60" i="135"/>
  <c r="L61" i="135"/>
  <c r="L62" i="135"/>
  <c r="L63" i="135"/>
  <c r="L64" i="135"/>
  <c r="L65" i="135"/>
  <c r="L66" i="135"/>
  <c r="L67" i="135"/>
  <c r="L68" i="135"/>
  <c r="L69" i="135"/>
  <c r="L70" i="135"/>
  <c r="L71" i="135"/>
  <c r="L72" i="135"/>
  <c r="L73" i="135"/>
  <c r="L74" i="135"/>
  <c r="L75" i="135"/>
  <c r="L76" i="135"/>
  <c r="L77" i="135"/>
  <c r="L46" i="136"/>
  <c r="L47" i="136"/>
  <c r="L48" i="136"/>
  <c r="L49" i="136"/>
  <c r="L50" i="136"/>
  <c r="L51" i="136"/>
  <c r="L52" i="136"/>
  <c r="L53" i="136"/>
  <c r="L54" i="136"/>
  <c r="L55" i="136"/>
  <c r="L56" i="136"/>
  <c r="L57" i="136"/>
  <c r="L58" i="136"/>
  <c r="L59" i="136"/>
  <c r="L60" i="136"/>
  <c r="L61" i="136"/>
  <c r="L62" i="136"/>
  <c r="L63" i="136"/>
  <c r="L64" i="136"/>
  <c r="L65" i="136"/>
  <c r="L66" i="136"/>
  <c r="L67" i="136"/>
  <c r="L68" i="136"/>
  <c r="L69" i="136"/>
  <c r="L70" i="136"/>
  <c r="L71" i="136"/>
  <c r="L72" i="136"/>
  <c r="L73" i="136"/>
  <c r="L74" i="136"/>
  <c r="L75" i="136"/>
  <c r="L76" i="136"/>
  <c r="L77" i="136"/>
  <c r="L46" i="137"/>
  <c r="L47" i="137"/>
  <c r="L48" i="137"/>
  <c r="L49" i="137"/>
  <c r="L50" i="137"/>
  <c r="L51" i="137"/>
  <c r="L52" i="137"/>
  <c r="L53" i="137"/>
  <c r="L54" i="137"/>
  <c r="L55" i="137"/>
  <c r="L56" i="137"/>
  <c r="L57" i="137"/>
  <c r="L58" i="137"/>
  <c r="L59" i="137"/>
  <c r="L60" i="137"/>
  <c r="L61" i="137"/>
  <c r="L62" i="137"/>
  <c r="L63" i="137"/>
  <c r="L64" i="137"/>
  <c r="L65" i="137"/>
  <c r="L66" i="137"/>
  <c r="L67" i="137"/>
  <c r="L68" i="137"/>
  <c r="L69" i="137"/>
  <c r="L70" i="137"/>
  <c r="L71" i="137"/>
  <c r="L72" i="137"/>
  <c r="L73" i="137"/>
  <c r="L74" i="137"/>
  <c r="L75" i="137"/>
  <c r="L76" i="137"/>
  <c r="L77" i="137"/>
  <c r="L46" i="138"/>
  <c r="L47" i="138"/>
  <c r="L48" i="138"/>
  <c r="L49" i="138"/>
  <c r="L50" i="138"/>
  <c r="L51" i="138"/>
  <c r="L52" i="138"/>
  <c r="L53" i="138"/>
  <c r="L54" i="138"/>
  <c r="L55" i="138"/>
  <c r="L56" i="138"/>
  <c r="L57" i="138"/>
  <c r="L58" i="138"/>
  <c r="L59" i="138"/>
  <c r="L60" i="138"/>
  <c r="L61" i="138"/>
  <c r="L62" i="138"/>
  <c r="L63" i="138"/>
  <c r="L64" i="138"/>
  <c r="L65" i="138"/>
  <c r="L66" i="138"/>
  <c r="L67" i="138"/>
  <c r="L68" i="138"/>
  <c r="L69" i="138"/>
  <c r="L70" i="138"/>
  <c r="L71" i="138"/>
  <c r="L72" i="138"/>
  <c r="L73" i="138"/>
  <c r="L74" i="138"/>
  <c r="L75" i="138"/>
  <c r="L76" i="138"/>
  <c r="L77" i="138"/>
  <c r="L46" i="139"/>
  <c r="L47" i="139"/>
  <c r="L48" i="139"/>
  <c r="L49" i="139"/>
  <c r="L50" i="139"/>
  <c r="L51" i="139"/>
  <c r="L52" i="139"/>
  <c r="L53" i="139"/>
  <c r="L54" i="139"/>
  <c r="L55" i="139"/>
  <c r="L56" i="139"/>
  <c r="L57" i="139"/>
  <c r="L58" i="139"/>
  <c r="L59" i="139"/>
  <c r="L60" i="139"/>
  <c r="L61" i="139"/>
  <c r="L62" i="139"/>
  <c r="L63" i="139"/>
  <c r="L64" i="139"/>
  <c r="L65" i="139"/>
  <c r="L66" i="139"/>
  <c r="L67" i="139"/>
  <c r="L68" i="139"/>
  <c r="L69" i="139"/>
  <c r="L70" i="139"/>
  <c r="L71" i="139"/>
  <c r="L72" i="139"/>
  <c r="L73" i="139"/>
  <c r="L74" i="139"/>
  <c r="L75" i="139"/>
  <c r="L76" i="139"/>
  <c r="L77" i="139"/>
  <c r="L46" i="140"/>
  <c r="L47" i="140"/>
  <c r="L48" i="140"/>
  <c r="L49" i="140"/>
  <c r="L50" i="140"/>
  <c r="L51" i="140"/>
  <c r="L52" i="140"/>
  <c r="L53" i="140"/>
  <c r="L54" i="140"/>
  <c r="L55" i="140"/>
  <c r="L56" i="140"/>
  <c r="L57" i="140"/>
  <c r="L58" i="140"/>
  <c r="L59" i="140"/>
  <c r="L60" i="140"/>
  <c r="L61" i="140"/>
  <c r="L62" i="140"/>
  <c r="L63" i="140"/>
  <c r="L64" i="140"/>
  <c r="L65" i="140"/>
  <c r="L66" i="140"/>
  <c r="L67" i="140"/>
  <c r="L68" i="140"/>
  <c r="L69" i="140"/>
  <c r="L70" i="140"/>
  <c r="L71" i="140"/>
  <c r="L72" i="140"/>
  <c r="L73" i="140"/>
  <c r="L74" i="140"/>
  <c r="L75" i="140"/>
  <c r="L76" i="140"/>
  <c r="L77" i="140"/>
  <c r="L46" i="141"/>
  <c r="L47" i="141"/>
  <c r="L48" i="141"/>
  <c r="L49" i="141"/>
  <c r="L50" i="141"/>
  <c r="L51" i="141"/>
  <c r="L52" i="141"/>
  <c r="L53" i="141"/>
  <c r="L54" i="141"/>
  <c r="L55" i="141"/>
  <c r="L56" i="141"/>
  <c r="L57" i="141"/>
  <c r="L58" i="141"/>
  <c r="L59" i="141"/>
  <c r="L60" i="141"/>
  <c r="L61" i="141"/>
  <c r="L62" i="141"/>
  <c r="L63" i="141"/>
  <c r="L64" i="141"/>
  <c r="L65" i="141"/>
  <c r="L66" i="141"/>
  <c r="L67" i="141"/>
  <c r="L68" i="141"/>
  <c r="L69" i="141"/>
  <c r="L70" i="141"/>
  <c r="L71" i="141"/>
  <c r="L72" i="141"/>
  <c r="L73" i="141"/>
  <c r="L74" i="141"/>
  <c r="L75" i="141"/>
  <c r="L76" i="141"/>
  <c r="L77" i="141"/>
  <c r="L46" i="142"/>
  <c r="L47" i="142"/>
  <c r="L48" i="142"/>
  <c r="L49" i="142"/>
  <c r="L50" i="142"/>
  <c r="L51" i="142"/>
  <c r="L52" i="142"/>
  <c r="L53" i="142"/>
  <c r="L54" i="142"/>
  <c r="L55" i="142"/>
  <c r="L56" i="142"/>
  <c r="L57" i="142"/>
  <c r="L58" i="142"/>
  <c r="L59" i="142"/>
  <c r="L60" i="142"/>
  <c r="L61" i="142"/>
  <c r="L62" i="142"/>
  <c r="L63" i="142"/>
  <c r="L64" i="142"/>
  <c r="L65" i="142"/>
  <c r="L66" i="142"/>
  <c r="L67" i="142"/>
  <c r="L68" i="142"/>
  <c r="L69" i="142"/>
  <c r="L70" i="142"/>
  <c r="L71" i="142"/>
  <c r="L72" i="142"/>
  <c r="L73" i="142"/>
  <c r="L74" i="142"/>
  <c r="L75" i="142"/>
  <c r="L76" i="142"/>
  <c r="L77" i="142"/>
  <c r="L46" i="143"/>
  <c r="L47" i="143"/>
  <c r="L48" i="143"/>
  <c r="L49" i="143"/>
  <c r="L50" i="143"/>
  <c r="L51" i="143"/>
  <c r="L52" i="143"/>
  <c r="L53" i="143"/>
  <c r="L54" i="143"/>
  <c r="L55" i="143"/>
  <c r="L56" i="143"/>
  <c r="L57" i="143"/>
  <c r="L58" i="143"/>
  <c r="L59" i="143"/>
  <c r="L60" i="143"/>
  <c r="L61" i="143"/>
  <c r="L62" i="143"/>
  <c r="L63" i="143"/>
  <c r="L64" i="143"/>
  <c r="L65" i="143"/>
  <c r="L66" i="143"/>
  <c r="L67" i="143"/>
  <c r="L68" i="143"/>
  <c r="L69" i="143"/>
  <c r="L70" i="143"/>
  <c r="L71" i="143"/>
  <c r="L72" i="143"/>
  <c r="L73" i="143"/>
  <c r="L74" i="143"/>
  <c r="L75" i="143"/>
  <c r="L76" i="143"/>
  <c r="L77" i="143"/>
  <c r="L46" i="144"/>
  <c r="L47" i="144"/>
  <c r="L48" i="144"/>
  <c r="L49" i="144"/>
  <c r="L50" i="144"/>
  <c r="L51" i="144"/>
  <c r="L52" i="144"/>
  <c r="L53" i="144"/>
  <c r="L54" i="144"/>
  <c r="L55" i="144"/>
  <c r="L56" i="144"/>
  <c r="L57" i="144"/>
  <c r="L58" i="144"/>
  <c r="L59" i="144"/>
  <c r="L60" i="144"/>
  <c r="L61" i="144"/>
  <c r="L62" i="144"/>
  <c r="L63" i="144"/>
  <c r="L64" i="144"/>
  <c r="L65" i="144"/>
  <c r="L66" i="144"/>
  <c r="L67" i="144"/>
  <c r="L68" i="144"/>
  <c r="L69" i="144"/>
  <c r="L70" i="144"/>
  <c r="L71" i="144"/>
  <c r="L72" i="144"/>
  <c r="L73" i="144"/>
  <c r="L74" i="144"/>
  <c r="L75" i="144"/>
  <c r="L76" i="144"/>
  <c r="L77" i="144"/>
  <c r="L46" i="145"/>
  <c r="L47" i="145"/>
  <c r="L48" i="145"/>
  <c r="L49" i="145"/>
  <c r="L50" i="145"/>
  <c r="L51" i="145"/>
  <c r="L52" i="145"/>
  <c r="L53" i="145"/>
  <c r="L54" i="145"/>
  <c r="L55" i="145"/>
  <c r="L56" i="145"/>
  <c r="L57" i="145"/>
  <c r="L58" i="145"/>
  <c r="L59" i="145"/>
  <c r="L60" i="145"/>
  <c r="L61" i="145"/>
  <c r="L62" i="145"/>
  <c r="L63" i="145"/>
  <c r="L64" i="145"/>
  <c r="L65" i="145"/>
  <c r="L66" i="145"/>
  <c r="L67" i="145"/>
  <c r="L68" i="145"/>
  <c r="L69" i="145"/>
  <c r="L70" i="145"/>
  <c r="L71" i="145"/>
  <c r="L72" i="145"/>
  <c r="L73" i="145"/>
  <c r="L74" i="145"/>
  <c r="L75" i="145"/>
  <c r="L76" i="145"/>
  <c r="L77" i="145"/>
  <c r="L46" i="152"/>
  <c r="L47" i="152"/>
  <c r="L48" i="152"/>
  <c r="L49" i="152"/>
  <c r="L50" i="152"/>
  <c r="L51" i="152"/>
  <c r="L52" i="152"/>
  <c r="L53" i="152"/>
  <c r="L54" i="152"/>
  <c r="L55" i="152"/>
  <c r="L56" i="152"/>
  <c r="L57" i="152"/>
  <c r="L58" i="152"/>
  <c r="L59" i="152"/>
  <c r="L60" i="152"/>
  <c r="L61" i="152"/>
  <c r="L62" i="152"/>
  <c r="L63" i="152"/>
  <c r="L64" i="152"/>
  <c r="L65" i="152"/>
  <c r="L66" i="152"/>
  <c r="L67" i="152"/>
  <c r="L68" i="152"/>
  <c r="L69" i="152"/>
  <c r="L70" i="152"/>
  <c r="L71" i="152"/>
  <c r="L72" i="152"/>
  <c r="L73" i="152"/>
  <c r="L74" i="152"/>
  <c r="L75" i="152"/>
  <c r="L76" i="152"/>
  <c r="L77" i="152"/>
  <c r="L46" i="22"/>
  <c r="L47" i="22"/>
  <c r="L48" i="22"/>
  <c r="L49" i="22"/>
  <c r="L50" i="22"/>
  <c r="L51" i="22"/>
  <c r="L52" i="22"/>
  <c r="L53" i="22"/>
  <c r="L54" i="22"/>
  <c r="L55" i="22"/>
  <c r="L56" i="22"/>
  <c r="L57" i="22"/>
  <c r="L58" i="22"/>
  <c r="L59" i="22"/>
  <c r="L60" i="22"/>
  <c r="L61" i="22"/>
  <c r="L62" i="22"/>
  <c r="L63" i="22"/>
  <c r="L64" i="22"/>
  <c r="L65" i="22"/>
  <c r="L66" i="22"/>
  <c r="L67" i="22"/>
  <c r="L68" i="22"/>
  <c r="L69" i="22"/>
  <c r="L70" i="22"/>
  <c r="L71" i="22"/>
  <c r="L72" i="22"/>
  <c r="L73" i="22"/>
  <c r="L74" i="22"/>
  <c r="L75" i="22"/>
  <c r="L76" i="22"/>
  <c r="L77" i="22"/>
  <c r="R29" i="88"/>
  <c r="R30" i="88"/>
  <c r="R31" i="88"/>
  <c r="R32" i="88"/>
  <c r="R33" i="88"/>
  <c r="R34" i="88"/>
  <c r="R35" i="88"/>
  <c r="R36" i="88"/>
  <c r="R37" i="88"/>
  <c r="R38" i="88"/>
  <c r="R39" i="88"/>
  <c r="R40" i="88"/>
  <c r="R41" i="88"/>
  <c r="R42" i="88"/>
  <c r="R43" i="88"/>
  <c r="R44" i="88"/>
  <c r="R45" i="88"/>
  <c r="R46" i="88"/>
  <c r="R47" i="88"/>
  <c r="R48" i="88"/>
  <c r="R49" i="88"/>
  <c r="R50" i="88"/>
  <c r="R51" i="88"/>
  <c r="R52" i="88"/>
  <c r="R53" i="88"/>
  <c r="R54" i="88"/>
  <c r="R55" i="88"/>
  <c r="R56" i="88"/>
  <c r="R57" i="88"/>
  <c r="R58" i="88"/>
  <c r="R59" i="88"/>
  <c r="R60" i="88"/>
  <c r="R61" i="88"/>
  <c r="R62" i="88"/>
  <c r="R63" i="88"/>
  <c r="R64" i="88"/>
  <c r="R65" i="88"/>
  <c r="R66" i="88"/>
  <c r="R67" i="88"/>
  <c r="R68" i="88"/>
  <c r="R69" i="88"/>
  <c r="R70" i="88"/>
  <c r="R71" i="88"/>
  <c r="R72" i="88"/>
  <c r="R73" i="88"/>
  <c r="R74" i="88"/>
  <c r="R75" i="88"/>
  <c r="R76" i="88"/>
  <c r="R77" i="88"/>
  <c r="R29" i="89"/>
  <c r="R30" i="89"/>
  <c r="R31" i="89"/>
  <c r="R32" i="89"/>
  <c r="R33" i="89"/>
  <c r="R34" i="89"/>
  <c r="R35" i="89"/>
  <c r="R36" i="89"/>
  <c r="R37" i="89"/>
  <c r="R38" i="89"/>
  <c r="R39" i="89"/>
  <c r="R40" i="89"/>
  <c r="R41" i="89"/>
  <c r="R42" i="89"/>
  <c r="R43" i="89"/>
  <c r="R44" i="89"/>
  <c r="R45" i="89"/>
  <c r="R46" i="89"/>
  <c r="R47" i="89"/>
  <c r="R48" i="89"/>
  <c r="R49" i="89"/>
  <c r="R50" i="89"/>
  <c r="R51" i="89"/>
  <c r="R52" i="89"/>
  <c r="R53" i="89"/>
  <c r="R54" i="89"/>
  <c r="R55" i="89"/>
  <c r="R56" i="89"/>
  <c r="R57" i="89"/>
  <c r="R58" i="89"/>
  <c r="R59" i="89"/>
  <c r="R60" i="89"/>
  <c r="R61" i="89"/>
  <c r="R62" i="89"/>
  <c r="R63" i="89"/>
  <c r="R64" i="89"/>
  <c r="R65" i="89"/>
  <c r="R66" i="89"/>
  <c r="R67" i="89"/>
  <c r="R68" i="89"/>
  <c r="R69" i="89"/>
  <c r="R70" i="89"/>
  <c r="R71" i="89"/>
  <c r="R72" i="89"/>
  <c r="R73" i="89"/>
  <c r="R74" i="89"/>
  <c r="R75" i="89"/>
  <c r="R76" i="89"/>
  <c r="R77" i="89"/>
  <c r="R29" i="90"/>
  <c r="R30" i="90"/>
  <c r="R31" i="90"/>
  <c r="R32" i="90"/>
  <c r="R33" i="90"/>
  <c r="R34" i="90"/>
  <c r="R35" i="90"/>
  <c r="R36" i="90"/>
  <c r="R37" i="90"/>
  <c r="R38" i="90"/>
  <c r="R39" i="90"/>
  <c r="R40" i="90"/>
  <c r="R41" i="90"/>
  <c r="R42" i="90"/>
  <c r="R43" i="90"/>
  <c r="R44" i="90"/>
  <c r="R45" i="90"/>
  <c r="R46" i="90"/>
  <c r="R47" i="90"/>
  <c r="R48" i="90"/>
  <c r="R49" i="90"/>
  <c r="R50" i="90"/>
  <c r="R51" i="90"/>
  <c r="R52" i="90"/>
  <c r="R53" i="90"/>
  <c r="R54" i="90"/>
  <c r="R55" i="90"/>
  <c r="R56" i="90"/>
  <c r="R57" i="90"/>
  <c r="R58" i="90"/>
  <c r="R59" i="90"/>
  <c r="R60" i="90"/>
  <c r="R61" i="90"/>
  <c r="R62" i="90"/>
  <c r="R63" i="90"/>
  <c r="R64" i="90"/>
  <c r="R65" i="90"/>
  <c r="R66" i="90"/>
  <c r="R67" i="90"/>
  <c r="R68" i="90"/>
  <c r="R69" i="90"/>
  <c r="R70" i="90"/>
  <c r="R71" i="90"/>
  <c r="R72" i="90"/>
  <c r="R73" i="90"/>
  <c r="R74" i="90"/>
  <c r="R75" i="90"/>
  <c r="R76" i="90"/>
  <c r="R77" i="90"/>
  <c r="R29" i="91"/>
  <c r="R30" i="91"/>
  <c r="R31" i="91"/>
  <c r="R32" i="91"/>
  <c r="R33" i="91"/>
  <c r="R34" i="91"/>
  <c r="R35" i="91"/>
  <c r="R36" i="91"/>
  <c r="R37" i="91"/>
  <c r="R38" i="91"/>
  <c r="R39" i="91"/>
  <c r="R40" i="91"/>
  <c r="R41" i="91"/>
  <c r="R42" i="91"/>
  <c r="R43" i="91"/>
  <c r="R44" i="91"/>
  <c r="R45" i="91"/>
  <c r="R46" i="91"/>
  <c r="R47" i="91"/>
  <c r="R48" i="91"/>
  <c r="R49" i="91"/>
  <c r="R50" i="91"/>
  <c r="R51" i="91"/>
  <c r="R52" i="91"/>
  <c r="R53" i="91"/>
  <c r="R54" i="91"/>
  <c r="R55" i="91"/>
  <c r="R56" i="91"/>
  <c r="R57" i="91"/>
  <c r="R58" i="91"/>
  <c r="R59" i="91"/>
  <c r="R60" i="91"/>
  <c r="R61" i="91"/>
  <c r="R62" i="91"/>
  <c r="R63" i="91"/>
  <c r="R64" i="91"/>
  <c r="R65" i="91"/>
  <c r="R66" i="91"/>
  <c r="R67" i="91"/>
  <c r="R68" i="91"/>
  <c r="R69" i="91"/>
  <c r="R70" i="91"/>
  <c r="R71" i="91"/>
  <c r="R72" i="91"/>
  <c r="R73" i="91"/>
  <c r="R74" i="91"/>
  <c r="R75" i="91"/>
  <c r="R76" i="91"/>
  <c r="R77" i="91"/>
  <c r="R29" i="92"/>
  <c r="R30" i="92"/>
  <c r="R31" i="92"/>
  <c r="R32" i="92"/>
  <c r="R33" i="92"/>
  <c r="R34" i="92"/>
  <c r="R35" i="92"/>
  <c r="R36" i="92"/>
  <c r="R37" i="92"/>
  <c r="R38" i="92"/>
  <c r="R39" i="92"/>
  <c r="R40" i="92"/>
  <c r="R41" i="92"/>
  <c r="R42" i="92"/>
  <c r="R43" i="92"/>
  <c r="R44" i="92"/>
  <c r="R45" i="92"/>
  <c r="R46" i="92"/>
  <c r="R47" i="92"/>
  <c r="R48" i="92"/>
  <c r="R49" i="92"/>
  <c r="R50" i="92"/>
  <c r="R51" i="92"/>
  <c r="R52" i="92"/>
  <c r="R53" i="92"/>
  <c r="R54" i="92"/>
  <c r="R55" i="92"/>
  <c r="R56" i="92"/>
  <c r="R57" i="92"/>
  <c r="R58" i="92"/>
  <c r="R59" i="92"/>
  <c r="R60" i="92"/>
  <c r="R61" i="92"/>
  <c r="R62" i="92"/>
  <c r="R63" i="92"/>
  <c r="R64" i="92"/>
  <c r="R65" i="92"/>
  <c r="R66" i="92"/>
  <c r="R67" i="92"/>
  <c r="R68" i="92"/>
  <c r="R69" i="92"/>
  <c r="R70" i="92"/>
  <c r="R71" i="92"/>
  <c r="R72" i="92"/>
  <c r="R73" i="92"/>
  <c r="R74" i="92"/>
  <c r="R75" i="92"/>
  <c r="R76" i="92"/>
  <c r="R77" i="92"/>
  <c r="R29" i="93"/>
  <c r="R30" i="93"/>
  <c r="R31" i="93"/>
  <c r="R32" i="93"/>
  <c r="R33" i="93"/>
  <c r="R34" i="93"/>
  <c r="R35" i="93"/>
  <c r="R36" i="93"/>
  <c r="R37" i="93"/>
  <c r="R38" i="93"/>
  <c r="R39" i="93"/>
  <c r="R40" i="93"/>
  <c r="R41" i="93"/>
  <c r="R42" i="93"/>
  <c r="R43" i="93"/>
  <c r="R44" i="93"/>
  <c r="R45" i="93"/>
  <c r="R46" i="93"/>
  <c r="R47" i="93"/>
  <c r="R48" i="93"/>
  <c r="R49" i="93"/>
  <c r="R50" i="93"/>
  <c r="R51" i="93"/>
  <c r="R52" i="93"/>
  <c r="R53" i="93"/>
  <c r="R54" i="93"/>
  <c r="R55" i="93"/>
  <c r="R56" i="93"/>
  <c r="R57" i="93"/>
  <c r="R58" i="93"/>
  <c r="R59" i="93"/>
  <c r="R60" i="93"/>
  <c r="R61" i="93"/>
  <c r="R62" i="93"/>
  <c r="R63" i="93"/>
  <c r="R64" i="93"/>
  <c r="R65" i="93"/>
  <c r="R66" i="93"/>
  <c r="R67" i="93"/>
  <c r="R68" i="93"/>
  <c r="R69" i="93"/>
  <c r="R70" i="93"/>
  <c r="R71" i="93"/>
  <c r="R72" i="93"/>
  <c r="R73" i="93"/>
  <c r="R74" i="93"/>
  <c r="R75" i="93"/>
  <c r="R76" i="93"/>
  <c r="R77" i="93"/>
  <c r="R29" i="94"/>
  <c r="R30" i="94"/>
  <c r="R31" i="94"/>
  <c r="R32" i="94"/>
  <c r="R33" i="94"/>
  <c r="R34" i="94"/>
  <c r="R35" i="94"/>
  <c r="R36" i="94"/>
  <c r="R37" i="94"/>
  <c r="R38" i="94"/>
  <c r="R39" i="94"/>
  <c r="R40" i="94"/>
  <c r="R41" i="94"/>
  <c r="R42" i="94"/>
  <c r="R43" i="94"/>
  <c r="R44" i="94"/>
  <c r="R45" i="94"/>
  <c r="R46" i="94"/>
  <c r="R47" i="94"/>
  <c r="R48" i="94"/>
  <c r="R49" i="94"/>
  <c r="R50" i="94"/>
  <c r="R51" i="94"/>
  <c r="R52" i="94"/>
  <c r="R53" i="94"/>
  <c r="R54" i="94"/>
  <c r="R55" i="94"/>
  <c r="R56" i="94"/>
  <c r="R57" i="94"/>
  <c r="R58" i="94"/>
  <c r="R59" i="94"/>
  <c r="R60" i="94"/>
  <c r="R61" i="94"/>
  <c r="R62" i="94"/>
  <c r="R63" i="94"/>
  <c r="R64" i="94"/>
  <c r="R65" i="94"/>
  <c r="R66" i="94"/>
  <c r="R67" i="94"/>
  <c r="R68" i="94"/>
  <c r="R69" i="94"/>
  <c r="R70" i="94"/>
  <c r="R71" i="94"/>
  <c r="R72" i="94"/>
  <c r="R73" i="94"/>
  <c r="R74" i="94"/>
  <c r="R75" i="94"/>
  <c r="R76" i="94"/>
  <c r="R77" i="94"/>
  <c r="R29" i="95"/>
  <c r="R30" i="95"/>
  <c r="R31" i="95"/>
  <c r="R32" i="95"/>
  <c r="R33" i="95"/>
  <c r="R34" i="95"/>
  <c r="R35" i="95"/>
  <c r="R36" i="95"/>
  <c r="R37" i="95"/>
  <c r="R38" i="95"/>
  <c r="R39" i="95"/>
  <c r="R40" i="95"/>
  <c r="R41" i="95"/>
  <c r="R42" i="95"/>
  <c r="R43" i="95"/>
  <c r="R44" i="95"/>
  <c r="R45" i="95"/>
  <c r="R46" i="95"/>
  <c r="R47" i="95"/>
  <c r="R48" i="95"/>
  <c r="R49" i="95"/>
  <c r="R50" i="95"/>
  <c r="R51" i="95"/>
  <c r="R52" i="95"/>
  <c r="R53" i="95"/>
  <c r="R54" i="95"/>
  <c r="R55" i="95"/>
  <c r="R56" i="95"/>
  <c r="R57" i="95"/>
  <c r="R58" i="95"/>
  <c r="R59" i="95"/>
  <c r="R60" i="95"/>
  <c r="R61" i="95"/>
  <c r="R62" i="95"/>
  <c r="R63" i="95"/>
  <c r="R64" i="95"/>
  <c r="R65" i="95"/>
  <c r="R66" i="95"/>
  <c r="R67" i="95"/>
  <c r="R68" i="95"/>
  <c r="R69" i="95"/>
  <c r="R70" i="95"/>
  <c r="R71" i="95"/>
  <c r="R72" i="95"/>
  <c r="R73" i="95"/>
  <c r="R74" i="95"/>
  <c r="R75" i="95"/>
  <c r="R76" i="95"/>
  <c r="R77" i="95"/>
  <c r="R29" i="96"/>
  <c r="R30" i="96"/>
  <c r="R31" i="96"/>
  <c r="R32" i="96"/>
  <c r="R33" i="96"/>
  <c r="R34" i="96"/>
  <c r="R35" i="96"/>
  <c r="R36" i="96"/>
  <c r="R37" i="96"/>
  <c r="R38" i="96"/>
  <c r="R39" i="96"/>
  <c r="R40" i="96"/>
  <c r="R41" i="96"/>
  <c r="R42" i="96"/>
  <c r="R43" i="96"/>
  <c r="R44" i="96"/>
  <c r="R45" i="96"/>
  <c r="R46" i="96"/>
  <c r="R47" i="96"/>
  <c r="R48" i="96"/>
  <c r="R49" i="96"/>
  <c r="R50" i="96"/>
  <c r="R51" i="96"/>
  <c r="R52" i="96"/>
  <c r="R53" i="96"/>
  <c r="R54" i="96"/>
  <c r="R55" i="96"/>
  <c r="R56" i="96"/>
  <c r="R57" i="96"/>
  <c r="R58" i="96"/>
  <c r="R59" i="96"/>
  <c r="R60" i="96"/>
  <c r="R61" i="96"/>
  <c r="R62" i="96"/>
  <c r="R63" i="96"/>
  <c r="R64" i="96"/>
  <c r="R65" i="96"/>
  <c r="R66" i="96"/>
  <c r="R67" i="96"/>
  <c r="R68" i="96"/>
  <c r="R69" i="96"/>
  <c r="R70" i="96"/>
  <c r="R71" i="96"/>
  <c r="R72" i="96"/>
  <c r="R73" i="96"/>
  <c r="R74" i="96"/>
  <c r="R75" i="96"/>
  <c r="R76" i="96"/>
  <c r="R77" i="96"/>
  <c r="R29" i="97"/>
  <c r="R30" i="97"/>
  <c r="R31" i="97"/>
  <c r="R32" i="97"/>
  <c r="R33" i="97"/>
  <c r="R34" i="97"/>
  <c r="R35" i="97"/>
  <c r="R36" i="97"/>
  <c r="R37" i="97"/>
  <c r="R38" i="97"/>
  <c r="R39" i="97"/>
  <c r="R40" i="97"/>
  <c r="R41" i="97"/>
  <c r="R42" i="97"/>
  <c r="R43" i="97"/>
  <c r="R44" i="97"/>
  <c r="R45" i="97"/>
  <c r="R46" i="97"/>
  <c r="R47" i="97"/>
  <c r="R48" i="97"/>
  <c r="R49" i="97"/>
  <c r="R50" i="97"/>
  <c r="R51" i="97"/>
  <c r="R52" i="97"/>
  <c r="R53" i="97"/>
  <c r="R54" i="97"/>
  <c r="R55" i="97"/>
  <c r="R56" i="97"/>
  <c r="R57" i="97"/>
  <c r="R58" i="97"/>
  <c r="R59" i="97"/>
  <c r="R60" i="97"/>
  <c r="R61" i="97"/>
  <c r="R62" i="97"/>
  <c r="R63" i="97"/>
  <c r="R64" i="97"/>
  <c r="R65" i="97"/>
  <c r="R66" i="97"/>
  <c r="R67" i="97"/>
  <c r="R68" i="97"/>
  <c r="R69" i="97"/>
  <c r="R70" i="97"/>
  <c r="R71" i="97"/>
  <c r="R72" i="97"/>
  <c r="R73" i="97"/>
  <c r="R74" i="97"/>
  <c r="R75" i="97"/>
  <c r="R76" i="97"/>
  <c r="R77" i="97"/>
  <c r="R29" i="98"/>
  <c r="R30" i="98"/>
  <c r="R31" i="98"/>
  <c r="R32" i="98"/>
  <c r="R33" i="98"/>
  <c r="R34" i="98"/>
  <c r="R35" i="98"/>
  <c r="R36" i="98"/>
  <c r="R37" i="98"/>
  <c r="R38" i="98"/>
  <c r="R39" i="98"/>
  <c r="R40" i="98"/>
  <c r="R41" i="98"/>
  <c r="R42" i="98"/>
  <c r="R43" i="98"/>
  <c r="R44" i="98"/>
  <c r="R45" i="98"/>
  <c r="R46" i="98"/>
  <c r="R47" i="98"/>
  <c r="R48" i="98"/>
  <c r="R49" i="98"/>
  <c r="R50" i="98"/>
  <c r="R51" i="98"/>
  <c r="R52" i="98"/>
  <c r="R53" i="98"/>
  <c r="R54" i="98"/>
  <c r="R55" i="98"/>
  <c r="R56" i="98"/>
  <c r="R57" i="98"/>
  <c r="R58" i="98"/>
  <c r="R59" i="98"/>
  <c r="R60" i="98"/>
  <c r="R61" i="98"/>
  <c r="R62" i="98"/>
  <c r="R63" i="98"/>
  <c r="R64" i="98"/>
  <c r="R65" i="98"/>
  <c r="R66" i="98"/>
  <c r="R67" i="98"/>
  <c r="R68" i="98"/>
  <c r="R69" i="98"/>
  <c r="R70" i="98"/>
  <c r="R71" i="98"/>
  <c r="R72" i="98"/>
  <c r="R73" i="98"/>
  <c r="R74" i="98"/>
  <c r="R75" i="98"/>
  <c r="R76" i="98"/>
  <c r="R77" i="98"/>
  <c r="R29" i="99"/>
  <c r="R30" i="99"/>
  <c r="R31" i="99"/>
  <c r="R32" i="99"/>
  <c r="R33" i="99"/>
  <c r="R34" i="99"/>
  <c r="R35" i="99"/>
  <c r="R36" i="99"/>
  <c r="R37" i="99"/>
  <c r="R38" i="99"/>
  <c r="R39" i="99"/>
  <c r="R40" i="99"/>
  <c r="R41" i="99"/>
  <c r="R42" i="99"/>
  <c r="R43" i="99"/>
  <c r="R44" i="99"/>
  <c r="R45" i="99"/>
  <c r="R46" i="99"/>
  <c r="R47" i="99"/>
  <c r="R48" i="99"/>
  <c r="R49" i="99"/>
  <c r="R50" i="99"/>
  <c r="R51" i="99"/>
  <c r="R52" i="99"/>
  <c r="R53" i="99"/>
  <c r="R54" i="99"/>
  <c r="R55" i="99"/>
  <c r="R56" i="99"/>
  <c r="R57" i="99"/>
  <c r="R58" i="99"/>
  <c r="R59" i="99"/>
  <c r="R60" i="99"/>
  <c r="R61" i="99"/>
  <c r="R62" i="99"/>
  <c r="R63" i="99"/>
  <c r="R64" i="99"/>
  <c r="R65" i="99"/>
  <c r="R66" i="99"/>
  <c r="R67" i="99"/>
  <c r="R68" i="99"/>
  <c r="R69" i="99"/>
  <c r="R70" i="99"/>
  <c r="R71" i="99"/>
  <c r="R72" i="99"/>
  <c r="R73" i="99"/>
  <c r="R74" i="99"/>
  <c r="R75" i="99"/>
  <c r="R76" i="99"/>
  <c r="R77" i="99"/>
  <c r="R29" i="100"/>
  <c r="R30" i="100"/>
  <c r="R31" i="100"/>
  <c r="R32" i="100"/>
  <c r="R33" i="100"/>
  <c r="R34" i="100"/>
  <c r="R35" i="100"/>
  <c r="R36" i="100"/>
  <c r="R37" i="100"/>
  <c r="R38" i="100"/>
  <c r="R39" i="100"/>
  <c r="R40" i="100"/>
  <c r="R41" i="100"/>
  <c r="R42" i="100"/>
  <c r="R43" i="100"/>
  <c r="R44" i="100"/>
  <c r="R45" i="100"/>
  <c r="R46" i="100"/>
  <c r="R47" i="100"/>
  <c r="R48" i="100"/>
  <c r="R49" i="100"/>
  <c r="R50" i="100"/>
  <c r="R51" i="100"/>
  <c r="R52" i="100"/>
  <c r="R53" i="100"/>
  <c r="R54" i="100"/>
  <c r="R55" i="100"/>
  <c r="R56" i="100"/>
  <c r="R57" i="100"/>
  <c r="R58" i="100"/>
  <c r="R59" i="100"/>
  <c r="R60" i="100"/>
  <c r="R61" i="100"/>
  <c r="R62" i="100"/>
  <c r="R63" i="100"/>
  <c r="R64" i="100"/>
  <c r="R65" i="100"/>
  <c r="R66" i="100"/>
  <c r="R67" i="100"/>
  <c r="R68" i="100"/>
  <c r="R69" i="100"/>
  <c r="R70" i="100"/>
  <c r="R71" i="100"/>
  <c r="R72" i="100"/>
  <c r="R73" i="100"/>
  <c r="R74" i="100"/>
  <c r="R75" i="100"/>
  <c r="R76" i="100"/>
  <c r="R77" i="100"/>
  <c r="R29" i="101"/>
  <c r="R30" i="101"/>
  <c r="R31" i="101"/>
  <c r="R32" i="101"/>
  <c r="R33" i="101"/>
  <c r="R34" i="101"/>
  <c r="R35" i="101"/>
  <c r="R36" i="101"/>
  <c r="R37" i="101"/>
  <c r="R38" i="101"/>
  <c r="R39" i="101"/>
  <c r="R40" i="101"/>
  <c r="R41" i="101"/>
  <c r="R42" i="101"/>
  <c r="R43" i="101"/>
  <c r="R44" i="101"/>
  <c r="R45" i="101"/>
  <c r="R46" i="101"/>
  <c r="R47" i="101"/>
  <c r="R48" i="101"/>
  <c r="R49" i="101"/>
  <c r="R50" i="101"/>
  <c r="R51" i="101"/>
  <c r="R52" i="101"/>
  <c r="R53" i="101"/>
  <c r="R54" i="101"/>
  <c r="R55" i="101"/>
  <c r="R56" i="101"/>
  <c r="R57" i="101"/>
  <c r="R58" i="101"/>
  <c r="R59" i="101"/>
  <c r="R60" i="101"/>
  <c r="R61" i="101"/>
  <c r="R62" i="101"/>
  <c r="R63" i="101"/>
  <c r="R64" i="101"/>
  <c r="R65" i="101"/>
  <c r="R66" i="101"/>
  <c r="R67" i="101"/>
  <c r="R68" i="101"/>
  <c r="R69" i="101"/>
  <c r="R70" i="101"/>
  <c r="R71" i="101"/>
  <c r="R72" i="101"/>
  <c r="R73" i="101"/>
  <c r="R74" i="101"/>
  <c r="R75" i="101"/>
  <c r="R76" i="101"/>
  <c r="R77" i="101"/>
  <c r="R29" i="102"/>
  <c r="R30" i="102"/>
  <c r="R31" i="102"/>
  <c r="R32" i="102"/>
  <c r="R33" i="102"/>
  <c r="R34" i="102"/>
  <c r="R35" i="102"/>
  <c r="R36" i="102"/>
  <c r="R37" i="102"/>
  <c r="R38" i="102"/>
  <c r="R39" i="102"/>
  <c r="R40" i="102"/>
  <c r="R41" i="102"/>
  <c r="R42" i="102"/>
  <c r="R43" i="102"/>
  <c r="R44" i="102"/>
  <c r="R45" i="102"/>
  <c r="R46" i="102"/>
  <c r="R47" i="102"/>
  <c r="R48" i="102"/>
  <c r="R49" i="102"/>
  <c r="R50" i="102"/>
  <c r="R51" i="102"/>
  <c r="R52" i="102"/>
  <c r="R53" i="102"/>
  <c r="R54" i="102"/>
  <c r="R55" i="102"/>
  <c r="R56" i="102"/>
  <c r="R57" i="102"/>
  <c r="R58" i="102"/>
  <c r="R59" i="102"/>
  <c r="R60" i="102"/>
  <c r="R61" i="102"/>
  <c r="R62" i="102"/>
  <c r="R63" i="102"/>
  <c r="R64" i="102"/>
  <c r="R65" i="102"/>
  <c r="R66" i="102"/>
  <c r="R67" i="102"/>
  <c r="R68" i="102"/>
  <c r="R69" i="102"/>
  <c r="R70" i="102"/>
  <c r="R71" i="102"/>
  <c r="R72" i="102"/>
  <c r="R73" i="102"/>
  <c r="R74" i="102"/>
  <c r="R75" i="102"/>
  <c r="R76" i="102"/>
  <c r="R77" i="102"/>
  <c r="R29" i="103"/>
  <c r="R30" i="103"/>
  <c r="R31" i="103"/>
  <c r="R32" i="103"/>
  <c r="R33" i="103"/>
  <c r="R34" i="103"/>
  <c r="R35" i="103"/>
  <c r="R36" i="103"/>
  <c r="R37" i="103"/>
  <c r="R38" i="103"/>
  <c r="R39" i="103"/>
  <c r="R40" i="103"/>
  <c r="R41" i="103"/>
  <c r="R42" i="103"/>
  <c r="R43" i="103"/>
  <c r="R44" i="103"/>
  <c r="R45" i="103"/>
  <c r="R46" i="103"/>
  <c r="R47" i="103"/>
  <c r="R48" i="103"/>
  <c r="R49" i="103"/>
  <c r="R50" i="103"/>
  <c r="R51" i="103"/>
  <c r="R52" i="103"/>
  <c r="R53" i="103"/>
  <c r="R54" i="103"/>
  <c r="R55" i="103"/>
  <c r="R56" i="103"/>
  <c r="R57" i="103"/>
  <c r="R58" i="103"/>
  <c r="R59" i="103"/>
  <c r="R60" i="103"/>
  <c r="R61" i="103"/>
  <c r="R62" i="103"/>
  <c r="R63" i="103"/>
  <c r="R64" i="103"/>
  <c r="R65" i="103"/>
  <c r="R66" i="103"/>
  <c r="R67" i="103"/>
  <c r="R68" i="103"/>
  <c r="R69" i="103"/>
  <c r="R70" i="103"/>
  <c r="R71" i="103"/>
  <c r="R72" i="103"/>
  <c r="R73" i="103"/>
  <c r="R74" i="103"/>
  <c r="R75" i="103"/>
  <c r="R76" i="103"/>
  <c r="R77" i="103"/>
  <c r="R29" i="104"/>
  <c r="R30" i="104"/>
  <c r="R31" i="104"/>
  <c r="R32" i="104"/>
  <c r="R33" i="104"/>
  <c r="R34" i="104"/>
  <c r="R35" i="104"/>
  <c r="R36" i="104"/>
  <c r="R37" i="104"/>
  <c r="R38" i="104"/>
  <c r="R39" i="104"/>
  <c r="R40" i="104"/>
  <c r="R41" i="104"/>
  <c r="R42" i="104"/>
  <c r="R43" i="104"/>
  <c r="R44" i="104"/>
  <c r="R45" i="104"/>
  <c r="R46" i="104"/>
  <c r="R47" i="104"/>
  <c r="R48" i="104"/>
  <c r="R49" i="104"/>
  <c r="R50" i="104"/>
  <c r="R51" i="104"/>
  <c r="R52" i="104"/>
  <c r="R53" i="104"/>
  <c r="R54" i="104"/>
  <c r="R55" i="104"/>
  <c r="R56" i="104"/>
  <c r="R57" i="104"/>
  <c r="R58" i="104"/>
  <c r="R59" i="104"/>
  <c r="R60" i="104"/>
  <c r="R61" i="104"/>
  <c r="R62" i="104"/>
  <c r="R63" i="104"/>
  <c r="R64" i="104"/>
  <c r="R65" i="104"/>
  <c r="R66" i="104"/>
  <c r="R67" i="104"/>
  <c r="R68" i="104"/>
  <c r="R69" i="104"/>
  <c r="R70" i="104"/>
  <c r="R71" i="104"/>
  <c r="R72" i="104"/>
  <c r="R73" i="104"/>
  <c r="R74" i="104"/>
  <c r="R75" i="104"/>
  <c r="R76" i="104"/>
  <c r="R77" i="104"/>
  <c r="R29" i="105"/>
  <c r="R30" i="105"/>
  <c r="R31" i="105"/>
  <c r="R32" i="105"/>
  <c r="R33" i="105"/>
  <c r="R34" i="105"/>
  <c r="R35" i="105"/>
  <c r="R36" i="105"/>
  <c r="R37" i="105"/>
  <c r="R38" i="105"/>
  <c r="R39" i="105"/>
  <c r="R40" i="105"/>
  <c r="R41" i="105"/>
  <c r="R42" i="105"/>
  <c r="R43" i="105"/>
  <c r="R44" i="105"/>
  <c r="R45" i="105"/>
  <c r="R46" i="105"/>
  <c r="R47" i="105"/>
  <c r="R48" i="105"/>
  <c r="R49" i="105"/>
  <c r="R50" i="105"/>
  <c r="R51" i="105"/>
  <c r="R52" i="105"/>
  <c r="R53" i="105"/>
  <c r="R54" i="105"/>
  <c r="R55" i="105"/>
  <c r="R56" i="105"/>
  <c r="R57" i="105"/>
  <c r="R58" i="105"/>
  <c r="R59" i="105"/>
  <c r="R60" i="105"/>
  <c r="R61" i="105"/>
  <c r="R62" i="105"/>
  <c r="R63" i="105"/>
  <c r="R64" i="105"/>
  <c r="R65" i="105"/>
  <c r="R66" i="105"/>
  <c r="R67" i="105"/>
  <c r="R68" i="105"/>
  <c r="R69" i="105"/>
  <c r="R70" i="105"/>
  <c r="R71" i="105"/>
  <c r="R72" i="105"/>
  <c r="R73" i="105"/>
  <c r="R74" i="105"/>
  <c r="R75" i="105"/>
  <c r="R76" i="105"/>
  <c r="R77" i="105"/>
  <c r="R29" i="106"/>
  <c r="R30" i="106"/>
  <c r="R31" i="106"/>
  <c r="R32" i="106"/>
  <c r="R33" i="106"/>
  <c r="R34" i="106"/>
  <c r="R35" i="106"/>
  <c r="R36" i="106"/>
  <c r="R37" i="106"/>
  <c r="R38" i="106"/>
  <c r="R39" i="106"/>
  <c r="R40" i="106"/>
  <c r="R41" i="106"/>
  <c r="R42" i="106"/>
  <c r="R43" i="106"/>
  <c r="R44" i="106"/>
  <c r="R45" i="106"/>
  <c r="R46" i="106"/>
  <c r="R47" i="106"/>
  <c r="R48" i="106"/>
  <c r="R49" i="106"/>
  <c r="R50" i="106"/>
  <c r="R51" i="106"/>
  <c r="R52" i="106"/>
  <c r="R53" i="106"/>
  <c r="R54" i="106"/>
  <c r="R55" i="106"/>
  <c r="R56" i="106"/>
  <c r="R57" i="106"/>
  <c r="R58" i="106"/>
  <c r="R59" i="106"/>
  <c r="R60" i="106"/>
  <c r="R61" i="106"/>
  <c r="R62" i="106"/>
  <c r="R63" i="106"/>
  <c r="R64" i="106"/>
  <c r="R65" i="106"/>
  <c r="R66" i="106"/>
  <c r="R67" i="106"/>
  <c r="R68" i="106"/>
  <c r="R69" i="106"/>
  <c r="R70" i="106"/>
  <c r="R71" i="106"/>
  <c r="R72" i="106"/>
  <c r="R73" i="106"/>
  <c r="R74" i="106"/>
  <c r="R75" i="106"/>
  <c r="R76" i="106"/>
  <c r="R77" i="106"/>
  <c r="R29" i="107"/>
  <c r="R30" i="107"/>
  <c r="R31" i="107"/>
  <c r="R32" i="107"/>
  <c r="R33" i="107"/>
  <c r="R34" i="107"/>
  <c r="R35" i="107"/>
  <c r="R36" i="107"/>
  <c r="R37" i="107"/>
  <c r="R38" i="107"/>
  <c r="R39" i="107"/>
  <c r="R40" i="107"/>
  <c r="R41" i="107"/>
  <c r="R42" i="107"/>
  <c r="R43" i="107"/>
  <c r="R44" i="107"/>
  <c r="R45" i="107"/>
  <c r="R46" i="107"/>
  <c r="R47" i="107"/>
  <c r="R48" i="107"/>
  <c r="R49" i="107"/>
  <c r="R50" i="107"/>
  <c r="R51" i="107"/>
  <c r="R52" i="107"/>
  <c r="R53" i="107"/>
  <c r="R54" i="107"/>
  <c r="R55" i="107"/>
  <c r="R56" i="107"/>
  <c r="R57" i="107"/>
  <c r="R58" i="107"/>
  <c r="R59" i="107"/>
  <c r="R60" i="107"/>
  <c r="R61" i="107"/>
  <c r="R62" i="107"/>
  <c r="R63" i="107"/>
  <c r="R64" i="107"/>
  <c r="R65" i="107"/>
  <c r="R66" i="107"/>
  <c r="R67" i="107"/>
  <c r="R68" i="107"/>
  <c r="R69" i="107"/>
  <c r="R70" i="107"/>
  <c r="R71" i="107"/>
  <c r="R72" i="107"/>
  <c r="R73" i="107"/>
  <c r="R74" i="107"/>
  <c r="R75" i="107"/>
  <c r="R76" i="107"/>
  <c r="R77" i="107"/>
  <c r="R29" i="108"/>
  <c r="R30" i="108"/>
  <c r="R31" i="108"/>
  <c r="R32" i="108"/>
  <c r="R33" i="108"/>
  <c r="R34" i="108"/>
  <c r="R35" i="108"/>
  <c r="R36" i="108"/>
  <c r="R37" i="108"/>
  <c r="R38" i="108"/>
  <c r="R39" i="108"/>
  <c r="R40" i="108"/>
  <c r="R41" i="108"/>
  <c r="R42" i="108"/>
  <c r="R43" i="108"/>
  <c r="R44" i="108"/>
  <c r="R45" i="108"/>
  <c r="R46" i="108"/>
  <c r="R47" i="108"/>
  <c r="R48" i="108"/>
  <c r="R49" i="108"/>
  <c r="R50" i="108"/>
  <c r="R51" i="108"/>
  <c r="R52" i="108"/>
  <c r="R53" i="108"/>
  <c r="R54" i="108"/>
  <c r="R55" i="108"/>
  <c r="R56" i="108"/>
  <c r="R57" i="108"/>
  <c r="R58" i="108"/>
  <c r="R59" i="108"/>
  <c r="R60" i="108"/>
  <c r="R61" i="108"/>
  <c r="R62" i="108"/>
  <c r="R63" i="108"/>
  <c r="R64" i="108"/>
  <c r="R65" i="108"/>
  <c r="R66" i="108"/>
  <c r="R67" i="108"/>
  <c r="R68" i="108"/>
  <c r="R69" i="108"/>
  <c r="R70" i="108"/>
  <c r="R71" i="108"/>
  <c r="R72" i="108"/>
  <c r="R73" i="108"/>
  <c r="R74" i="108"/>
  <c r="R75" i="108"/>
  <c r="R76" i="108"/>
  <c r="R77" i="108"/>
  <c r="R29" i="109"/>
  <c r="R30" i="109"/>
  <c r="R31" i="109"/>
  <c r="R32" i="109"/>
  <c r="R33" i="109"/>
  <c r="R34" i="109"/>
  <c r="R35" i="109"/>
  <c r="R36" i="109"/>
  <c r="R37" i="109"/>
  <c r="R38" i="109"/>
  <c r="R39" i="109"/>
  <c r="R40" i="109"/>
  <c r="R41" i="109"/>
  <c r="R42" i="109"/>
  <c r="R43" i="109"/>
  <c r="R44" i="109"/>
  <c r="R45" i="109"/>
  <c r="R46" i="109"/>
  <c r="R47" i="109"/>
  <c r="R48" i="109"/>
  <c r="R49" i="109"/>
  <c r="R50" i="109"/>
  <c r="R51" i="109"/>
  <c r="R52" i="109"/>
  <c r="R53" i="109"/>
  <c r="R54" i="109"/>
  <c r="R55" i="109"/>
  <c r="R56" i="109"/>
  <c r="R57" i="109"/>
  <c r="R58" i="109"/>
  <c r="R59" i="109"/>
  <c r="R60" i="109"/>
  <c r="R61" i="109"/>
  <c r="R62" i="109"/>
  <c r="R63" i="109"/>
  <c r="R64" i="109"/>
  <c r="R65" i="109"/>
  <c r="R66" i="109"/>
  <c r="R67" i="109"/>
  <c r="R68" i="109"/>
  <c r="R69" i="109"/>
  <c r="R70" i="109"/>
  <c r="R71" i="109"/>
  <c r="R72" i="109"/>
  <c r="R73" i="109"/>
  <c r="R74" i="109"/>
  <c r="R75" i="109"/>
  <c r="R76" i="109"/>
  <c r="R77" i="109"/>
  <c r="R29" i="110"/>
  <c r="R30" i="110"/>
  <c r="R31" i="110"/>
  <c r="R32" i="110"/>
  <c r="R33" i="110"/>
  <c r="R34" i="110"/>
  <c r="R35" i="110"/>
  <c r="R36" i="110"/>
  <c r="R37" i="110"/>
  <c r="R38" i="110"/>
  <c r="R39" i="110"/>
  <c r="R40" i="110"/>
  <c r="R41" i="110"/>
  <c r="R42" i="110"/>
  <c r="R43" i="110"/>
  <c r="R44" i="110"/>
  <c r="R45" i="110"/>
  <c r="R46" i="110"/>
  <c r="R47" i="110"/>
  <c r="R48" i="110"/>
  <c r="R49" i="110"/>
  <c r="R50" i="110"/>
  <c r="R51" i="110"/>
  <c r="R52" i="110"/>
  <c r="R53" i="110"/>
  <c r="R54" i="110"/>
  <c r="R55" i="110"/>
  <c r="R56" i="110"/>
  <c r="R57" i="110"/>
  <c r="R58" i="110"/>
  <c r="R59" i="110"/>
  <c r="R60" i="110"/>
  <c r="R61" i="110"/>
  <c r="R62" i="110"/>
  <c r="R63" i="110"/>
  <c r="R64" i="110"/>
  <c r="R65" i="110"/>
  <c r="R66" i="110"/>
  <c r="R67" i="110"/>
  <c r="R68" i="110"/>
  <c r="R69" i="110"/>
  <c r="R70" i="110"/>
  <c r="R71" i="110"/>
  <c r="R72" i="110"/>
  <c r="R73" i="110"/>
  <c r="R74" i="110"/>
  <c r="R75" i="110"/>
  <c r="R76" i="110"/>
  <c r="R77" i="110"/>
  <c r="R29" i="111"/>
  <c r="R30" i="111"/>
  <c r="R31" i="111"/>
  <c r="R32" i="111"/>
  <c r="R33" i="111"/>
  <c r="R34" i="111"/>
  <c r="R35" i="111"/>
  <c r="R36" i="111"/>
  <c r="R37" i="111"/>
  <c r="R38" i="111"/>
  <c r="R39" i="111"/>
  <c r="R40" i="111"/>
  <c r="R41" i="111"/>
  <c r="R42" i="111"/>
  <c r="R43" i="111"/>
  <c r="R44" i="111"/>
  <c r="R45" i="111"/>
  <c r="R46" i="111"/>
  <c r="R47" i="111"/>
  <c r="R48" i="111"/>
  <c r="R49" i="111"/>
  <c r="R50" i="111"/>
  <c r="R51" i="111"/>
  <c r="R52" i="111"/>
  <c r="R53" i="111"/>
  <c r="R54" i="111"/>
  <c r="R55" i="111"/>
  <c r="R56" i="111"/>
  <c r="R57" i="111"/>
  <c r="R58" i="111"/>
  <c r="R59" i="111"/>
  <c r="R60" i="111"/>
  <c r="R61" i="111"/>
  <c r="R62" i="111"/>
  <c r="R63" i="111"/>
  <c r="R64" i="111"/>
  <c r="R65" i="111"/>
  <c r="R66" i="111"/>
  <c r="R67" i="111"/>
  <c r="R68" i="111"/>
  <c r="R69" i="111"/>
  <c r="R70" i="111"/>
  <c r="R71" i="111"/>
  <c r="R72" i="111"/>
  <c r="R73" i="111"/>
  <c r="R74" i="111"/>
  <c r="R75" i="111"/>
  <c r="R76" i="111"/>
  <c r="R77" i="111"/>
  <c r="R29" i="112"/>
  <c r="R30" i="112"/>
  <c r="R31" i="112"/>
  <c r="R32" i="112"/>
  <c r="R33" i="112"/>
  <c r="R34" i="112"/>
  <c r="R35" i="112"/>
  <c r="R36" i="112"/>
  <c r="R37" i="112"/>
  <c r="R38" i="112"/>
  <c r="R39" i="112"/>
  <c r="R40" i="112"/>
  <c r="R41" i="112"/>
  <c r="R42" i="112"/>
  <c r="R43" i="112"/>
  <c r="R44" i="112"/>
  <c r="R45" i="112"/>
  <c r="R46" i="112"/>
  <c r="R47" i="112"/>
  <c r="R48" i="112"/>
  <c r="R49" i="112"/>
  <c r="R50" i="112"/>
  <c r="R51" i="112"/>
  <c r="R52" i="112"/>
  <c r="R53" i="112"/>
  <c r="R54" i="112"/>
  <c r="R55" i="112"/>
  <c r="R56" i="112"/>
  <c r="R57" i="112"/>
  <c r="R58" i="112"/>
  <c r="R59" i="112"/>
  <c r="R60" i="112"/>
  <c r="R61" i="112"/>
  <c r="R62" i="112"/>
  <c r="R63" i="112"/>
  <c r="R64" i="112"/>
  <c r="R65" i="112"/>
  <c r="R66" i="112"/>
  <c r="R67" i="112"/>
  <c r="R68" i="112"/>
  <c r="R69" i="112"/>
  <c r="R70" i="112"/>
  <c r="R71" i="112"/>
  <c r="R72" i="112"/>
  <c r="R73" i="112"/>
  <c r="R74" i="112"/>
  <c r="R75" i="112"/>
  <c r="R76" i="112"/>
  <c r="R77" i="112"/>
  <c r="R29" i="113"/>
  <c r="R30" i="113"/>
  <c r="R31" i="113"/>
  <c r="R32" i="113"/>
  <c r="R33" i="113"/>
  <c r="R34" i="113"/>
  <c r="R35" i="113"/>
  <c r="R36" i="113"/>
  <c r="R37" i="113"/>
  <c r="R38" i="113"/>
  <c r="R39" i="113"/>
  <c r="R40" i="113"/>
  <c r="R41" i="113"/>
  <c r="R42" i="113"/>
  <c r="R43" i="113"/>
  <c r="R44" i="113"/>
  <c r="R45" i="113"/>
  <c r="R46" i="113"/>
  <c r="R47" i="113"/>
  <c r="R48" i="113"/>
  <c r="R49" i="113"/>
  <c r="R50" i="113"/>
  <c r="R51" i="113"/>
  <c r="R52" i="113"/>
  <c r="R53" i="113"/>
  <c r="R54" i="113"/>
  <c r="R55" i="113"/>
  <c r="R56" i="113"/>
  <c r="R57" i="113"/>
  <c r="R58" i="113"/>
  <c r="R59" i="113"/>
  <c r="R60" i="113"/>
  <c r="R61" i="113"/>
  <c r="R62" i="113"/>
  <c r="R63" i="113"/>
  <c r="R64" i="113"/>
  <c r="R65" i="113"/>
  <c r="R66" i="113"/>
  <c r="R67" i="113"/>
  <c r="R68" i="113"/>
  <c r="R69" i="113"/>
  <c r="R70" i="113"/>
  <c r="R71" i="113"/>
  <c r="R72" i="113"/>
  <c r="R73" i="113"/>
  <c r="R74" i="113"/>
  <c r="R75" i="113"/>
  <c r="R76" i="113"/>
  <c r="R77" i="113"/>
  <c r="R29" i="114"/>
  <c r="R30" i="114"/>
  <c r="R31" i="114"/>
  <c r="R32" i="114"/>
  <c r="R33" i="114"/>
  <c r="R34" i="114"/>
  <c r="R35" i="114"/>
  <c r="R36" i="114"/>
  <c r="R37" i="114"/>
  <c r="R38" i="114"/>
  <c r="R39" i="114"/>
  <c r="R40" i="114"/>
  <c r="R41" i="114"/>
  <c r="R42" i="114"/>
  <c r="R43" i="114"/>
  <c r="R44" i="114"/>
  <c r="R45" i="114"/>
  <c r="R46" i="114"/>
  <c r="R47" i="114"/>
  <c r="R48" i="114"/>
  <c r="R49" i="114"/>
  <c r="R50" i="114"/>
  <c r="R51" i="114"/>
  <c r="R52" i="114"/>
  <c r="R53" i="114"/>
  <c r="R54" i="114"/>
  <c r="R55" i="114"/>
  <c r="R56" i="114"/>
  <c r="R57" i="114"/>
  <c r="R58" i="114"/>
  <c r="R59" i="114"/>
  <c r="R60" i="114"/>
  <c r="R61" i="114"/>
  <c r="R62" i="114"/>
  <c r="R63" i="114"/>
  <c r="R64" i="114"/>
  <c r="R65" i="114"/>
  <c r="R66" i="114"/>
  <c r="R67" i="114"/>
  <c r="R68" i="114"/>
  <c r="R69" i="114"/>
  <c r="R70" i="114"/>
  <c r="R71" i="114"/>
  <c r="R72" i="114"/>
  <c r="R73" i="114"/>
  <c r="R74" i="114"/>
  <c r="R75" i="114"/>
  <c r="R76" i="114"/>
  <c r="R77" i="114"/>
  <c r="R29" i="115"/>
  <c r="R30" i="115"/>
  <c r="R31" i="115"/>
  <c r="R32" i="115"/>
  <c r="R33" i="115"/>
  <c r="R34" i="115"/>
  <c r="R35" i="115"/>
  <c r="R36" i="115"/>
  <c r="R37" i="115"/>
  <c r="R38" i="115"/>
  <c r="R39" i="115"/>
  <c r="R40" i="115"/>
  <c r="R41" i="115"/>
  <c r="R42" i="115"/>
  <c r="R43" i="115"/>
  <c r="R44" i="115"/>
  <c r="R45" i="115"/>
  <c r="R46" i="115"/>
  <c r="R47" i="115"/>
  <c r="R48" i="115"/>
  <c r="R49" i="115"/>
  <c r="R50" i="115"/>
  <c r="R51" i="115"/>
  <c r="R52" i="115"/>
  <c r="R53" i="115"/>
  <c r="R54" i="115"/>
  <c r="R55" i="115"/>
  <c r="R56" i="115"/>
  <c r="R57" i="115"/>
  <c r="R58" i="115"/>
  <c r="R59" i="115"/>
  <c r="R60" i="115"/>
  <c r="R61" i="115"/>
  <c r="R62" i="115"/>
  <c r="R63" i="115"/>
  <c r="R64" i="115"/>
  <c r="R65" i="115"/>
  <c r="R66" i="115"/>
  <c r="R67" i="115"/>
  <c r="R68" i="115"/>
  <c r="R69" i="115"/>
  <c r="R70" i="115"/>
  <c r="R71" i="115"/>
  <c r="R72" i="115"/>
  <c r="R73" i="115"/>
  <c r="R74" i="115"/>
  <c r="R75" i="115"/>
  <c r="R76" i="115"/>
  <c r="R77" i="115"/>
  <c r="R29" i="116"/>
  <c r="R30" i="116"/>
  <c r="R31" i="116"/>
  <c r="R32" i="116"/>
  <c r="R33" i="116"/>
  <c r="R34" i="116"/>
  <c r="R35" i="116"/>
  <c r="R36" i="116"/>
  <c r="R37" i="116"/>
  <c r="R38" i="116"/>
  <c r="R39" i="116"/>
  <c r="R40" i="116"/>
  <c r="R41" i="116"/>
  <c r="R42" i="116"/>
  <c r="R43" i="116"/>
  <c r="R44" i="116"/>
  <c r="R45" i="116"/>
  <c r="R46" i="116"/>
  <c r="R47" i="116"/>
  <c r="R48" i="116"/>
  <c r="R49" i="116"/>
  <c r="R50" i="116"/>
  <c r="R51" i="116"/>
  <c r="R52" i="116"/>
  <c r="R53" i="116"/>
  <c r="R54" i="116"/>
  <c r="R55" i="116"/>
  <c r="R56" i="116"/>
  <c r="R57" i="116"/>
  <c r="R58" i="116"/>
  <c r="R59" i="116"/>
  <c r="R60" i="116"/>
  <c r="R61" i="116"/>
  <c r="R62" i="116"/>
  <c r="R63" i="116"/>
  <c r="R64" i="116"/>
  <c r="R65" i="116"/>
  <c r="R66" i="116"/>
  <c r="R67" i="116"/>
  <c r="R68" i="116"/>
  <c r="R69" i="116"/>
  <c r="R70" i="116"/>
  <c r="R71" i="116"/>
  <c r="R72" i="116"/>
  <c r="R73" i="116"/>
  <c r="R74" i="116"/>
  <c r="R75" i="116"/>
  <c r="R76" i="116"/>
  <c r="R77" i="116"/>
  <c r="R29" i="117"/>
  <c r="R30" i="117"/>
  <c r="R31" i="117"/>
  <c r="R32" i="117"/>
  <c r="R33" i="117"/>
  <c r="R34" i="117"/>
  <c r="R35" i="117"/>
  <c r="R36" i="117"/>
  <c r="R37" i="117"/>
  <c r="R38" i="117"/>
  <c r="R39" i="117"/>
  <c r="R40" i="117"/>
  <c r="R41" i="117"/>
  <c r="R42" i="117"/>
  <c r="R43" i="117"/>
  <c r="R44" i="117"/>
  <c r="R45" i="117"/>
  <c r="R46" i="117"/>
  <c r="R47" i="117"/>
  <c r="R48" i="117"/>
  <c r="R49" i="117"/>
  <c r="R50" i="117"/>
  <c r="R51" i="117"/>
  <c r="R52" i="117"/>
  <c r="R53" i="117"/>
  <c r="R54" i="117"/>
  <c r="R55" i="117"/>
  <c r="R56" i="117"/>
  <c r="R57" i="117"/>
  <c r="R58" i="117"/>
  <c r="R59" i="117"/>
  <c r="R60" i="117"/>
  <c r="R61" i="117"/>
  <c r="R62" i="117"/>
  <c r="R63" i="117"/>
  <c r="R64" i="117"/>
  <c r="R65" i="117"/>
  <c r="R66" i="117"/>
  <c r="R67" i="117"/>
  <c r="R68" i="117"/>
  <c r="R69" i="117"/>
  <c r="R70" i="117"/>
  <c r="R71" i="117"/>
  <c r="R72" i="117"/>
  <c r="R73" i="117"/>
  <c r="R74" i="117"/>
  <c r="R75" i="117"/>
  <c r="R76" i="117"/>
  <c r="R77" i="117"/>
  <c r="R29" i="118"/>
  <c r="R30" i="118"/>
  <c r="R31" i="118"/>
  <c r="R32" i="118"/>
  <c r="R33" i="118"/>
  <c r="R34" i="118"/>
  <c r="R35" i="118"/>
  <c r="R36" i="118"/>
  <c r="R37" i="118"/>
  <c r="R38" i="118"/>
  <c r="R39" i="118"/>
  <c r="R40" i="118"/>
  <c r="R41" i="118"/>
  <c r="R42" i="118"/>
  <c r="R43" i="118"/>
  <c r="R44" i="118"/>
  <c r="R45" i="118"/>
  <c r="R46" i="118"/>
  <c r="R47" i="118"/>
  <c r="R48" i="118"/>
  <c r="R49" i="118"/>
  <c r="R50" i="118"/>
  <c r="R51" i="118"/>
  <c r="R52" i="118"/>
  <c r="R53" i="118"/>
  <c r="R54" i="118"/>
  <c r="R55" i="118"/>
  <c r="R56" i="118"/>
  <c r="R57" i="118"/>
  <c r="R58" i="118"/>
  <c r="R59" i="118"/>
  <c r="R60" i="118"/>
  <c r="R61" i="118"/>
  <c r="R62" i="118"/>
  <c r="R63" i="118"/>
  <c r="R64" i="118"/>
  <c r="R65" i="118"/>
  <c r="R66" i="118"/>
  <c r="R67" i="118"/>
  <c r="R68" i="118"/>
  <c r="R69" i="118"/>
  <c r="R70" i="118"/>
  <c r="R71" i="118"/>
  <c r="R72" i="118"/>
  <c r="R73" i="118"/>
  <c r="R74" i="118"/>
  <c r="R75" i="118"/>
  <c r="R76" i="118"/>
  <c r="R77" i="118"/>
  <c r="R29" i="119"/>
  <c r="R30" i="119"/>
  <c r="R31" i="119"/>
  <c r="R32" i="119"/>
  <c r="R33" i="119"/>
  <c r="R34" i="119"/>
  <c r="R35" i="119"/>
  <c r="R36" i="119"/>
  <c r="R37" i="119"/>
  <c r="R38" i="119"/>
  <c r="R39" i="119"/>
  <c r="R40" i="119"/>
  <c r="R41" i="119"/>
  <c r="R42" i="119"/>
  <c r="R43" i="119"/>
  <c r="R44" i="119"/>
  <c r="R45" i="119"/>
  <c r="R46" i="119"/>
  <c r="R47" i="119"/>
  <c r="R48" i="119"/>
  <c r="R49" i="119"/>
  <c r="R50" i="119"/>
  <c r="R51" i="119"/>
  <c r="R52" i="119"/>
  <c r="R53" i="119"/>
  <c r="R54" i="119"/>
  <c r="R55" i="119"/>
  <c r="R56" i="119"/>
  <c r="R57" i="119"/>
  <c r="R58" i="119"/>
  <c r="R59" i="119"/>
  <c r="R60" i="119"/>
  <c r="R61" i="119"/>
  <c r="R62" i="119"/>
  <c r="R63" i="119"/>
  <c r="R64" i="119"/>
  <c r="R65" i="119"/>
  <c r="R66" i="119"/>
  <c r="R67" i="119"/>
  <c r="R68" i="119"/>
  <c r="R69" i="119"/>
  <c r="R70" i="119"/>
  <c r="R71" i="119"/>
  <c r="R72" i="119"/>
  <c r="R73" i="119"/>
  <c r="R74" i="119"/>
  <c r="R75" i="119"/>
  <c r="R76" i="119"/>
  <c r="R77" i="119"/>
  <c r="R29" i="120"/>
  <c r="R30" i="120"/>
  <c r="R31" i="120"/>
  <c r="R32" i="120"/>
  <c r="R33" i="120"/>
  <c r="R34" i="120"/>
  <c r="R35" i="120"/>
  <c r="R36" i="120"/>
  <c r="R37" i="120"/>
  <c r="R38" i="120"/>
  <c r="R39" i="120"/>
  <c r="R40" i="120"/>
  <c r="R41" i="120"/>
  <c r="R42" i="120"/>
  <c r="R43" i="120"/>
  <c r="R44" i="120"/>
  <c r="R45" i="120"/>
  <c r="R46" i="120"/>
  <c r="R47" i="120"/>
  <c r="R48" i="120"/>
  <c r="R49" i="120"/>
  <c r="R50" i="120"/>
  <c r="R51" i="120"/>
  <c r="R52" i="120"/>
  <c r="R53" i="120"/>
  <c r="R54" i="120"/>
  <c r="R55" i="120"/>
  <c r="R56" i="120"/>
  <c r="R57" i="120"/>
  <c r="R58" i="120"/>
  <c r="R59" i="120"/>
  <c r="R60" i="120"/>
  <c r="R61" i="120"/>
  <c r="R62" i="120"/>
  <c r="R63" i="120"/>
  <c r="R64" i="120"/>
  <c r="R65" i="120"/>
  <c r="R66" i="120"/>
  <c r="R67" i="120"/>
  <c r="R68" i="120"/>
  <c r="R69" i="120"/>
  <c r="R70" i="120"/>
  <c r="R71" i="120"/>
  <c r="R72" i="120"/>
  <c r="R73" i="120"/>
  <c r="R74" i="120"/>
  <c r="R75" i="120"/>
  <c r="R76" i="120"/>
  <c r="R77" i="120"/>
  <c r="R29" i="121"/>
  <c r="R30" i="121"/>
  <c r="R31" i="121"/>
  <c r="R32" i="121"/>
  <c r="R33" i="121"/>
  <c r="R34" i="121"/>
  <c r="R35" i="121"/>
  <c r="R36" i="121"/>
  <c r="R37" i="121"/>
  <c r="R38" i="121"/>
  <c r="R39" i="121"/>
  <c r="R40" i="121"/>
  <c r="R41" i="121"/>
  <c r="R42" i="121"/>
  <c r="R43" i="121"/>
  <c r="R44" i="121"/>
  <c r="R45" i="121"/>
  <c r="R46" i="121"/>
  <c r="R47" i="121"/>
  <c r="R48" i="121"/>
  <c r="R49" i="121"/>
  <c r="R50" i="121"/>
  <c r="R51" i="121"/>
  <c r="R52" i="121"/>
  <c r="R53" i="121"/>
  <c r="R54" i="121"/>
  <c r="R55" i="121"/>
  <c r="R56" i="121"/>
  <c r="R57" i="121"/>
  <c r="R58" i="121"/>
  <c r="R59" i="121"/>
  <c r="R60" i="121"/>
  <c r="R61" i="121"/>
  <c r="R62" i="121"/>
  <c r="R63" i="121"/>
  <c r="R64" i="121"/>
  <c r="R65" i="121"/>
  <c r="R66" i="121"/>
  <c r="R67" i="121"/>
  <c r="R68" i="121"/>
  <c r="R69" i="121"/>
  <c r="R70" i="121"/>
  <c r="R71" i="121"/>
  <c r="R72" i="121"/>
  <c r="R73" i="121"/>
  <c r="R74" i="121"/>
  <c r="R75" i="121"/>
  <c r="R76" i="121"/>
  <c r="R77" i="121"/>
  <c r="R29" i="122"/>
  <c r="R30" i="122"/>
  <c r="R31" i="122"/>
  <c r="R32" i="122"/>
  <c r="R33" i="122"/>
  <c r="R34" i="122"/>
  <c r="R35" i="122"/>
  <c r="R36" i="122"/>
  <c r="R37" i="122"/>
  <c r="R38" i="122"/>
  <c r="R39" i="122"/>
  <c r="R40" i="122"/>
  <c r="R41" i="122"/>
  <c r="R42" i="122"/>
  <c r="R43" i="122"/>
  <c r="R44" i="122"/>
  <c r="R45" i="122"/>
  <c r="R46" i="122"/>
  <c r="R47" i="122"/>
  <c r="R48" i="122"/>
  <c r="R49" i="122"/>
  <c r="R50" i="122"/>
  <c r="R51" i="122"/>
  <c r="R52" i="122"/>
  <c r="R53" i="122"/>
  <c r="R54" i="122"/>
  <c r="R55" i="122"/>
  <c r="R56" i="122"/>
  <c r="R57" i="122"/>
  <c r="R58" i="122"/>
  <c r="R59" i="122"/>
  <c r="R60" i="122"/>
  <c r="R61" i="122"/>
  <c r="R62" i="122"/>
  <c r="R63" i="122"/>
  <c r="R64" i="122"/>
  <c r="R65" i="122"/>
  <c r="R66" i="122"/>
  <c r="R67" i="122"/>
  <c r="R68" i="122"/>
  <c r="R69" i="122"/>
  <c r="R70" i="122"/>
  <c r="R71" i="122"/>
  <c r="R72" i="122"/>
  <c r="R73" i="122"/>
  <c r="R74" i="122"/>
  <c r="R75" i="122"/>
  <c r="R76" i="122"/>
  <c r="R77" i="122"/>
  <c r="R29" i="123"/>
  <c r="R30" i="123"/>
  <c r="R31" i="123"/>
  <c r="R32" i="123"/>
  <c r="R33" i="123"/>
  <c r="R34" i="123"/>
  <c r="R35" i="123"/>
  <c r="R36" i="123"/>
  <c r="R37" i="123"/>
  <c r="R38" i="123"/>
  <c r="R39" i="123"/>
  <c r="R40" i="123"/>
  <c r="R41" i="123"/>
  <c r="R42" i="123"/>
  <c r="R43" i="123"/>
  <c r="R44" i="123"/>
  <c r="R45" i="123"/>
  <c r="R46" i="123"/>
  <c r="R47" i="123"/>
  <c r="R48" i="123"/>
  <c r="R49" i="123"/>
  <c r="R50" i="123"/>
  <c r="R51" i="123"/>
  <c r="R52" i="123"/>
  <c r="R53" i="123"/>
  <c r="R54" i="123"/>
  <c r="R55" i="123"/>
  <c r="R56" i="123"/>
  <c r="R57" i="123"/>
  <c r="R58" i="123"/>
  <c r="R59" i="123"/>
  <c r="R60" i="123"/>
  <c r="R61" i="123"/>
  <c r="R62" i="123"/>
  <c r="R63" i="123"/>
  <c r="R64" i="123"/>
  <c r="R65" i="123"/>
  <c r="R66" i="123"/>
  <c r="R67" i="123"/>
  <c r="R68" i="123"/>
  <c r="R69" i="123"/>
  <c r="R70" i="123"/>
  <c r="R71" i="123"/>
  <c r="R72" i="123"/>
  <c r="R73" i="123"/>
  <c r="R74" i="123"/>
  <c r="R75" i="123"/>
  <c r="R76" i="123"/>
  <c r="R77" i="123"/>
  <c r="R29" i="124"/>
  <c r="R30" i="124"/>
  <c r="R31" i="124"/>
  <c r="R32" i="124"/>
  <c r="R33" i="124"/>
  <c r="R34" i="124"/>
  <c r="R35" i="124"/>
  <c r="R36" i="124"/>
  <c r="R37" i="124"/>
  <c r="R38" i="124"/>
  <c r="R39" i="124"/>
  <c r="R40" i="124"/>
  <c r="R41" i="124"/>
  <c r="R42" i="124"/>
  <c r="R43" i="124"/>
  <c r="R44" i="124"/>
  <c r="R45" i="124"/>
  <c r="R46" i="124"/>
  <c r="R47" i="124"/>
  <c r="R48" i="124"/>
  <c r="R49" i="124"/>
  <c r="R50" i="124"/>
  <c r="R51" i="124"/>
  <c r="R52" i="124"/>
  <c r="R53" i="124"/>
  <c r="R54" i="124"/>
  <c r="R55" i="124"/>
  <c r="R56" i="124"/>
  <c r="R57" i="124"/>
  <c r="R58" i="124"/>
  <c r="R59" i="124"/>
  <c r="R60" i="124"/>
  <c r="R61" i="124"/>
  <c r="R62" i="124"/>
  <c r="R63" i="124"/>
  <c r="R64" i="124"/>
  <c r="R65" i="124"/>
  <c r="R66" i="124"/>
  <c r="R67" i="124"/>
  <c r="R68" i="124"/>
  <c r="R69" i="124"/>
  <c r="R70" i="124"/>
  <c r="R71" i="124"/>
  <c r="R72" i="124"/>
  <c r="R73" i="124"/>
  <c r="R74" i="124"/>
  <c r="R75" i="124"/>
  <c r="R76" i="124"/>
  <c r="R77" i="124"/>
  <c r="R29" i="125"/>
  <c r="R30" i="125"/>
  <c r="R31" i="125"/>
  <c r="R32" i="125"/>
  <c r="R33" i="125"/>
  <c r="R34" i="125"/>
  <c r="R35" i="125"/>
  <c r="R36" i="125"/>
  <c r="R37" i="125"/>
  <c r="R38" i="125"/>
  <c r="R39" i="125"/>
  <c r="R40" i="125"/>
  <c r="R41" i="125"/>
  <c r="R42" i="125"/>
  <c r="R43" i="125"/>
  <c r="R44" i="125"/>
  <c r="R45" i="125"/>
  <c r="R46" i="125"/>
  <c r="R47" i="125"/>
  <c r="R48" i="125"/>
  <c r="R49" i="125"/>
  <c r="R50" i="125"/>
  <c r="R51" i="125"/>
  <c r="R52" i="125"/>
  <c r="R53" i="125"/>
  <c r="R54" i="125"/>
  <c r="R55" i="125"/>
  <c r="R56" i="125"/>
  <c r="R57" i="125"/>
  <c r="R58" i="125"/>
  <c r="R59" i="125"/>
  <c r="R60" i="125"/>
  <c r="R61" i="125"/>
  <c r="R62" i="125"/>
  <c r="R63" i="125"/>
  <c r="R64" i="125"/>
  <c r="R65" i="125"/>
  <c r="R66" i="125"/>
  <c r="R67" i="125"/>
  <c r="R68" i="125"/>
  <c r="R69" i="125"/>
  <c r="R70" i="125"/>
  <c r="R71" i="125"/>
  <c r="R72" i="125"/>
  <c r="R73" i="125"/>
  <c r="R74" i="125"/>
  <c r="R75" i="125"/>
  <c r="R76" i="125"/>
  <c r="R77" i="125"/>
  <c r="R29" i="126"/>
  <c r="R30" i="126"/>
  <c r="R31" i="126"/>
  <c r="R32" i="126"/>
  <c r="R33" i="126"/>
  <c r="R34" i="126"/>
  <c r="R35" i="126"/>
  <c r="R36" i="126"/>
  <c r="R37" i="126"/>
  <c r="R38" i="126"/>
  <c r="R39" i="126"/>
  <c r="R40" i="126"/>
  <c r="R41" i="126"/>
  <c r="R42" i="126"/>
  <c r="R43" i="126"/>
  <c r="R44" i="126"/>
  <c r="R45" i="126"/>
  <c r="R46" i="126"/>
  <c r="R47" i="126"/>
  <c r="R48" i="126"/>
  <c r="R49" i="126"/>
  <c r="R50" i="126"/>
  <c r="R51" i="126"/>
  <c r="R52" i="126"/>
  <c r="R53" i="126"/>
  <c r="R54" i="126"/>
  <c r="R55" i="126"/>
  <c r="R56" i="126"/>
  <c r="R57" i="126"/>
  <c r="R58" i="126"/>
  <c r="R59" i="126"/>
  <c r="R60" i="126"/>
  <c r="R61" i="126"/>
  <c r="R62" i="126"/>
  <c r="R63" i="126"/>
  <c r="R64" i="126"/>
  <c r="R65" i="126"/>
  <c r="R66" i="126"/>
  <c r="R67" i="126"/>
  <c r="R68" i="126"/>
  <c r="R69" i="126"/>
  <c r="R70" i="126"/>
  <c r="R71" i="126"/>
  <c r="R72" i="126"/>
  <c r="R73" i="126"/>
  <c r="R74" i="126"/>
  <c r="R75" i="126"/>
  <c r="R76" i="126"/>
  <c r="R77" i="126"/>
  <c r="R29" i="127"/>
  <c r="R30" i="127"/>
  <c r="R31" i="127"/>
  <c r="R32" i="127"/>
  <c r="R33" i="127"/>
  <c r="R34" i="127"/>
  <c r="R35" i="127"/>
  <c r="R36" i="127"/>
  <c r="R37" i="127"/>
  <c r="R38" i="127"/>
  <c r="R39" i="127"/>
  <c r="R40" i="127"/>
  <c r="R41" i="127"/>
  <c r="R42" i="127"/>
  <c r="R43" i="127"/>
  <c r="R44" i="127"/>
  <c r="R45" i="127"/>
  <c r="R46" i="127"/>
  <c r="R47" i="127"/>
  <c r="R48" i="127"/>
  <c r="R49" i="127"/>
  <c r="R50" i="127"/>
  <c r="R51" i="127"/>
  <c r="R52" i="127"/>
  <c r="R53" i="127"/>
  <c r="R54" i="127"/>
  <c r="R55" i="127"/>
  <c r="R56" i="127"/>
  <c r="R57" i="127"/>
  <c r="R58" i="127"/>
  <c r="R59" i="127"/>
  <c r="R60" i="127"/>
  <c r="R61" i="127"/>
  <c r="R62" i="127"/>
  <c r="R63" i="127"/>
  <c r="R64" i="127"/>
  <c r="R65" i="127"/>
  <c r="R66" i="127"/>
  <c r="R67" i="127"/>
  <c r="R68" i="127"/>
  <c r="R69" i="127"/>
  <c r="R70" i="127"/>
  <c r="R71" i="127"/>
  <c r="R72" i="127"/>
  <c r="R73" i="127"/>
  <c r="R74" i="127"/>
  <c r="R75" i="127"/>
  <c r="R76" i="127"/>
  <c r="R77" i="127"/>
  <c r="R29" i="128"/>
  <c r="R30" i="128"/>
  <c r="L30" i="128" s="1"/>
  <c r="R31" i="128"/>
  <c r="R32" i="128"/>
  <c r="L32" i="128" s="1"/>
  <c r="R33" i="128"/>
  <c r="L33" i="128" s="1"/>
  <c r="R34" i="128"/>
  <c r="L34" i="128" s="1"/>
  <c r="R35" i="128"/>
  <c r="L35" i="128" s="1"/>
  <c r="R36" i="128"/>
  <c r="L36" i="128" s="1"/>
  <c r="R37" i="128"/>
  <c r="R38" i="128"/>
  <c r="L38" i="128" s="1"/>
  <c r="R39" i="128"/>
  <c r="R40" i="128"/>
  <c r="L40" i="128" s="1"/>
  <c r="R41" i="128"/>
  <c r="L41" i="128" s="1"/>
  <c r="R42" i="128"/>
  <c r="L42" i="128" s="1"/>
  <c r="R43" i="128"/>
  <c r="L43" i="128" s="1"/>
  <c r="R44" i="128"/>
  <c r="L44" i="128" s="1"/>
  <c r="R45" i="128"/>
  <c r="L45" i="128" s="1"/>
  <c r="R46" i="128"/>
  <c r="R47" i="128"/>
  <c r="R48" i="128"/>
  <c r="R49" i="128"/>
  <c r="R50" i="128"/>
  <c r="R51" i="128"/>
  <c r="R52" i="128"/>
  <c r="R53" i="128"/>
  <c r="R54" i="128"/>
  <c r="R55" i="128"/>
  <c r="R56" i="128"/>
  <c r="R57" i="128"/>
  <c r="R58" i="128"/>
  <c r="R59" i="128"/>
  <c r="R60" i="128"/>
  <c r="R61" i="128"/>
  <c r="R62" i="128"/>
  <c r="R63" i="128"/>
  <c r="R64" i="128"/>
  <c r="R65" i="128"/>
  <c r="R66" i="128"/>
  <c r="R67" i="128"/>
  <c r="R68" i="128"/>
  <c r="R69" i="128"/>
  <c r="R70" i="128"/>
  <c r="R71" i="128"/>
  <c r="R72" i="128"/>
  <c r="R73" i="128"/>
  <c r="R74" i="128"/>
  <c r="R75" i="128"/>
  <c r="R76" i="128"/>
  <c r="R77" i="128"/>
  <c r="R29" i="129"/>
  <c r="L29" i="129" s="1"/>
  <c r="R30" i="129"/>
  <c r="L30" i="129" s="1"/>
  <c r="R31" i="129"/>
  <c r="L31" i="129" s="1"/>
  <c r="R32" i="129"/>
  <c r="L32" i="129" s="1"/>
  <c r="R33" i="129"/>
  <c r="L33" i="129" s="1"/>
  <c r="R34" i="129"/>
  <c r="L34" i="129" s="1"/>
  <c r="R35" i="129"/>
  <c r="L35" i="129" s="1"/>
  <c r="R36" i="129"/>
  <c r="R37" i="129"/>
  <c r="L37" i="129" s="1"/>
  <c r="R38" i="129"/>
  <c r="L38" i="129" s="1"/>
  <c r="R39" i="129"/>
  <c r="L39" i="129" s="1"/>
  <c r="R40" i="129"/>
  <c r="R41" i="129"/>
  <c r="L41" i="129" s="1"/>
  <c r="R42" i="129"/>
  <c r="L42" i="129" s="1"/>
  <c r="R43" i="129"/>
  <c r="L43" i="129" s="1"/>
  <c r="R44" i="129"/>
  <c r="R45" i="129"/>
  <c r="L45" i="129" s="1"/>
  <c r="R46" i="129"/>
  <c r="R47" i="129"/>
  <c r="R48" i="129"/>
  <c r="R49" i="129"/>
  <c r="R50" i="129"/>
  <c r="R51" i="129"/>
  <c r="R52" i="129"/>
  <c r="R53" i="129"/>
  <c r="R54" i="129"/>
  <c r="R55" i="129"/>
  <c r="R56" i="129"/>
  <c r="R57" i="129"/>
  <c r="R58" i="129"/>
  <c r="R59" i="129"/>
  <c r="R60" i="129"/>
  <c r="R61" i="129"/>
  <c r="R62" i="129"/>
  <c r="R63" i="129"/>
  <c r="R64" i="129"/>
  <c r="R65" i="129"/>
  <c r="R66" i="129"/>
  <c r="R67" i="129"/>
  <c r="R68" i="129"/>
  <c r="R69" i="129"/>
  <c r="R70" i="129"/>
  <c r="R71" i="129"/>
  <c r="R72" i="129"/>
  <c r="R73" i="129"/>
  <c r="R74" i="129"/>
  <c r="R75" i="129"/>
  <c r="R76" i="129"/>
  <c r="R77" i="129"/>
  <c r="R29" i="130"/>
  <c r="L29" i="130" s="1"/>
  <c r="R30" i="130"/>
  <c r="L30" i="130" s="1"/>
  <c r="R31" i="130"/>
  <c r="L31" i="130" s="1"/>
  <c r="R32" i="130"/>
  <c r="L32" i="130" s="1"/>
  <c r="R33" i="130"/>
  <c r="L33" i="130" s="1"/>
  <c r="R34" i="130"/>
  <c r="L34" i="130" s="1"/>
  <c r="R35" i="130"/>
  <c r="R36" i="130"/>
  <c r="L36" i="130" s="1"/>
  <c r="R37" i="130"/>
  <c r="L37" i="130" s="1"/>
  <c r="R38" i="130"/>
  <c r="L38" i="130" s="1"/>
  <c r="R39" i="130"/>
  <c r="L39" i="130" s="1"/>
  <c r="R40" i="130"/>
  <c r="L40" i="130" s="1"/>
  <c r="R41" i="130"/>
  <c r="L41" i="130" s="1"/>
  <c r="R42" i="130"/>
  <c r="L42" i="130" s="1"/>
  <c r="R43" i="130"/>
  <c r="L43" i="130" s="1"/>
  <c r="R44" i="130"/>
  <c r="L44" i="130" s="1"/>
  <c r="R45" i="130"/>
  <c r="L45" i="130" s="1"/>
  <c r="R46" i="130"/>
  <c r="R47" i="130"/>
  <c r="R48" i="130"/>
  <c r="R49" i="130"/>
  <c r="R50" i="130"/>
  <c r="R51" i="130"/>
  <c r="R52" i="130"/>
  <c r="R53" i="130"/>
  <c r="R54" i="130"/>
  <c r="R55" i="130"/>
  <c r="R56" i="130"/>
  <c r="R57" i="130"/>
  <c r="R58" i="130"/>
  <c r="R59" i="130"/>
  <c r="R60" i="130"/>
  <c r="R61" i="130"/>
  <c r="R62" i="130"/>
  <c r="R63" i="130"/>
  <c r="R64" i="130"/>
  <c r="R65" i="130"/>
  <c r="R66" i="130"/>
  <c r="R67" i="130"/>
  <c r="R68" i="130"/>
  <c r="R69" i="130"/>
  <c r="R70" i="130"/>
  <c r="R71" i="130"/>
  <c r="R72" i="130"/>
  <c r="R73" i="130"/>
  <c r="R74" i="130"/>
  <c r="R75" i="130"/>
  <c r="R76" i="130"/>
  <c r="R77" i="130"/>
  <c r="R29" i="131"/>
  <c r="R30" i="131"/>
  <c r="R31" i="131"/>
  <c r="R32" i="131"/>
  <c r="R33" i="131"/>
  <c r="R34" i="131"/>
  <c r="R35" i="131"/>
  <c r="R36" i="131"/>
  <c r="R37" i="131"/>
  <c r="R38" i="131"/>
  <c r="R39" i="131"/>
  <c r="R40" i="131"/>
  <c r="R41" i="131"/>
  <c r="R42" i="131"/>
  <c r="R43" i="131"/>
  <c r="R44" i="131"/>
  <c r="R45" i="131"/>
  <c r="R46" i="131"/>
  <c r="R47" i="131"/>
  <c r="R48" i="131"/>
  <c r="R49" i="131"/>
  <c r="R50" i="131"/>
  <c r="R51" i="131"/>
  <c r="R52" i="131"/>
  <c r="R53" i="131"/>
  <c r="R54" i="131"/>
  <c r="R55" i="131"/>
  <c r="R56" i="131"/>
  <c r="R57" i="131"/>
  <c r="R58" i="131"/>
  <c r="R59" i="131"/>
  <c r="R60" i="131"/>
  <c r="R61" i="131"/>
  <c r="R62" i="131"/>
  <c r="R63" i="131"/>
  <c r="R64" i="131"/>
  <c r="R65" i="131"/>
  <c r="R66" i="131"/>
  <c r="R67" i="131"/>
  <c r="R68" i="131"/>
  <c r="R69" i="131"/>
  <c r="R70" i="131"/>
  <c r="R71" i="131"/>
  <c r="R72" i="131"/>
  <c r="R73" i="131"/>
  <c r="R74" i="131"/>
  <c r="R75" i="131"/>
  <c r="R76" i="131"/>
  <c r="R77" i="131"/>
  <c r="R29" i="132"/>
  <c r="R30" i="132"/>
  <c r="R31" i="132"/>
  <c r="R32" i="132"/>
  <c r="R33" i="132"/>
  <c r="R34" i="132"/>
  <c r="R35" i="132"/>
  <c r="R36" i="132"/>
  <c r="R37" i="132"/>
  <c r="R38" i="132"/>
  <c r="R39" i="132"/>
  <c r="R40" i="132"/>
  <c r="R41" i="132"/>
  <c r="R42" i="132"/>
  <c r="R43" i="132"/>
  <c r="R44" i="132"/>
  <c r="R45" i="132"/>
  <c r="R46" i="132"/>
  <c r="R47" i="132"/>
  <c r="R48" i="132"/>
  <c r="R49" i="132"/>
  <c r="R50" i="132"/>
  <c r="R51" i="132"/>
  <c r="R52" i="132"/>
  <c r="R53" i="132"/>
  <c r="R54" i="132"/>
  <c r="R55" i="132"/>
  <c r="R56" i="132"/>
  <c r="R57" i="132"/>
  <c r="R58" i="132"/>
  <c r="R59" i="132"/>
  <c r="R60" i="132"/>
  <c r="R61" i="132"/>
  <c r="R62" i="132"/>
  <c r="R63" i="132"/>
  <c r="R64" i="132"/>
  <c r="R65" i="132"/>
  <c r="R66" i="132"/>
  <c r="R67" i="132"/>
  <c r="R68" i="132"/>
  <c r="R69" i="132"/>
  <c r="R70" i="132"/>
  <c r="R71" i="132"/>
  <c r="R72" i="132"/>
  <c r="R73" i="132"/>
  <c r="R74" i="132"/>
  <c r="R75" i="132"/>
  <c r="R76" i="132"/>
  <c r="R77" i="132"/>
  <c r="R29" i="133"/>
  <c r="R30" i="133"/>
  <c r="R31" i="133"/>
  <c r="R32" i="133"/>
  <c r="R33" i="133"/>
  <c r="R34" i="133"/>
  <c r="R35" i="133"/>
  <c r="R36" i="133"/>
  <c r="R37" i="133"/>
  <c r="R38" i="133"/>
  <c r="R39" i="133"/>
  <c r="R40" i="133"/>
  <c r="R41" i="133"/>
  <c r="R42" i="133"/>
  <c r="R43" i="133"/>
  <c r="R44" i="133"/>
  <c r="R45" i="133"/>
  <c r="R46" i="133"/>
  <c r="R47" i="133"/>
  <c r="R48" i="133"/>
  <c r="R49" i="133"/>
  <c r="R50" i="133"/>
  <c r="R51" i="133"/>
  <c r="R52" i="133"/>
  <c r="R53" i="133"/>
  <c r="R54" i="133"/>
  <c r="R55" i="133"/>
  <c r="R56" i="133"/>
  <c r="R57" i="133"/>
  <c r="R58" i="133"/>
  <c r="R59" i="133"/>
  <c r="R60" i="133"/>
  <c r="R61" i="133"/>
  <c r="R62" i="133"/>
  <c r="R63" i="133"/>
  <c r="R64" i="133"/>
  <c r="R65" i="133"/>
  <c r="R66" i="133"/>
  <c r="R67" i="133"/>
  <c r="R68" i="133"/>
  <c r="R69" i="133"/>
  <c r="R70" i="133"/>
  <c r="R71" i="133"/>
  <c r="R72" i="133"/>
  <c r="R73" i="133"/>
  <c r="R74" i="133"/>
  <c r="R75" i="133"/>
  <c r="R76" i="133"/>
  <c r="R77" i="133"/>
  <c r="R29" i="134"/>
  <c r="R30" i="134"/>
  <c r="R31" i="134"/>
  <c r="R32" i="134"/>
  <c r="R33" i="134"/>
  <c r="R34" i="134"/>
  <c r="R35" i="134"/>
  <c r="R36" i="134"/>
  <c r="R37" i="134"/>
  <c r="R38" i="134"/>
  <c r="R39" i="134"/>
  <c r="R40" i="134"/>
  <c r="R41" i="134"/>
  <c r="R42" i="134"/>
  <c r="R43" i="134"/>
  <c r="R44" i="134"/>
  <c r="R45" i="134"/>
  <c r="R46" i="134"/>
  <c r="R47" i="134"/>
  <c r="R48" i="134"/>
  <c r="R49" i="134"/>
  <c r="R50" i="134"/>
  <c r="R51" i="134"/>
  <c r="R52" i="134"/>
  <c r="R53" i="134"/>
  <c r="R54" i="134"/>
  <c r="R55" i="134"/>
  <c r="R56" i="134"/>
  <c r="R57" i="134"/>
  <c r="R58" i="134"/>
  <c r="R59" i="134"/>
  <c r="R60" i="134"/>
  <c r="R61" i="134"/>
  <c r="R62" i="134"/>
  <c r="R63" i="134"/>
  <c r="R64" i="134"/>
  <c r="R65" i="134"/>
  <c r="R66" i="134"/>
  <c r="R67" i="134"/>
  <c r="R68" i="134"/>
  <c r="R69" i="134"/>
  <c r="R70" i="134"/>
  <c r="R71" i="134"/>
  <c r="R72" i="134"/>
  <c r="R73" i="134"/>
  <c r="R74" i="134"/>
  <c r="R75" i="134"/>
  <c r="R76" i="134"/>
  <c r="R77" i="134"/>
  <c r="R29" i="135"/>
  <c r="L29" i="135" s="1"/>
  <c r="R30" i="135"/>
  <c r="R31" i="135"/>
  <c r="L31" i="135" s="1"/>
  <c r="R32" i="135"/>
  <c r="L32" i="135" s="1"/>
  <c r="R33" i="135"/>
  <c r="L33" i="135" s="1"/>
  <c r="R34" i="135"/>
  <c r="R35" i="135"/>
  <c r="L35" i="135" s="1"/>
  <c r="R36" i="135"/>
  <c r="L36" i="135" s="1"/>
  <c r="R37" i="135"/>
  <c r="L37" i="135" s="1"/>
  <c r="R38" i="135"/>
  <c r="R39" i="135"/>
  <c r="L39" i="135" s="1"/>
  <c r="R40" i="135"/>
  <c r="L40" i="135" s="1"/>
  <c r="R41" i="135"/>
  <c r="L41" i="135" s="1"/>
  <c r="R42" i="135"/>
  <c r="R43" i="135"/>
  <c r="L43" i="135" s="1"/>
  <c r="R44" i="135"/>
  <c r="L44" i="135" s="1"/>
  <c r="R45" i="135"/>
  <c r="L45" i="135" s="1"/>
  <c r="R46" i="135"/>
  <c r="R47" i="135"/>
  <c r="R48" i="135"/>
  <c r="R49" i="135"/>
  <c r="R50" i="135"/>
  <c r="R51" i="135"/>
  <c r="R52" i="135"/>
  <c r="R53" i="135"/>
  <c r="R54" i="135"/>
  <c r="R55" i="135"/>
  <c r="R56" i="135"/>
  <c r="R57" i="135"/>
  <c r="R58" i="135"/>
  <c r="R59" i="135"/>
  <c r="R60" i="135"/>
  <c r="R61" i="135"/>
  <c r="R62" i="135"/>
  <c r="R63" i="135"/>
  <c r="R64" i="135"/>
  <c r="R65" i="135"/>
  <c r="R66" i="135"/>
  <c r="R67" i="135"/>
  <c r="R68" i="135"/>
  <c r="R69" i="135"/>
  <c r="R70" i="135"/>
  <c r="R71" i="135"/>
  <c r="R72" i="135"/>
  <c r="R73" i="135"/>
  <c r="R74" i="135"/>
  <c r="R75" i="135"/>
  <c r="R76" i="135"/>
  <c r="R77" i="135"/>
  <c r="R29" i="136"/>
  <c r="R30" i="136"/>
  <c r="R31" i="136"/>
  <c r="R32" i="136"/>
  <c r="R33" i="136"/>
  <c r="R34" i="136"/>
  <c r="R35" i="136"/>
  <c r="R36" i="136"/>
  <c r="R37" i="136"/>
  <c r="R38" i="136"/>
  <c r="R39" i="136"/>
  <c r="R40" i="136"/>
  <c r="R41" i="136"/>
  <c r="R42" i="136"/>
  <c r="R43" i="136"/>
  <c r="R44" i="136"/>
  <c r="R45" i="136"/>
  <c r="R46" i="136"/>
  <c r="R47" i="136"/>
  <c r="R48" i="136"/>
  <c r="R49" i="136"/>
  <c r="R50" i="136"/>
  <c r="R51" i="136"/>
  <c r="R52" i="136"/>
  <c r="R53" i="136"/>
  <c r="R54" i="136"/>
  <c r="R55" i="136"/>
  <c r="R56" i="136"/>
  <c r="R57" i="136"/>
  <c r="R58" i="136"/>
  <c r="R59" i="136"/>
  <c r="R60" i="136"/>
  <c r="R61" i="136"/>
  <c r="R62" i="136"/>
  <c r="R63" i="136"/>
  <c r="R64" i="136"/>
  <c r="R65" i="136"/>
  <c r="R66" i="136"/>
  <c r="R67" i="136"/>
  <c r="R68" i="136"/>
  <c r="R69" i="136"/>
  <c r="R70" i="136"/>
  <c r="R71" i="136"/>
  <c r="R72" i="136"/>
  <c r="R73" i="136"/>
  <c r="R74" i="136"/>
  <c r="R75" i="136"/>
  <c r="R76" i="136"/>
  <c r="R77" i="136"/>
  <c r="R29" i="137"/>
  <c r="R30" i="137"/>
  <c r="R31" i="137"/>
  <c r="R32" i="137"/>
  <c r="R33" i="137"/>
  <c r="R34" i="137"/>
  <c r="R35" i="137"/>
  <c r="R36" i="137"/>
  <c r="R37" i="137"/>
  <c r="R38" i="137"/>
  <c r="R39" i="137"/>
  <c r="R40" i="137"/>
  <c r="R41" i="137"/>
  <c r="R42" i="137"/>
  <c r="R43" i="137"/>
  <c r="R44" i="137"/>
  <c r="R45" i="137"/>
  <c r="R46" i="137"/>
  <c r="R47" i="137"/>
  <c r="R48" i="137"/>
  <c r="R49" i="137"/>
  <c r="R50" i="137"/>
  <c r="R51" i="137"/>
  <c r="R52" i="137"/>
  <c r="R53" i="137"/>
  <c r="R54" i="137"/>
  <c r="R55" i="137"/>
  <c r="R56" i="137"/>
  <c r="R57" i="137"/>
  <c r="R58" i="137"/>
  <c r="R59" i="137"/>
  <c r="R60" i="137"/>
  <c r="R61" i="137"/>
  <c r="R62" i="137"/>
  <c r="R63" i="137"/>
  <c r="R64" i="137"/>
  <c r="R65" i="137"/>
  <c r="R66" i="137"/>
  <c r="R67" i="137"/>
  <c r="R68" i="137"/>
  <c r="R69" i="137"/>
  <c r="R70" i="137"/>
  <c r="R71" i="137"/>
  <c r="R72" i="137"/>
  <c r="R73" i="137"/>
  <c r="R74" i="137"/>
  <c r="R75" i="137"/>
  <c r="R76" i="137"/>
  <c r="R77" i="137"/>
  <c r="R29" i="138"/>
  <c r="R30" i="138"/>
  <c r="R31" i="138"/>
  <c r="R32" i="138"/>
  <c r="R33" i="138"/>
  <c r="R34" i="138"/>
  <c r="R35" i="138"/>
  <c r="R36" i="138"/>
  <c r="R37" i="138"/>
  <c r="R38" i="138"/>
  <c r="R39" i="138"/>
  <c r="R40" i="138"/>
  <c r="R41" i="138"/>
  <c r="R42" i="138"/>
  <c r="R43" i="138"/>
  <c r="R44" i="138"/>
  <c r="R45" i="138"/>
  <c r="R46" i="138"/>
  <c r="R47" i="138"/>
  <c r="R48" i="138"/>
  <c r="R49" i="138"/>
  <c r="R50" i="138"/>
  <c r="R51" i="138"/>
  <c r="R52" i="138"/>
  <c r="R53" i="138"/>
  <c r="R54" i="138"/>
  <c r="R55" i="138"/>
  <c r="R56" i="138"/>
  <c r="R57" i="138"/>
  <c r="R58" i="138"/>
  <c r="R59" i="138"/>
  <c r="R60" i="138"/>
  <c r="R61" i="138"/>
  <c r="R62" i="138"/>
  <c r="R63" i="138"/>
  <c r="R64" i="138"/>
  <c r="R65" i="138"/>
  <c r="R66" i="138"/>
  <c r="R67" i="138"/>
  <c r="R68" i="138"/>
  <c r="R69" i="138"/>
  <c r="R70" i="138"/>
  <c r="R71" i="138"/>
  <c r="R72" i="138"/>
  <c r="R73" i="138"/>
  <c r="R74" i="138"/>
  <c r="R75" i="138"/>
  <c r="R76" i="138"/>
  <c r="R77" i="138"/>
  <c r="R29" i="139"/>
  <c r="R30" i="139"/>
  <c r="R31" i="139"/>
  <c r="R32" i="139"/>
  <c r="R33" i="139"/>
  <c r="R34" i="139"/>
  <c r="R35" i="139"/>
  <c r="R36" i="139"/>
  <c r="R37" i="139"/>
  <c r="R38" i="139"/>
  <c r="R39" i="139"/>
  <c r="R40" i="139"/>
  <c r="R41" i="139"/>
  <c r="R42" i="139"/>
  <c r="R43" i="139"/>
  <c r="R44" i="139"/>
  <c r="R45" i="139"/>
  <c r="R46" i="139"/>
  <c r="R47" i="139"/>
  <c r="R48" i="139"/>
  <c r="R49" i="139"/>
  <c r="R50" i="139"/>
  <c r="R51" i="139"/>
  <c r="R52" i="139"/>
  <c r="R53" i="139"/>
  <c r="R54" i="139"/>
  <c r="R55" i="139"/>
  <c r="R56" i="139"/>
  <c r="R57" i="139"/>
  <c r="R58" i="139"/>
  <c r="R59" i="139"/>
  <c r="R60" i="139"/>
  <c r="R61" i="139"/>
  <c r="R62" i="139"/>
  <c r="R63" i="139"/>
  <c r="R64" i="139"/>
  <c r="R65" i="139"/>
  <c r="R66" i="139"/>
  <c r="R67" i="139"/>
  <c r="R68" i="139"/>
  <c r="R69" i="139"/>
  <c r="R70" i="139"/>
  <c r="R71" i="139"/>
  <c r="R72" i="139"/>
  <c r="R73" i="139"/>
  <c r="R74" i="139"/>
  <c r="R75" i="139"/>
  <c r="R76" i="139"/>
  <c r="R77" i="139"/>
  <c r="R29" i="140"/>
  <c r="R30" i="140"/>
  <c r="R31" i="140"/>
  <c r="R32" i="140"/>
  <c r="R33" i="140"/>
  <c r="R34" i="140"/>
  <c r="R35" i="140"/>
  <c r="R36" i="140"/>
  <c r="R37" i="140"/>
  <c r="R38" i="140"/>
  <c r="R39" i="140"/>
  <c r="R40" i="140"/>
  <c r="R41" i="140"/>
  <c r="R42" i="140"/>
  <c r="R43" i="140"/>
  <c r="R44" i="140"/>
  <c r="R45" i="140"/>
  <c r="R46" i="140"/>
  <c r="R47" i="140"/>
  <c r="R48" i="140"/>
  <c r="R49" i="140"/>
  <c r="R50" i="140"/>
  <c r="R51" i="140"/>
  <c r="R52" i="140"/>
  <c r="R53" i="140"/>
  <c r="R54" i="140"/>
  <c r="R55" i="140"/>
  <c r="R56" i="140"/>
  <c r="R57" i="140"/>
  <c r="R58" i="140"/>
  <c r="R59" i="140"/>
  <c r="R60" i="140"/>
  <c r="R61" i="140"/>
  <c r="R62" i="140"/>
  <c r="R63" i="140"/>
  <c r="R64" i="140"/>
  <c r="R65" i="140"/>
  <c r="R66" i="140"/>
  <c r="R67" i="140"/>
  <c r="R68" i="140"/>
  <c r="R69" i="140"/>
  <c r="R70" i="140"/>
  <c r="R71" i="140"/>
  <c r="R72" i="140"/>
  <c r="R73" i="140"/>
  <c r="R74" i="140"/>
  <c r="R75" i="140"/>
  <c r="R76" i="140"/>
  <c r="R77" i="140"/>
  <c r="R29" i="141"/>
  <c r="R30" i="141"/>
  <c r="R31" i="141"/>
  <c r="R32" i="141"/>
  <c r="R33" i="141"/>
  <c r="R34" i="141"/>
  <c r="R35" i="141"/>
  <c r="R36" i="141"/>
  <c r="R37" i="141"/>
  <c r="R38" i="141"/>
  <c r="R39" i="141"/>
  <c r="R40" i="141"/>
  <c r="R41" i="141"/>
  <c r="R42" i="141"/>
  <c r="R43" i="141"/>
  <c r="R44" i="141"/>
  <c r="R45" i="141"/>
  <c r="R46" i="141"/>
  <c r="R47" i="141"/>
  <c r="R48" i="141"/>
  <c r="R49" i="141"/>
  <c r="R50" i="141"/>
  <c r="R51" i="141"/>
  <c r="R52" i="141"/>
  <c r="R53" i="141"/>
  <c r="R54" i="141"/>
  <c r="R55" i="141"/>
  <c r="R56" i="141"/>
  <c r="R57" i="141"/>
  <c r="R58" i="141"/>
  <c r="R59" i="141"/>
  <c r="R60" i="141"/>
  <c r="R61" i="141"/>
  <c r="R62" i="141"/>
  <c r="R63" i="141"/>
  <c r="R64" i="141"/>
  <c r="R65" i="141"/>
  <c r="R66" i="141"/>
  <c r="R67" i="141"/>
  <c r="R68" i="141"/>
  <c r="R69" i="141"/>
  <c r="R70" i="141"/>
  <c r="R71" i="141"/>
  <c r="R72" i="141"/>
  <c r="R73" i="141"/>
  <c r="R74" i="141"/>
  <c r="R75" i="141"/>
  <c r="R76" i="141"/>
  <c r="R77" i="141"/>
  <c r="R29" i="142"/>
  <c r="R30" i="142"/>
  <c r="R31" i="142"/>
  <c r="R32" i="142"/>
  <c r="R33" i="142"/>
  <c r="R34" i="142"/>
  <c r="R35" i="142"/>
  <c r="R36" i="142"/>
  <c r="R37" i="142"/>
  <c r="R38" i="142"/>
  <c r="R39" i="142"/>
  <c r="R40" i="142"/>
  <c r="R41" i="142"/>
  <c r="R42" i="142"/>
  <c r="R43" i="142"/>
  <c r="R44" i="142"/>
  <c r="R45" i="142"/>
  <c r="R46" i="142"/>
  <c r="R47" i="142"/>
  <c r="R48" i="142"/>
  <c r="R49" i="142"/>
  <c r="R50" i="142"/>
  <c r="R51" i="142"/>
  <c r="R52" i="142"/>
  <c r="R53" i="142"/>
  <c r="R54" i="142"/>
  <c r="R55" i="142"/>
  <c r="R56" i="142"/>
  <c r="R57" i="142"/>
  <c r="R58" i="142"/>
  <c r="R59" i="142"/>
  <c r="R60" i="142"/>
  <c r="R61" i="142"/>
  <c r="R62" i="142"/>
  <c r="R63" i="142"/>
  <c r="R64" i="142"/>
  <c r="R65" i="142"/>
  <c r="R66" i="142"/>
  <c r="R67" i="142"/>
  <c r="R68" i="142"/>
  <c r="R69" i="142"/>
  <c r="R70" i="142"/>
  <c r="R71" i="142"/>
  <c r="R72" i="142"/>
  <c r="R73" i="142"/>
  <c r="R74" i="142"/>
  <c r="R75" i="142"/>
  <c r="R76" i="142"/>
  <c r="R77" i="142"/>
  <c r="R29" i="143"/>
  <c r="R30" i="143"/>
  <c r="R31" i="143"/>
  <c r="R32" i="143"/>
  <c r="R33" i="143"/>
  <c r="R34" i="143"/>
  <c r="R35" i="143"/>
  <c r="R36" i="143"/>
  <c r="R37" i="143"/>
  <c r="R38" i="143"/>
  <c r="R39" i="143"/>
  <c r="R40" i="143"/>
  <c r="R41" i="143"/>
  <c r="R42" i="143"/>
  <c r="R43" i="143"/>
  <c r="R44" i="143"/>
  <c r="R45" i="143"/>
  <c r="R46" i="143"/>
  <c r="R47" i="143"/>
  <c r="R48" i="143"/>
  <c r="R49" i="143"/>
  <c r="R50" i="143"/>
  <c r="R51" i="143"/>
  <c r="R52" i="143"/>
  <c r="R53" i="143"/>
  <c r="R54" i="143"/>
  <c r="R55" i="143"/>
  <c r="R56" i="143"/>
  <c r="R57" i="143"/>
  <c r="R58" i="143"/>
  <c r="R59" i="143"/>
  <c r="R60" i="143"/>
  <c r="R61" i="143"/>
  <c r="R62" i="143"/>
  <c r="R63" i="143"/>
  <c r="R64" i="143"/>
  <c r="R65" i="143"/>
  <c r="R66" i="143"/>
  <c r="R67" i="143"/>
  <c r="R68" i="143"/>
  <c r="R69" i="143"/>
  <c r="R70" i="143"/>
  <c r="R71" i="143"/>
  <c r="R72" i="143"/>
  <c r="R73" i="143"/>
  <c r="R74" i="143"/>
  <c r="R75" i="143"/>
  <c r="R76" i="143"/>
  <c r="R77" i="143"/>
  <c r="R29" i="144"/>
  <c r="R30" i="144"/>
  <c r="R31" i="144"/>
  <c r="R32" i="144"/>
  <c r="R33" i="144"/>
  <c r="R34" i="144"/>
  <c r="R35" i="144"/>
  <c r="R36" i="144"/>
  <c r="R37" i="144"/>
  <c r="R38" i="144"/>
  <c r="R39" i="144"/>
  <c r="R40" i="144"/>
  <c r="R41" i="144"/>
  <c r="R42" i="144"/>
  <c r="R43" i="144"/>
  <c r="R44" i="144"/>
  <c r="R45" i="144"/>
  <c r="R46" i="144"/>
  <c r="R47" i="144"/>
  <c r="R48" i="144"/>
  <c r="R49" i="144"/>
  <c r="R50" i="144"/>
  <c r="R51" i="144"/>
  <c r="R52" i="144"/>
  <c r="R53" i="144"/>
  <c r="R54" i="144"/>
  <c r="R55" i="144"/>
  <c r="R56" i="144"/>
  <c r="R57" i="144"/>
  <c r="R58" i="144"/>
  <c r="R59" i="144"/>
  <c r="R60" i="144"/>
  <c r="R61" i="144"/>
  <c r="R62" i="144"/>
  <c r="R63" i="144"/>
  <c r="R64" i="144"/>
  <c r="R65" i="144"/>
  <c r="R66" i="144"/>
  <c r="R67" i="144"/>
  <c r="R68" i="144"/>
  <c r="R69" i="144"/>
  <c r="R70" i="144"/>
  <c r="R71" i="144"/>
  <c r="R72" i="144"/>
  <c r="R73" i="144"/>
  <c r="R74" i="144"/>
  <c r="R75" i="144"/>
  <c r="R76" i="144"/>
  <c r="R77" i="144"/>
  <c r="R29" i="145"/>
  <c r="R30" i="145"/>
  <c r="R31" i="145"/>
  <c r="R32" i="145"/>
  <c r="R33" i="145"/>
  <c r="R34" i="145"/>
  <c r="R35" i="145"/>
  <c r="R36" i="145"/>
  <c r="R37" i="145"/>
  <c r="R38" i="145"/>
  <c r="R39" i="145"/>
  <c r="R40" i="145"/>
  <c r="R41" i="145"/>
  <c r="R42" i="145"/>
  <c r="R43" i="145"/>
  <c r="R44" i="145"/>
  <c r="R45" i="145"/>
  <c r="R46" i="145"/>
  <c r="R47" i="145"/>
  <c r="R48" i="145"/>
  <c r="R49" i="145"/>
  <c r="R50" i="145"/>
  <c r="R51" i="145"/>
  <c r="R52" i="145"/>
  <c r="R53" i="145"/>
  <c r="R54" i="145"/>
  <c r="R55" i="145"/>
  <c r="R56" i="145"/>
  <c r="R57" i="145"/>
  <c r="R58" i="145"/>
  <c r="R59" i="145"/>
  <c r="R60" i="145"/>
  <c r="R61" i="145"/>
  <c r="R62" i="145"/>
  <c r="R63" i="145"/>
  <c r="R64" i="145"/>
  <c r="R65" i="145"/>
  <c r="R66" i="145"/>
  <c r="R67" i="145"/>
  <c r="R68" i="145"/>
  <c r="R69" i="145"/>
  <c r="R70" i="145"/>
  <c r="R71" i="145"/>
  <c r="R72" i="145"/>
  <c r="R73" i="145"/>
  <c r="R74" i="145"/>
  <c r="R75" i="145"/>
  <c r="R76" i="145"/>
  <c r="R77" i="145"/>
  <c r="R29" i="152"/>
  <c r="R30" i="152"/>
  <c r="R31" i="152"/>
  <c r="R32" i="152"/>
  <c r="R33" i="152"/>
  <c r="R34" i="152"/>
  <c r="R35" i="152"/>
  <c r="R36" i="152"/>
  <c r="R37" i="152"/>
  <c r="R38" i="152"/>
  <c r="R39" i="152"/>
  <c r="R40" i="152"/>
  <c r="R41" i="152"/>
  <c r="R42" i="152"/>
  <c r="R43" i="152"/>
  <c r="R44" i="152"/>
  <c r="R45" i="152"/>
  <c r="R46" i="152"/>
  <c r="R47" i="152"/>
  <c r="R48" i="152"/>
  <c r="R49" i="152"/>
  <c r="R50" i="152"/>
  <c r="R51" i="152"/>
  <c r="R52" i="152"/>
  <c r="R53" i="152"/>
  <c r="R54" i="152"/>
  <c r="R55" i="152"/>
  <c r="R56" i="152"/>
  <c r="R57" i="152"/>
  <c r="R58" i="152"/>
  <c r="R59" i="152"/>
  <c r="R60" i="152"/>
  <c r="R61" i="152"/>
  <c r="R62" i="152"/>
  <c r="R63" i="152"/>
  <c r="R64" i="152"/>
  <c r="R65" i="152"/>
  <c r="R66" i="152"/>
  <c r="R67" i="152"/>
  <c r="R68" i="152"/>
  <c r="R69" i="152"/>
  <c r="R70" i="152"/>
  <c r="R71" i="152"/>
  <c r="R72" i="152"/>
  <c r="R73" i="152"/>
  <c r="R74" i="152"/>
  <c r="R75" i="152"/>
  <c r="R76" i="152"/>
  <c r="R77" i="152"/>
  <c r="R29" i="22"/>
  <c r="R30" i="22"/>
  <c r="R31" i="22"/>
  <c r="R32" i="22"/>
  <c r="R33" i="22"/>
  <c r="R34" i="22"/>
  <c r="R35" i="22"/>
  <c r="R36" i="22"/>
  <c r="R37" i="22"/>
  <c r="R38" i="22"/>
  <c r="R39" i="22"/>
  <c r="R40" i="22"/>
  <c r="R41" i="22"/>
  <c r="R42" i="22"/>
  <c r="R43" i="22"/>
  <c r="R44" i="22"/>
  <c r="R45" i="22"/>
  <c r="R46" i="22"/>
  <c r="R47" i="22"/>
  <c r="R48" i="22"/>
  <c r="R49" i="22"/>
  <c r="R50" i="22"/>
  <c r="R51" i="22"/>
  <c r="R52" i="22"/>
  <c r="R53" i="22"/>
  <c r="R54" i="22"/>
  <c r="R55" i="22"/>
  <c r="R56" i="22"/>
  <c r="R57" i="22"/>
  <c r="R58" i="22"/>
  <c r="R59" i="22"/>
  <c r="R60" i="22"/>
  <c r="R61" i="22"/>
  <c r="R62" i="22"/>
  <c r="R63" i="22"/>
  <c r="R64" i="22"/>
  <c r="R65" i="22"/>
  <c r="R66" i="22"/>
  <c r="R67" i="22"/>
  <c r="R68" i="22"/>
  <c r="R69" i="22"/>
  <c r="R70" i="22"/>
  <c r="R71" i="22"/>
  <c r="R72" i="22"/>
  <c r="R73" i="22"/>
  <c r="R74" i="22"/>
  <c r="R75" i="22"/>
  <c r="R76" i="22"/>
  <c r="R77" i="22"/>
  <c r="R28" i="88"/>
  <c r="R28" i="89"/>
  <c r="R28" i="90"/>
  <c r="R28" i="91"/>
  <c r="R28" i="92"/>
  <c r="R28" i="93"/>
  <c r="R28" i="94"/>
  <c r="R28" i="95"/>
  <c r="R28" i="96"/>
  <c r="R28" i="97"/>
  <c r="R28" i="98"/>
  <c r="R28" i="99"/>
  <c r="R28" i="100"/>
  <c r="R28" i="101"/>
  <c r="R28" i="102"/>
  <c r="R28" i="103"/>
  <c r="R28" i="104"/>
  <c r="R28" i="105"/>
  <c r="R28" i="106"/>
  <c r="R28" i="107"/>
  <c r="R28" i="108"/>
  <c r="R28" i="109"/>
  <c r="R28" i="110"/>
  <c r="R28" i="111"/>
  <c r="R28" i="112"/>
  <c r="R28" i="113"/>
  <c r="L28" i="113" s="1"/>
  <c r="R28" i="114"/>
  <c r="R28" i="115"/>
  <c r="R28" i="116"/>
  <c r="R28" i="117"/>
  <c r="R28" i="118"/>
  <c r="R28" i="119"/>
  <c r="R28" i="120"/>
  <c r="R28" i="121"/>
  <c r="R28" i="122"/>
  <c r="R28" i="123"/>
  <c r="R28" i="124"/>
  <c r="R28" i="125"/>
  <c r="R28" i="126"/>
  <c r="R28" i="127"/>
  <c r="R28" i="128"/>
  <c r="L28" i="128" s="1"/>
  <c r="R28" i="129"/>
  <c r="L28" i="129" s="1"/>
  <c r="R28" i="130"/>
  <c r="L28" i="130" s="1"/>
  <c r="R28" i="131"/>
  <c r="R28" i="132"/>
  <c r="R28" i="133"/>
  <c r="R28" i="134"/>
  <c r="R28" i="135"/>
  <c r="L28" i="135" s="1"/>
  <c r="R28" i="136"/>
  <c r="R28" i="137"/>
  <c r="R28" i="138"/>
  <c r="R28" i="139"/>
  <c r="R28" i="140"/>
  <c r="R28" i="141"/>
  <c r="R28" i="142"/>
  <c r="R28" i="143"/>
  <c r="R28" i="144"/>
  <c r="R28" i="145"/>
  <c r="R28" i="152"/>
  <c r="R28" i="22"/>
  <c r="Q29" i="88"/>
  <c r="Q30" i="88"/>
  <c r="Q31" i="88"/>
  <c r="Q32" i="88"/>
  <c r="Q33" i="88"/>
  <c r="Q34" i="88"/>
  <c r="Q35" i="88"/>
  <c r="Q36" i="88"/>
  <c r="Q37" i="88"/>
  <c r="Q38" i="88"/>
  <c r="Q39" i="88"/>
  <c r="Q40" i="88"/>
  <c r="Q41" i="88"/>
  <c r="Q42" i="88"/>
  <c r="Q43" i="88"/>
  <c r="Q44" i="88"/>
  <c r="Q45" i="88"/>
  <c r="Q46" i="88"/>
  <c r="Q47" i="88"/>
  <c r="Q48" i="88"/>
  <c r="Q49" i="88"/>
  <c r="Q50" i="88"/>
  <c r="Q51" i="88"/>
  <c r="Q52" i="88"/>
  <c r="Q53" i="88"/>
  <c r="Q54" i="88"/>
  <c r="Q55" i="88"/>
  <c r="Q56" i="88"/>
  <c r="Q57" i="88"/>
  <c r="Q58" i="88"/>
  <c r="Q59" i="88"/>
  <c r="Q60" i="88"/>
  <c r="Q61" i="88"/>
  <c r="Q62" i="88"/>
  <c r="Q63" i="88"/>
  <c r="Q64" i="88"/>
  <c r="Q65" i="88"/>
  <c r="Q66" i="88"/>
  <c r="Q67" i="88"/>
  <c r="Q68" i="88"/>
  <c r="Q69" i="88"/>
  <c r="Q70" i="88"/>
  <c r="Q71" i="88"/>
  <c r="Q72" i="88"/>
  <c r="Q73" i="88"/>
  <c r="Q74" i="88"/>
  <c r="Q75" i="88"/>
  <c r="Q76" i="88"/>
  <c r="Q77" i="88"/>
  <c r="Q29" i="89"/>
  <c r="Q30" i="89"/>
  <c r="Q31" i="89"/>
  <c r="Q32" i="89"/>
  <c r="Q33" i="89"/>
  <c r="Q34" i="89"/>
  <c r="Q35" i="89"/>
  <c r="Q36" i="89"/>
  <c r="Q37" i="89"/>
  <c r="Q38" i="89"/>
  <c r="Q39" i="89"/>
  <c r="Q40" i="89"/>
  <c r="Q41" i="89"/>
  <c r="Q42" i="89"/>
  <c r="Q43" i="89"/>
  <c r="Q44" i="89"/>
  <c r="Q45" i="89"/>
  <c r="Q46" i="89"/>
  <c r="Q47" i="89"/>
  <c r="Q48" i="89"/>
  <c r="Q49" i="89"/>
  <c r="Q50" i="89"/>
  <c r="Q51" i="89"/>
  <c r="Q52" i="89"/>
  <c r="Q53" i="89"/>
  <c r="Q54" i="89"/>
  <c r="Q55" i="89"/>
  <c r="Q56" i="89"/>
  <c r="Q57" i="89"/>
  <c r="Q58" i="89"/>
  <c r="Q59" i="89"/>
  <c r="Q60" i="89"/>
  <c r="Q61" i="89"/>
  <c r="Q62" i="89"/>
  <c r="Q63" i="89"/>
  <c r="Q64" i="89"/>
  <c r="Q65" i="89"/>
  <c r="Q66" i="89"/>
  <c r="Q67" i="89"/>
  <c r="Q68" i="89"/>
  <c r="Q69" i="89"/>
  <c r="Q70" i="89"/>
  <c r="Q71" i="89"/>
  <c r="Q72" i="89"/>
  <c r="Q73" i="89"/>
  <c r="Q74" i="89"/>
  <c r="Q75" i="89"/>
  <c r="Q76" i="89"/>
  <c r="Q77" i="89"/>
  <c r="Q29" i="90"/>
  <c r="Q30" i="90"/>
  <c r="Q31" i="90"/>
  <c r="Q32" i="90"/>
  <c r="Q33" i="90"/>
  <c r="Q34" i="90"/>
  <c r="Q35" i="90"/>
  <c r="Q36" i="90"/>
  <c r="Q37" i="90"/>
  <c r="Q38" i="90"/>
  <c r="Q39" i="90"/>
  <c r="Q40" i="90"/>
  <c r="Q41" i="90"/>
  <c r="Q42" i="90"/>
  <c r="Q43" i="90"/>
  <c r="Q44" i="90"/>
  <c r="Q45" i="90"/>
  <c r="Q46" i="90"/>
  <c r="Q47" i="90"/>
  <c r="Q48" i="90"/>
  <c r="Q49" i="90"/>
  <c r="Q50" i="90"/>
  <c r="Q51" i="90"/>
  <c r="Q52" i="90"/>
  <c r="Q53" i="90"/>
  <c r="Q54" i="90"/>
  <c r="Q55" i="90"/>
  <c r="Q56" i="90"/>
  <c r="Q57" i="90"/>
  <c r="Q58" i="90"/>
  <c r="Q59" i="90"/>
  <c r="Q60" i="90"/>
  <c r="Q61" i="90"/>
  <c r="Q62" i="90"/>
  <c r="Q63" i="90"/>
  <c r="Q64" i="90"/>
  <c r="Q65" i="90"/>
  <c r="Q66" i="90"/>
  <c r="Q67" i="90"/>
  <c r="Q68" i="90"/>
  <c r="Q69" i="90"/>
  <c r="Q70" i="90"/>
  <c r="Q71" i="90"/>
  <c r="Q72" i="90"/>
  <c r="Q73" i="90"/>
  <c r="Q74" i="90"/>
  <c r="Q75" i="90"/>
  <c r="Q76" i="90"/>
  <c r="Q77" i="90"/>
  <c r="Q29" i="91"/>
  <c r="Q30" i="91"/>
  <c r="Q31" i="91"/>
  <c r="Q32" i="91"/>
  <c r="Q33" i="91"/>
  <c r="Q34" i="91"/>
  <c r="Q35" i="91"/>
  <c r="Q36" i="91"/>
  <c r="Q37" i="91"/>
  <c r="Q38" i="91"/>
  <c r="Q39" i="91"/>
  <c r="Q40" i="91"/>
  <c r="Q41" i="91"/>
  <c r="Q42" i="91"/>
  <c r="Q43" i="91"/>
  <c r="Q44" i="91"/>
  <c r="Q45" i="91"/>
  <c r="Q46" i="91"/>
  <c r="Q47" i="91"/>
  <c r="Q48" i="91"/>
  <c r="Q49" i="91"/>
  <c r="Q50" i="91"/>
  <c r="Q51" i="91"/>
  <c r="Q52" i="91"/>
  <c r="Q53" i="91"/>
  <c r="Q54" i="91"/>
  <c r="Q55" i="91"/>
  <c r="Q56" i="91"/>
  <c r="Q57" i="91"/>
  <c r="Q58" i="91"/>
  <c r="Q59" i="91"/>
  <c r="Q60" i="91"/>
  <c r="Q61" i="91"/>
  <c r="Q62" i="91"/>
  <c r="Q63" i="91"/>
  <c r="Q64" i="91"/>
  <c r="Q65" i="91"/>
  <c r="Q66" i="91"/>
  <c r="Q67" i="91"/>
  <c r="Q68" i="91"/>
  <c r="Q69" i="91"/>
  <c r="Q70" i="91"/>
  <c r="Q71" i="91"/>
  <c r="Q72" i="91"/>
  <c r="Q73" i="91"/>
  <c r="Q74" i="91"/>
  <c r="Q75" i="91"/>
  <c r="Q76" i="91"/>
  <c r="Q77" i="91"/>
  <c r="Q29" i="92"/>
  <c r="Q30" i="92"/>
  <c r="Q31" i="92"/>
  <c r="Q32" i="92"/>
  <c r="Q33" i="92"/>
  <c r="Q34" i="92"/>
  <c r="Q35" i="92"/>
  <c r="Q36" i="92"/>
  <c r="Q37" i="92"/>
  <c r="Q38" i="92"/>
  <c r="Q39" i="92"/>
  <c r="Q40" i="92"/>
  <c r="Q41" i="92"/>
  <c r="Q42" i="92"/>
  <c r="Q43" i="92"/>
  <c r="Q44" i="92"/>
  <c r="Q45" i="92"/>
  <c r="Q46" i="92"/>
  <c r="Q47" i="92"/>
  <c r="Q48" i="92"/>
  <c r="Q49" i="92"/>
  <c r="Q50" i="92"/>
  <c r="Q51" i="92"/>
  <c r="Q52" i="92"/>
  <c r="Q53" i="92"/>
  <c r="Q54" i="92"/>
  <c r="Q55" i="92"/>
  <c r="Q56" i="92"/>
  <c r="Q57" i="92"/>
  <c r="Q58" i="92"/>
  <c r="Q59" i="92"/>
  <c r="Q60" i="92"/>
  <c r="Q61" i="92"/>
  <c r="Q62" i="92"/>
  <c r="Q63" i="92"/>
  <c r="Q64" i="92"/>
  <c r="Q65" i="92"/>
  <c r="Q66" i="92"/>
  <c r="Q67" i="92"/>
  <c r="Q68" i="92"/>
  <c r="Q69" i="92"/>
  <c r="Q70" i="92"/>
  <c r="Q71" i="92"/>
  <c r="Q72" i="92"/>
  <c r="Q73" i="92"/>
  <c r="Q74" i="92"/>
  <c r="Q75" i="92"/>
  <c r="Q76" i="92"/>
  <c r="Q77" i="92"/>
  <c r="Q29" i="93"/>
  <c r="Q30" i="93"/>
  <c r="Q31" i="93"/>
  <c r="Q32" i="93"/>
  <c r="Q33" i="93"/>
  <c r="Q34" i="93"/>
  <c r="Q35" i="93"/>
  <c r="Q36" i="93"/>
  <c r="Q37" i="93"/>
  <c r="Q38" i="93"/>
  <c r="Q39" i="93"/>
  <c r="Q40" i="93"/>
  <c r="Q41" i="93"/>
  <c r="Q42" i="93"/>
  <c r="Q43" i="93"/>
  <c r="Q44" i="93"/>
  <c r="Q45" i="93"/>
  <c r="Q46" i="93"/>
  <c r="Q47" i="93"/>
  <c r="Q48" i="93"/>
  <c r="Q49" i="93"/>
  <c r="Q50" i="93"/>
  <c r="Q51" i="93"/>
  <c r="Q52" i="93"/>
  <c r="Q53" i="93"/>
  <c r="Q54" i="93"/>
  <c r="Q55" i="93"/>
  <c r="Q56" i="93"/>
  <c r="Q57" i="93"/>
  <c r="Q58" i="93"/>
  <c r="Q59" i="93"/>
  <c r="Q60" i="93"/>
  <c r="Q61" i="93"/>
  <c r="Q62" i="93"/>
  <c r="Q63" i="93"/>
  <c r="Q64" i="93"/>
  <c r="Q65" i="93"/>
  <c r="Q66" i="93"/>
  <c r="Q67" i="93"/>
  <c r="Q68" i="93"/>
  <c r="Q69" i="93"/>
  <c r="Q70" i="93"/>
  <c r="Q71" i="93"/>
  <c r="Q72" i="93"/>
  <c r="Q73" i="93"/>
  <c r="Q74" i="93"/>
  <c r="Q75" i="93"/>
  <c r="Q76" i="93"/>
  <c r="Q77" i="93"/>
  <c r="Q29" i="94"/>
  <c r="Q30" i="94"/>
  <c r="Q31" i="94"/>
  <c r="Q32" i="94"/>
  <c r="Q33" i="94"/>
  <c r="Q34" i="94"/>
  <c r="Q35" i="94"/>
  <c r="Q36" i="94"/>
  <c r="Q37" i="94"/>
  <c r="Q38" i="94"/>
  <c r="Q39" i="94"/>
  <c r="Q40" i="94"/>
  <c r="Q41" i="94"/>
  <c r="Q42" i="94"/>
  <c r="Q43" i="94"/>
  <c r="Q44" i="94"/>
  <c r="Q45" i="94"/>
  <c r="Q46" i="94"/>
  <c r="Q47" i="94"/>
  <c r="Q48" i="94"/>
  <c r="Q49" i="94"/>
  <c r="Q50" i="94"/>
  <c r="Q51" i="94"/>
  <c r="Q52" i="94"/>
  <c r="Q53" i="94"/>
  <c r="Q54" i="94"/>
  <c r="Q55" i="94"/>
  <c r="Q56" i="94"/>
  <c r="Q57" i="94"/>
  <c r="Q58" i="94"/>
  <c r="Q59" i="94"/>
  <c r="Q60" i="94"/>
  <c r="Q61" i="94"/>
  <c r="Q62" i="94"/>
  <c r="Q63" i="94"/>
  <c r="Q64" i="94"/>
  <c r="Q65" i="94"/>
  <c r="Q66" i="94"/>
  <c r="Q67" i="94"/>
  <c r="Q68" i="94"/>
  <c r="Q69" i="94"/>
  <c r="Q70" i="94"/>
  <c r="Q71" i="94"/>
  <c r="Q72" i="94"/>
  <c r="Q73" i="94"/>
  <c r="Q74" i="94"/>
  <c r="Q75" i="94"/>
  <c r="Q76" i="94"/>
  <c r="Q77" i="94"/>
  <c r="Q29" i="95"/>
  <c r="Q30" i="95"/>
  <c r="Q31" i="95"/>
  <c r="Q32" i="95"/>
  <c r="Q33" i="95"/>
  <c r="Q34" i="95"/>
  <c r="Q35" i="95"/>
  <c r="Q36" i="95"/>
  <c r="Q37" i="95"/>
  <c r="Q38" i="95"/>
  <c r="Q39" i="95"/>
  <c r="Q40" i="95"/>
  <c r="Q41" i="95"/>
  <c r="Q42" i="95"/>
  <c r="Q43" i="95"/>
  <c r="Q44" i="95"/>
  <c r="Q45" i="95"/>
  <c r="Q46" i="95"/>
  <c r="Q47" i="95"/>
  <c r="Q48" i="95"/>
  <c r="Q49" i="95"/>
  <c r="Q50" i="95"/>
  <c r="Q51" i="95"/>
  <c r="Q52" i="95"/>
  <c r="Q53" i="95"/>
  <c r="Q54" i="95"/>
  <c r="Q55" i="95"/>
  <c r="Q56" i="95"/>
  <c r="Q57" i="95"/>
  <c r="Q58" i="95"/>
  <c r="Q59" i="95"/>
  <c r="Q60" i="95"/>
  <c r="Q61" i="95"/>
  <c r="Q62" i="95"/>
  <c r="Q63" i="95"/>
  <c r="Q64" i="95"/>
  <c r="Q65" i="95"/>
  <c r="Q66" i="95"/>
  <c r="Q67" i="95"/>
  <c r="Q68" i="95"/>
  <c r="Q69" i="95"/>
  <c r="Q70" i="95"/>
  <c r="Q71" i="95"/>
  <c r="Q72" i="95"/>
  <c r="Q73" i="95"/>
  <c r="Q74" i="95"/>
  <c r="Q75" i="95"/>
  <c r="Q76" i="95"/>
  <c r="Q77" i="95"/>
  <c r="Q29" i="96"/>
  <c r="Q30" i="96"/>
  <c r="Q31" i="96"/>
  <c r="Q32" i="96"/>
  <c r="Q33" i="96"/>
  <c r="Q34" i="96"/>
  <c r="Q35" i="96"/>
  <c r="Q36" i="96"/>
  <c r="Q37" i="96"/>
  <c r="Q38" i="96"/>
  <c r="Q39" i="96"/>
  <c r="Q40" i="96"/>
  <c r="Q41" i="96"/>
  <c r="Q42" i="96"/>
  <c r="Q43" i="96"/>
  <c r="Q44" i="96"/>
  <c r="Q45" i="96"/>
  <c r="Q46" i="96"/>
  <c r="Q47" i="96"/>
  <c r="Q48" i="96"/>
  <c r="Q49" i="96"/>
  <c r="Q50" i="96"/>
  <c r="Q51" i="96"/>
  <c r="Q52" i="96"/>
  <c r="Q53" i="96"/>
  <c r="Q54" i="96"/>
  <c r="Q55" i="96"/>
  <c r="Q56" i="96"/>
  <c r="Q57" i="96"/>
  <c r="Q58" i="96"/>
  <c r="Q59" i="96"/>
  <c r="Q60" i="96"/>
  <c r="Q61" i="96"/>
  <c r="Q62" i="96"/>
  <c r="Q63" i="96"/>
  <c r="Q64" i="96"/>
  <c r="Q65" i="96"/>
  <c r="Q66" i="96"/>
  <c r="Q67" i="96"/>
  <c r="Q68" i="96"/>
  <c r="Q69" i="96"/>
  <c r="Q70" i="96"/>
  <c r="Q71" i="96"/>
  <c r="Q72" i="96"/>
  <c r="Q73" i="96"/>
  <c r="Q74" i="96"/>
  <c r="Q75" i="96"/>
  <c r="Q76" i="96"/>
  <c r="Q77" i="96"/>
  <c r="Q29" i="97"/>
  <c r="Q30" i="97"/>
  <c r="Q31" i="97"/>
  <c r="Q32" i="97"/>
  <c r="Q33" i="97"/>
  <c r="Q34" i="97"/>
  <c r="Q35" i="97"/>
  <c r="Q36" i="97"/>
  <c r="Q37" i="97"/>
  <c r="Q38" i="97"/>
  <c r="Q39" i="97"/>
  <c r="Q40" i="97"/>
  <c r="Q41" i="97"/>
  <c r="Q42" i="97"/>
  <c r="Q43" i="97"/>
  <c r="Q44" i="97"/>
  <c r="Q45" i="97"/>
  <c r="Q46" i="97"/>
  <c r="Q47" i="97"/>
  <c r="Q48" i="97"/>
  <c r="Q49" i="97"/>
  <c r="Q50" i="97"/>
  <c r="Q51" i="97"/>
  <c r="Q52" i="97"/>
  <c r="Q53" i="97"/>
  <c r="Q54" i="97"/>
  <c r="Q55" i="97"/>
  <c r="Q56" i="97"/>
  <c r="Q57" i="97"/>
  <c r="Q58" i="97"/>
  <c r="Q59" i="97"/>
  <c r="Q60" i="97"/>
  <c r="Q61" i="97"/>
  <c r="Q62" i="97"/>
  <c r="Q63" i="97"/>
  <c r="Q64" i="97"/>
  <c r="Q65" i="97"/>
  <c r="Q66" i="97"/>
  <c r="Q67" i="97"/>
  <c r="Q68" i="97"/>
  <c r="Q69" i="97"/>
  <c r="Q70" i="97"/>
  <c r="Q71" i="97"/>
  <c r="Q72" i="97"/>
  <c r="Q73" i="97"/>
  <c r="Q74" i="97"/>
  <c r="Q75" i="97"/>
  <c r="Q76" i="97"/>
  <c r="Q77" i="97"/>
  <c r="Q29" i="98"/>
  <c r="Q30" i="98"/>
  <c r="Q31" i="98"/>
  <c r="Q32" i="98"/>
  <c r="Q33" i="98"/>
  <c r="Q34" i="98"/>
  <c r="Q35" i="98"/>
  <c r="Q36" i="98"/>
  <c r="Q37" i="98"/>
  <c r="Q38" i="98"/>
  <c r="Q39" i="98"/>
  <c r="Q40" i="98"/>
  <c r="Q41" i="98"/>
  <c r="Q42" i="98"/>
  <c r="Q43" i="98"/>
  <c r="Q44" i="98"/>
  <c r="Q45" i="98"/>
  <c r="Q46" i="98"/>
  <c r="Q47" i="98"/>
  <c r="Q48" i="98"/>
  <c r="Q49" i="98"/>
  <c r="Q50" i="98"/>
  <c r="Q51" i="98"/>
  <c r="Q52" i="98"/>
  <c r="Q53" i="98"/>
  <c r="Q54" i="98"/>
  <c r="Q55" i="98"/>
  <c r="Q56" i="98"/>
  <c r="Q57" i="98"/>
  <c r="Q58" i="98"/>
  <c r="Q59" i="98"/>
  <c r="Q60" i="98"/>
  <c r="Q61" i="98"/>
  <c r="Q62" i="98"/>
  <c r="Q63" i="98"/>
  <c r="Q64" i="98"/>
  <c r="Q65" i="98"/>
  <c r="Q66" i="98"/>
  <c r="Q67" i="98"/>
  <c r="Q68" i="98"/>
  <c r="Q69" i="98"/>
  <c r="Q70" i="98"/>
  <c r="Q71" i="98"/>
  <c r="Q72" i="98"/>
  <c r="Q73" i="98"/>
  <c r="Q74" i="98"/>
  <c r="Q75" i="98"/>
  <c r="Q76" i="98"/>
  <c r="Q77" i="98"/>
  <c r="Q29" i="99"/>
  <c r="Q30" i="99"/>
  <c r="Q31" i="99"/>
  <c r="Q32" i="99"/>
  <c r="Q33" i="99"/>
  <c r="Q34" i="99"/>
  <c r="Q35" i="99"/>
  <c r="Q36" i="99"/>
  <c r="Q37" i="99"/>
  <c r="Q38" i="99"/>
  <c r="Q39" i="99"/>
  <c r="Q40" i="99"/>
  <c r="Q41" i="99"/>
  <c r="Q42" i="99"/>
  <c r="Q43" i="99"/>
  <c r="Q44" i="99"/>
  <c r="Q45" i="99"/>
  <c r="Q46" i="99"/>
  <c r="Q47" i="99"/>
  <c r="Q48" i="99"/>
  <c r="Q49" i="99"/>
  <c r="Q50" i="99"/>
  <c r="Q51" i="99"/>
  <c r="Q52" i="99"/>
  <c r="Q53" i="99"/>
  <c r="Q54" i="99"/>
  <c r="Q55" i="99"/>
  <c r="Q56" i="99"/>
  <c r="Q57" i="99"/>
  <c r="Q58" i="99"/>
  <c r="Q59" i="99"/>
  <c r="Q60" i="99"/>
  <c r="Q61" i="99"/>
  <c r="Q62" i="99"/>
  <c r="Q63" i="99"/>
  <c r="Q64" i="99"/>
  <c r="Q65" i="99"/>
  <c r="Q66" i="99"/>
  <c r="Q67" i="99"/>
  <c r="Q68" i="99"/>
  <c r="Q69" i="99"/>
  <c r="Q70" i="99"/>
  <c r="Q71" i="99"/>
  <c r="Q72" i="99"/>
  <c r="Q73" i="99"/>
  <c r="Q74" i="99"/>
  <c r="Q75" i="99"/>
  <c r="Q76" i="99"/>
  <c r="Q77" i="99"/>
  <c r="Q29" i="100"/>
  <c r="Q30" i="100"/>
  <c r="Q31" i="100"/>
  <c r="Q32" i="100"/>
  <c r="Q33" i="100"/>
  <c r="Q34" i="100"/>
  <c r="Q35" i="100"/>
  <c r="Q36" i="100"/>
  <c r="Q37" i="100"/>
  <c r="Q38" i="100"/>
  <c r="Q39" i="100"/>
  <c r="Q40" i="100"/>
  <c r="Q41" i="100"/>
  <c r="Q42" i="100"/>
  <c r="Q43" i="100"/>
  <c r="Q44" i="100"/>
  <c r="Q45" i="100"/>
  <c r="Q46" i="100"/>
  <c r="Q47" i="100"/>
  <c r="Q48" i="100"/>
  <c r="Q49" i="100"/>
  <c r="Q50" i="100"/>
  <c r="Q51" i="100"/>
  <c r="Q52" i="100"/>
  <c r="Q53" i="100"/>
  <c r="Q54" i="100"/>
  <c r="Q55" i="100"/>
  <c r="Q56" i="100"/>
  <c r="Q57" i="100"/>
  <c r="Q58" i="100"/>
  <c r="Q59" i="100"/>
  <c r="Q60" i="100"/>
  <c r="Q61" i="100"/>
  <c r="Q62" i="100"/>
  <c r="Q63" i="100"/>
  <c r="Q64" i="100"/>
  <c r="Q65" i="100"/>
  <c r="Q66" i="100"/>
  <c r="Q67" i="100"/>
  <c r="Q68" i="100"/>
  <c r="Q69" i="100"/>
  <c r="Q70" i="100"/>
  <c r="Q71" i="100"/>
  <c r="Q72" i="100"/>
  <c r="Q73" i="100"/>
  <c r="Q74" i="100"/>
  <c r="Q75" i="100"/>
  <c r="Q76" i="100"/>
  <c r="Q77" i="100"/>
  <c r="Q29" i="101"/>
  <c r="Q30" i="101"/>
  <c r="Q31" i="101"/>
  <c r="Q32" i="101"/>
  <c r="L32" i="101" s="1"/>
  <c r="Q33" i="101"/>
  <c r="Q34" i="101"/>
  <c r="L34" i="101" s="1"/>
  <c r="Q35" i="101"/>
  <c r="L35" i="101" s="1"/>
  <c r="Q36" i="101"/>
  <c r="L36" i="101" s="1"/>
  <c r="Q37" i="101"/>
  <c r="Q38" i="101"/>
  <c r="Q39" i="101"/>
  <c r="Q40" i="101"/>
  <c r="Q41" i="101"/>
  <c r="Q42" i="101"/>
  <c r="Q43" i="101"/>
  <c r="Q44" i="101"/>
  <c r="Q45" i="101"/>
  <c r="Q46" i="101"/>
  <c r="Q47" i="101"/>
  <c r="Q48" i="101"/>
  <c r="Q49" i="101"/>
  <c r="Q50" i="101"/>
  <c r="Q51" i="101"/>
  <c r="Q52" i="101"/>
  <c r="Q53" i="101"/>
  <c r="Q54" i="101"/>
  <c r="Q55" i="101"/>
  <c r="Q56" i="101"/>
  <c r="Q57" i="101"/>
  <c r="Q58" i="101"/>
  <c r="Q59" i="101"/>
  <c r="Q60" i="101"/>
  <c r="Q61" i="101"/>
  <c r="Q62" i="101"/>
  <c r="Q63" i="101"/>
  <c r="Q64" i="101"/>
  <c r="Q65" i="101"/>
  <c r="Q66" i="101"/>
  <c r="Q67" i="101"/>
  <c r="Q68" i="101"/>
  <c r="Q69" i="101"/>
  <c r="Q70" i="101"/>
  <c r="Q71" i="101"/>
  <c r="Q72" i="101"/>
  <c r="Q73" i="101"/>
  <c r="Q74" i="101"/>
  <c r="Q75" i="101"/>
  <c r="Q76" i="101"/>
  <c r="Q77" i="101"/>
  <c r="Q29" i="102"/>
  <c r="Q30" i="102"/>
  <c r="Q31" i="102"/>
  <c r="Q32" i="102"/>
  <c r="Q33" i="102"/>
  <c r="Q34" i="102"/>
  <c r="Q35" i="102"/>
  <c r="Q36" i="102"/>
  <c r="Q37" i="102"/>
  <c r="Q38" i="102"/>
  <c r="Q39" i="102"/>
  <c r="Q40" i="102"/>
  <c r="Q41" i="102"/>
  <c r="Q42" i="102"/>
  <c r="Q43" i="102"/>
  <c r="Q44" i="102"/>
  <c r="Q45" i="102"/>
  <c r="Q46" i="102"/>
  <c r="Q47" i="102"/>
  <c r="Q48" i="102"/>
  <c r="Q49" i="102"/>
  <c r="Q50" i="102"/>
  <c r="Q51" i="102"/>
  <c r="Q52" i="102"/>
  <c r="Q53" i="102"/>
  <c r="Q54" i="102"/>
  <c r="Q55" i="102"/>
  <c r="Q56" i="102"/>
  <c r="Q57" i="102"/>
  <c r="Q58" i="102"/>
  <c r="Q59" i="102"/>
  <c r="Q60" i="102"/>
  <c r="Q61" i="102"/>
  <c r="Q62" i="102"/>
  <c r="Q63" i="102"/>
  <c r="Q64" i="102"/>
  <c r="Q65" i="102"/>
  <c r="Q66" i="102"/>
  <c r="Q67" i="102"/>
  <c r="Q68" i="102"/>
  <c r="Q69" i="102"/>
  <c r="Q70" i="102"/>
  <c r="Q71" i="102"/>
  <c r="Q72" i="102"/>
  <c r="Q73" i="102"/>
  <c r="Q74" i="102"/>
  <c r="Q75" i="102"/>
  <c r="Q76" i="102"/>
  <c r="Q77" i="102"/>
  <c r="Q29" i="103"/>
  <c r="Q30" i="103"/>
  <c r="Q31" i="103"/>
  <c r="Q32" i="103"/>
  <c r="Q33" i="103"/>
  <c r="Q34" i="103"/>
  <c r="Q35" i="103"/>
  <c r="Q36" i="103"/>
  <c r="Q37" i="103"/>
  <c r="Q38" i="103"/>
  <c r="Q39" i="103"/>
  <c r="Q40" i="103"/>
  <c r="Q41" i="103"/>
  <c r="Q42" i="103"/>
  <c r="Q43" i="103"/>
  <c r="Q44" i="103"/>
  <c r="Q45" i="103"/>
  <c r="Q46" i="103"/>
  <c r="Q47" i="103"/>
  <c r="Q48" i="103"/>
  <c r="Q49" i="103"/>
  <c r="Q50" i="103"/>
  <c r="Q51" i="103"/>
  <c r="Q52" i="103"/>
  <c r="Q53" i="103"/>
  <c r="Q54" i="103"/>
  <c r="Q55" i="103"/>
  <c r="Q56" i="103"/>
  <c r="Q57" i="103"/>
  <c r="Q58" i="103"/>
  <c r="Q59" i="103"/>
  <c r="Q60" i="103"/>
  <c r="Q61" i="103"/>
  <c r="Q62" i="103"/>
  <c r="Q63" i="103"/>
  <c r="Q64" i="103"/>
  <c r="Q65" i="103"/>
  <c r="Q66" i="103"/>
  <c r="Q67" i="103"/>
  <c r="Q68" i="103"/>
  <c r="Q69" i="103"/>
  <c r="Q70" i="103"/>
  <c r="Q71" i="103"/>
  <c r="Q72" i="103"/>
  <c r="Q73" i="103"/>
  <c r="Q74" i="103"/>
  <c r="Q75" i="103"/>
  <c r="Q76" i="103"/>
  <c r="Q77" i="103"/>
  <c r="Q29" i="104"/>
  <c r="Q30" i="104"/>
  <c r="Q31" i="104"/>
  <c r="Q32" i="104"/>
  <c r="Q33" i="104"/>
  <c r="Q34" i="104"/>
  <c r="Q35" i="104"/>
  <c r="Q36" i="104"/>
  <c r="Q37" i="104"/>
  <c r="Q38" i="104"/>
  <c r="Q39" i="104"/>
  <c r="Q40" i="104"/>
  <c r="Q41" i="104"/>
  <c r="Q42" i="104"/>
  <c r="Q43" i="104"/>
  <c r="Q44" i="104"/>
  <c r="Q45" i="104"/>
  <c r="Q46" i="104"/>
  <c r="Q47" i="104"/>
  <c r="Q48" i="104"/>
  <c r="Q49" i="104"/>
  <c r="Q50" i="104"/>
  <c r="Q51" i="104"/>
  <c r="Q52" i="104"/>
  <c r="Q53" i="104"/>
  <c r="Q54" i="104"/>
  <c r="Q55" i="104"/>
  <c r="Q56" i="104"/>
  <c r="Q57" i="104"/>
  <c r="Q58" i="104"/>
  <c r="Q59" i="104"/>
  <c r="Q60" i="104"/>
  <c r="Q61" i="104"/>
  <c r="Q62" i="104"/>
  <c r="Q63" i="104"/>
  <c r="Q64" i="104"/>
  <c r="Q65" i="104"/>
  <c r="Q66" i="104"/>
  <c r="Q67" i="104"/>
  <c r="Q68" i="104"/>
  <c r="Q69" i="104"/>
  <c r="Q70" i="104"/>
  <c r="Q71" i="104"/>
  <c r="Q72" i="104"/>
  <c r="Q73" i="104"/>
  <c r="Q74" i="104"/>
  <c r="Q75" i="104"/>
  <c r="Q76" i="104"/>
  <c r="Q77" i="104"/>
  <c r="Q29" i="105"/>
  <c r="Q30" i="105"/>
  <c r="Q31" i="105"/>
  <c r="Q32" i="105"/>
  <c r="Q33" i="105"/>
  <c r="Q34" i="105"/>
  <c r="Q35" i="105"/>
  <c r="Q36" i="105"/>
  <c r="Q37" i="105"/>
  <c r="Q38" i="105"/>
  <c r="Q39" i="105"/>
  <c r="Q40" i="105"/>
  <c r="Q41" i="105"/>
  <c r="Q42" i="105"/>
  <c r="Q43" i="105"/>
  <c r="Q44" i="105"/>
  <c r="Q45" i="105"/>
  <c r="Q46" i="105"/>
  <c r="Q47" i="105"/>
  <c r="Q48" i="105"/>
  <c r="Q49" i="105"/>
  <c r="Q50" i="105"/>
  <c r="Q51" i="105"/>
  <c r="Q52" i="105"/>
  <c r="Q53" i="105"/>
  <c r="Q54" i="105"/>
  <c r="Q55" i="105"/>
  <c r="Q56" i="105"/>
  <c r="Q57" i="105"/>
  <c r="Q58" i="105"/>
  <c r="Q59" i="105"/>
  <c r="Q60" i="105"/>
  <c r="Q61" i="105"/>
  <c r="Q62" i="105"/>
  <c r="Q63" i="105"/>
  <c r="Q64" i="105"/>
  <c r="Q65" i="105"/>
  <c r="Q66" i="105"/>
  <c r="Q67" i="105"/>
  <c r="Q68" i="105"/>
  <c r="Q69" i="105"/>
  <c r="Q70" i="105"/>
  <c r="Q71" i="105"/>
  <c r="Q72" i="105"/>
  <c r="Q73" i="105"/>
  <c r="Q74" i="105"/>
  <c r="Q75" i="105"/>
  <c r="Q76" i="105"/>
  <c r="Q77" i="105"/>
  <c r="Q29" i="106"/>
  <c r="Q30" i="106"/>
  <c r="Q31" i="106"/>
  <c r="Q32" i="106"/>
  <c r="Q33" i="106"/>
  <c r="Q34" i="106"/>
  <c r="Q35" i="106"/>
  <c r="Q36" i="106"/>
  <c r="Q37" i="106"/>
  <c r="Q38" i="106"/>
  <c r="Q39" i="106"/>
  <c r="Q40" i="106"/>
  <c r="Q41" i="106"/>
  <c r="Q42" i="106"/>
  <c r="Q43" i="106"/>
  <c r="Q44" i="106"/>
  <c r="Q45" i="106"/>
  <c r="Q46" i="106"/>
  <c r="Q47" i="106"/>
  <c r="Q48" i="106"/>
  <c r="Q49" i="106"/>
  <c r="Q50" i="106"/>
  <c r="Q51" i="106"/>
  <c r="Q52" i="106"/>
  <c r="Q53" i="106"/>
  <c r="Q54" i="106"/>
  <c r="Q55" i="106"/>
  <c r="Q56" i="106"/>
  <c r="Q57" i="106"/>
  <c r="Q58" i="106"/>
  <c r="Q59" i="106"/>
  <c r="Q60" i="106"/>
  <c r="Q61" i="106"/>
  <c r="Q62" i="106"/>
  <c r="Q63" i="106"/>
  <c r="Q64" i="106"/>
  <c r="Q65" i="106"/>
  <c r="Q66" i="106"/>
  <c r="Q67" i="106"/>
  <c r="Q68" i="106"/>
  <c r="Q69" i="106"/>
  <c r="Q70" i="106"/>
  <c r="Q71" i="106"/>
  <c r="Q72" i="106"/>
  <c r="Q73" i="106"/>
  <c r="Q74" i="106"/>
  <c r="Q75" i="106"/>
  <c r="Q76" i="106"/>
  <c r="Q77" i="106"/>
  <c r="Q29" i="107"/>
  <c r="Q30" i="107"/>
  <c r="Q31" i="107"/>
  <c r="Q32" i="107"/>
  <c r="Q33" i="107"/>
  <c r="Q34" i="107"/>
  <c r="Q35" i="107"/>
  <c r="Q36" i="107"/>
  <c r="Q37" i="107"/>
  <c r="Q38" i="107"/>
  <c r="Q39" i="107"/>
  <c r="Q40" i="107"/>
  <c r="Q41" i="107"/>
  <c r="Q42" i="107"/>
  <c r="Q43" i="107"/>
  <c r="Q44" i="107"/>
  <c r="Q45" i="107"/>
  <c r="Q46" i="107"/>
  <c r="Q47" i="107"/>
  <c r="Q48" i="107"/>
  <c r="Q49" i="107"/>
  <c r="Q50" i="107"/>
  <c r="Q51" i="107"/>
  <c r="Q52" i="107"/>
  <c r="Q53" i="107"/>
  <c r="Q54" i="107"/>
  <c r="Q55" i="107"/>
  <c r="Q56" i="107"/>
  <c r="Q57" i="107"/>
  <c r="Q58" i="107"/>
  <c r="Q59" i="107"/>
  <c r="Q60" i="107"/>
  <c r="Q61" i="107"/>
  <c r="Q62" i="107"/>
  <c r="Q63" i="107"/>
  <c r="Q64" i="107"/>
  <c r="Q65" i="107"/>
  <c r="Q66" i="107"/>
  <c r="Q67" i="107"/>
  <c r="Q68" i="107"/>
  <c r="Q69" i="107"/>
  <c r="Q70" i="107"/>
  <c r="Q71" i="107"/>
  <c r="Q72" i="107"/>
  <c r="Q73" i="107"/>
  <c r="Q74" i="107"/>
  <c r="Q75" i="107"/>
  <c r="Q76" i="107"/>
  <c r="Q77" i="107"/>
  <c r="Q29" i="108"/>
  <c r="Q30" i="108"/>
  <c r="Q31" i="108"/>
  <c r="Q32" i="108"/>
  <c r="Q33" i="108"/>
  <c r="Q34" i="108"/>
  <c r="Q35" i="108"/>
  <c r="Q36" i="108"/>
  <c r="Q37" i="108"/>
  <c r="Q38" i="108"/>
  <c r="Q39" i="108"/>
  <c r="Q40" i="108"/>
  <c r="Q41" i="108"/>
  <c r="Q42" i="108"/>
  <c r="Q43" i="108"/>
  <c r="Q44" i="108"/>
  <c r="Q45" i="108"/>
  <c r="Q46" i="108"/>
  <c r="Q47" i="108"/>
  <c r="Q48" i="108"/>
  <c r="Q49" i="108"/>
  <c r="Q50" i="108"/>
  <c r="Q51" i="108"/>
  <c r="Q52" i="108"/>
  <c r="Q53" i="108"/>
  <c r="Q54" i="108"/>
  <c r="Q55" i="108"/>
  <c r="Q56" i="108"/>
  <c r="Q57" i="108"/>
  <c r="Q58" i="108"/>
  <c r="Q59" i="108"/>
  <c r="Q60" i="108"/>
  <c r="Q61" i="108"/>
  <c r="Q62" i="108"/>
  <c r="Q63" i="108"/>
  <c r="Q64" i="108"/>
  <c r="Q65" i="108"/>
  <c r="Q66" i="108"/>
  <c r="Q67" i="108"/>
  <c r="Q68" i="108"/>
  <c r="Q69" i="108"/>
  <c r="Q70" i="108"/>
  <c r="Q71" i="108"/>
  <c r="Q72" i="108"/>
  <c r="Q73" i="108"/>
  <c r="Q74" i="108"/>
  <c r="Q75" i="108"/>
  <c r="Q76" i="108"/>
  <c r="Q77" i="108"/>
  <c r="Q29" i="109"/>
  <c r="Q30" i="109"/>
  <c r="Q31" i="109"/>
  <c r="Q32" i="109"/>
  <c r="Q33" i="109"/>
  <c r="Q34" i="109"/>
  <c r="Q35" i="109"/>
  <c r="Q36" i="109"/>
  <c r="Q37" i="109"/>
  <c r="Q38" i="109"/>
  <c r="Q39" i="109"/>
  <c r="Q40" i="109"/>
  <c r="Q41" i="109"/>
  <c r="Q42" i="109"/>
  <c r="Q43" i="109"/>
  <c r="Q44" i="109"/>
  <c r="Q45" i="109"/>
  <c r="Q46" i="109"/>
  <c r="Q47" i="109"/>
  <c r="Q48" i="109"/>
  <c r="Q49" i="109"/>
  <c r="Q50" i="109"/>
  <c r="Q51" i="109"/>
  <c r="Q52" i="109"/>
  <c r="Q53" i="109"/>
  <c r="Q54" i="109"/>
  <c r="Q55" i="109"/>
  <c r="Q56" i="109"/>
  <c r="Q57" i="109"/>
  <c r="Q58" i="109"/>
  <c r="Q59" i="109"/>
  <c r="Q60" i="109"/>
  <c r="Q61" i="109"/>
  <c r="Q62" i="109"/>
  <c r="Q63" i="109"/>
  <c r="Q64" i="109"/>
  <c r="Q65" i="109"/>
  <c r="Q66" i="109"/>
  <c r="Q67" i="109"/>
  <c r="Q68" i="109"/>
  <c r="Q69" i="109"/>
  <c r="Q70" i="109"/>
  <c r="Q71" i="109"/>
  <c r="Q72" i="109"/>
  <c r="Q73" i="109"/>
  <c r="Q74" i="109"/>
  <c r="Q75" i="109"/>
  <c r="Q76" i="109"/>
  <c r="Q77" i="109"/>
  <c r="Q29" i="110"/>
  <c r="Q30" i="110"/>
  <c r="L30" i="110" s="1"/>
  <c r="Q31" i="110"/>
  <c r="Q32" i="110"/>
  <c r="Q33" i="110"/>
  <c r="Q34" i="110"/>
  <c r="Q35" i="110"/>
  <c r="Q36" i="110"/>
  <c r="Q37" i="110"/>
  <c r="Q38" i="110"/>
  <c r="Q39" i="110"/>
  <c r="Q40" i="110"/>
  <c r="Q41" i="110"/>
  <c r="Q42" i="110"/>
  <c r="Q43" i="110"/>
  <c r="Q44" i="110"/>
  <c r="Q45" i="110"/>
  <c r="Q46" i="110"/>
  <c r="Q47" i="110"/>
  <c r="Q48" i="110"/>
  <c r="Q49" i="110"/>
  <c r="Q50" i="110"/>
  <c r="Q51" i="110"/>
  <c r="Q52" i="110"/>
  <c r="Q53" i="110"/>
  <c r="Q54" i="110"/>
  <c r="Q55" i="110"/>
  <c r="Q56" i="110"/>
  <c r="Q57" i="110"/>
  <c r="Q58" i="110"/>
  <c r="Q59" i="110"/>
  <c r="Q60" i="110"/>
  <c r="Q61" i="110"/>
  <c r="Q62" i="110"/>
  <c r="Q63" i="110"/>
  <c r="Q64" i="110"/>
  <c r="Q65" i="110"/>
  <c r="Q66" i="110"/>
  <c r="Q67" i="110"/>
  <c r="Q68" i="110"/>
  <c r="Q69" i="110"/>
  <c r="Q70" i="110"/>
  <c r="Q71" i="110"/>
  <c r="Q72" i="110"/>
  <c r="Q73" i="110"/>
  <c r="Q74" i="110"/>
  <c r="Q75" i="110"/>
  <c r="Q76" i="110"/>
  <c r="Q77" i="110"/>
  <c r="Q29" i="111"/>
  <c r="Q30" i="111"/>
  <c r="Q31" i="111"/>
  <c r="Q32" i="111"/>
  <c r="Q33" i="111"/>
  <c r="Q34" i="111"/>
  <c r="Q35" i="111"/>
  <c r="Q36" i="111"/>
  <c r="Q37" i="111"/>
  <c r="Q38" i="111"/>
  <c r="Q39" i="111"/>
  <c r="Q40" i="111"/>
  <c r="Q41" i="111"/>
  <c r="Q42" i="111"/>
  <c r="Q43" i="111"/>
  <c r="Q44" i="111"/>
  <c r="Q45" i="111"/>
  <c r="Q46" i="111"/>
  <c r="Q47" i="111"/>
  <c r="Q48" i="111"/>
  <c r="Q49" i="111"/>
  <c r="Q50" i="111"/>
  <c r="Q51" i="111"/>
  <c r="Q52" i="111"/>
  <c r="Q53" i="111"/>
  <c r="Q54" i="111"/>
  <c r="Q55" i="111"/>
  <c r="Q56" i="111"/>
  <c r="Q57" i="111"/>
  <c r="Q58" i="111"/>
  <c r="Q59" i="111"/>
  <c r="Q60" i="111"/>
  <c r="Q61" i="111"/>
  <c r="Q62" i="111"/>
  <c r="Q63" i="111"/>
  <c r="Q64" i="111"/>
  <c r="Q65" i="111"/>
  <c r="Q66" i="111"/>
  <c r="Q67" i="111"/>
  <c r="Q68" i="111"/>
  <c r="Q69" i="111"/>
  <c r="Q70" i="111"/>
  <c r="Q71" i="111"/>
  <c r="Q72" i="111"/>
  <c r="Q73" i="111"/>
  <c r="Q74" i="111"/>
  <c r="Q75" i="111"/>
  <c r="Q76" i="111"/>
  <c r="Q77" i="111"/>
  <c r="Q29" i="112"/>
  <c r="Q30" i="112"/>
  <c r="Q31" i="112"/>
  <c r="Q32" i="112"/>
  <c r="Q33" i="112"/>
  <c r="Q34" i="112"/>
  <c r="Q35" i="112"/>
  <c r="Q36" i="112"/>
  <c r="Q37" i="112"/>
  <c r="Q38" i="112"/>
  <c r="Q39" i="112"/>
  <c r="Q40" i="112"/>
  <c r="Q41" i="112"/>
  <c r="Q42" i="112"/>
  <c r="Q43" i="112"/>
  <c r="Q44" i="112"/>
  <c r="Q45" i="112"/>
  <c r="Q46" i="112"/>
  <c r="Q47" i="112"/>
  <c r="Q48" i="112"/>
  <c r="Q49" i="112"/>
  <c r="Q50" i="112"/>
  <c r="Q51" i="112"/>
  <c r="Q52" i="112"/>
  <c r="Q53" i="112"/>
  <c r="Q54" i="112"/>
  <c r="Q55" i="112"/>
  <c r="Q56" i="112"/>
  <c r="Q57" i="112"/>
  <c r="Q58" i="112"/>
  <c r="Q59" i="112"/>
  <c r="Q60" i="112"/>
  <c r="Q61" i="112"/>
  <c r="Q62" i="112"/>
  <c r="Q63" i="112"/>
  <c r="Q64" i="112"/>
  <c r="Q65" i="112"/>
  <c r="Q66" i="112"/>
  <c r="Q67" i="112"/>
  <c r="Q68" i="112"/>
  <c r="Q69" i="112"/>
  <c r="Q70" i="112"/>
  <c r="Q71" i="112"/>
  <c r="Q72" i="112"/>
  <c r="Q73" i="112"/>
  <c r="Q74" i="112"/>
  <c r="Q75" i="112"/>
  <c r="Q76" i="112"/>
  <c r="Q77" i="112"/>
  <c r="Q29" i="113"/>
  <c r="Q30" i="113"/>
  <c r="Q31" i="113"/>
  <c r="Q32" i="113"/>
  <c r="Q33" i="113"/>
  <c r="Q34" i="113"/>
  <c r="Q35" i="113"/>
  <c r="Q36" i="113"/>
  <c r="Q37" i="113"/>
  <c r="Q38" i="113"/>
  <c r="Q39" i="113"/>
  <c r="Q40" i="113"/>
  <c r="Q41" i="113"/>
  <c r="Q42" i="113"/>
  <c r="Q43" i="113"/>
  <c r="Q44" i="113"/>
  <c r="Q45" i="113"/>
  <c r="Q46" i="113"/>
  <c r="Q47" i="113"/>
  <c r="Q48" i="113"/>
  <c r="Q49" i="113"/>
  <c r="Q50" i="113"/>
  <c r="Q51" i="113"/>
  <c r="Q52" i="113"/>
  <c r="Q53" i="113"/>
  <c r="Q54" i="113"/>
  <c r="Q55" i="113"/>
  <c r="Q56" i="113"/>
  <c r="Q57" i="113"/>
  <c r="Q58" i="113"/>
  <c r="Q59" i="113"/>
  <c r="Q60" i="113"/>
  <c r="Q61" i="113"/>
  <c r="Q62" i="113"/>
  <c r="Q63" i="113"/>
  <c r="Q64" i="113"/>
  <c r="Q65" i="113"/>
  <c r="Q66" i="113"/>
  <c r="Q67" i="113"/>
  <c r="Q68" i="113"/>
  <c r="Q69" i="113"/>
  <c r="Q70" i="113"/>
  <c r="Q71" i="113"/>
  <c r="Q72" i="113"/>
  <c r="Q73" i="113"/>
  <c r="Q74" i="113"/>
  <c r="Q75" i="113"/>
  <c r="Q76" i="113"/>
  <c r="Q77" i="113"/>
  <c r="Q29" i="114"/>
  <c r="Q30" i="114"/>
  <c r="Q31" i="114"/>
  <c r="Q32" i="114"/>
  <c r="Q33" i="114"/>
  <c r="Q34" i="114"/>
  <c r="Q35" i="114"/>
  <c r="Q36" i="114"/>
  <c r="Q37" i="114"/>
  <c r="Q38" i="114"/>
  <c r="Q39" i="114"/>
  <c r="Q40" i="114"/>
  <c r="Q41" i="114"/>
  <c r="Q42" i="114"/>
  <c r="Q43" i="114"/>
  <c r="Q44" i="114"/>
  <c r="Q45" i="114"/>
  <c r="Q46" i="114"/>
  <c r="Q47" i="114"/>
  <c r="Q48" i="114"/>
  <c r="Q49" i="114"/>
  <c r="Q50" i="114"/>
  <c r="Q51" i="114"/>
  <c r="Q52" i="114"/>
  <c r="Q53" i="114"/>
  <c r="Q54" i="114"/>
  <c r="Q55" i="114"/>
  <c r="Q56" i="114"/>
  <c r="Q57" i="114"/>
  <c r="Q58" i="114"/>
  <c r="Q59" i="114"/>
  <c r="Q60" i="114"/>
  <c r="Q61" i="114"/>
  <c r="Q62" i="114"/>
  <c r="Q63" i="114"/>
  <c r="Q64" i="114"/>
  <c r="Q65" i="114"/>
  <c r="Q66" i="114"/>
  <c r="Q67" i="114"/>
  <c r="Q68" i="114"/>
  <c r="Q69" i="114"/>
  <c r="Q70" i="114"/>
  <c r="Q71" i="114"/>
  <c r="Q72" i="114"/>
  <c r="Q73" i="114"/>
  <c r="Q74" i="114"/>
  <c r="Q75" i="114"/>
  <c r="Q76" i="114"/>
  <c r="Q77" i="114"/>
  <c r="Q29" i="115"/>
  <c r="Q30" i="115"/>
  <c r="Q31" i="115"/>
  <c r="Q32" i="115"/>
  <c r="Q33" i="115"/>
  <c r="Q34" i="115"/>
  <c r="Q35" i="115"/>
  <c r="Q36" i="115"/>
  <c r="Q37" i="115"/>
  <c r="Q38" i="115"/>
  <c r="Q39" i="115"/>
  <c r="Q40" i="115"/>
  <c r="Q41" i="115"/>
  <c r="Q42" i="115"/>
  <c r="Q43" i="115"/>
  <c r="Q44" i="115"/>
  <c r="Q45" i="115"/>
  <c r="Q46" i="115"/>
  <c r="Q47" i="115"/>
  <c r="Q48" i="115"/>
  <c r="Q49" i="115"/>
  <c r="Q50" i="115"/>
  <c r="Q51" i="115"/>
  <c r="Q52" i="115"/>
  <c r="Q53" i="115"/>
  <c r="Q54" i="115"/>
  <c r="Q55" i="115"/>
  <c r="Q56" i="115"/>
  <c r="Q57" i="115"/>
  <c r="Q58" i="115"/>
  <c r="Q59" i="115"/>
  <c r="Q60" i="115"/>
  <c r="Q61" i="115"/>
  <c r="Q62" i="115"/>
  <c r="Q63" i="115"/>
  <c r="Q64" i="115"/>
  <c r="Q65" i="115"/>
  <c r="Q66" i="115"/>
  <c r="Q67" i="115"/>
  <c r="Q68" i="115"/>
  <c r="Q69" i="115"/>
  <c r="Q70" i="115"/>
  <c r="Q71" i="115"/>
  <c r="Q72" i="115"/>
  <c r="Q73" i="115"/>
  <c r="Q74" i="115"/>
  <c r="Q75" i="115"/>
  <c r="Q76" i="115"/>
  <c r="Q77" i="115"/>
  <c r="Q29" i="116"/>
  <c r="Q30" i="116"/>
  <c r="Q31" i="116"/>
  <c r="Q32" i="116"/>
  <c r="Q33" i="116"/>
  <c r="Q34" i="116"/>
  <c r="Q35" i="116"/>
  <c r="Q36" i="116"/>
  <c r="Q37" i="116"/>
  <c r="Q38" i="116"/>
  <c r="Q39" i="116"/>
  <c r="Q40" i="116"/>
  <c r="Q41" i="116"/>
  <c r="Q42" i="116"/>
  <c r="Q43" i="116"/>
  <c r="Q44" i="116"/>
  <c r="Q45" i="116"/>
  <c r="Q46" i="116"/>
  <c r="Q47" i="116"/>
  <c r="Q48" i="116"/>
  <c r="Q49" i="116"/>
  <c r="Q50" i="116"/>
  <c r="Q51" i="116"/>
  <c r="Q52" i="116"/>
  <c r="Q53" i="116"/>
  <c r="Q54" i="116"/>
  <c r="Q55" i="116"/>
  <c r="Q56" i="116"/>
  <c r="Q57" i="116"/>
  <c r="Q58" i="116"/>
  <c r="Q59" i="116"/>
  <c r="Q60" i="116"/>
  <c r="Q61" i="116"/>
  <c r="Q62" i="116"/>
  <c r="Q63" i="116"/>
  <c r="Q64" i="116"/>
  <c r="Q65" i="116"/>
  <c r="Q66" i="116"/>
  <c r="Q67" i="116"/>
  <c r="Q68" i="116"/>
  <c r="Q69" i="116"/>
  <c r="Q70" i="116"/>
  <c r="Q71" i="116"/>
  <c r="Q72" i="116"/>
  <c r="Q73" i="116"/>
  <c r="Q74" i="116"/>
  <c r="Q75" i="116"/>
  <c r="Q76" i="116"/>
  <c r="Q77" i="116"/>
  <c r="Q29" i="117"/>
  <c r="Q30" i="117"/>
  <c r="Q31" i="117"/>
  <c r="Q32" i="117"/>
  <c r="Q33" i="117"/>
  <c r="Q34" i="117"/>
  <c r="Q35" i="117"/>
  <c r="Q36" i="117"/>
  <c r="Q37" i="117"/>
  <c r="Q38" i="117"/>
  <c r="Q39" i="117"/>
  <c r="Q40" i="117"/>
  <c r="Q41" i="117"/>
  <c r="Q42" i="117"/>
  <c r="Q43" i="117"/>
  <c r="Q44" i="117"/>
  <c r="Q45" i="117"/>
  <c r="Q46" i="117"/>
  <c r="Q47" i="117"/>
  <c r="Q48" i="117"/>
  <c r="Q49" i="117"/>
  <c r="Q50" i="117"/>
  <c r="Q51" i="117"/>
  <c r="Q52" i="117"/>
  <c r="Q53" i="117"/>
  <c r="Q54" i="117"/>
  <c r="Q55" i="117"/>
  <c r="Q56" i="117"/>
  <c r="Q57" i="117"/>
  <c r="Q58" i="117"/>
  <c r="Q59" i="117"/>
  <c r="Q60" i="117"/>
  <c r="Q61" i="117"/>
  <c r="Q62" i="117"/>
  <c r="Q63" i="117"/>
  <c r="Q64" i="117"/>
  <c r="Q65" i="117"/>
  <c r="Q66" i="117"/>
  <c r="Q67" i="117"/>
  <c r="Q68" i="117"/>
  <c r="Q69" i="117"/>
  <c r="Q70" i="117"/>
  <c r="Q71" i="117"/>
  <c r="Q72" i="117"/>
  <c r="Q73" i="117"/>
  <c r="Q74" i="117"/>
  <c r="Q75" i="117"/>
  <c r="Q76" i="117"/>
  <c r="Q77" i="117"/>
  <c r="Q29" i="118"/>
  <c r="Q30" i="118"/>
  <c r="Q31" i="118"/>
  <c r="Q32" i="118"/>
  <c r="Q33" i="118"/>
  <c r="Q34" i="118"/>
  <c r="Q35" i="118"/>
  <c r="Q36" i="118"/>
  <c r="Q37" i="118"/>
  <c r="Q38" i="118"/>
  <c r="Q39" i="118"/>
  <c r="Q40" i="118"/>
  <c r="Q41" i="118"/>
  <c r="Q42" i="118"/>
  <c r="Q43" i="118"/>
  <c r="Q44" i="118"/>
  <c r="Q45" i="118"/>
  <c r="Q46" i="118"/>
  <c r="Q47" i="118"/>
  <c r="Q48" i="118"/>
  <c r="Q49" i="118"/>
  <c r="Q50" i="118"/>
  <c r="Q51" i="118"/>
  <c r="Q52" i="118"/>
  <c r="Q53" i="118"/>
  <c r="Q54" i="118"/>
  <c r="Q55" i="118"/>
  <c r="Q56" i="118"/>
  <c r="Q57" i="118"/>
  <c r="Q58" i="118"/>
  <c r="Q59" i="118"/>
  <c r="Q60" i="118"/>
  <c r="Q61" i="118"/>
  <c r="Q62" i="118"/>
  <c r="Q63" i="118"/>
  <c r="Q64" i="118"/>
  <c r="Q65" i="118"/>
  <c r="Q66" i="118"/>
  <c r="Q67" i="118"/>
  <c r="Q68" i="118"/>
  <c r="Q69" i="118"/>
  <c r="Q70" i="118"/>
  <c r="Q71" i="118"/>
  <c r="Q72" i="118"/>
  <c r="Q73" i="118"/>
  <c r="Q74" i="118"/>
  <c r="Q75" i="118"/>
  <c r="Q76" i="118"/>
  <c r="Q77" i="118"/>
  <c r="Q29" i="119"/>
  <c r="Q30" i="119"/>
  <c r="Q31" i="119"/>
  <c r="Q32" i="119"/>
  <c r="Q33" i="119"/>
  <c r="Q34" i="119"/>
  <c r="Q35" i="119"/>
  <c r="Q36" i="119"/>
  <c r="Q37" i="119"/>
  <c r="Q38" i="119"/>
  <c r="Q39" i="119"/>
  <c r="Q40" i="119"/>
  <c r="Q41" i="119"/>
  <c r="Q42" i="119"/>
  <c r="Q43" i="119"/>
  <c r="Q44" i="119"/>
  <c r="Q45" i="119"/>
  <c r="Q46" i="119"/>
  <c r="Q47" i="119"/>
  <c r="Q48" i="119"/>
  <c r="Q49" i="119"/>
  <c r="Q50" i="119"/>
  <c r="Q51" i="119"/>
  <c r="Q52" i="119"/>
  <c r="Q53" i="119"/>
  <c r="Q54" i="119"/>
  <c r="Q55" i="119"/>
  <c r="Q56" i="119"/>
  <c r="Q57" i="119"/>
  <c r="Q58" i="119"/>
  <c r="Q59" i="119"/>
  <c r="Q60" i="119"/>
  <c r="Q61" i="119"/>
  <c r="Q62" i="119"/>
  <c r="Q63" i="119"/>
  <c r="Q64" i="119"/>
  <c r="Q65" i="119"/>
  <c r="Q66" i="119"/>
  <c r="Q67" i="119"/>
  <c r="Q68" i="119"/>
  <c r="Q69" i="119"/>
  <c r="Q70" i="119"/>
  <c r="Q71" i="119"/>
  <c r="Q72" i="119"/>
  <c r="Q73" i="119"/>
  <c r="Q74" i="119"/>
  <c r="Q75" i="119"/>
  <c r="Q76" i="119"/>
  <c r="Q77" i="119"/>
  <c r="Q29" i="120"/>
  <c r="Q30" i="120"/>
  <c r="Q31" i="120"/>
  <c r="Q32" i="120"/>
  <c r="Q33" i="120"/>
  <c r="Q34" i="120"/>
  <c r="Q35" i="120"/>
  <c r="Q36" i="120"/>
  <c r="Q37" i="120"/>
  <c r="Q38" i="120"/>
  <c r="Q39" i="120"/>
  <c r="Q40" i="120"/>
  <c r="Q41" i="120"/>
  <c r="Q42" i="120"/>
  <c r="Q43" i="120"/>
  <c r="Q44" i="120"/>
  <c r="Q45" i="120"/>
  <c r="Q46" i="120"/>
  <c r="Q47" i="120"/>
  <c r="Q48" i="120"/>
  <c r="Q49" i="120"/>
  <c r="Q50" i="120"/>
  <c r="Q51" i="120"/>
  <c r="Q52" i="120"/>
  <c r="Q53" i="120"/>
  <c r="Q54" i="120"/>
  <c r="Q55" i="120"/>
  <c r="Q56" i="120"/>
  <c r="Q57" i="120"/>
  <c r="Q58" i="120"/>
  <c r="Q59" i="120"/>
  <c r="Q60" i="120"/>
  <c r="Q61" i="120"/>
  <c r="Q62" i="120"/>
  <c r="Q63" i="120"/>
  <c r="Q64" i="120"/>
  <c r="Q65" i="120"/>
  <c r="Q66" i="120"/>
  <c r="Q67" i="120"/>
  <c r="Q68" i="120"/>
  <c r="Q69" i="120"/>
  <c r="Q70" i="120"/>
  <c r="Q71" i="120"/>
  <c r="Q72" i="120"/>
  <c r="Q73" i="120"/>
  <c r="Q74" i="120"/>
  <c r="Q75" i="120"/>
  <c r="Q76" i="120"/>
  <c r="Q77" i="120"/>
  <c r="Q29" i="121"/>
  <c r="Q30" i="121"/>
  <c r="Q31" i="121"/>
  <c r="Q32" i="121"/>
  <c r="Q33" i="121"/>
  <c r="Q34" i="121"/>
  <c r="Q35" i="121"/>
  <c r="Q36" i="121"/>
  <c r="Q37" i="121"/>
  <c r="Q38" i="121"/>
  <c r="Q39" i="121"/>
  <c r="Q40" i="121"/>
  <c r="Q41" i="121"/>
  <c r="Q42" i="121"/>
  <c r="Q43" i="121"/>
  <c r="Q44" i="121"/>
  <c r="Q45" i="121"/>
  <c r="Q46" i="121"/>
  <c r="Q47" i="121"/>
  <c r="Q48" i="121"/>
  <c r="Q49" i="121"/>
  <c r="Q50" i="121"/>
  <c r="Q51" i="121"/>
  <c r="Q52" i="121"/>
  <c r="Q53" i="121"/>
  <c r="Q54" i="121"/>
  <c r="Q55" i="121"/>
  <c r="Q56" i="121"/>
  <c r="Q57" i="121"/>
  <c r="Q58" i="121"/>
  <c r="Q59" i="121"/>
  <c r="Q60" i="121"/>
  <c r="Q61" i="121"/>
  <c r="Q62" i="121"/>
  <c r="Q63" i="121"/>
  <c r="Q64" i="121"/>
  <c r="Q65" i="121"/>
  <c r="Q66" i="121"/>
  <c r="Q67" i="121"/>
  <c r="Q68" i="121"/>
  <c r="Q69" i="121"/>
  <c r="Q70" i="121"/>
  <c r="Q71" i="121"/>
  <c r="Q72" i="121"/>
  <c r="Q73" i="121"/>
  <c r="Q74" i="121"/>
  <c r="Q75" i="121"/>
  <c r="Q76" i="121"/>
  <c r="Q77" i="121"/>
  <c r="Q29" i="122"/>
  <c r="Q30" i="122"/>
  <c r="Q31" i="122"/>
  <c r="Q32" i="122"/>
  <c r="Q33" i="122"/>
  <c r="Q34" i="122"/>
  <c r="Q35" i="122"/>
  <c r="Q36" i="122"/>
  <c r="Q37" i="122"/>
  <c r="Q38" i="122"/>
  <c r="Q39" i="122"/>
  <c r="Q40" i="122"/>
  <c r="Q41" i="122"/>
  <c r="Q42" i="122"/>
  <c r="Q43" i="122"/>
  <c r="Q44" i="122"/>
  <c r="Q45" i="122"/>
  <c r="Q46" i="122"/>
  <c r="Q47" i="122"/>
  <c r="Q48" i="122"/>
  <c r="Q49" i="122"/>
  <c r="Q50" i="122"/>
  <c r="Q51" i="122"/>
  <c r="Q52" i="122"/>
  <c r="Q53" i="122"/>
  <c r="Q54" i="122"/>
  <c r="Q55" i="122"/>
  <c r="Q56" i="122"/>
  <c r="Q57" i="122"/>
  <c r="Q58" i="122"/>
  <c r="Q59" i="122"/>
  <c r="Q60" i="122"/>
  <c r="Q61" i="122"/>
  <c r="Q62" i="122"/>
  <c r="Q63" i="122"/>
  <c r="Q64" i="122"/>
  <c r="Q65" i="122"/>
  <c r="Q66" i="122"/>
  <c r="Q67" i="122"/>
  <c r="Q68" i="122"/>
  <c r="Q69" i="122"/>
  <c r="Q70" i="122"/>
  <c r="Q71" i="122"/>
  <c r="Q72" i="122"/>
  <c r="Q73" i="122"/>
  <c r="Q74" i="122"/>
  <c r="Q75" i="122"/>
  <c r="Q76" i="122"/>
  <c r="Q77" i="122"/>
  <c r="Q29" i="123"/>
  <c r="Q30" i="123"/>
  <c r="Q31" i="123"/>
  <c r="Q32" i="123"/>
  <c r="Q33" i="123"/>
  <c r="Q34" i="123"/>
  <c r="Q35" i="123"/>
  <c r="Q36" i="123"/>
  <c r="Q37" i="123"/>
  <c r="Q38" i="123"/>
  <c r="Q39" i="123"/>
  <c r="Q40" i="123"/>
  <c r="Q41" i="123"/>
  <c r="Q42" i="123"/>
  <c r="Q43" i="123"/>
  <c r="Q44" i="123"/>
  <c r="Q45" i="123"/>
  <c r="Q46" i="123"/>
  <c r="Q47" i="123"/>
  <c r="Q48" i="123"/>
  <c r="Q49" i="123"/>
  <c r="Q50" i="123"/>
  <c r="Q51" i="123"/>
  <c r="Q52" i="123"/>
  <c r="Q53" i="123"/>
  <c r="Q54" i="123"/>
  <c r="Q55" i="123"/>
  <c r="Q56" i="123"/>
  <c r="Q57" i="123"/>
  <c r="Q58" i="123"/>
  <c r="Q59" i="123"/>
  <c r="Q60" i="123"/>
  <c r="Q61" i="123"/>
  <c r="Q62" i="123"/>
  <c r="Q63" i="123"/>
  <c r="Q64" i="123"/>
  <c r="Q65" i="123"/>
  <c r="Q66" i="123"/>
  <c r="Q67" i="123"/>
  <c r="Q68" i="123"/>
  <c r="Q69" i="123"/>
  <c r="Q70" i="123"/>
  <c r="Q71" i="123"/>
  <c r="Q72" i="123"/>
  <c r="Q73" i="123"/>
  <c r="Q74" i="123"/>
  <c r="Q75" i="123"/>
  <c r="Q76" i="123"/>
  <c r="Q77" i="123"/>
  <c r="Q29" i="124"/>
  <c r="Q30" i="124"/>
  <c r="Q31" i="124"/>
  <c r="Q32" i="124"/>
  <c r="Q33" i="124"/>
  <c r="Q34" i="124"/>
  <c r="Q35" i="124"/>
  <c r="Q36" i="124"/>
  <c r="Q37" i="124"/>
  <c r="Q38" i="124"/>
  <c r="Q39" i="124"/>
  <c r="Q40" i="124"/>
  <c r="Q41" i="124"/>
  <c r="Q42" i="124"/>
  <c r="Q43" i="124"/>
  <c r="Q44" i="124"/>
  <c r="Q45" i="124"/>
  <c r="Q46" i="124"/>
  <c r="Q47" i="124"/>
  <c r="Q48" i="124"/>
  <c r="Q49" i="124"/>
  <c r="Q50" i="124"/>
  <c r="Q51" i="124"/>
  <c r="Q52" i="124"/>
  <c r="Q53" i="124"/>
  <c r="Q54" i="124"/>
  <c r="Q55" i="124"/>
  <c r="Q56" i="124"/>
  <c r="Q57" i="124"/>
  <c r="Q58" i="124"/>
  <c r="Q59" i="124"/>
  <c r="Q60" i="124"/>
  <c r="Q61" i="124"/>
  <c r="Q62" i="124"/>
  <c r="Q63" i="124"/>
  <c r="Q64" i="124"/>
  <c r="Q65" i="124"/>
  <c r="Q66" i="124"/>
  <c r="Q67" i="124"/>
  <c r="Q68" i="124"/>
  <c r="Q69" i="124"/>
  <c r="Q70" i="124"/>
  <c r="Q71" i="124"/>
  <c r="Q72" i="124"/>
  <c r="Q73" i="124"/>
  <c r="Q74" i="124"/>
  <c r="Q75" i="124"/>
  <c r="Q76" i="124"/>
  <c r="Q77" i="124"/>
  <c r="Q29" i="125"/>
  <c r="Q30" i="125"/>
  <c r="Q31" i="125"/>
  <c r="Q32" i="125"/>
  <c r="Q33" i="125"/>
  <c r="Q34" i="125"/>
  <c r="Q35" i="125"/>
  <c r="Q36" i="125"/>
  <c r="Q37" i="125"/>
  <c r="Q38" i="125"/>
  <c r="Q39" i="125"/>
  <c r="Q40" i="125"/>
  <c r="Q41" i="125"/>
  <c r="Q42" i="125"/>
  <c r="Q43" i="125"/>
  <c r="Q44" i="125"/>
  <c r="Q45" i="125"/>
  <c r="Q46" i="125"/>
  <c r="Q47" i="125"/>
  <c r="Q48" i="125"/>
  <c r="Q49" i="125"/>
  <c r="Q50" i="125"/>
  <c r="Q51" i="125"/>
  <c r="Q52" i="125"/>
  <c r="Q53" i="125"/>
  <c r="Q54" i="125"/>
  <c r="Q55" i="125"/>
  <c r="Q56" i="125"/>
  <c r="Q57" i="125"/>
  <c r="Q58" i="125"/>
  <c r="Q59" i="125"/>
  <c r="Q60" i="125"/>
  <c r="Q61" i="125"/>
  <c r="Q62" i="125"/>
  <c r="Q63" i="125"/>
  <c r="Q64" i="125"/>
  <c r="Q65" i="125"/>
  <c r="Q66" i="125"/>
  <c r="Q67" i="125"/>
  <c r="Q68" i="125"/>
  <c r="Q69" i="125"/>
  <c r="Q70" i="125"/>
  <c r="Q71" i="125"/>
  <c r="Q72" i="125"/>
  <c r="Q73" i="125"/>
  <c r="Q74" i="125"/>
  <c r="Q75" i="125"/>
  <c r="Q76" i="125"/>
  <c r="Q77" i="125"/>
  <c r="Q29" i="126"/>
  <c r="Q30" i="126"/>
  <c r="Q31" i="126"/>
  <c r="Q32" i="126"/>
  <c r="Q33" i="126"/>
  <c r="Q34" i="126"/>
  <c r="Q35" i="126"/>
  <c r="Q36" i="126"/>
  <c r="Q37" i="126"/>
  <c r="Q38" i="126"/>
  <c r="Q39" i="126"/>
  <c r="Q40" i="126"/>
  <c r="Q41" i="126"/>
  <c r="Q42" i="126"/>
  <c r="Q43" i="126"/>
  <c r="Q44" i="126"/>
  <c r="Q45" i="126"/>
  <c r="Q46" i="126"/>
  <c r="Q47" i="126"/>
  <c r="Q48" i="126"/>
  <c r="Q49" i="126"/>
  <c r="Q50" i="126"/>
  <c r="Q51" i="126"/>
  <c r="Q52" i="126"/>
  <c r="Q53" i="126"/>
  <c r="Q54" i="126"/>
  <c r="Q55" i="126"/>
  <c r="Q56" i="126"/>
  <c r="Q57" i="126"/>
  <c r="Q58" i="126"/>
  <c r="Q59" i="126"/>
  <c r="Q60" i="126"/>
  <c r="Q61" i="126"/>
  <c r="Q62" i="126"/>
  <c r="Q63" i="126"/>
  <c r="Q64" i="126"/>
  <c r="Q65" i="126"/>
  <c r="Q66" i="126"/>
  <c r="Q67" i="126"/>
  <c r="Q68" i="126"/>
  <c r="Q69" i="126"/>
  <c r="Q70" i="126"/>
  <c r="Q71" i="126"/>
  <c r="Q72" i="126"/>
  <c r="Q73" i="126"/>
  <c r="Q74" i="126"/>
  <c r="Q75" i="126"/>
  <c r="Q76" i="126"/>
  <c r="Q77" i="126"/>
  <c r="Q29" i="127"/>
  <c r="Q30" i="127"/>
  <c r="Q31" i="127"/>
  <c r="Q32" i="127"/>
  <c r="Q33" i="127"/>
  <c r="Q34" i="127"/>
  <c r="Q35" i="127"/>
  <c r="Q36" i="127"/>
  <c r="Q37" i="127"/>
  <c r="Q38" i="127"/>
  <c r="Q39" i="127"/>
  <c r="Q40" i="127"/>
  <c r="Q41" i="127"/>
  <c r="Q42" i="127"/>
  <c r="Q43" i="127"/>
  <c r="Q44" i="127"/>
  <c r="Q45" i="127"/>
  <c r="Q46" i="127"/>
  <c r="Q47" i="127"/>
  <c r="Q48" i="127"/>
  <c r="Q49" i="127"/>
  <c r="Q50" i="127"/>
  <c r="Q51" i="127"/>
  <c r="Q52" i="127"/>
  <c r="Q53" i="127"/>
  <c r="Q54" i="127"/>
  <c r="Q55" i="127"/>
  <c r="Q56" i="127"/>
  <c r="Q57" i="127"/>
  <c r="Q58" i="127"/>
  <c r="Q59" i="127"/>
  <c r="Q60" i="127"/>
  <c r="Q61" i="127"/>
  <c r="Q62" i="127"/>
  <c r="Q63" i="127"/>
  <c r="Q64" i="127"/>
  <c r="Q65" i="127"/>
  <c r="Q66" i="127"/>
  <c r="Q67" i="127"/>
  <c r="Q68" i="127"/>
  <c r="Q69" i="127"/>
  <c r="Q70" i="127"/>
  <c r="Q71" i="127"/>
  <c r="Q72" i="127"/>
  <c r="Q73" i="127"/>
  <c r="Q74" i="127"/>
  <c r="Q75" i="127"/>
  <c r="Q76" i="127"/>
  <c r="Q77" i="127"/>
  <c r="Q29" i="128"/>
  <c r="Q30" i="128"/>
  <c r="Q31" i="128"/>
  <c r="Q32" i="128"/>
  <c r="Q33" i="128"/>
  <c r="Q34" i="128"/>
  <c r="Q35" i="128"/>
  <c r="Q36" i="128"/>
  <c r="Q37" i="128"/>
  <c r="Q38" i="128"/>
  <c r="Q39" i="128"/>
  <c r="Q40" i="128"/>
  <c r="Q41" i="128"/>
  <c r="Q42" i="128"/>
  <c r="Q43" i="128"/>
  <c r="Q44" i="128"/>
  <c r="Q45" i="128"/>
  <c r="Q46" i="128"/>
  <c r="Q47" i="128"/>
  <c r="Q48" i="128"/>
  <c r="Q49" i="128"/>
  <c r="Q50" i="128"/>
  <c r="Q51" i="128"/>
  <c r="Q52" i="128"/>
  <c r="Q53" i="128"/>
  <c r="Q54" i="128"/>
  <c r="Q55" i="128"/>
  <c r="Q56" i="128"/>
  <c r="Q57" i="128"/>
  <c r="Q58" i="128"/>
  <c r="Q59" i="128"/>
  <c r="Q60" i="128"/>
  <c r="Q61" i="128"/>
  <c r="Q62" i="128"/>
  <c r="Q63" i="128"/>
  <c r="Q64" i="128"/>
  <c r="Q65" i="128"/>
  <c r="Q66" i="128"/>
  <c r="Q67" i="128"/>
  <c r="Q68" i="128"/>
  <c r="Q69" i="128"/>
  <c r="Q70" i="128"/>
  <c r="Q71" i="128"/>
  <c r="Q72" i="128"/>
  <c r="Q73" i="128"/>
  <c r="Q74" i="128"/>
  <c r="Q75" i="128"/>
  <c r="Q76" i="128"/>
  <c r="Q77" i="128"/>
  <c r="Q29" i="129"/>
  <c r="Q30" i="129"/>
  <c r="Q31" i="129"/>
  <c r="Q32" i="129"/>
  <c r="Q33" i="129"/>
  <c r="Q34" i="129"/>
  <c r="Q35" i="129"/>
  <c r="Q36" i="129"/>
  <c r="Q37" i="129"/>
  <c r="Q38" i="129"/>
  <c r="Q39" i="129"/>
  <c r="Q40" i="129"/>
  <c r="Q41" i="129"/>
  <c r="Q42" i="129"/>
  <c r="Q43" i="129"/>
  <c r="Q44" i="129"/>
  <c r="Q45" i="129"/>
  <c r="Q46" i="129"/>
  <c r="Q47" i="129"/>
  <c r="Q48" i="129"/>
  <c r="Q49" i="129"/>
  <c r="Q50" i="129"/>
  <c r="Q51" i="129"/>
  <c r="Q52" i="129"/>
  <c r="Q53" i="129"/>
  <c r="Q54" i="129"/>
  <c r="Q55" i="129"/>
  <c r="Q56" i="129"/>
  <c r="Q57" i="129"/>
  <c r="Q58" i="129"/>
  <c r="Q59" i="129"/>
  <c r="Q60" i="129"/>
  <c r="Q61" i="129"/>
  <c r="Q62" i="129"/>
  <c r="Q63" i="129"/>
  <c r="Q64" i="129"/>
  <c r="Q65" i="129"/>
  <c r="Q66" i="129"/>
  <c r="Q67" i="129"/>
  <c r="Q68" i="129"/>
  <c r="Q69" i="129"/>
  <c r="Q70" i="129"/>
  <c r="Q71" i="129"/>
  <c r="Q72" i="129"/>
  <c r="Q73" i="129"/>
  <c r="Q74" i="129"/>
  <c r="Q75" i="129"/>
  <c r="Q76" i="129"/>
  <c r="Q77" i="129"/>
  <c r="Q29" i="130"/>
  <c r="Q30" i="130"/>
  <c r="Q31" i="130"/>
  <c r="Q32" i="130"/>
  <c r="Q33" i="130"/>
  <c r="Q34" i="130"/>
  <c r="Q35" i="130"/>
  <c r="Q36" i="130"/>
  <c r="Q37" i="130"/>
  <c r="Q38" i="130"/>
  <c r="Q39" i="130"/>
  <c r="Q40" i="130"/>
  <c r="Q41" i="130"/>
  <c r="Q42" i="130"/>
  <c r="Q43" i="130"/>
  <c r="Q44" i="130"/>
  <c r="Q45" i="130"/>
  <c r="Q46" i="130"/>
  <c r="Q47" i="130"/>
  <c r="Q48" i="130"/>
  <c r="Q49" i="130"/>
  <c r="Q50" i="130"/>
  <c r="Q51" i="130"/>
  <c r="Q52" i="130"/>
  <c r="Q53" i="130"/>
  <c r="Q54" i="130"/>
  <c r="Q55" i="130"/>
  <c r="Q56" i="130"/>
  <c r="Q57" i="130"/>
  <c r="Q58" i="130"/>
  <c r="Q59" i="130"/>
  <c r="Q60" i="130"/>
  <c r="Q61" i="130"/>
  <c r="Q62" i="130"/>
  <c r="Q63" i="130"/>
  <c r="Q64" i="130"/>
  <c r="Q65" i="130"/>
  <c r="Q66" i="130"/>
  <c r="Q67" i="130"/>
  <c r="Q68" i="130"/>
  <c r="Q69" i="130"/>
  <c r="Q70" i="130"/>
  <c r="Q71" i="130"/>
  <c r="Q72" i="130"/>
  <c r="Q73" i="130"/>
  <c r="Q74" i="130"/>
  <c r="Q75" i="130"/>
  <c r="Q76" i="130"/>
  <c r="Q77" i="130"/>
  <c r="Q29" i="131"/>
  <c r="Q30" i="131"/>
  <c r="Q31" i="131"/>
  <c r="Q32" i="131"/>
  <c r="Q33" i="131"/>
  <c r="Q34" i="131"/>
  <c r="Q35" i="131"/>
  <c r="Q36" i="131"/>
  <c r="Q37" i="131"/>
  <c r="Q38" i="131"/>
  <c r="Q39" i="131"/>
  <c r="Q40" i="131"/>
  <c r="Q41" i="131"/>
  <c r="Q42" i="131"/>
  <c r="Q43" i="131"/>
  <c r="Q44" i="131"/>
  <c r="Q45" i="131"/>
  <c r="Q46" i="131"/>
  <c r="Q47" i="131"/>
  <c r="Q48" i="131"/>
  <c r="Q49" i="131"/>
  <c r="Q50" i="131"/>
  <c r="Q51" i="131"/>
  <c r="Q52" i="131"/>
  <c r="Q53" i="131"/>
  <c r="Q54" i="131"/>
  <c r="Q55" i="131"/>
  <c r="Q56" i="131"/>
  <c r="Q57" i="131"/>
  <c r="Q58" i="131"/>
  <c r="Q59" i="131"/>
  <c r="Q60" i="131"/>
  <c r="Q61" i="131"/>
  <c r="Q62" i="131"/>
  <c r="Q63" i="131"/>
  <c r="Q64" i="131"/>
  <c r="Q65" i="131"/>
  <c r="Q66" i="131"/>
  <c r="Q67" i="131"/>
  <c r="Q68" i="131"/>
  <c r="Q69" i="131"/>
  <c r="Q70" i="131"/>
  <c r="Q71" i="131"/>
  <c r="Q72" i="131"/>
  <c r="Q73" i="131"/>
  <c r="Q74" i="131"/>
  <c r="Q75" i="131"/>
  <c r="Q76" i="131"/>
  <c r="Q77" i="131"/>
  <c r="Q29" i="132"/>
  <c r="Q30" i="132"/>
  <c r="Q31" i="132"/>
  <c r="Q32" i="132"/>
  <c r="Q33" i="132"/>
  <c r="Q34" i="132"/>
  <c r="Q35" i="132"/>
  <c r="Q36" i="132"/>
  <c r="Q37" i="132"/>
  <c r="Q38" i="132"/>
  <c r="Q39" i="132"/>
  <c r="Q40" i="132"/>
  <c r="Q41" i="132"/>
  <c r="Q42" i="132"/>
  <c r="Q43" i="132"/>
  <c r="Q44" i="132"/>
  <c r="Q45" i="132"/>
  <c r="Q46" i="132"/>
  <c r="Q47" i="132"/>
  <c r="Q48" i="132"/>
  <c r="Q49" i="132"/>
  <c r="Q50" i="132"/>
  <c r="Q51" i="132"/>
  <c r="Q52" i="132"/>
  <c r="Q53" i="132"/>
  <c r="Q54" i="132"/>
  <c r="Q55" i="132"/>
  <c r="Q56" i="132"/>
  <c r="Q57" i="132"/>
  <c r="Q58" i="132"/>
  <c r="Q59" i="132"/>
  <c r="Q60" i="132"/>
  <c r="Q61" i="132"/>
  <c r="Q62" i="132"/>
  <c r="Q63" i="132"/>
  <c r="Q64" i="132"/>
  <c r="Q65" i="132"/>
  <c r="Q66" i="132"/>
  <c r="Q67" i="132"/>
  <c r="Q68" i="132"/>
  <c r="Q69" i="132"/>
  <c r="Q70" i="132"/>
  <c r="Q71" i="132"/>
  <c r="Q72" i="132"/>
  <c r="Q73" i="132"/>
  <c r="Q74" i="132"/>
  <c r="Q75" i="132"/>
  <c r="Q76" i="132"/>
  <c r="Q77" i="132"/>
  <c r="Q29" i="133"/>
  <c r="Q30" i="133"/>
  <c r="Q31" i="133"/>
  <c r="Q32" i="133"/>
  <c r="Q33" i="133"/>
  <c r="Q34" i="133"/>
  <c r="Q35" i="133"/>
  <c r="Q36" i="133"/>
  <c r="Q37" i="133"/>
  <c r="Q38" i="133"/>
  <c r="Q39" i="133"/>
  <c r="Q40" i="133"/>
  <c r="Q41" i="133"/>
  <c r="Q42" i="133"/>
  <c r="Q43" i="133"/>
  <c r="Q44" i="133"/>
  <c r="Q45" i="133"/>
  <c r="Q46" i="133"/>
  <c r="Q47" i="133"/>
  <c r="Q48" i="133"/>
  <c r="Q49" i="133"/>
  <c r="Q50" i="133"/>
  <c r="Q51" i="133"/>
  <c r="Q52" i="133"/>
  <c r="Q53" i="133"/>
  <c r="Q54" i="133"/>
  <c r="Q55" i="133"/>
  <c r="Q56" i="133"/>
  <c r="Q57" i="133"/>
  <c r="Q58" i="133"/>
  <c r="Q59" i="133"/>
  <c r="Q60" i="133"/>
  <c r="Q61" i="133"/>
  <c r="Q62" i="133"/>
  <c r="Q63" i="133"/>
  <c r="Q64" i="133"/>
  <c r="Q65" i="133"/>
  <c r="Q66" i="133"/>
  <c r="Q67" i="133"/>
  <c r="Q68" i="133"/>
  <c r="Q69" i="133"/>
  <c r="Q70" i="133"/>
  <c r="Q71" i="133"/>
  <c r="Q72" i="133"/>
  <c r="Q73" i="133"/>
  <c r="Q74" i="133"/>
  <c r="Q75" i="133"/>
  <c r="Q76" i="133"/>
  <c r="Q77" i="133"/>
  <c r="Q29" i="134"/>
  <c r="Q30" i="134"/>
  <c r="Q31" i="134"/>
  <c r="Q32" i="134"/>
  <c r="Q33" i="134"/>
  <c r="Q34" i="134"/>
  <c r="Q35" i="134"/>
  <c r="Q36" i="134"/>
  <c r="Q37" i="134"/>
  <c r="Q38" i="134"/>
  <c r="Q39" i="134"/>
  <c r="Q40" i="134"/>
  <c r="Q41" i="134"/>
  <c r="Q42" i="134"/>
  <c r="Q43" i="134"/>
  <c r="Q44" i="134"/>
  <c r="Q45" i="134"/>
  <c r="Q46" i="134"/>
  <c r="Q47" i="134"/>
  <c r="Q48" i="134"/>
  <c r="Q49" i="134"/>
  <c r="Q50" i="134"/>
  <c r="Q51" i="134"/>
  <c r="Q52" i="134"/>
  <c r="Q53" i="134"/>
  <c r="Q54" i="134"/>
  <c r="Q55" i="134"/>
  <c r="Q56" i="134"/>
  <c r="Q57" i="134"/>
  <c r="Q58" i="134"/>
  <c r="Q59" i="134"/>
  <c r="Q60" i="134"/>
  <c r="Q61" i="134"/>
  <c r="Q62" i="134"/>
  <c r="Q63" i="134"/>
  <c r="Q64" i="134"/>
  <c r="Q65" i="134"/>
  <c r="Q66" i="134"/>
  <c r="Q67" i="134"/>
  <c r="Q68" i="134"/>
  <c r="Q69" i="134"/>
  <c r="Q70" i="134"/>
  <c r="Q71" i="134"/>
  <c r="Q72" i="134"/>
  <c r="Q73" i="134"/>
  <c r="Q74" i="134"/>
  <c r="Q75" i="134"/>
  <c r="Q76" i="134"/>
  <c r="Q77" i="134"/>
  <c r="Q29" i="135"/>
  <c r="Q30" i="135"/>
  <c r="Q31" i="135"/>
  <c r="Q32" i="135"/>
  <c r="Q33" i="135"/>
  <c r="Q34" i="135"/>
  <c r="Q35" i="135"/>
  <c r="Q36" i="135"/>
  <c r="Q37" i="135"/>
  <c r="Q38" i="135"/>
  <c r="Q39" i="135"/>
  <c r="Q40" i="135"/>
  <c r="Q41" i="135"/>
  <c r="Q42" i="135"/>
  <c r="Q43" i="135"/>
  <c r="Q44" i="135"/>
  <c r="Q45" i="135"/>
  <c r="Q46" i="135"/>
  <c r="Q47" i="135"/>
  <c r="Q48" i="135"/>
  <c r="Q49" i="135"/>
  <c r="Q50" i="135"/>
  <c r="Q51" i="135"/>
  <c r="Q52" i="135"/>
  <c r="Q53" i="135"/>
  <c r="Q54" i="135"/>
  <c r="Q55" i="135"/>
  <c r="Q56" i="135"/>
  <c r="Q57" i="135"/>
  <c r="Q58" i="135"/>
  <c r="Q59" i="135"/>
  <c r="Q60" i="135"/>
  <c r="Q61" i="135"/>
  <c r="Q62" i="135"/>
  <c r="Q63" i="135"/>
  <c r="Q64" i="135"/>
  <c r="Q65" i="135"/>
  <c r="Q66" i="135"/>
  <c r="Q67" i="135"/>
  <c r="Q68" i="135"/>
  <c r="Q69" i="135"/>
  <c r="Q70" i="135"/>
  <c r="Q71" i="135"/>
  <c r="Q72" i="135"/>
  <c r="Q73" i="135"/>
  <c r="Q74" i="135"/>
  <c r="Q75" i="135"/>
  <c r="Q76" i="135"/>
  <c r="Q77" i="135"/>
  <c r="Q29" i="136"/>
  <c r="Q30" i="136"/>
  <c r="Q31" i="136"/>
  <c r="Q32" i="136"/>
  <c r="Q33" i="136"/>
  <c r="Q34" i="136"/>
  <c r="Q35" i="136"/>
  <c r="Q36" i="136"/>
  <c r="Q37" i="136"/>
  <c r="Q38" i="136"/>
  <c r="Q39" i="136"/>
  <c r="Q40" i="136"/>
  <c r="Q41" i="136"/>
  <c r="Q42" i="136"/>
  <c r="Q43" i="136"/>
  <c r="Q44" i="136"/>
  <c r="Q45" i="136"/>
  <c r="Q46" i="136"/>
  <c r="Q47" i="136"/>
  <c r="Q48" i="136"/>
  <c r="Q49" i="136"/>
  <c r="Q50" i="136"/>
  <c r="Q51" i="136"/>
  <c r="Q52" i="136"/>
  <c r="Q53" i="136"/>
  <c r="Q54" i="136"/>
  <c r="Q55" i="136"/>
  <c r="Q56" i="136"/>
  <c r="Q57" i="136"/>
  <c r="Q58" i="136"/>
  <c r="Q59" i="136"/>
  <c r="Q60" i="136"/>
  <c r="Q61" i="136"/>
  <c r="Q62" i="136"/>
  <c r="Q63" i="136"/>
  <c r="Q64" i="136"/>
  <c r="Q65" i="136"/>
  <c r="Q66" i="136"/>
  <c r="Q67" i="136"/>
  <c r="Q68" i="136"/>
  <c r="Q69" i="136"/>
  <c r="Q70" i="136"/>
  <c r="Q71" i="136"/>
  <c r="Q72" i="136"/>
  <c r="Q73" i="136"/>
  <c r="Q74" i="136"/>
  <c r="Q75" i="136"/>
  <c r="Q76" i="136"/>
  <c r="Q77" i="136"/>
  <c r="Q29" i="137"/>
  <c r="Q30" i="137"/>
  <c r="Q31" i="137"/>
  <c r="Q32" i="137"/>
  <c r="Q33" i="137"/>
  <c r="Q34" i="137"/>
  <c r="Q35" i="137"/>
  <c r="Q36" i="137"/>
  <c r="Q37" i="137"/>
  <c r="Q38" i="137"/>
  <c r="Q39" i="137"/>
  <c r="Q40" i="137"/>
  <c r="Q41" i="137"/>
  <c r="Q42" i="137"/>
  <c r="Q43" i="137"/>
  <c r="Q44" i="137"/>
  <c r="Q45" i="137"/>
  <c r="Q46" i="137"/>
  <c r="Q47" i="137"/>
  <c r="Q48" i="137"/>
  <c r="Q49" i="137"/>
  <c r="Q50" i="137"/>
  <c r="Q51" i="137"/>
  <c r="Q52" i="137"/>
  <c r="Q53" i="137"/>
  <c r="Q54" i="137"/>
  <c r="Q55" i="137"/>
  <c r="Q56" i="137"/>
  <c r="Q57" i="137"/>
  <c r="Q58" i="137"/>
  <c r="Q59" i="137"/>
  <c r="Q60" i="137"/>
  <c r="Q61" i="137"/>
  <c r="Q62" i="137"/>
  <c r="Q63" i="137"/>
  <c r="Q64" i="137"/>
  <c r="Q65" i="137"/>
  <c r="Q66" i="137"/>
  <c r="Q67" i="137"/>
  <c r="Q68" i="137"/>
  <c r="Q69" i="137"/>
  <c r="Q70" i="137"/>
  <c r="Q71" i="137"/>
  <c r="Q72" i="137"/>
  <c r="Q73" i="137"/>
  <c r="Q74" i="137"/>
  <c r="Q75" i="137"/>
  <c r="Q76" i="137"/>
  <c r="Q77" i="137"/>
  <c r="Q29" i="138"/>
  <c r="Q30" i="138"/>
  <c r="Q31" i="138"/>
  <c r="Q32" i="138"/>
  <c r="Q33" i="138"/>
  <c r="Q34" i="138"/>
  <c r="Q35" i="138"/>
  <c r="Q36" i="138"/>
  <c r="Q37" i="138"/>
  <c r="Q38" i="138"/>
  <c r="Q39" i="138"/>
  <c r="Q40" i="138"/>
  <c r="Q41" i="138"/>
  <c r="Q42" i="138"/>
  <c r="Q43" i="138"/>
  <c r="Q44" i="138"/>
  <c r="Q45" i="138"/>
  <c r="Q46" i="138"/>
  <c r="Q47" i="138"/>
  <c r="Q48" i="138"/>
  <c r="Q49" i="138"/>
  <c r="Q50" i="138"/>
  <c r="Q51" i="138"/>
  <c r="Q52" i="138"/>
  <c r="Q53" i="138"/>
  <c r="Q54" i="138"/>
  <c r="Q55" i="138"/>
  <c r="Q56" i="138"/>
  <c r="Q57" i="138"/>
  <c r="Q58" i="138"/>
  <c r="Q59" i="138"/>
  <c r="Q60" i="138"/>
  <c r="Q61" i="138"/>
  <c r="Q62" i="138"/>
  <c r="Q63" i="138"/>
  <c r="Q64" i="138"/>
  <c r="Q65" i="138"/>
  <c r="Q66" i="138"/>
  <c r="Q67" i="138"/>
  <c r="Q68" i="138"/>
  <c r="Q69" i="138"/>
  <c r="Q70" i="138"/>
  <c r="Q71" i="138"/>
  <c r="Q72" i="138"/>
  <c r="Q73" i="138"/>
  <c r="Q74" i="138"/>
  <c r="Q75" i="138"/>
  <c r="Q76" i="138"/>
  <c r="Q77" i="138"/>
  <c r="Q29" i="139"/>
  <c r="Q30" i="139"/>
  <c r="Q31" i="139"/>
  <c r="Q32" i="139"/>
  <c r="Q33" i="139"/>
  <c r="Q34" i="139"/>
  <c r="Q35" i="139"/>
  <c r="Q36" i="139"/>
  <c r="Q37" i="139"/>
  <c r="Q38" i="139"/>
  <c r="Q39" i="139"/>
  <c r="Q40" i="139"/>
  <c r="Q41" i="139"/>
  <c r="Q42" i="139"/>
  <c r="Q43" i="139"/>
  <c r="Q44" i="139"/>
  <c r="Q45" i="139"/>
  <c r="Q46" i="139"/>
  <c r="Q47" i="139"/>
  <c r="Q48" i="139"/>
  <c r="Q49" i="139"/>
  <c r="Q50" i="139"/>
  <c r="Q51" i="139"/>
  <c r="Q52" i="139"/>
  <c r="Q53" i="139"/>
  <c r="Q54" i="139"/>
  <c r="Q55" i="139"/>
  <c r="Q56" i="139"/>
  <c r="Q57" i="139"/>
  <c r="Q58" i="139"/>
  <c r="Q59" i="139"/>
  <c r="Q60" i="139"/>
  <c r="Q61" i="139"/>
  <c r="Q62" i="139"/>
  <c r="Q63" i="139"/>
  <c r="Q64" i="139"/>
  <c r="Q65" i="139"/>
  <c r="Q66" i="139"/>
  <c r="Q67" i="139"/>
  <c r="Q68" i="139"/>
  <c r="Q69" i="139"/>
  <c r="Q70" i="139"/>
  <c r="Q71" i="139"/>
  <c r="Q72" i="139"/>
  <c r="Q73" i="139"/>
  <c r="Q74" i="139"/>
  <c r="Q75" i="139"/>
  <c r="Q76" i="139"/>
  <c r="Q77" i="139"/>
  <c r="Q29" i="140"/>
  <c r="Q30" i="140"/>
  <c r="Q31" i="140"/>
  <c r="Q32" i="140"/>
  <c r="Q33" i="140"/>
  <c r="Q34" i="140"/>
  <c r="Q35" i="140"/>
  <c r="Q36" i="140"/>
  <c r="Q37" i="140"/>
  <c r="Q38" i="140"/>
  <c r="Q39" i="140"/>
  <c r="Q40" i="140"/>
  <c r="Q41" i="140"/>
  <c r="Q42" i="140"/>
  <c r="Q43" i="140"/>
  <c r="Q44" i="140"/>
  <c r="Q45" i="140"/>
  <c r="Q46" i="140"/>
  <c r="Q47" i="140"/>
  <c r="Q48" i="140"/>
  <c r="Q49" i="140"/>
  <c r="Q50" i="140"/>
  <c r="Q51" i="140"/>
  <c r="Q52" i="140"/>
  <c r="Q53" i="140"/>
  <c r="Q54" i="140"/>
  <c r="Q55" i="140"/>
  <c r="Q56" i="140"/>
  <c r="Q57" i="140"/>
  <c r="Q58" i="140"/>
  <c r="Q59" i="140"/>
  <c r="Q60" i="140"/>
  <c r="Q61" i="140"/>
  <c r="Q62" i="140"/>
  <c r="Q63" i="140"/>
  <c r="Q64" i="140"/>
  <c r="Q65" i="140"/>
  <c r="Q66" i="140"/>
  <c r="Q67" i="140"/>
  <c r="Q68" i="140"/>
  <c r="Q69" i="140"/>
  <c r="Q70" i="140"/>
  <c r="Q71" i="140"/>
  <c r="Q72" i="140"/>
  <c r="Q73" i="140"/>
  <c r="Q74" i="140"/>
  <c r="Q75" i="140"/>
  <c r="Q76" i="140"/>
  <c r="Q77" i="140"/>
  <c r="Q29" i="141"/>
  <c r="Q30" i="141"/>
  <c r="Q31" i="141"/>
  <c r="Q32" i="141"/>
  <c r="Q33" i="141"/>
  <c r="Q34" i="141"/>
  <c r="Q35" i="141"/>
  <c r="Q36" i="141"/>
  <c r="Q37" i="141"/>
  <c r="Q38" i="141"/>
  <c r="Q39" i="141"/>
  <c r="Q40" i="141"/>
  <c r="Q41" i="141"/>
  <c r="Q42" i="141"/>
  <c r="Q43" i="141"/>
  <c r="Q44" i="141"/>
  <c r="Q45" i="141"/>
  <c r="Q46" i="141"/>
  <c r="Q47" i="141"/>
  <c r="Q48" i="141"/>
  <c r="Q49" i="141"/>
  <c r="Q50" i="141"/>
  <c r="Q51" i="141"/>
  <c r="Q52" i="141"/>
  <c r="Q53" i="141"/>
  <c r="Q54" i="141"/>
  <c r="Q55" i="141"/>
  <c r="Q56" i="141"/>
  <c r="Q57" i="141"/>
  <c r="Q58" i="141"/>
  <c r="Q59" i="141"/>
  <c r="Q60" i="141"/>
  <c r="Q61" i="141"/>
  <c r="Q62" i="141"/>
  <c r="Q63" i="141"/>
  <c r="Q64" i="141"/>
  <c r="Q65" i="141"/>
  <c r="Q66" i="141"/>
  <c r="Q67" i="141"/>
  <c r="Q68" i="141"/>
  <c r="Q69" i="141"/>
  <c r="Q70" i="141"/>
  <c r="Q71" i="141"/>
  <c r="Q72" i="141"/>
  <c r="Q73" i="141"/>
  <c r="Q74" i="141"/>
  <c r="Q75" i="141"/>
  <c r="Q76" i="141"/>
  <c r="Q77" i="141"/>
  <c r="Q29" i="142"/>
  <c r="Q30" i="142"/>
  <c r="Q31" i="142"/>
  <c r="Q32" i="142"/>
  <c r="Q33" i="142"/>
  <c r="Q34" i="142"/>
  <c r="Q35" i="142"/>
  <c r="Q36" i="142"/>
  <c r="Q37" i="142"/>
  <c r="Q38" i="142"/>
  <c r="Q39" i="142"/>
  <c r="Q40" i="142"/>
  <c r="Q41" i="142"/>
  <c r="Q42" i="142"/>
  <c r="Q43" i="142"/>
  <c r="Q44" i="142"/>
  <c r="Q45" i="142"/>
  <c r="Q46" i="142"/>
  <c r="Q47" i="142"/>
  <c r="Q48" i="142"/>
  <c r="Q49" i="142"/>
  <c r="Q50" i="142"/>
  <c r="Q51" i="142"/>
  <c r="Q52" i="142"/>
  <c r="Q53" i="142"/>
  <c r="Q54" i="142"/>
  <c r="Q55" i="142"/>
  <c r="Q56" i="142"/>
  <c r="Q57" i="142"/>
  <c r="Q58" i="142"/>
  <c r="Q59" i="142"/>
  <c r="Q60" i="142"/>
  <c r="Q61" i="142"/>
  <c r="Q62" i="142"/>
  <c r="Q63" i="142"/>
  <c r="Q64" i="142"/>
  <c r="Q65" i="142"/>
  <c r="Q66" i="142"/>
  <c r="Q67" i="142"/>
  <c r="Q68" i="142"/>
  <c r="Q69" i="142"/>
  <c r="Q70" i="142"/>
  <c r="Q71" i="142"/>
  <c r="Q72" i="142"/>
  <c r="Q73" i="142"/>
  <c r="Q74" i="142"/>
  <c r="Q75" i="142"/>
  <c r="Q76" i="142"/>
  <c r="Q77" i="142"/>
  <c r="Q29" i="143"/>
  <c r="Q30" i="143"/>
  <c r="Q31" i="143"/>
  <c r="Q32" i="143"/>
  <c r="Q33" i="143"/>
  <c r="Q34" i="143"/>
  <c r="Q35" i="143"/>
  <c r="Q36" i="143"/>
  <c r="Q37" i="143"/>
  <c r="Q38" i="143"/>
  <c r="Q39" i="143"/>
  <c r="Q40" i="143"/>
  <c r="Q41" i="143"/>
  <c r="Q42" i="143"/>
  <c r="Q43" i="143"/>
  <c r="Q44" i="143"/>
  <c r="Q45" i="143"/>
  <c r="Q46" i="143"/>
  <c r="Q47" i="143"/>
  <c r="Q48" i="143"/>
  <c r="Q49" i="143"/>
  <c r="Q50" i="143"/>
  <c r="Q51" i="143"/>
  <c r="Q52" i="143"/>
  <c r="Q53" i="143"/>
  <c r="Q54" i="143"/>
  <c r="Q55" i="143"/>
  <c r="Q56" i="143"/>
  <c r="Q57" i="143"/>
  <c r="Q58" i="143"/>
  <c r="Q59" i="143"/>
  <c r="Q60" i="143"/>
  <c r="Q61" i="143"/>
  <c r="Q62" i="143"/>
  <c r="Q63" i="143"/>
  <c r="Q64" i="143"/>
  <c r="Q65" i="143"/>
  <c r="Q66" i="143"/>
  <c r="Q67" i="143"/>
  <c r="Q68" i="143"/>
  <c r="Q69" i="143"/>
  <c r="Q70" i="143"/>
  <c r="Q71" i="143"/>
  <c r="Q72" i="143"/>
  <c r="Q73" i="143"/>
  <c r="Q74" i="143"/>
  <c r="Q75" i="143"/>
  <c r="Q76" i="143"/>
  <c r="Q77" i="143"/>
  <c r="Q29" i="144"/>
  <c r="Q30" i="144"/>
  <c r="Q31" i="144"/>
  <c r="Q32" i="144"/>
  <c r="Q33" i="144"/>
  <c r="Q34" i="144"/>
  <c r="Q35" i="144"/>
  <c r="Q36" i="144"/>
  <c r="Q37" i="144"/>
  <c r="Q38" i="144"/>
  <c r="Q39" i="144"/>
  <c r="Q40" i="144"/>
  <c r="Q41" i="144"/>
  <c r="Q42" i="144"/>
  <c r="Q43" i="144"/>
  <c r="Q44" i="144"/>
  <c r="Q45" i="144"/>
  <c r="Q46" i="144"/>
  <c r="Q47" i="144"/>
  <c r="Q48" i="144"/>
  <c r="Q49" i="144"/>
  <c r="Q50" i="144"/>
  <c r="Q51" i="144"/>
  <c r="Q52" i="144"/>
  <c r="Q53" i="144"/>
  <c r="Q54" i="144"/>
  <c r="Q55" i="144"/>
  <c r="Q56" i="144"/>
  <c r="Q57" i="144"/>
  <c r="Q58" i="144"/>
  <c r="Q59" i="144"/>
  <c r="Q60" i="144"/>
  <c r="Q61" i="144"/>
  <c r="Q62" i="144"/>
  <c r="Q63" i="144"/>
  <c r="Q64" i="144"/>
  <c r="Q65" i="144"/>
  <c r="Q66" i="144"/>
  <c r="Q67" i="144"/>
  <c r="Q68" i="144"/>
  <c r="Q69" i="144"/>
  <c r="Q70" i="144"/>
  <c r="Q71" i="144"/>
  <c r="Q72" i="144"/>
  <c r="Q73" i="144"/>
  <c r="Q74" i="144"/>
  <c r="Q75" i="144"/>
  <c r="Q76" i="144"/>
  <c r="Q77" i="144"/>
  <c r="Q29" i="145"/>
  <c r="Q30" i="145"/>
  <c r="Q31" i="145"/>
  <c r="Q32" i="145"/>
  <c r="Q33" i="145"/>
  <c r="Q34" i="145"/>
  <c r="Q35" i="145"/>
  <c r="Q36" i="145"/>
  <c r="Q37" i="145"/>
  <c r="Q38" i="145"/>
  <c r="Q39" i="145"/>
  <c r="Q40" i="145"/>
  <c r="Q41" i="145"/>
  <c r="Q42" i="145"/>
  <c r="Q43" i="145"/>
  <c r="Q44" i="145"/>
  <c r="Q45" i="145"/>
  <c r="Q46" i="145"/>
  <c r="Q47" i="145"/>
  <c r="Q48" i="145"/>
  <c r="Q49" i="145"/>
  <c r="Q50" i="145"/>
  <c r="Q51" i="145"/>
  <c r="Q52" i="145"/>
  <c r="Q53" i="145"/>
  <c r="Q54" i="145"/>
  <c r="Q55" i="145"/>
  <c r="Q56" i="145"/>
  <c r="Q57" i="145"/>
  <c r="Q58" i="145"/>
  <c r="Q59" i="145"/>
  <c r="Q60" i="145"/>
  <c r="Q61" i="145"/>
  <c r="Q62" i="145"/>
  <c r="Q63" i="145"/>
  <c r="Q64" i="145"/>
  <c r="Q65" i="145"/>
  <c r="Q66" i="145"/>
  <c r="Q67" i="145"/>
  <c r="Q68" i="145"/>
  <c r="Q69" i="145"/>
  <c r="Q70" i="145"/>
  <c r="Q71" i="145"/>
  <c r="Q72" i="145"/>
  <c r="Q73" i="145"/>
  <c r="Q74" i="145"/>
  <c r="Q75" i="145"/>
  <c r="Q76" i="145"/>
  <c r="Q77" i="145"/>
  <c r="Q29" i="152"/>
  <c r="Q30" i="152"/>
  <c r="Q31" i="152"/>
  <c r="Q32" i="152"/>
  <c r="Q33" i="152"/>
  <c r="Q34" i="152"/>
  <c r="Q35" i="152"/>
  <c r="Q36" i="152"/>
  <c r="Q37" i="152"/>
  <c r="Q38" i="152"/>
  <c r="Q39" i="152"/>
  <c r="Q40" i="152"/>
  <c r="Q41" i="152"/>
  <c r="Q42" i="152"/>
  <c r="Q43" i="152"/>
  <c r="Q44" i="152"/>
  <c r="Q45" i="152"/>
  <c r="Q46" i="152"/>
  <c r="Q47" i="152"/>
  <c r="Q48" i="152"/>
  <c r="Q49" i="152"/>
  <c r="Q50" i="152"/>
  <c r="Q51" i="152"/>
  <c r="Q52" i="152"/>
  <c r="Q53" i="152"/>
  <c r="Q54" i="152"/>
  <c r="Q55" i="152"/>
  <c r="Q56" i="152"/>
  <c r="Q57" i="152"/>
  <c r="Q58" i="152"/>
  <c r="Q59" i="152"/>
  <c r="Q60" i="152"/>
  <c r="Q61" i="152"/>
  <c r="Q62" i="152"/>
  <c r="Q63" i="152"/>
  <c r="Q64" i="152"/>
  <c r="Q65" i="152"/>
  <c r="Q66" i="152"/>
  <c r="Q67" i="152"/>
  <c r="Q68" i="152"/>
  <c r="Q69" i="152"/>
  <c r="Q70" i="152"/>
  <c r="Q71" i="152"/>
  <c r="Q72" i="152"/>
  <c r="Q73" i="152"/>
  <c r="Q74" i="152"/>
  <c r="Q75" i="152"/>
  <c r="Q76" i="152"/>
  <c r="Q77" i="152"/>
  <c r="Q29" i="22"/>
  <c r="Q30" i="22"/>
  <c r="Q31" i="22"/>
  <c r="Q32" i="22"/>
  <c r="Q33" i="22"/>
  <c r="Q34" i="22"/>
  <c r="Q35" i="22"/>
  <c r="Q36" i="22"/>
  <c r="Q37" i="22"/>
  <c r="Q38" i="22"/>
  <c r="Q39" i="22"/>
  <c r="Q40" i="22"/>
  <c r="Q41" i="22"/>
  <c r="Q42" i="22"/>
  <c r="Q43" i="22"/>
  <c r="Q44" i="22"/>
  <c r="Q45" i="22"/>
  <c r="Q46" i="22"/>
  <c r="Q47" i="22"/>
  <c r="Q48" i="22"/>
  <c r="Q49" i="22"/>
  <c r="Q50" i="22"/>
  <c r="Q51" i="22"/>
  <c r="Q52" i="22"/>
  <c r="Q53" i="22"/>
  <c r="Q54" i="22"/>
  <c r="Q55" i="22"/>
  <c r="Q56" i="22"/>
  <c r="Q57" i="22"/>
  <c r="Q58" i="22"/>
  <c r="Q59" i="22"/>
  <c r="Q60" i="22"/>
  <c r="Q61" i="22"/>
  <c r="Q62" i="22"/>
  <c r="Q63" i="22"/>
  <c r="Q64" i="22"/>
  <c r="Q65" i="22"/>
  <c r="Q66" i="22"/>
  <c r="Q67" i="22"/>
  <c r="Q68" i="22"/>
  <c r="Q69" i="22"/>
  <c r="Q70" i="22"/>
  <c r="Q71" i="22"/>
  <c r="Q72" i="22"/>
  <c r="Q73" i="22"/>
  <c r="Q74" i="22"/>
  <c r="Q75" i="22"/>
  <c r="Q76" i="22"/>
  <c r="Q77" i="22"/>
  <c r="Q28" i="88"/>
  <c r="Q28" i="89"/>
  <c r="Q28" i="90"/>
  <c r="Q28" i="91"/>
  <c r="Q28" i="92"/>
  <c r="Q28" i="93"/>
  <c r="Q28" i="94"/>
  <c r="Q28" i="95"/>
  <c r="Q28" i="96"/>
  <c r="Q28" i="97"/>
  <c r="Q28" i="98"/>
  <c r="Q28" i="99"/>
  <c r="Q28" i="100"/>
  <c r="Q28" i="101"/>
  <c r="L28" i="101" s="1"/>
  <c r="Q28" i="102"/>
  <c r="L28" i="102" s="1"/>
  <c r="Q28" i="103"/>
  <c r="Q28" i="104"/>
  <c r="Q28" i="105"/>
  <c r="Q28" i="106"/>
  <c r="Q28" i="107"/>
  <c r="Q28" i="108"/>
  <c r="Q28" i="109"/>
  <c r="Q28" i="110"/>
  <c r="L28" i="110" s="1"/>
  <c r="Q28" i="111"/>
  <c r="Q28" i="112"/>
  <c r="Q28" i="113"/>
  <c r="Q28" i="114"/>
  <c r="Q28" i="115"/>
  <c r="Q28" i="116"/>
  <c r="Q28" i="117"/>
  <c r="L28" i="117" s="1"/>
  <c r="Q28" i="118"/>
  <c r="L28" i="118" s="1"/>
  <c r="Q28" i="119"/>
  <c r="Q28" i="120"/>
  <c r="Q28" i="121"/>
  <c r="Q28" i="122"/>
  <c r="Q28" i="123"/>
  <c r="Q28" i="124"/>
  <c r="Q28" i="125"/>
  <c r="Q28" i="126"/>
  <c r="Q28" i="127"/>
  <c r="Q28" i="128"/>
  <c r="Q28" i="129"/>
  <c r="Q28" i="130"/>
  <c r="Q28" i="131"/>
  <c r="Q28" i="132"/>
  <c r="Q28" i="133"/>
  <c r="L28" i="133" s="1"/>
  <c r="Q28" i="134"/>
  <c r="Q28" i="135"/>
  <c r="Q28" i="136"/>
  <c r="Q28" i="137"/>
  <c r="Q28" i="138"/>
  <c r="Q28" i="139"/>
  <c r="Q28" i="140"/>
  <c r="Q28" i="141"/>
  <c r="Q28" i="142"/>
  <c r="Q28" i="143"/>
  <c r="Q28" i="144"/>
  <c r="Q28" i="145"/>
  <c r="Q28" i="152"/>
  <c r="Q28" i="22"/>
  <c r="L28" i="88"/>
  <c r="L28" i="90"/>
  <c r="L28" i="92"/>
  <c r="L28" i="93"/>
  <c r="L28" i="94"/>
  <c r="L28" i="95"/>
  <c r="L28" i="96"/>
  <c r="L28" i="97"/>
  <c r="L28" i="98"/>
  <c r="L28" i="99"/>
  <c r="L28" i="100"/>
  <c r="L28" i="103"/>
  <c r="L28" i="104"/>
  <c r="L28" i="105"/>
  <c r="L28" i="106"/>
  <c r="L28" i="107"/>
  <c r="L28" i="108"/>
  <c r="L28" i="109"/>
  <c r="L28" i="111"/>
  <c r="L28" i="112"/>
  <c r="L28" i="114"/>
  <c r="L28" i="115"/>
  <c r="L28" i="116"/>
  <c r="L28" i="119"/>
  <c r="L28" i="120"/>
  <c r="L28" i="121"/>
  <c r="L28" i="122"/>
  <c r="L28" i="123"/>
  <c r="L28" i="124"/>
  <c r="L28" i="125"/>
  <c r="L28" i="126"/>
  <c r="L28" i="127"/>
  <c r="L28" i="132"/>
  <c r="L28" i="134"/>
  <c r="L28" i="136"/>
  <c r="L28" i="137"/>
  <c r="L28" i="138"/>
  <c r="L28" i="139"/>
  <c r="L28" i="140"/>
  <c r="L28" i="141"/>
  <c r="L28" i="142"/>
  <c r="L28" i="143"/>
  <c r="L28" i="144"/>
  <c r="L28" i="145"/>
  <c r="L28" i="152"/>
  <c r="L29" i="88"/>
  <c r="L30" i="88"/>
  <c r="L31" i="88"/>
  <c r="L32" i="88"/>
  <c r="L33" i="88"/>
  <c r="L34" i="88"/>
  <c r="L35" i="88"/>
  <c r="L36" i="88"/>
  <c r="L37" i="88"/>
  <c r="L38" i="88"/>
  <c r="L39" i="88"/>
  <c r="L40" i="88"/>
  <c r="L41" i="88"/>
  <c r="L42" i="88"/>
  <c r="L43" i="88"/>
  <c r="L44" i="88"/>
  <c r="L45" i="88"/>
  <c r="L29" i="89"/>
  <c r="L30" i="89"/>
  <c r="L32" i="89"/>
  <c r="L33" i="89"/>
  <c r="L34" i="89"/>
  <c r="L35" i="89"/>
  <c r="L36" i="89"/>
  <c r="L37" i="89"/>
  <c r="L38" i="89"/>
  <c r="L39" i="89"/>
  <c r="L40" i="89"/>
  <c r="L41" i="89"/>
  <c r="L42" i="89"/>
  <c r="L43" i="89"/>
  <c r="L44" i="89"/>
  <c r="L45" i="89"/>
  <c r="L29" i="90"/>
  <c r="L30" i="90"/>
  <c r="L31" i="90"/>
  <c r="L32" i="90"/>
  <c r="L33" i="90"/>
  <c r="L34" i="90"/>
  <c r="L35" i="90"/>
  <c r="L36" i="90"/>
  <c r="L37" i="90"/>
  <c r="L38" i="90"/>
  <c r="L39" i="90"/>
  <c r="L40" i="90"/>
  <c r="L41" i="90"/>
  <c r="L42" i="90"/>
  <c r="L43" i="90"/>
  <c r="L44" i="90"/>
  <c r="L45" i="90"/>
  <c r="L29" i="91"/>
  <c r="L30" i="91"/>
  <c r="L31" i="91"/>
  <c r="L32" i="91"/>
  <c r="L33" i="91"/>
  <c r="L34" i="91"/>
  <c r="L35" i="91"/>
  <c r="L36" i="91"/>
  <c r="L37" i="91"/>
  <c r="L38" i="91"/>
  <c r="L39" i="91"/>
  <c r="L40" i="91"/>
  <c r="L41" i="91"/>
  <c r="L42" i="91"/>
  <c r="L43" i="91"/>
  <c r="L44" i="91"/>
  <c r="L45" i="91"/>
  <c r="L29" i="92"/>
  <c r="L30" i="92"/>
  <c r="L31" i="92"/>
  <c r="L32" i="92"/>
  <c r="L33" i="92"/>
  <c r="L34" i="92"/>
  <c r="L35" i="92"/>
  <c r="L36" i="92"/>
  <c r="L37" i="92"/>
  <c r="L38" i="92"/>
  <c r="L39" i="92"/>
  <c r="L40" i="92"/>
  <c r="L41" i="92"/>
  <c r="L42" i="92"/>
  <c r="L43" i="92"/>
  <c r="L44" i="92"/>
  <c r="L45" i="92"/>
  <c r="L29" i="93"/>
  <c r="L30" i="93"/>
  <c r="L31" i="93"/>
  <c r="L32" i="93"/>
  <c r="L33" i="93"/>
  <c r="L34" i="93"/>
  <c r="L35" i="93"/>
  <c r="L36" i="93"/>
  <c r="L37" i="93"/>
  <c r="L38" i="93"/>
  <c r="L39" i="93"/>
  <c r="L40" i="93"/>
  <c r="L41" i="93"/>
  <c r="L42" i="93"/>
  <c r="L43" i="93"/>
  <c r="L44" i="93"/>
  <c r="L45" i="93"/>
  <c r="L29" i="94"/>
  <c r="L30" i="94"/>
  <c r="L31" i="94"/>
  <c r="L32" i="94"/>
  <c r="L33" i="94"/>
  <c r="L34" i="94"/>
  <c r="L35" i="94"/>
  <c r="L36" i="94"/>
  <c r="L37" i="94"/>
  <c r="L38" i="94"/>
  <c r="L39" i="94"/>
  <c r="L40" i="94"/>
  <c r="L41" i="94"/>
  <c r="L42" i="94"/>
  <c r="L43" i="94"/>
  <c r="L44" i="94"/>
  <c r="L45" i="94"/>
  <c r="L29" i="95"/>
  <c r="L30" i="95"/>
  <c r="L31" i="95"/>
  <c r="L32" i="95"/>
  <c r="L33" i="95"/>
  <c r="L34" i="95"/>
  <c r="L35" i="95"/>
  <c r="L36" i="95"/>
  <c r="L37" i="95"/>
  <c r="L38" i="95"/>
  <c r="L39" i="95"/>
  <c r="L40" i="95"/>
  <c r="L41" i="95"/>
  <c r="L42" i="95"/>
  <c r="L43" i="95"/>
  <c r="L44" i="95"/>
  <c r="L45" i="95"/>
  <c r="L29" i="96"/>
  <c r="L30" i="96"/>
  <c r="L31" i="96"/>
  <c r="L32" i="96"/>
  <c r="L33" i="96"/>
  <c r="L34" i="96"/>
  <c r="L35" i="96"/>
  <c r="L36" i="96"/>
  <c r="L37" i="96"/>
  <c r="L38" i="96"/>
  <c r="L39" i="96"/>
  <c r="L40" i="96"/>
  <c r="L41" i="96"/>
  <c r="L42" i="96"/>
  <c r="L43" i="96"/>
  <c r="L44" i="96"/>
  <c r="L45" i="96"/>
  <c r="L29" i="97"/>
  <c r="L30" i="97"/>
  <c r="L31" i="97"/>
  <c r="L32" i="97"/>
  <c r="L33" i="97"/>
  <c r="L34" i="97"/>
  <c r="L35" i="97"/>
  <c r="L36" i="97"/>
  <c r="L37" i="97"/>
  <c r="L38" i="97"/>
  <c r="L39" i="97"/>
  <c r="L40" i="97"/>
  <c r="L41" i="97"/>
  <c r="L42" i="97"/>
  <c r="L43" i="97"/>
  <c r="L44" i="97"/>
  <c r="L45" i="97"/>
  <c r="L29" i="98"/>
  <c r="L30" i="98"/>
  <c r="L31" i="98"/>
  <c r="L32" i="98"/>
  <c r="L33" i="98"/>
  <c r="L34" i="98"/>
  <c r="L35" i="98"/>
  <c r="L36" i="98"/>
  <c r="L37" i="98"/>
  <c r="L38" i="98"/>
  <c r="L39" i="98"/>
  <c r="L40" i="98"/>
  <c r="L41" i="98"/>
  <c r="L42" i="98"/>
  <c r="L43" i="98"/>
  <c r="L44" i="98"/>
  <c r="L45" i="98"/>
  <c r="L29" i="99"/>
  <c r="L30" i="99"/>
  <c r="L31" i="99"/>
  <c r="L32" i="99"/>
  <c r="L33" i="99"/>
  <c r="L34" i="99"/>
  <c r="L35" i="99"/>
  <c r="L36" i="99"/>
  <c r="L37" i="99"/>
  <c r="L38" i="99"/>
  <c r="L39" i="99"/>
  <c r="L40" i="99"/>
  <c r="L41" i="99"/>
  <c r="L42" i="99"/>
  <c r="L43" i="99"/>
  <c r="L44" i="99"/>
  <c r="L45" i="99"/>
  <c r="L29" i="100"/>
  <c r="L30" i="100"/>
  <c r="L31" i="100"/>
  <c r="L32" i="100"/>
  <c r="L33" i="100"/>
  <c r="L34" i="100"/>
  <c r="L35" i="100"/>
  <c r="L36" i="100"/>
  <c r="L37" i="100"/>
  <c r="L38" i="100"/>
  <c r="L39" i="100"/>
  <c r="L40" i="100"/>
  <c r="L41" i="100"/>
  <c r="L42" i="100"/>
  <c r="L43" i="100"/>
  <c r="L44" i="100"/>
  <c r="L45" i="100"/>
  <c r="L37" i="101"/>
  <c r="L38" i="101"/>
  <c r="L39" i="101"/>
  <c r="L40" i="101"/>
  <c r="L41" i="101"/>
  <c r="L42" i="101"/>
  <c r="L43" i="101"/>
  <c r="L44" i="101"/>
  <c r="L45" i="101"/>
  <c r="L31" i="102"/>
  <c r="L32" i="102"/>
  <c r="L33" i="102"/>
  <c r="L34" i="102"/>
  <c r="L35" i="102"/>
  <c r="L36" i="102"/>
  <c r="L37" i="102"/>
  <c r="L38" i="102"/>
  <c r="L39" i="102"/>
  <c r="L40" i="102"/>
  <c r="L41" i="102"/>
  <c r="L42" i="102"/>
  <c r="L43" i="102"/>
  <c r="L44" i="102"/>
  <c r="L45" i="102"/>
  <c r="L29" i="103"/>
  <c r="L30" i="103"/>
  <c r="L31" i="103"/>
  <c r="L32" i="103"/>
  <c r="L33" i="103"/>
  <c r="L34" i="103"/>
  <c r="L35" i="103"/>
  <c r="L36" i="103"/>
  <c r="L37" i="103"/>
  <c r="L38" i="103"/>
  <c r="L39" i="103"/>
  <c r="L40" i="103"/>
  <c r="L41" i="103"/>
  <c r="L42" i="103"/>
  <c r="L43" i="103"/>
  <c r="L44" i="103"/>
  <c r="L45" i="103"/>
  <c r="L29" i="104"/>
  <c r="L30" i="104"/>
  <c r="L31" i="104"/>
  <c r="L32" i="104"/>
  <c r="L33" i="104"/>
  <c r="L34" i="104"/>
  <c r="L35" i="104"/>
  <c r="L36" i="104"/>
  <c r="L37" i="104"/>
  <c r="L38" i="104"/>
  <c r="L39" i="104"/>
  <c r="L40" i="104"/>
  <c r="L41" i="104"/>
  <c r="L42" i="104"/>
  <c r="L43" i="104"/>
  <c r="L44" i="104"/>
  <c r="L45" i="104"/>
  <c r="L29" i="105"/>
  <c r="L30" i="105"/>
  <c r="L31" i="105"/>
  <c r="L32" i="105"/>
  <c r="L33" i="105"/>
  <c r="L34" i="105"/>
  <c r="L35" i="105"/>
  <c r="L36" i="105"/>
  <c r="L37" i="105"/>
  <c r="L38" i="105"/>
  <c r="L39" i="105"/>
  <c r="L40" i="105"/>
  <c r="L41" i="105"/>
  <c r="L42" i="105"/>
  <c r="L43" i="105"/>
  <c r="L44" i="105"/>
  <c r="L45" i="105"/>
  <c r="L29" i="106"/>
  <c r="L30" i="106"/>
  <c r="L31" i="106"/>
  <c r="L32" i="106"/>
  <c r="L33" i="106"/>
  <c r="L34" i="106"/>
  <c r="L35" i="106"/>
  <c r="L36" i="106"/>
  <c r="L37" i="106"/>
  <c r="L38" i="106"/>
  <c r="L39" i="106"/>
  <c r="L40" i="106"/>
  <c r="L41" i="106"/>
  <c r="L42" i="106"/>
  <c r="L43" i="106"/>
  <c r="L44" i="106"/>
  <c r="L45" i="106"/>
  <c r="L29" i="107"/>
  <c r="L30" i="107"/>
  <c r="L31" i="107"/>
  <c r="L32" i="107"/>
  <c r="L33" i="107"/>
  <c r="L34" i="107"/>
  <c r="L35" i="107"/>
  <c r="L36" i="107"/>
  <c r="L37" i="107"/>
  <c r="L38" i="107"/>
  <c r="L39" i="107"/>
  <c r="L40" i="107"/>
  <c r="L41" i="107"/>
  <c r="L42" i="107"/>
  <c r="L43" i="107"/>
  <c r="L44" i="107"/>
  <c r="L45" i="107"/>
  <c r="L29" i="108"/>
  <c r="L30" i="108"/>
  <c r="L31" i="108"/>
  <c r="L32" i="108"/>
  <c r="L33" i="108"/>
  <c r="L34" i="108"/>
  <c r="L35" i="108"/>
  <c r="L36" i="108"/>
  <c r="L37" i="108"/>
  <c r="L38" i="108"/>
  <c r="L39" i="108"/>
  <c r="L40" i="108"/>
  <c r="L41" i="108"/>
  <c r="L42" i="108"/>
  <c r="L43" i="108"/>
  <c r="L44" i="108"/>
  <c r="L45" i="108"/>
  <c r="L29" i="109"/>
  <c r="L30" i="109"/>
  <c r="L31" i="109"/>
  <c r="L32" i="109"/>
  <c r="L33" i="109"/>
  <c r="L34" i="109"/>
  <c r="L35" i="109"/>
  <c r="L36" i="109"/>
  <c r="L37" i="109"/>
  <c r="L38" i="109"/>
  <c r="L39" i="109"/>
  <c r="L40" i="109"/>
  <c r="L41" i="109"/>
  <c r="L42" i="109"/>
  <c r="L43" i="109"/>
  <c r="L44" i="109"/>
  <c r="L45" i="109"/>
  <c r="L31" i="110"/>
  <c r="L32" i="110"/>
  <c r="L33" i="110"/>
  <c r="L34" i="110"/>
  <c r="L35" i="110"/>
  <c r="L36" i="110"/>
  <c r="L37" i="110"/>
  <c r="L38" i="110"/>
  <c r="L39" i="110"/>
  <c r="L40" i="110"/>
  <c r="L41" i="110"/>
  <c r="L42" i="110"/>
  <c r="L43" i="110"/>
  <c r="L44" i="110"/>
  <c r="L45" i="110"/>
  <c r="L29" i="111"/>
  <c r="L30" i="111"/>
  <c r="L31" i="111"/>
  <c r="L32" i="111"/>
  <c r="L33" i="111"/>
  <c r="L34" i="111"/>
  <c r="L35" i="111"/>
  <c r="L36" i="111"/>
  <c r="L37" i="111"/>
  <c r="L38" i="111"/>
  <c r="L39" i="111"/>
  <c r="L40" i="111"/>
  <c r="L41" i="111"/>
  <c r="L42" i="111"/>
  <c r="L43" i="111"/>
  <c r="L44" i="111"/>
  <c r="L45" i="111"/>
  <c r="L29" i="112"/>
  <c r="L30" i="112"/>
  <c r="L31" i="112"/>
  <c r="L32" i="112"/>
  <c r="L33" i="112"/>
  <c r="L34" i="112"/>
  <c r="L35" i="112"/>
  <c r="L36" i="112"/>
  <c r="L37" i="112"/>
  <c r="L38" i="112"/>
  <c r="L39" i="112"/>
  <c r="L40" i="112"/>
  <c r="L41" i="112"/>
  <c r="L42" i="112"/>
  <c r="L43" i="112"/>
  <c r="L44" i="112"/>
  <c r="L45" i="112"/>
  <c r="L30" i="113"/>
  <c r="L31" i="113"/>
  <c r="L32" i="113"/>
  <c r="L33" i="113"/>
  <c r="L34" i="113"/>
  <c r="L35" i="113"/>
  <c r="L36" i="113"/>
  <c r="L37" i="113"/>
  <c r="L38" i="113"/>
  <c r="L39" i="113"/>
  <c r="L40" i="113"/>
  <c r="L41" i="113"/>
  <c r="L42" i="113"/>
  <c r="L43" i="113"/>
  <c r="L44" i="113"/>
  <c r="L45" i="113"/>
  <c r="L29" i="114"/>
  <c r="L30" i="114"/>
  <c r="L31" i="114"/>
  <c r="L32" i="114"/>
  <c r="L33" i="114"/>
  <c r="L34" i="114"/>
  <c r="L35" i="114"/>
  <c r="L36" i="114"/>
  <c r="L37" i="114"/>
  <c r="L38" i="114"/>
  <c r="L39" i="114"/>
  <c r="L40" i="114"/>
  <c r="L41" i="114"/>
  <c r="L42" i="114"/>
  <c r="L43" i="114"/>
  <c r="L44" i="114"/>
  <c r="L45" i="114"/>
  <c r="L29" i="115"/>
  <c r="L30" i="115"/>
  <c r="L31" i="115"/>
  <c r="L32" i="115"/>
  <c r="L33" i="115"/>
  <c r="L34" i="115"/>
  <c r="L35" i="115"/>
  <c r="L36" i="115"/>
  <c r="L37" i="115"/>
  <c r="L38" i="115"/>
  <c r="L39" i="115"/>
  <c r="L40" i="115"/>
  <c r="L41" i="115"/>
  <c r="L42" i="115"/>
  <c r="L43" i="115"/>
  <c r="L44" i="115"/>
  <c r="L45" i="115"/>
  <c r="L29" i="116"/>
  <c r="L30" i="116"/>
  <c r="L31" i="116"/>
  <c r="L32" i="116"/>
  <c r="L33" i="116"/>
  <c r="L34" i="116"/>
  <c r="L35" i="116"/>
  <c r="L36" i="116"/>
  <c r="L37" i="116"/>
  <c r="L38" i="116"/>
  <c r="L39" i="116"/>
  <c r="L40" i="116"/>
  <c r="L41" i="116"/>
  <c r="L42" i="116"/>
  <c r="L43" i="116"/>
  <c r="L44" i="116"/>
  <c r="L45" i="116"/>
  <c r="L29" i="117"/>
  <c r="L30" i="117"/>
  <c r="L31" i="117"/>
  <c r="L32" i="117"/>
  <c r="L33" i="117"/>
  <c r="L34" i="117"/>
  <c r="L35" i="117"/>
  <c r="L36" i="117"/>
  <c r="L37" i="117"/>
  <c r="L38" i="117"/>
  <c r="L39" i="117"/>
  <c r="L40" i="117"/>
  <c r="L41" i="117"/>
  <c r="L42" i="117"/>
  <c r="L43" i="117"/>
  <c r="L44" i="117"/>
  <c r="L45" i="117"/>
  <c r="L29" i="118"/>
  <c r="L30" i="118"/>
  <c r="L31" i="118"/>
  <c r="L32" i="118"/>
  <c r="L33" i="118"/>
  <c r="L34" i="118"/>
  <c r="L35" i="118"/>
  <c r="L36" i="118"/>
  <c r="L37" i="118"/>
  <c r="L38" i="118"/>
  <c r="L39" i="118"/>
  <c r="L40" i="118"/>
  <c r="L41" i="118"/>
  <c r="L42" i="118"/>
  <c r="L43" i="118"/>
  <c r="L44" i="118"/>
  <c r="L45" i="118"/>
  <c r="L29" i="119"/>
  <c r="L30" i="119"/>
  <c r="L31" i="119"/>
  <c r="L32" i="119"/>
  <c r="L33" i="119"/>
  <c r="L34" i="119"/>
  <c r="L35" i="119"/>
  <c r="L36" i="119"/>
  <c r="L37" i="119"/>
  <c r="L38" i="119"/>
  <c r="L39" i="119"/>
  <c r="L40" i="119"/>
  <c r="L41" i="119"/>
  <c r="L42" i="119"/>
  <c r="L43" i="119"/>
  <c r="L44" i="119"/>
  <c r="L45" i="119"/>
  <c r="L29" i="120"/>
  <c r="L30" i="120"/>
  <c r="L31" i="120"/>
  <c r="L32" i="120"/>
  <c r="L33" i="120"/>
  <c r="L34" i="120"/>
  <c r="L35" i="120"/>
  <c r="L36" i="120"/>
  <c r="L37" i="120"/>
  <c r="L38" i="120"/>
  <c r="L39" i="120"/>
  <c r="L40" i="120"/>
  <c r="L41" i="120"/>
  <c r="L42" i="120"/>
  <c r="L43" i="120"/>
  <c r="L44" i="120"/>
  <c r="L45" i="120"/>
  <c r="L29" i="121"/>
  <c r="L30" i="121"/>
  <c r="L31" i="121"/>
  <c r="L32" i="121"/>
  <c r="L33" i="121"/>
  <c r="L34" i="121"/>
  <c r="L35" i="121"/>
  <c r="L36" i="121"/>
  <c r="L37" i="121"/>
  <c r="L38" i="121"/>
  <c r="L39" i="121"/>
  <c r="L40" i="121"/>
  <c r="L41" i="121"/>
  <c r="L42" i="121"/>
  <c r="L43" i="121"/>
  <c r="L44" i="121"/>
  <c r="L45" i="121"/>
  <c r="L29" i="122"/>
  <c r="L30" i="122"/>
  <c r="L31" i="122"/>
  <c r="L32" i="122"/>
  <c r="L33" i="122"/>
  <c r="L34" i="122"/>
  <c r="L35" i="122"/>
  <c r="L36" i="122"/>
  <c r="L37" i="122"/>
  <c r="L38" i="122"/>
  <c r="L39" i="122"/>
  <c r="L40" i="122"/>
  <c r="L41" i="122"/>
  <c r="L42" i="122"/>
  <c r="L43" i="122"/>
  <c r="L44" i="122"/>
  <c r="L45" i="122"/>
  <c r="L29" i="123"/>
  <c r="L30" i="123"/>
  <c r="L31" i="123"/>
  <c r="L32" i="123"/>
  <c r="L33" i="123"/>
  <c r="L34" i="123"/>
  <c r="L35" i="123"/>
  <c r="L36" i="123"/>
  <c r="L37" i="123"/>
  <c r="L38" i="123"/>
  <c r="L39" i="123"/>
  <c r="L40" i="123"/>
  <c r="L41" i="123"/>
  <c r="L42" i="123"/>
  <c r="L43" i="123"/>
  <c r="L44" i="123"/>
  <c r="L45" i="123"/>
  <c r="L29" i="124"/>
  <c r="L30" i="124"/>
  <c r="L31" i="124"/>
  <c r="L32" i="124"/>
  <c r="L33" i="124"/>
  <c r="L34" i="124"/>
  <c r="L35" i="124"/>
  <c r="L36" i="124"/>
  <c r="L37" i="124"/>
  <c r="L38" i="124"/>
  <c r="L39" i="124"/>
  <c r="L40" i="124"/>
  <c r="L41" i="124"/>
  <c r="L42" i="124"/>
  <c r="L43" i="124"/>
  <c r="L44" i="124"/>
  <c r="L45" i="124"/>
  <c r="L29" i="125"/>
  <c r="L30" i="125"/>
  <c r="L31" i="125"/>
  <c r="L32" i="125"/>
  <c r="L33" i="125"/>
  <c r="L34" i="125"/>
  <c r="L35" i="125"/>
  <c r="L36" i="125"/>
  <c r="L37" i="125"/>
  <c r="L38" i="125"/>
  <c r="L39" i="125"/>
  <c r="L40" i="125"/>
  <c r="L41" i="125"/>
  <c r="L42" i="125"/>
  <c r="L43" i="125"/>
  <c r="L44" i="125"/>
  <c r="L45" i="125"/>
  <c r="L29" i="126"/>
  <c r="L30" i="126"/>
  <c r="L31" i="126"/>
  <c r="L32" i="126"/>
  <c r="L33" i="126"/>
  <c r="L34" i="126"/>
  <c r="L35" i="126"/>
  <c r="L36" i="126"/>
  <c r="L37" i="126"/>
  <c r="L38" i="126"/>
  <c r="L39" i="126"/>
  <c r="L40" i="126"/>
  <c r="L41" i="126"/>
  <c r="L42" i="126"/>
  <c r="L43" i="126"/>
  <c r="L44" i="126"/>
  <c r="L45" i="126"/>
  <c r="L29" i="127"/>
  <c r="L30" i="127"/>
  <c r="L31" i="127"/>
  <c r="L32" i="127"/>
  <c r="L33" i="127"/>
  <c r="L34" i="127"/>
  <c r="L35" i="127"/>
  <c r="L36" i="127"/>
  <c r="L37" i="127"/>
  <c r="L38" i="127"/>
  <c r="L39" i="127"/>
  <c r="L40" i="127"/>
  <c r="L41" i="127"/>
  <c r="L42" i="127"/>
  <c r="L43" i="127"/>
  <c r="L44" i="127"/>
  <c r="L45" i="127"/>
  <c r="L29" i="128"/>
  <c r="L31" i="128"/>
  <c r="L37" i="128"/>
  <c r="L39" i="128"/>
  <c r="L36" i="129"/>
  <c r="L40" i="129"/>
  <c r="L44" i="129"/>
  <c r="L35" i="130"/>
  <c r="L29" i="131"/>
  <c r="L30" i="131"/>
  <c r="L31" i="131"/>
  <c r="L32" i="131"/>
  <c r="L33" i="131"/>
  <c r="L34" i="131"/>
  <c r="L35" i="131"/>
  <c r="L36" i="131"/>
  <c r="L37" i="131"/>
  <c r="L38" i="131"/>
  <c r="L39" i="131"/>
  <c r="L40" i="131"/>
  <c r="L41" i="131"/>
  <c r="L42" i="131"/>
  <c r="L43" i="131"/>
  <c r="L44" i="131"/>
  <c r="L45" i="131"/>
  <c r="L29" i="132"/>
  <c r="L30" i="132"/>
  <c r="L31" i="132"/>
  <c r="L32" i="132"/>
  <c r="L33" i="132"/>
  <c r="L34" i="132"/>
  <c r="L35" i="132"/>
  <c r="L36" i="132"/>
  <c r="L37" i="132"/>
  <c r="L38" i="132"/>
  <c r="L39" i="132"/>
  <c r="L40" i="132"/>
  <c r="L41" i="132"/>
  <c r="L42" i="132"/>
  <c r="L43" i="132"/>
  <c r="L44" i="132"/>
  <c r="L45" i="132"/>
  <c r="L30" i="133"/>
  <c r="L32" i="133"/>
  <c r="L33" i="133"/>
  <c r="L34" i="133"/>
  <c r="L35" i="133"/>
  <c r="L36" i="133"/>
  <c r="L37" i="133"/>
  <c r="L38" i="133"/>
  <c r="L39" i="133"/>
  <c r="L40" i="133"/>
  <c r="L41" i="133"/>
  <c r="L42" i="133"/>
  <c r="L43" i="133"/>
  <c r="L44" i="133"/>
  <c r="L45" i="133"/>
  <c r="L29" i="134"/>
  <c r="L30" i="134"/>
  <c r="L31" i="134"/>
  <c r="L32" i="134"/>
  <c r="L33" i="134"/>
  <c r="L34" i="134"/>
  <c r="L35" i="134"/>
  <c r="L36" i="134"/>
  <c r="L37" i="134"/>
  <c r="L38" i="134"/>
  <c r="L39" i="134"/>
  <c r="L40" i="134"/>
  <c r="L41" i="134"/>
  <c r="L42" i="134"/>
  <c r="L43" i="134"/>
  <c r="L44" i="134"/>
  <c r="L45" i="134"/>
  <c r="L30" i="135"/>
  <c r="L34" i="135"/>
  <c r="L38" i="135"/>
  <c r="L42" i="135"/>
  <c r="L29" i="136"/>
  <c r="L30" i="136"/>
  <c r="L31" i="136"/>
  <c r="L32" i="136"/>
  <c r="L33" i="136"/>
  <c r="L34" i="136"/>
  <c r="L35" i="136"/>
  <c r="L36" i="136"/>
  <c r="L37" i="136"/>
  <c r="L38" i="136"/>
  <c r="L39" i="136"/>
  <c r="L40" i="136"/>
  <c r="L41" i="136"/>
  <c r="L42" i="136"/>
  <c r="L43" i="136"/>
  <c r="L44" i="136"/>
  <c r="L45" i="136"/>
  <c r="L29" i="137"/>
  <c r="L30" i="137"/>
  <c r="L31" i="137"/>
  <c r="L32" i="137"/>
  <c r="L33" i="137"/>
  <c r="L34" i="137"/>
  <c r="L35" i="137"/>
  <c r="L36" i="137"/>
  <c r="L37" i="137"/>
  <c r="L38" i="137"/>
  <c r="L39" i="137"/>
  <c r="L40" i="137"/>
  <c r="L41" i="137"/>
  <c r="L42" i="137"/>
  <c r="L43" i="137"/>
  <c r="L44" i="137"/>
  <c r="L45" i="137"/>
  <c r="L29" i="138"/>
  <c r="L30" i="138"/>
  <c r="L31" i="138"/>
  <c r="L32" i="138"/>
  <c r="L33" i="138"/>
  <c r="L34" i="138"/>
  <c r="L35" i="138"/>
  <c r="L36" i="138"/>
  <c r="L37" i="138"/>
  <c r="L38" i="138"/>
  <c r="L39" i="138"/>
  <c r="L40" i="138"/>
  <c r="L41" i="138"/>
  <c r="L42" i="138"/>
  <c r="L43" i="138"/>
  <c r="L44" i="138"/>
  <c r="L45" i="138"/>
  <c r="L29" i="139"/>
  <c r="L30" i="139"/>
  <c r="L31" i="139"/>
  <c r="L32" i="139"/>
  <c r="L33" i="139"/>
  <c r="L34" i="139"/>
  <c r="L35" i="139"/>
  <c r="L36" i="139"/>
  <c r="L37" i="139"/>
  <c r="L38" i="139"/>
  <c r="L39" i="139"/>
  <c r="L40" i="139"/>
  <c r="L41" i="139"/>
  <c r="L42" i="139"/>
  <c r="L43" i="139"/>
  <c r="L44" i="139"/>
  <c r="L45" i="139"/>
  <c r="L29" i="140"/>
  <c r="L30" i="140"/>
  <c r="L31" i="140"/>
  <c r="L32" i="140"/>
  <c r="L33" i="140"/>
  <c r="L34" i="140"/>
  <c r="L35" i="140"/>
  <c r="L36" i="140"/>
  <c r="L37" i="140"/>
  <c r="L38" i="140"/>
  <c r="L39" i="140"/>
  <c r="L40" i="140"/>
  <c r="L41" i="140"/>
  <c r="L42" i="140"/>
  <c r="L43" i="140"/>
  <c r="L44" i="140"/>
  <c r="L45" i="140"/>
  <c r="L29" i="141"/>
  <c r="L30" i="141"/>
  <c r="L31" i="141"/>
  <c r="L32" i="141"/>
  <c r="L33" i="141"/>
  <c r="L34" i="141"/>
  <c r="L35" i="141"/>
  <c r="L36" i="141"/>
  <c r="L37" i="141"/>
  <c r="L38" i="141"/>
  <c r="L39" i="141"/>
  <c r="L40" i="141"/>
  <c r="L41" i="141"/>
  <c r="L42" i="141"/>
  <c r="L43" i="141"/>
  <c r="L44" i="141"/>
  <c r="L45" i="141"/>
  <c r="L29" i="142"/>
  <c r="L30" i="142"/>
  <c r="L31" i="142"/>
  <c r="L32" i="142"/>
  <c r="L33" i="142"/>
  <c r="L34" i="142"/>
  <c r="L35" i="142"/>
  <c r="L36" i="142"/>
  <c r="L37" i="142"/>
  <c r="L38" i="142"/>
  <c r="L39" i="142"/>
  <c r="L40" i="142"/>
  <c r="L41" i="142"/>
  <c r="L42" i="142"/>
  <c r="L43" i="142"/>
  <c r="L44" i="142"/>
  <c r="L45" i="142"/>
  <c r="L29" i="143"/>
  <c r="L30" i="143"/>
  <c r="L31" i="143"/>
  <c r="L32" i="143"/>
  <c r="L33" i="143"/>
  <c r="L34" i="143"/>
  <c r="L35" i="143"/>
  <c r="L36" i="143"/>
  <c r="L37" i="143"/>
  <c r="L38" i="143"/>
  <c r="L39" i="143"/>
  <c r="L40" i="143"/>
  <c r="L41" i="143"/>
  <c r="L42" i="143"/>
  <c r="L43" i="143"/>
  <c r="L44" i="143"/>
  <c r="L45" i="143"/>
  <c r="L29" i="144"/>
  <c r="L30" i="144"/>
  <c r="L31" i="144"/>
  <c r="L32" i="144"/>
  <c r="L33" i="144"/>
  <c r="L34" i="144"/>
  <c r="L35" i="144"/>
  <c r="L36" i="144"/>
  <c r="L37" i="144"/>
  <c r="L38" i="144"/>
  <c r="L39" i="144"/>
  <c r="L40" i="144"/>
  <c r="L41" i="144"/>
  <c r="L42" i="144"/>
  <c r="L43" i="144"/>
  <c r="L44" i="144"/>
  <c r="L45" i="144"/>
  <c r="L29" i="145"/>
  <c r="L30" i="145"/>
  <c r="L31" i="145"/>
  <c r="L32" i="145"/>
  <c r="L33" i="145"/>
  <c r="L34" i="145"/>
  <c r="L35" i="145"/>
  <c r="L36" i="145"/>
  <c r="L37" i="145"/>
  <c r="L38" i="145"/>
  <c r="L39" i="145"/>
  <c r="L40" i="145"/>
  <c r="L41" i="145"/>
  <c r="L42" i="145"/>
  <c r="L43" i="145"/>
  <c r="L44" i="145"/>
  <c r="L45" i="145"/>
  <c r="L29" i="152"/>
  <c r="L30" i="152"/>
  <c r="L31" i="152"/>
  <c r="L32" i="152"/>
  <c r="L33" i="152"/>
  <c r="L34" i="152"/>
  <c r="L35" i="152"/>
  <c r="L36" i="152"/>
  <c r="L37" i="152"/>
  <c r="L38" i="152"/>
  <c r="L39" i="152"/>
  <c r="L40" i="152"/>
  <c r="L41" i="152"/>
  <c r="L42" i="152"/>
  <c r="L43" i="152"/>
  <c r="L44" i="152"/>
  <c r="L45" i="152"/>
  <c r="L30" i="22"/>
  <c r="L31" i="22"/>
  <c r="L32" i="22"/>
  <c r="L33" i="22"/>
  <c r="L34" i="22"/>
  <c r="L35" i="22"/>
  <c r="L36" i="22"/>
  <c r="L37" i="22"/>
  <c r="L38" i="22"/>
  <c r="L39" i="22"/>
  <c r="L40" i="22"/>
  <c r="L41" i="22"/>
  <c r="L42" i="22"/>
  <c r="L43" i="22"/>
  <c r="L44" i="22"/>
  <c r="L45" i="22"/>
  <c r="L28" i="89" l="1"/>
  <c r="L29" i="22"/>
  <c r="L28" i="91"/>
  <c r="L78" i="91" s="1"/>
  <c r="L28" i="22"/>
  <c r="L78" i="22" s="1"/>
  <c r="L30" i="101"/>
  <c r="L29" i="110"/>
  <c r="L78" i="110" s="1"/>
  <c r="L29" i="102"/>
  <c r="L30" i="102"/>
  <c r="L31" i="89"/>
  <c r="L78" i="89" s="1"/>
  <c r="L31" i="133"/>
  <c r="L29" i="133"/>
  <c r="L29" i="113"/>
  <c r="L78" i="113" s="1"/>
  <c r="L33" i="101"/>
  <c r="L31" i="101"/>
  <c r="L29" i="101"/>
  <c r="L28" i="131"/>
  <c r="L78" i="131" s="1"/>
  <c r="L78" i="143"/>
  <c r="L78" i="139"/>
  <c r="L78" i="135"/>
  <c r="L78" i="127"/>
  <c r="L78" i="123"/>
  <c r="L78" i="119"/>
  <c r="L78" i="115"/>
  <c r="L78" i="107"/>
  <c r="L78" i="103"/>
  <c r="L78" i="99"/>
  <c r="L78" i="95"/>
  <c r="L78" i="152"/>
  <c r="L78" i="142"/>
  <c r="L78" i="138"/>
  <c r="L78" i="134"/>
  <c r="L78" i="130"/>
  <c r="L78" i="126"/>
  <c r="L78" i="122"/>
  <c r="L78" i="114"/>
  <c r="L78" i="106"/>
  <c r="L78" i="98"/>
  <c r="L78" i="94"/>
  <c r="L78" i="90"/>
  <c r="L78" i="145"/>
  <c r="L78" i="141"/>
  <c r="L78" i="137"/>
  <c r="L78" i="129"/>
  <c r="L78" i="125"/>
  <c r="L78" i="121"/>
  <c r="L78" i="117"/>
  <c r="L78" i="109"/>
  <c r="L78" i="105"/>
  <c r="L78" i="97"/>
  <c r="L78" i="144"/>
  <c r="L78" i="140"/>
  <c r="L78" i="136"/>
  <c r="L78" i="132"/>
  <c r="L78" i="128"/>
  <c r="L78" i="124"/>
  <c r="L78" i="120"/>
  <c r="L78" i="116"/>
  <c r="L78" i="112"/>
  <c r="L78" i="108"/>
  <c r="L78" i="104"/>
  <c r="L78" i="96"/>
  <c r="L78" i="88"/>
  <c r="L78" i="92"/>
  <c r="L78" i="111"/>
  <c r="L78" i="118"/>
  <c r="L78" i="93"/>
  <c r="L78" i="100"/>
  <c r="L78" i="102" l="1"/>
  <c r="L78" i="133"/>
  <c r="L78" i="101"/>
  <c r="O15" i="3"/>
  <c r="N15" i="3" l="1"/>
  <c r="F7" i="88"/>
  <c r="F7" i="89"/>
  <c r="F7" i="90"/>
  <c r="F7" i="91"/>
  <c r="F7" i="92"/>
  <c r="F7" i="93"/>
  <c r="F7" i="94"/>
  <c r="F7" i="95"/>
  <c r="F7" i="96"/>
  <c r="F7" i="97"/>
  <c r="F7" i="98"/>
  <c r="F7" i="99"/>
  <c r="F7" i="100"/>
  <c r="F7" i="101"/>
  <c r="F7" i="102"/>
  <c r="F7" i="103"/>
  <c r="F7" i="104"/>
  <c r="F7" i="105"/>
  <c r="F7" i="106"/>
  <c r="F7" i="107"/>
  <c r="F7" i="108"/>
  <c r="F7" i="109"/>
  <c r="F7" i="110"/>
  <c r="F7" i="111"/>
  <c r="F7" i="112"/>
  <c r="F7" i="113"/>
  <c r="F7" i="114"/>
  <c r="F7" i="115"/>
  <c r="F7" i="116"/>
  <c r="F7" i="117"/>
  <c r="F7" i="118"/>
  <c r="F7" i="119"/>
  <c r="F7" i="120"/>
  <c r="F7" i="121"/>
  <c r="F7" i="122"/>
  <c r="F7" i="123"/>
  <c r="F7" i="124"/>
  <c r="F7" i="125"/>
  <c r="F7" i="126"/>
  <c r="F7" i="127"/>
  <c r="F7" i="128"/>
  <c r="F7" i="129"/>
  <c r="F7" i="130"/>
  <c r="F7" i="131"/>
  <c r="F7" i="132"/>
  <c r="F7" i="133"/>
  <c r="F7" i="134"/>
  <c r="F7" i="135"/>
  <c r="F7" i="136"/>
  <c r="F7" i="137"/>
  <c r="F7" i="138"/>
  <c r="F7" i="139"/>
  <c r="F7" i="140"/>
  <c r="F7" i="141"/>
  <c r="F7" i="142"/>
  <c r="F7" i="143"/>
  <c r="F7" i="144"/>
  <c r="F7" i="145"/>
  <c r="F7" i="152"/>
  <c r="F7" i="22"/>
  <c r="M15" i="3"/>
  <c r="W16" i="2" l="1"/>
  <c r="BH16" i="2" s="1"/>
  <c r="I16" i="19" s="1"/>
  <c r="D6" i="17"/>
  <c r="D4" i="16"/>
  <c r="AI15" i="3"/>
  <c r="F29" i="22" l="1"/>
  <c r="F30" i="22"/>
  <c r="F31" i="22"/>
  <c r="F32" i="22"/>
  <c r="F33" i="22"/>
  <c r="F34" i="22"/>
  <c r="B11" i="4" l="1"/>
  <c r="D11" i="4"/>
  <c r="AU16" i="2"/>
  <c r="AV16" i="2"/>
  <c r="J16" i="4" s="1"/>
  <c r="AW16" i="2"/>
  <c r="K16" i="4" s="1"/>
  <c r="AX16" i="2"/>
  <c r="L16" i="4" s="1"/>
  <c r="AY16" i="2"/>
  <c r="C16" i="88" a="1"/>
  <c r="C16" i="88" s="1"/>
  <c r="C16" i="89" a="1"/>
  <c r="C16" i="89" s="1"/>
  <c r="C16" i="90" a="1"/>
  <c r="C18" i="90" s="1"/>
  <c r="C16" i="91" a="1"/>
  <c r="C20" i="91" s="1"/>
  <c r="C16" i="92" a="1"/>
  <c r="C16" i="92" s="1"/>
  <c r="C16" i="93" a="1"/>
  <c r="C17" i="93" s="1"/>
  <c r="C16" i="94" a="1"/>
  <c r="C16" i="94" s="1"/>
  <c r="C16" i="95" a="1"/>
  <c r="C16" i="95" s="1"/>
  <c r="C16" i="96" a="1"/>
  <c r="C20" i="96" s="1"/>
  <c r="C16" i="97" a="1"/>
  <c r="C20" i="97" s="1"/>
  <c r="C16" i="98" a="1"/>
  <c r="C16" i="98" s="1"/>
  <c r="C16" i="99" a="1"/>
  <c r="C22" i="99" s="1"/>
  <c r="C16" i="100" a="1"/>
  <c r="C16" i="100" s="1"/>
  <c r="C16" i="101" a="1"/>
  <c r="C17" i="101" s="1"/>
  <c r="C16" i="102" a="1"/>
  <c r="C16" i="102" s="1"/>
  <c r="C16" i="103" a="1"/>
  <c r="C22" i="103" s="1"/>
  <c r="C16" i="104" a="1"/>
  <c r="C20" i="104" s="1"/>
  <c r="C16" i="105" a="1"/>
  <c r="C18" i="105" s="1"/>
  <c r="C16" i="106" a="1"/>
  <c r="C16" i="106" s="1"/>
  <c r="C16" i="107" a="1"/>
  <c r="C18" i="107" s="1"/>
  <c r="C16" i="108" a="1"/>
  <c r="C24" i="108" s="1"/>
  <c r="C16" i="109" a="1"/>
  <c r="C17" i="109" s="1"/>
  <c r="C16" i="110" a="1"/>
  <c r="C16" i="110" s="1"/>
  <c r="C16" i="111" a="1"/>
  <c r="C18" i="111" s="1"/>
  <c r="C16" i="112" a="1"/>
  <c r="C17" i="112" s="1"/>
  <c r="C16" i="113" a="1"/>
  <c r="C24" i="113" s="1"/>
  <c r="C16" i="114" a="1"/>
  <c r="C16" i="114" s="1"/>
  <c r="C16" i="115" a="1"/>
  <c r="C18" i="115" s="1"/>
  <c r="C16" i="116" a="1"/>
  <c r="C17" i="116" s="1"/>
  <c r="C16" i="117" a="1"/>
  <c r="C16" i="117" s="1"/>
  <c r="C16" i="118" a="1"/>
  <c r="C16" i="118" s="1"/>
  <c r="C16" i="119" a="1"/>
  <c r="C18" i="119" s="1"/>
  <c r="C16" i="120" a="1"/>
  <c r="C17" i="120" s="1"/>
  <c r="C16" i="121" a="1"/>
  <c r="C16" i="121" s="1"/>
  <c r="C16" i="122" a="1"/>
  <c r="C16" i="122" s="1"/>
  <c r="C16" i="123" a="1"/>
  <c r="C18" i="123" s="1"/>
  <c r="C16" i="124" a="1"/>
  <c r="C17" i="124" s="1"/>
  <c r="C16" i="125" a="1"/>
  <c r="C16" i="125" s="1"/>
  <c r="C16" i="126" a="1"/>
  <c r="C16" i="126" s="1"/>
  <c r="C16" i="127" a="1"/>
  <c r="C16" i="127" s="1"/>
  <c r="C16" i="128" a="1"/>
  <c r="C20" i="128" s="1"/>
  <c r="C16" i="129" a="1"/>
  <c r="C16" i="129" s="1"/>
  <c r="C16" i="130" a="1"/>
  <c r="C16" i="131" a="1"/>
  <c r="C16" i="131" s="1"/>
  <c r="C16" i="132" a="1"/>
  <c r="C16" i="132" s="1"/>
  <c r="C16" i="133" a="1"/>
  <c r="C18" i="133" s="1"/>
  <c r="C16" i="134" a="1"/>
  <c r="C20" i="134" s="1"/>
  <c r="C16" i="135" a="1"/>
  <c r="C19" i="135" s="1"/>
  <c r="C16" i="136" a="1"/>
  <c r="C24" i="136" s="1"/>
  <c r="C16" i="137" a="1"/>
  <c r="C16" i="137" s="1"/>
  <c r="C16" i="138" a="1"/>
  <c r="C16" i="138" s="1"/>
  <c r="C16" i="139" a="1"/>
  <c r="C16" i="139" s="1"/>
  <c r="C16" i="140" a="1"/>
  <c r="C16" i="140" s="1"/>
  <c r="C16" i="141" a="1"/>
  <c r="C16" i="141" s="1"/>
  <c r="C16" i="142" a="1"/>
  <c r="C16" i="142" s="1"/>
  <c r="C16" i="143" a="1"/>
  <c r="C23" i="143" s="1"/>
  <c r="C16" i="144" a="1"/>
  <c r="C18" i="144" s="1"/>
  <c r="C16" i="145" a="1"/>
  <c r="C16" i="145" s="1"/>
  <c r="C16" i="152" a="1"/>
  <c r="C18" i="152" s="1"/>
  <c r="C16" i="22" a="1"/>
  <c r="C19" i="22" s="1"/>
  <c r="F28" i="22"/>
  <c r="B6" i="17"/>
  <c r="B4" i="16"/>
  <c r="C22" i="109" l="1"/>
  <c r="C16" i="109"/>
  <c r="C21" i="106"/>
  <c r="C24" i="120"/>
  <c r="C18" i="102"/>
  <c r="C19" i="144"/>
  <c r="C23" i="116"/>
  <c r="C21" i="110"/>
  <c r="C23" i="102"/>
  <c r="C20" i="93"/>
  <c r="C25" i="132"/>
  <c r="C23" i="121"/>
  <c r="C19" i="116"/>
  <c r="C19" i="102"/>
  <c r="C16" i="93"/>
  <c r="C21" i="132"/>
  <c r="C22" i="121"/>
  <c r="C23" i="120"/>
  <c r="C24" i="93"/>
  <c r="C19" i="93"/>
  <c r="C23" i="89"/>
  <c r="C23" i="137"/>
  <c r="C23" i="136"/>
  <c r="C21" i="137"/>
  <c r="C20" i="136"/>
  <c r="C21" i="144"/>
  <c r="C19" i="138"/>
  <c r="C19" i="137"/>
  <c r="C19" i="136"/>
  <c r="C19" i="132"/>
  <c r="C23" i="125"/>
  <c r="C19" i="121"/>
  <c r="C16" i="120"/>
  <c r="C23" i="112"/>
  <c r="C23" i="105"/>
  <c r="C23" i="101"/>
  <c r="C23" i="93"/>
  <c r="C18" i="93"/>
  <c r="C22" i="91"/>
  <c r="C22" i="89"/>
  <c r="C16" i="136"/>
  <c r="C19" i="125"/>
  <c r="C21" i="114"/>
  <c r="C18" i="97"/>
  <c r="C21" i="94"/>
  <c r="C22" i="93"/>
  <c r="C22" i="136"/>
  <c r="C18" i="136"/>
  <c r="C23" i="132"/>
  <c r="C18" i="132"/>
  <c r="C18" i="125"/>
  <c r="C24" i="116"/>
  <c r="C16" i="116"/>
  <c r="C20" i="112"/>
  <c r="C20" i="109"/>
  <c r="C19" i="107"/>
  <c r="C19" i="106"/>
  <c r="C17" i="105"/>
  <c r="C19" i="103"/>
  <c r="C20" i="101"/>
  <c r="C22" i="97"/>
  <c r="C23" i="96"/>
  <c r="C19" i="89"/>
  <c r="C23" i="144"/>
  <c r="C19" i="143"/>
  <c r="C25" i="136"/>
  <c r="C21" i="136"/>
  <c r="C17" i="136"/>
  <c r="C22" i="132"/>
  <c r="C17" i="132"/>
  <c r="C19" i="112"/>
  <c r="C19" i="101"/>
  <c r="C19" i="97"/>
  <c r="C16" i="96"/>
  <c r="C18" i="89"/>
  <c r="C22" i="125"/>
  <c r="C20" i="116"/>
  <c r="C24" i="112"/>
  <c r="C16" i="112"/>
  <c r="C22" i="106"/>
  <c r="C25" i="105"/>
  <c r="C19" i="104"/>
  <c r="C24" i="101"/>
  <c r="C16" i="101"/>
  <c r="C21" i="98"/>
  <c r="C25" i="145"/>
  <c r="C17" i="145"/>
  <c r="C21" i="141"/>
  <c r="C23" i="117"/>
  <c r="C22" i="145"/>
  <c r="C21" i="145"/>
  <c r="C25" i="144"/>
  <c r="C17" i="144"/>
  <c r="C23" i="142"/>
  <c r="C23" i="141"/>
  <c r="C18" i="141"/>
  <c r="C25" i="137"/>
  <c r="C18" i="137"/>
  <c r="C21" i="133"/>
  <c r="C24" i="132"/>
  <c r="C20" i="132"/>
  <c r="C19" i="124"/>
  <c r="C18" i="121"/>
  <c r="C20" i="120"/>
  <c r="C19" i="117"/>
  <c r="C23" i="113"/>
  <c r="C18" i="113"/>
  <c r="C24" i="109"/>
  <c r="C19" i="109"/>
  <c r="C23" i="108"/>
  <c r="C25" i="106"/>
  <c r="C17" i="106"/>
  <c r="C21" i="105"/>
  <c r="C22" i="101"/>
  <c r="C18" i="101"/>
  <c r="C23" i="97"/>
  <c r="C16" i="97"/>
  <c r="C18" i="94"/>
  <c r="C25" i="89"/>
  <c r="C21" i="89"/>
  <c r="C17" i="89"/>
  <c r="C23" i="124"/>
  <c r="C20" i="113"/>
  <c r="C19" i="141"/>
  <c r="C19" i="145"/>
  <c r="C19" i="142"/>
  <c r="C22" i="141"/>
  <c r="C17" i="141"/>
  <c r="C23" i="138"/>
  <c r="C19" i="133"/>
  <c r="C24" i="124"/>
  <c r="C16" i="124"/>
  <c r="C19" i="120"/>
  <c r="C18" i="117"/>
  <c r="C22" i="113"/>
  <c r="C16" i="113"/>
  <c r="C23" i="109"/>
  <c r="C18" i="109"/>
  <c r="C19" i="105"/>
  <c r="C21" i="102"/>
  <c r="C25" i="101"/>
  <c r="C21" i="101"/>
  <c r="C23" i="95"/>
  <c r="C23" i="90"/>
  <c r="C24" i="89"/>
  <c r="C20" i="89"/>
  <c r="C19" i="90"/>
  <c r="C25" i="141"/>
  <c r="C23" i="133"/>
  <c r="C20" i="124"/>
  <c r="C22" i="117"/>
  <c r="C19" i="113"/>
  <c r="C23" i="129"/>
  <c r="C19" i="129"/>
  <c r="C23" i="145"/>
  <c r="C18" i="145"/>
  <c r="C24" i="144"/>
  <c r="C20" i="144"/>
  <c r="C16" i="144"/>
  <c r="C16" i="143"/>
  <c r="C22" i="140"/>
  <c r="C18" i="140"/>
  <c r="C18" i="138"/>
  <c r="C22" i="137"/>
  <c r="C17" i="137"/>
  <c r="C19" i="134"/>
  <c r="C25" i="133"/>
  <c r="C17" i="133"/>
  <c r="C22" i="129"/>
  <c r="C18" i="129"/>
  <c r="C25" i="128"/>
  <c r="C25" i="126"/>
  <c r="C19" i="126"/>
  <c r="C25" i="125"/>
  <c r="C21" i="125"/>
  <c r="C17" i="125"/>
  <c r="C25" i="122"/>
  <c r="C19" i="122"/>
  <c r="C25" i="121"/>
  <c r="C21" i="121"/>
  <c r="C17" i="121"/>
  <c r="C25" i="118"/>
  <c r="C19" i="118"/>
  <c r="C25" i="117"/>
  <c r="C21" i="117"/>
  <c r="C17" i="117"/>
  <c r="C25" i="114"/>
  <c r="C19" i="114"/>
  <c r="C25" i="113"/>
  <c r="C21" i="113"/>
  <c r="C17" i="113"/>
  <c r="C25" i="110"/>
  <c r="C19" i="110"/>
  <c r="C25" i="109"/>
  <c r="C21" i="109"/>
  <c r="C20" i="108"/>
  <c r="C23" i="107"/>
  <c r="C23" i="106"/>
  <c r="C18" i="106"/>
  <c r="C24" i="105"/>
  <c r="C20" i="105"/>
  <c r="C16" i="105"/>
  <c r="C16" i="104"/>
  <c r="C18" i="103"/>
  <c r="C22" i="102"/>
  <c r="C17" i="102"/>
  <c r="C23" i="99"/>
  <c r="C25" i="98"/>
  <c r="C19" i="98"/>
  <c r="C25" i="97"/>
  <c r="C21" i="97"/>
  <c r="C17" i="97"/>
  <c r="C19" i="96"/>
  <c r="C22" i="95"/>
  <c r="C25" i="94"/>
  <c r="C19" i="94"/>
  <c r="C25" i="93"/>
  <c r="C21" i="93"/>
  <c r="C19" i="92"/>
  <c r="C19" i="91"/>
  <c r="C25" i="90"/>
  <c r="C17" i="90"/>
  <c r="C23" i="140"/>
  <c r="C19" i="140"/>
  <c r="C25" i="140"/>
  <c r="C21" i="140"/>
  <c r="C17" i="140"/>
  <c r="C18" i="134"/>
  <c r="C23" i="131"/>
  <c r="C25" i="129"/>
  <c r="C21" i="129"/>
  <c r="C17" i="129"/>
  <c r="C23" i="126"/>
  <c r="C18" i="126"/>
  <c r="C24" i="125"/>
  <c r="C20" i="125"/>
  <c r="C23" i="123"/>
  <c r="C23" i="122"/>
  <c r="C18" i="122"/>
  <c r="C24" i="121"/>
  <c r="C20" i="121"/>
  <c r="C23" i="119"/>
  <c r="C23" i="118"/>
  <c r="C18" i="118"/>
  <c r="C24" i="117"/>
  <c r="C20" i="117"/>
  <c r="C23" i="115"/>
  <c r="C23" i="114"/>
  <c r="C18" i="114"/>
  <c r="C23" i="111"/>
  <c r="C23" i="110"/>
  <c r="C18" i="110"/>
  <c r="C19" i="108"/>
  <c r="C23" i="100"/>
  <c r="C19" i="99"/>
  <c r="C23" i="98"/>
  <c r="C18" i="98"/>
  <c r="C24" i="97"/>
  <c r="C19" i="95"/>
  <c r="C23" i="94"/>
  <c r="C18" i="91"/>
  <c r="C23" i="88"/>
  <c r="C22" i="134"/>
  <c r="C22" i="144"/>
  <c r="C20" i="143"/>
  <c r="C24" i="140"/>
  <c r="C20" i="140"/>
  <c r="C22" i="138"/>
  <c r="C23" i="134"/>
  <c r="C16" i="134"/>
  <c r="C19" i="131"/>
  <c r="C24" i="129"/>
  <c r="C20" i="129"/>
  <c r="C22" i="126"/>
  <c r="C17" i="126"/>
  <c r="C19" i="123"/>
  <c r="C22" i="122"/>
  <c r="C17" i="122"/>
  <c r="C19" i="119"/>
  <c r="C22" i="118"/>
  <c r="C17" i="118"/>
  <c r="C19" i="115"/>
  <c r="C22" i="114"/>
  <c r="C17" i="114"/>
  <c r="C19" i="111"/>
  <c r="C22" i="110"/>
  <c r="C17" i="110"/>
  <c r="C16" i="108"/>
  <c r="C22" i="105"/>
  <c r="C23" i="104"/>
  <c r="C23" i="103"/>
  <c r="C25" i="102"/>
  <c r="C19" i="100"/>
  <c r="C18" i="99"/>
  <c r="C22" i="98"/>
  <c r="C17" i="98"/>
  <c r="C18" i="95"/>
  <c r="C22" i="94"/>
  <c r="C17" i="94"/>
  <c r="C23" i="91"/>
  <c r="C16" i="91"/>
  <c r="C21" i="90"/>
  <c r="C19" i="88"/>
  <c r="C21" i="126"/>
  <c r="C21" i="122"/>
  <c r="C21" i="118"/>
  <c r="C23" i="92"/>
  <c r="C20" i="22"/>
  <c r="C22" i="142"/>
  <c r="C18" i="142"/>
  <c r="C23" i="139"/>
  <c r="C19" i="139"/>
  <c r="C16" i="130"/>
  <c r="C20" i="130"/>
  <c r="C24" i="130"/>
  <c r="C18" i="128"/>
  <c r="C22" i="128"/>
  <c r="C20" i="127"/>
  <c r="C22" i="22"/>
  <c r="C18" i="22"/>
  <c r="C25" i="152"/>
  <c r="C21" i="152"/>
  <c r="C17" i="152"/>
  <c r="C24" i="145"/>
  <c r="C20" i="145"/>
  <c r="C22" i="143"/>
  <c r="C18" i="143"/>
  <c r="C25" i="142"/>
  <c r="C21" i="142"/>
  <c r="C17" i="142"/>
  <c r="C24" i="141"/>
  <c r="C20" i="141"/>
  <c r="C22" i="139"/>
  <c r="C18" i="139"/>
  <c r="C25" i="138"/>
  <c r="C21" i="138"/>
  <c r="C17" i="138"/>
  <c r="C24" i="137"/>
  <c r="C20" i="137"/>
  <c r="C22" i="135"/>
  <c r="C18" i="135"/>
  <c r="C25" i="134"/>
  <c r="C21" i="134"/>
  <c r="C17" i="134"/>
  <c r="C24" i="133"/>
  <c r="C20" i="133"/>
  <c r="C16" i="133"/>
  <c r="C22" i="131"/>
  <c r="C18" i="131"/>
  <c r="C25" i="130"/>
  <c r="C19" i="130"/>
  <c r="C24" i="128"/>
  <c r="C19" i="128"/>
  <c r="C24" i="127"/>
  <c r="C19" i="127"/>
  <c r="C22" i="152"/>
  <c r="C25" i="22"/>
  <c r="C21" i="22"/>
  <c r="C17" i="22"/>
  <c r="C24" i="152"/>
  <c r="C20" i="152"/>
  <c r="C16" i="152"/>
  <c r="C25" i="143"/>
  <c r="C21" i="143"/>
  <c r="C17" i="143"/>
  <c r="C24" i="142"/>
  <c r="C20" i="142"/>
  <c r="C25" i="139"/>
  <c r="C21" i="139"/>
  <c r="C17" i="139"/>
  <c r="C24" i="138"/>
  <c r="C20" i="138"/>
  <c r="C25" i="135"/>
  <c r="C21" i="135"/>
  <c r="C17" i="135"/>
  <c r="C24" i="134"/>
  <c r="C25" i="131"/>
  <c r="C21" i="131"/>
  <c r="C17" i="131"/>
  <c r="C23" i="130"/>
  <c r="C18" i="130"/>
  <c r="C23" i="128"/>
  <c r="C17" i="128"/>
  <c r="C23" i="127"/>
  <c r="C18" i="127"/>
  <c r="C24" i="143"/>
  <c r="C24" i="139"/>
  <c r="C20" i="139"/>
  <c r="C24" i="135"/>
  <c r="C20" i="135"/>
  <c r="C16" i="135"/>
  <c r="C22" i="133"/>
  <c r="C24" i="131"/>
  <c r="C20" i="131"/>
  <c r="C22" i="130"/>
  <c r="C17" i="130"/>
  <c r="C21" i="128"/>
  <c r="C16" i="128"/>
  <c r="C22" i="127"/>
  <c r="C24" i="22"/>
  <c r="C16" i="22"/>
  <c r="C23" i="152"/>
  <c r="C19" i="152"/>
  <c r="C23" i="22"/>
  <c r="C23" i="135"/>
  <c r="C21" i="130"/>
  <c r="C17" i="127"/>
  <c r="C21" i="127"/>
  <c r="C25" i="127"/>
  <c r="C24" i="126"/>
  <c r="C20" i="126"/>
  <c r="C22" i="124"/>
  <c r="C18" i="124"/>
  <c r="C25" i="123"/>
  <c r="C21" i="123"/>
  <c r="C17" i="123"/>
  <c r="C24" i="122"/>
  <c r="C20" i="122"/>
  <c r="C22" i="120"/>
  <c r="C18" i="120"/>
  <c r="C25" i="119"/>
  <c r="C21" i="119"/>
  <c r="C17" i="119"/>
  <c r="C24" i="118"/>
  <c r="C20" i="118"/>
  <c r="C22" i="116"/>
  <c r="C18" i="116"/>
  <c r="C25" i="115"/>
  <c r="C21" i="115"/>
  <c r="C17" i="115"/>
  <c r="C24" i="114"/>
  <c r="C20" i="114"/>
  <c r="C22" i="112"/>
  <c r="C18" i="112"/>
  <c r="C25" i="111"/>
  <c r="C21" i="111"/>
  <c r="C17" i="111"/>
  <c r="C24" i="110"/>
  <c r="C20" i="110"/>
  <c r="C22" i="108"/>
  <c r="C18" i="108"/>
  <c r="C25" i="107"/>
  <c r="C21" i="107"/>
  <c r="C17" i="107"/>
  <c r="C24" i="106"/>
  <c r="C20" i="106"/>
  <c r="C22" i="104"/>
  <c r="C18" i="104"/>
  <c r="C25" i="103"/>
  <c r="C21" i="103"/>
  <c r="C17" i="103"/>
  <c r="C24" i="102"/>
  <c r="C20" i="102"/>
  <c r="C22" i="100"/>
  <c r="C18" i="100"/>
  <c r="C25" i="99"/>
  <c r="C21" i="99"/>
  <c r="C17" i="99"/>
  <c r="C24" i="98"/>
  <c r="C20" i="98"/>
  <c r="C22" i="96"/>
  <c r="C18" i="96"/>
  <c r="C25" i="95"/>
  <c r="C21" i="95"/>
  <c r="C17" i="95"/>
  <c r="C24" i="94"/>
  <c r="C20" i="94"/>
  <c r="C22" i="92"/>
  <c r="C18" i="92"/>
  <c r="C25" i="91"/>
  <c r="C21" i="91"/>
  <c r="C17" i="91"/>
  <c r="C24" i="90"/>
  <c r="C20" i="90"/>
  <c r="C16" i="90"/>
  <c r="C22" i="88"/>
  <c r="C18" i="88"/>
  <c r="C25" i="124"/>
  <c r="C21" i="124"/>
  <c r="C24" i="123"/>
  <c r="C20" i="123"/>
  <c r="C16" i="123"/>
  <c r="C25" i="120"/>
  <c r="C21" i="120"/>
  <c r="C24" i="119"/>
  <c r="C20" i="119"/>
  <c r="C16" i="119"/>
  <c r="C25" i="116"/>
  <c r="C21" i="116"/>
  <c r="C24" i="115"/>
  <c r="C20" i="115"/>
  <c r="C16" i="115"/>
  <c r="C25" i="112"/>
  <c r="C21" i="112"/>
  <c r="C24" i="111"/>
  <c r="C20" i="111"/>
  <c r="C16" i="111"/>
  <c r="C25" i="108"/>
  <c r="C21" i="108"/>
  <c r="C17" i="108"/>
  <c r="C24" i="107"/>
  <c r="C20" i="107"/>
  <c r="C16" i="107"/>
  <c r="C25" i="104"/>
  <c r="C21" i="104"/>
  <c r="C17" i="104"/>
  <c r="C24" i="103"/>
  <c r="C20" i="103"/>
  <c r="C16" i="103"/>
  <c r="C25" i="100"/>
  <c r="C21" i="100"/>
  <c r="C17" i="100"/>
  <c r="C24" i="99"/>
  <c r="C20" i="99"/>
  <c r="C16" i="99"/>
  <c r="C25" i="96"/>
  <c r="C21" i="96"/>
  <c r="C17" i="96"/>
  <c r="C24" i="95"/>
  <c r="C20" i="95"/>
  <c r="C25" i="92"/>
  <c r="C21" i="92"/>
  <c r="C17" i="92"/>
  <c r="C24" i="91"/>
  <c r="C25" i="88"/>
  <c r="C21" i="88"/>
  <c r="C17" i="88"/>
  <c r="C24" i="104"/>
  <c r="C24" i="100"/>
  <c r="C20" i="100"/>
  <c r="C24" i="96"/>
  <c r="C24" i="92"/>
  <c r="C20" i="92"/>
  <c r="C22" i="90"/>
  <c r="C24" i="88"/>
  <c r="C20" i="88"/>
  <c r="C22" i="123"/>
  <c r="C22" i="119"/>
  <c r="C22" i="115"/>
  <c r="C22" i="111"/>
  <c r="C22" i="107"/>
  <c r="F79" i="88" l="1"/>
  <c r="F79" i="89"/>
  <c r="F79" i="90"/>
  <c r="F79" i="91"/>
  <c r="F79" i="92"/>
  <c r="F79" i="93"/>
  <c r="F79" i="94"/>
  <c r="F79" i="95"/>
  <c r="F79" i="96"/>
  <c r="F79" i="97"/>
  <c r="F79" i="98"/>
  <c r="F79" i="99"/>
  <c r="F79" i="100"/>
  <c r="F79" i="101"/>
  <c r="F79" i="102"/>
  <c r="F79" i="103"/>
  <c r="F79" i="104"/>
  <c r="F79" i="105"/>
  <c r="F79" i="106"/>
  <c r="F79" i="107"/>
  <c r="F79" i="108"/>
  <c r="F79" i="109"/>
  <c r="F79" i="110"/>
  <c r="F79" i="111"/>
  <c r="F79" i="112"/>
  <c r="F79" i="113"/>
  <c r="F79" i="114"/>
  <c r="F79" i="115"/>
  <c r="F79" i="116"/>
  <c r="F79" i="117"/>
  <c r="F79" i="118"/>
  <c r="F79" i="119"/>
  <c r="F79" i="120"/>
  <c r="F79" i="121"/>
  <c r="F79" i="122"/>
  <c r="F79" i="123"/>
  <c r="F79" i="124"/>
  <c r="F79" i="125"/>
  <c r="F79" i="126"/>
  <c r="F79" i="127"/>
  <c r="F79" i="128"/>
  <c r="F79" i="129"/>
  <c r="F79" i="130"/>
  <c r="F79" i="131"/>
  <c r="F79" i="132"/>
  <c r="F79" i="133"/>
  <c r="F79" i="134"/>
  <c r="F79" i="135"/>
  <c r="F79" i="136"/>
  <c r="F79" i="138"/>
  <c r="F79" i="139"/>
  <c r="F79" i="140"/>
  <c r="F79" i="141"/>
  <c r="F79" i="142"/>
  <c r="F79" i="143"/>
  <c r="F79" i="144"/>
  <c r="F79" i="145"/>
  <c r="F79" i="152"/>
  <c r="F79" i="22"/>
  <c r="AM16" i="3" l="1"/>
  <c r="AL16" i="3"/>
  <c r="B129" i="1" l="1"/>
  <c r="C3" i="156" l="1"/>
  <c r="C2" i="156"/>
  <c r="D3" i="156"/>
  <c r="G39" i="156" s="1"/>
  <c r="G44" i="156" l="1"/>
  <c r="G36" i="156"/>
  <c r="G68" i="156"/>
  <c r="G52" i="156"/>
  <c r="G60" i="156"/>
  <c r="G65" i="156"/>
  <c r="G57" i="156"/>
  <c r="G49" i="156"/>
  <c r="G41" i="156"/>
  <c r="G33" i="156"/>
  <c r="G25" i="156"/>
  <c r="G75" i="156"/>
  <c r="G73" i="156"/>
  <c r="G71" i="156"/>
  <c r="G69" i="156"/>
  <c r="G64" i="156"/>
  <c r="G56" i="156"/>
  <c r="G48" i="156"/>
  <c r="G40" i="156"/>
  <c r="G32" i="156"/>
  <c r="G24" i="156"/>
  <c r="G61" i="156"/>
  <c r="G53" i="156"/>
  <c r="G45" i="156"/>
  <c r="G37" i="156"/>
  <c r="G29" i="156"/>
  <c r="G20" i="156"/>
  <c r="G76" i="156"/>
  <c r="G74" i="156"/>
  <c r="G72" i="156"/>
  <c r="G70" i="156"/>
  <c r="G28" i="156"/>
  <c r="G67" i="156"/>
  <c r="G63" i="156"/>
  <c r="G59" i="156"/>
  <c r="G55" i="156"/>
  <c r="G51" i="156"/>
  <c r="G47" i="156"/>
  <c r="G43" i="156"/>
  <c r="G35" i="156"/>
  <c r="G31" i="156"/>
  <c r="G27" i="156"/>
  <c r="G23" i="156"/>
  <c r="G19" i="156"/>
  <c r="G66" i="156"/>
  <c r="G62" i="156"/>
  <c r="G58" i="156"/>
  <c r="G54" i="156"/>
  <c r="G50" i="156"/>
  <c r="G46" i="156"/>
  <c r="G42" i="156"/>
  <c r="G38" i="156"/>
  <c r="G34" i="156"/>
  <c r="G30" i="156"/>
  <c r="G26" i="156"/>
  <c r="G22" i="156"/>
  <c r="G18" i="156"/>
  <c r="G21" i="156"/>
  <c r="G17" i="156"/>
  <c r="AE15" i="3" l="1" a="1"/>
  <c r="AG15" i="3" l="1"/>
  <c r="I15" i="3" s="1"/>
  <c r="AF16" i="3"/>
  <c r="AF77" i="3" s="1"/>
  <c r="AH16" i="3"/>
  <c r="AH77" i="3" s="1"/>
  <c r="AF15" i="3"/>
  <c r="AH15" i="3"/>
  <c r="J15" i="3" s="1"/>
  <c r="AE16" i="3"/>
  <c r="AE77" i="3" s="1"/>
  <c r="AG16" i="3"/>
  <c r="AE15" i="3"/>
  <c r="E15" i="3" s="1"/>
  <c r="F24" i="1"/>
  <c r="E24" i="1"/>
  <c r="AA78" i="3" l="1"/>
  <c r="D15" i="7" a="1"/>
  <c r="G15" i="7" s="1"/>
  <c r="AA16" i="2"/>
  <c r="BL16" i="2" s="1"/>
  <c r="AA15" i="2"/>
  <c r="D15" i="7" l="1"/>
  <c r="G16" i="7"/>
  <c r="J15" i="7"/>
  <c r="F15" i="7"/>
  <c r="J16" i="7"/>
  <c r="F16" i="7"/>
  <c r="F16" i="177" s="1"/>
  <c r="I15" i="7"/>
  <c r="E15" i="7"/>
  <c r="I16" i="7"/>
  <c r="E16" i="7"/>
  <c r="E16" i="177" s="1"/>
  <c r="H15" i="7"/>
  <c r="H16" i="7"/>
  <c r="D16" i="7"/>
  <c r="V15" i="88" a="1"/>
  <c r="V15" i="88" s="1"/>
  <c r="V15" i="89" a="1"/>
  <c r="W15" i="89" s="1"/>
  <c r="V15" i="90" a="1"/>
  <c r="V15" i="90" s="1"/>
  <c r="V15" i="91" a="1"/>
  <c r="W15" i="91" s="1"/>
  <c r="V15" i="92" a="1"/>
  <c r="V15" i="92" s="1"/>
  <c r="V15" i="93" a="1"/>
  <c r="W15" i="93" s="1"/>
  <c r="V15" i="94" a="1"/>
  <c r="V15" i="94" s="1"/>
  <c r="V15" i="95" a="1"/>
  <c r="W15" i="95" s="1"/>
  <c r="V15" i="96" a="1"/>
  <c r="V15" i="96" s="1"/>
  <c r="V15" i="97" a="1"/>
  <c r="W15" i="97" s="1"/>
  <c r="V15" i="98" a="1"/>
  <c r="W15" i="98" s="1"/>
  <c r="V15" i="99" a="1"/>
  <c r="W15" i="99" s="1"/>
  <c r="V15" i="100" a="1"/>
  <c r="V15" i="100" s="1"/>
  <c r="V15" i="101" a="1"/>
  <c r="V15" i="101" s="1"/>
  <c r="V15" i="102" a="1"/>
  <c r="W15" i="102" s="1"/>
  <c r="V15" i="103" a="1"/>
  <c r="W15" i="103" s="1"/>
  <c r="V15" i="104" a="1"/>
  <c r="V15" i="104" s="1"/>
  <c r="V15" i="105" a="1"/>
  <c r="V15" i="105" s="1"/>
  <c r="V15" i="106" a="1"/>
  <c r="V15" i="106" s="1"/>
  <c r="V15" i="107" a="1"/>
  <c r="W15" i="107" s="1"/>
  <c r="V15" i="108" a="1"/>
  <c r="V15" i="108" s="1"/>
  <c r="V15" i="109" a="1"/>
  <c r="W15" i="109" s="1"/>
  <c r="V15" i="110" a="1"/>
  <c r="V15" i="110" s="1"/>
  <c r="V15" i="111" a="1"/>
  <c r="W15" i="111" s="1"/>
  <c r="V15" i="112" a="1"/>
  <c r="V15" i="112" s="1"/>
  <c r="V15" i="113" a="1"/>
  <c r="V15" i="113" s="1"/>
  <c r="V15" i="114" a="1"/>
  <c r="V15" i="114" s="1"/>
  <c r="V15" i="115" a="1"/>
  <c r="W15" i="115" s="1"/>
  <c r="V15" i="116" a="1"/>
  <c r="V15" i="116" s="1"/>
  <c r="V15" i="117" a="1"/>
  <c r="W15" i="117" s="1"/>
  <c r="V15" i="118" a="1"/>
  <c r="V15" i="118" s="1"/>
  <c r="V15" i="119" a="1"/>
  <c r="W15" i="119" s="1"/>
  <c r="V15" i="120" a="1"/>
  <c r="V15" i="120" s="1"/>
  <c r="V15" i="121" a="1"/>
  <c r="W15" i="121" s="1"/>
  <c r="V15" i="122" a="1"/>
  <c r="V15" i="122" s="1"/>
  <c r="V15" i="123" a="1"/>
  <c r="W15" i="123" s="1"/>
  <c r="V15" i="124" a="1"/>
  <c r="V15" i="124" s="1"/>
  <c r="V15" i="125" a="1"/>
  <c r="V15" i="125" s="1"/>
  <c r="V15" i="126" a="1"/>
  <c r="V15" i="126" s="1"/>
  <c r="V15" i="127" a="1"/>
  <c r="V15" i="127" s="1"/>
  <c r="V15" i="128" a="1"/>
  <c r="W15" i="128" s="1"/>
  <c r="V15" i="129" a="1"/>
  <c r="V15" i="129" s="1"/>
  <c r="V15" i="130" a="1"/>
  <c r="V15" i="130" s="1"/>
  <c r="V15" i="131" a="1"/>
  <c r="W15" i="131" s="1"/>
  <c r="V15" i="132" a="1"/>
  <c r="W15" i="132" s="1"/>
  <c r="V15" i="133" a="1"/>
  <c r="V15" i="133" s="1"/>
  <c r="V15" i="134" a="1"/>
  <c r="W15" i="134" s="1"/>
  <c r="V15" i="135" a="1"/>
  <c r="W15" i="135" s="1"/>
  <c r="V15" i="136" a="1"/>
  <c r="W15" i="136" s="1"/>
  <c r="V15" i="137" a="1"/>
  <c r="V15" i="137" s="1"/>
  <c r="V15" i="138" a="1"/>
  <c r="W15" i="138" s="1"/>
  <c r="V15" i="139" a="1"/>
  <c r="W15" i="139" s="1"/>
  <c r="V15" i="140" a="1"/>
  <c r="W15" i="140" s="1"/>
  <c r="V15" i="141" a="1"/>
  <c r="V15" i="141" s="1"/>
  <c r="V15" i="142" a="1"/>
  <c r="W15" i="142" s="1"/>
  <c r="V15" i="143" a="1"/>
  <c r="W15" i="143" s="1"/>
  <c r="V15" i="144" a="1"/>
  <c r="W15" i="144" s="1"/>
  <c r="V15" i="145" a="1"/>
  <c r="V15" i="145" s="1"/>
  <c r="V15" i="152" a="1"/>
  <c r="W15" i="152" s="1"/>
  <c r="V15" i="22" a="1"/>
  <c r="W15" i="22" s="1"/>
  <c r="I21" i="88"/>
  <c r="I21" i="89"/>
  <c r="I21" i="90"/>
  <c r="I21" i="91"/>
  <c r="I21" i="92"/>
  <c r="I21" i="93"/>
  <c r="I21" i="94"/>
  <c r="I21" i="95"/>
  <c r="I21" i="96"/>
  <c r="I21" i="97"/>
  <c r="I21" i="98"/>
  <c r="I21" i="99"/>
  <c r="I21" i="100"/>
  <c r="I21" i="101"/>
  <c r="I21" i="102"/>
  <c r="I21" i="103"/>
  <c r="I21" i="104"/>
  <c r="I21" i="105"/>
  <c r="I21" i="106"/>
  <c r="I21" i="107"/>
  <c r="I21" i="108"/>
  <c r="I21" i="109"/>
  <c r="I21" i="110"/>
  <c r="I21" i="111"/>
  <c r="I21" i="112"/>
  <c r="I21" i="113"/>
  <c r="I21" i="114"/>
  <c r="I21" i="115"/>
  <c r="I21" i="116"/>
  <c r="I21" i="117"/>
  <c r="I21" i="118"/>
  <c r="I21" i="119"/>
  <c r="I21" i="120"/>
  <c r="I21" i="121"/>
  <c r="I21" i="122"/>
  <c r="I21" i="123"/>
  <c r="I21" i="124"/>
  <c r="I21" i="125"/>
  <c r="I21" i="126"/>
  <c r="I21" i="127"/>
  <c r="I21" i="128"/>
  <c r="I21" i="129"/>
  <c r="I21" i="130"/>
  <c r="I21" i="131"/>
  <c r="I21" i="132"/>
  <c r="I21" i="133"/>
  <c r="I21" i="134"/>
  <c r="I21" i="135"/>
  <c r="I21" i="136"/>
  <c r="I21" i="137"/>
  <c r="I21" i="138"/>
  <c r="I21" i="139"/>
  <c r="I21" i="140"/>
  <c r="I21" i="141"/>
  <c r="I21" i="142"/>
  <c r="I21" i="143"/>
  <c r="I21" i="144"/>
  <c r="I21" i="145"/>
  <c r="I21" i="152"/>
  <c r="I21" i="22"/>
  <c r="I20" i="88"/>
  <c r="I20" i="89"/>
  <c r="I20" i="90"/>
  <c r="I20" i="91"/>
  <c r="I20" i="92"/>
  <c r="I20" i="93"/>
  <c r="I20" i="94"/>
  <c r="I20" i="95"/>
  <c r="I20" i="96"/>
  <c r="I20" i="97"/>
  <c r="I20" i="98"/>
  <c r="I20" i="99"/>
  <c r="I20" i="100"/>
  <c r="I20" i="101"/>
  <c r="I20" i="102"/>
  <c r="I20" i="103"/>
  <c r="I20" i="104"/>
  <c r="I20" i="105"/>
  <c r="I20" i="106"/>
  <c r="I20" i="107"/>
  <c r="I20" i="108"/>
  <c r="I20" i="109"/>
  <c r="I20" i="110"/>
  <c r="I20" i="111"/>
  <c r="I20" i="112"/>
  <c r="I20" i="113"/>
  <c r="I20" i="114"/>
  <c r="I20" i="115"/>
  <c r="I20" i="116"/>
  <c r="I20" i="117"/>
  <c r="I20" i="118"/>
  <c r="I20" i="119"/>
  <c r="I20" i="120"/>
  <c r="I20" i="121"/>
  <c r="I20" i="122"/>
  <c r="I20" i="123"/>
  <c r="I20" i="124"/>
  <c r="I20" i="125"/>
  <c r="I20" i="126"/>
  <c r="I20" i="127"/>
  <c r="I20" i="128"/>
  <c r="I20" i="129"/>
  <c r="I20" i="130"/>
  <c r="I20" i="131"/>
  <c r="I20" i="132"/>
  <c r="I20" i="133"/>
  <c r="I20" i="134"/>
  <c r="I20" i="135"/>
  <c r="I20" i="136"/>
  <c r="I20" i="137"/>
  <c r="I20" i="138"/>
  <c r="I20" i="139"/>
  <c r="I20" i="140"/>
  <c r="I20" i="141"/>
  <c r="I20" i="142"/>
  <c r="I20" i="143"/>
  <c r="I20" i="144"/>
  <c r="I20" i="145"/>
  <c r="I20" i="152"/>
  <c r="I20" i="22"/>
  <c r="D4" i="154"/>
  <c r="D5" i="154"/>
  <c r="D6" i="154"/>
  <c r="C5" i="154"/>
  <c r="C6" i="154"/>
  <c r="C7" i="154"/>
  <c r="C8" i="154"/>
  <c r="C9" i="154"/>
  <c r="C10" i="154"/>
  <c r="C11" i="154"/>
  <c r="C12" i="154"/>
  <c r="C13" i="154"/>
  <c r="C4" i="154"/>
  <c r="D16" i="154" s="1"/>
  <c r="V15" i="121" l="1"/>
  <c r="V15" i="138"/>
  <c r="V15" i="99"/>
  <c r="V15" i="109"/>
  <c r="V15" i="134"/>
  <c r="W15" i="105"/>
  <c r="V15" i="103"/>
  <c r="V15" i="91"/>
  <c r="V15" i="97"/>
  <c r="W15" i="129"/>
  <c r="V15" i="123"/>
  <c r="V15" i="117"/>
  <c r="V15" i="102"/>
  <c r="W15" i="90"/>
  <c r="W15" i="137"/>
  <c r="W15" i="125"/>
  <c r="V15" i="144"/>
  <c r="V15" i="140"/>
  <c r="V15" i="135"/>
  <c r="V15" i="132"/>
  <c r="W15" i="130"/>
  <c r="V15" i="119"/>
  <c r="V15" i="115"/>
  <c r="W15" i="113"/>
  <c r="V15" i="111"/>
  <c r="V15" i="107"/>
  <c r="V15" i="95"/>
  <c r="V15" i="93"/>
  <c r="V15" i="89"/>
  <c r="W15" i="145"/>
  <c r="W15" i="141"/>
  <c r="W15" i="133"/>
  <c r="W15" i="126"/>
  <c r="W15" i="122"/>
  <c r="W15" i="101"/>
  <c r="V15" i="22"/>
  <c r="V15" i="143"/>
  <c r="V15" i="139"/>
  <c r="V15" i="136"/>
  <c r="V15" i="131"/>
  <c r="V15" i="128"/>
  <c r="W15" i="118"/>
  <c r="W15" i="114"/>
  <c r="W15" i="110"/>
  <c r="W15" i="106"/>
  <c r="W15" i="94"/>
  <c r="V15" i="152"/>
  <c r="V15" i="142"/>
  <c r="W15" i="127"/>
  <c r="V15" i="98"/>
  <c r="W15" i="124"/>
  <c r="W15" i="120"/>
  <c r="W15" i="116"/>
  <c r="W15" i="112"/>
  <c r="W15" i="108"/>
  <c r="W15" i="104"/>
  <c r="W15" i="100"/>
  <c r="W15" i="96"/>
  <c r="W15" i="92"/>
  <c r="W15" i="88"/>
  <c r="AO16" i="3"/>
  <c r="AN16" i="3"/>
  <c r="AN77" i="3" s="1"/>
  <c r="Z29" i="88" l="1"/>
  <c r="Z30" i="88"/>
  <c r="Z31" i="88"/>
  <c r="Z32" i="88"/>
  <c r="Z33" i="88"/>
  <c r="Z34" i="88"/>
  <c r="Z35" i="88"/>
  <c r="Z36" i="88"/>
  <c r="Z37" i="88"/>
  <c r="Z38" i="88"/>
  <c r="Z39" i="88"/>
  <c r="Z40" i="88"/>
  <c r="Z41" i="88"/>
  <c r="Z42" i="88"/>
  <c r="Z43" i="88"/>
  <c r="Z44" i="88"/>
  <c r="Z45" i="88"/>
  <c r="Z46" i="88"/>
  <c r="Z47" i="88"/>
  <c r="Z48" i="88"/>
  <c r="Z49" i="88"/>
  <c r="Z50" i="88"/>
  <c r="Z51" i="88"/>
  <c r="Z52" i="88"/>
  <c r="Z53" i="88"/>
  <c r="Z54" i="88"/>
  <c r="Z55" i="88"/>
  <c r="Z56" i="88"/>
  <c r="Z57" i="88"/>
  <c r="Z58" i="88"/>
  <c r="Z59" i="88"/>
  <c r="Z60" i="88"/>
  <c r="Z61" i="88"/>
  <c r="Z62" i="88"/>
  <c r="Z63" i="88"/>
  <c r="Z64" i="88"/>
  <c r="Z65" i="88"/>
  <c r="Z66" i="88"/>
  <c r="Z67" i="88"/>
  <c r="Z68" i="88"/>
  <c r="Z69" i="88"/>
  <c r="Z70" i="88"/>
  <c r="Z71" i="88"/>
  <c r="Z72" i="88"/>
  <c r="Z73" i="88"/>
  <c r="Z74" i="88"/>
  <c r="Z75" i="88"/>
  <c r="Z76" i="88"/>
  <c r="Z77" i="88"/>
  <c r="Z29" i="89"/>
  <c r="Z30" i="89"/>
  <c r="Z31" i="89"/>
  <c r="Z32" i="89"/>
  <c r="Z33" i="89"/>
  <c r="Z34" i="89"/>
  <c r="Z35" i="89"/>
  <c r="Z36" i="89"/>
  <c r="Z37" i="89"/>
  <c r="Z38" i="89"/>
  <c r="Z39" i="89"/>
  <c r="Z40" i="89"/>
  <c r="Z41" i="89"/>
  <c r="Z42" i="89"/>
  <c r="Z43" i="89"/>
  <c r="Z44" i="89"/>
  <c r="Z45" i="89"/>
  <c r="Z46" i="89"/>
  <c r="Z47" i="89"/>
  <c r="Z48" i="89"/>
  <c r="Z49" i="89"/>
  <c r="Z50" i="89"/>
  <c r="Z51" i="89"/>
  <c r="Z52" i="89"/>
  <c r="Z53" i="89"/>
  <c r="Z54" i="89"/>
  <c r="Z55" i="89"/>
  <c r="Z56" i="89"/>
  <c r="Z57" i="89"/>
  <c r="Z58" i="89"/>
  <c r="Z59" i="89"/>
  <c r="Z60" i="89"/>
  <c r="Z61" i="89"/>
  <c r="Z62" i="89"/>
  <c r="Z63" i="89"/>
  <c r="Z64" i="89"/>
  <c r="Z65" i="89"/>
  <c r="Z66" i="89"/>
  <c r="Z67" i="89"/>
  <c r="Z68" i="89"/>
  <c r="Z69" i="89"/>
  <c r="Z70" i="89"/>
  <c r="Z71" i="89"/>
  <c r="Z72" i="89"/>
  <c r="Z73" i="89"/>
  <c r="Z74" i="89"/>
  <c r="Z75" i="89"/>
  <c r="Z76" i="89"/>
  <c r="Z77" i="89"/>
  <c r="Z29" i="90"/>
  <c r="Z30" i="90"/>
  <c r="Z31" i="90"/>
  <c r="Z32" i="90"/>
  <c r="Z33" i="90"/>
  <c r="Z34" i="90"/>
  <c r="Z35" i="90"/>
  <c r="Z36" i="90"/>
  <c r="Z37" i="90"/>
  <c r="Z38" i="90"/>
  <c r="Z39" i="90"/>
  <c r="Z40" i="90"/>
  <c r="Z41" i="90"/>
  <c r="Z42" i="90"/>
  <c r="Z43" i="90"/>
  <c r="Z44" i="90"/>
  <c r="Z45" i="90"/>
  <c r="Z46" i="90"/>
  <c r="Z47" i="90"/>
  <c r="Z48" i="90"/>
  <c r="Z49" i="90"/>
  <c r="Z50" i="90"/>
  <c r="Z51" i="90"/>
  <c r="Z52" i="90"/>
  <c r="Z53" i="90"/>
  <c r="Z54" i="90"/>
  <c r="Z55" i="90"/>
  <c r="Z56" i="90"/>
  <c r="Z57" i="90"/>
  <c r="Z58" i="90"/>
  <c r="Z59" i="90"/>
  <c r="Z60" i="90"/>
  <c r="Z61" i="90"/>
  <c r="Z62" i="90"/>
  <c r="Z63" i="90"/>
  <c r="Z64" i="90"/>
  <c r="Z65" i="90"/>
  <c r="Z66" i="90"/>
  <c r="Z67" i="90"/>
  <c r="Z68" i="90"/>
  <c r="Z69" i="90"/>
  <c r="Z70" i="90"/>
  <c r="Z71" i="90"/>
  <c r="Z72" i="90"/>
  <c r="Z73" i="90"/>
  <c r="Z74" i="90"/>
  <c r="Z75" i="90"/>
  <c r="Z76" i="90"/>
  <c r="Z77" i="90"/>
  <c r="Z29" i="91"/>
  <c r="Z30" i="91"/>
  <c r="Z31" i="91"/>
  <c r="Z32" i="91"/>
  <c r="Z33" i="91"/>
  <c r="Z34" i="91"/>
  <c r="Z35" i="91"/>
  <c r="Z36" i="91"/>
  <c r="Z37" i="91"/>
  <c r="Z38" i="91"/>
  <c r="Z39" i="91"/>
  <c r="Z40" i="91"/>
  <c r="Z41" i="91"/>
  <c r="Z42" i="91"/>
  <c r="Z43" i="91"/>
  <c r="Z44" i="91"/>
  <c r="Z45" i="91"/>
  <c r="Z46" i="91"/>
  <c r="Z47" i="91"/>
  <c r="Z48" i="91"/>
  <c r="Z49" i="91"/>
  <c r="Z50" i="91"/>
  <c r="Z51" i="91"/>
  <c r="Z52" i="91"/>
  <c r="Z53" i="91"/>
  <c r="Z54" i="91"/>
  <c r="Z55" i="91"/>
  <c r="Z56" i="91"/>
  <c r="Z57" i="91"/>
  <c r="Z58" i="91"/>
  <c r="Z59" i="91"/>
  <c r="Z60" i="91"/>
  <c r="Z61" i="91"/>
  <c r="Z62" i="91"/>
  <c r="Z63" i="91"/>
  <c r="Z64" i="91"/>
  <c r="Z65" i="91"/>
  <c r="Z66" i="91"/>
  <c r="Z67" i="91"/>
  <c r="Z68" i="91"/>
  <c r="Z69" i="91"/>
  <c r="Z70" i="91"/>
  <c r="Z71" i="91"/>
  <c r="Z72" i="91"/>
  <c r="Z73" i="91"/>
  <c r="Z74" i="91"/>
  <c r="Z75" i="91"/>
  <c r="Z76" i="91"/>
  <c r="Z77" i="91"/>
  <c r="Z29" i="92"/>
  <c r="Z30" i="92"/>
  <c r="Z31" i="92"/>
  <c r="Z32" i="92"/>
  <c r="Z33" i="92"/>
  <c r="Z34" i="92"/>
  <c r="Z35" i="92"/>
  <c r="Z36" i="92"/>
  <c r="Z37" i="92"/>
  <c r="Z38" i="92"/>
  <c r="Z39" i="92"/>
  <c r="Z40" i="92"/>
  <c r="Z41" i="92"/>
  <c r="Z42" i="92"/>
  <c r="Z43" i="92"/>
  <c r="Z44" i="92"/>
  <c r="Z45" i="92"/>
  <c r="Z46" i="92"/>
  <c r="Z47" i="92"/>
  <c r="Z48" i="92"/>
  <c r="Z49" i="92"/>
  <c r="Z50" i="92"/>
  <c r="Z51" i="92"/>
  <c r="Z52" i="92"/>
  <c r="Z53" i="92"/>
  <c r="Z54" i="92"/>
  <c r="Z55" i="92"/>
  <c r="Z56" i="92"/>
  <c r="Z57" i="92"/>
  <c r="Z58" i="92"/>
  <c r="Z59" i="92"/>
  <c r="Z60" i="92"/>
  <c r="Z61" i="92"/>
  <c r="Z62" i="92"/>
  <c r="Z63" i="92"/>
  <c r="Z64" i="92"/>
  <c r="Z65" i="92"/>
  <c r="Z66" i="92"/>
  <c r="Z67" i="92"/>
  <c r="Z68" i="92"/>
  <c r="Z69" i="92"/>
  <c r="Z70" i="92"/>
  <c r="Z71" i="92"/>
  <c r="Z72" i="92"/>
  <c r="Z73" i="92"/>
  <c r="Z74" i="92"/>
  <c r="Z75" i="92"/>
  <c r="Z76" i="92"/>
  <c r="Z77" i="92"/>
  <c r="Z29" i="93"/>
  <c r="Z30" i="93"/>
  <c r="Z31" i="93"/>
  <c r="Z32" i="93"/>
  <c r="Z33" i="93"/>
  <c r="Z34" i="93"/>
  <c r="Z35" i="93"/>
  <c r="Z36" i="93"/>
  <c r="Z37" i="93"/>
  <c r="Z38" i="93"/>
  <c r="Z39" i="93"/>
  <c r="Z40" i="93"/>
  <c r="Z41" i="93"/>
  <c r="Z42" i="93"/>
  <c r="Z43" i="93"/>
  <c r="Z44" i="93"/>
  <c r="Z45" i="93"/>
  <c r="Z46" i="93"/>
  <c r="Z47" i="93"/>
  <c r="Z48" i="93"/>
  <c r="Z49" i="93"/>
  <c r="Z50" i="93"/>
  <c r="Z51" i="93"/>
  <c r="Z52" i="93"/>
  <c r="Z53" i="93"/>
  <c r="Z54" i="93"/>
  <c r="Z55" i="93"/>
  <c r="Z56" i="93"/>
  <c r="Z57" i="93"/>
  <c r="Z58" i="93"/>
  <c r="Z59" i="93"/>
  <c r="Z60" i="93"/>
  <c r="Z61" i="93"/>
  <c r="Z62" i="93"/>
  <c r="Z63" i="93"/>
  <c r="Z64" i="93"/>
  <c r="Z65" i="93"/>
  <c r="Z66" i="93"/>
  <c r="Z67" i="93"/>
  <c r="Z68" i="93"/>
  <c r="Z69" i="93"/>
  <c r="Z70" i="93"/>
  <c r="Z71" i="93"/>
  <c r="Z72" i="93"/>
  <c r="Z73" i="93"/>
  <c r="Z74" i="93"/>
  <c r="Z75" i="93"/>
  <c r="Z76" i="93"/>
  <c r="Z77" i="93"/>
  <c r="Z29" i="94"/>
  <c r="Z30" i="94"/>
  <c r="Z31" i="94"/>
  <c r="Z32" i="94"/>
  <c r="Z33" i="94"/>
  <c r="Z34" i="94"/>
  <c r="Z35" i="94"/>
  <c r="Z36" i="94"/>
  <c r="Z37" i="94"/>
  <c r="Z38" i="94"/>
  <c r="Z39" i="94"/>
  <c r="Z40" i="94"/>
  <c r="Z41" i="94"/>
  <c r="Z42" i="94"/>
  <c r="Z43" i="94"/>
  <c r="Z44" i="94"/>
  <c r="Z45" i="94"/>
  <c r="Z46" i="94"/>
  <c r="Z47" i="94"/>
  <c r="Z48" i="94"/>
  <c r="Z49" i="94"/>
  <c r="Z50" i="94"/>
  <c r="Z51" i="94"/>
  <c r="Z52" i="94"/>
  <c r="Z53" i="94"/>
  <c r="Z54" i="94"/>
  <c r="Z55" i="94"/>
  <c r="Z56" i="94"/>
  <c r="Z57" i="94"/>
  <c r="Z58" i="94"/>
  <c r="Z59" i="94"/>
  <c r="Z60" i="94"/>
  <c r="Z61" i="94"/>
  <c r="Z62" i="94"/>
  <c r="Z63" i="94"/>
  <c r="Z64" i="94"/>
  <c r="Z65" i="94"/>
  <c r="Z66" i="94"/>
  <c r="Z67" i="94"/>
  <c r="Z68" i="94"/>
  <c r="Z69" i="94"/>
  <c r="Z70" i="94"/>
  <c r="Z71" i="94"/>
  <c r="Z72" i="94"/>
  <c r="Z73" i="94"/>
  <c r="Z74" i="94"/>
  <c r="Z75" i="94"/>
  <c r="Z76" i="94"/>
  <c r="Z77" i="94"/>
  <c r="Z29" i="95"/>
  <c r="Z30" i="95"/>
  <c r="Z31" i="95"/>
  <c r="Z32" i="95"/>
  <c r="Z33" i="95"/>
  <c r="Z34" i="95"/>
  <c r="Z35" i="95"/>
  <c r="Z36" i="95"/>
  <c r="Z37" i="95"/>
  <c r="Z38" i="95"/>
  <c r="Z39" i="95"/>
  <c r="Z40" i="95"/>
  <c r="Z41" i="95"/>
  <c r="Z42" i="95"/>
  <c r="Z43" i="95"/>
  <c r="Z44" i="95"/>
  <c r="Z45" i="95"/>
  <c r="Z46" i="95"/>
  <c r="Z47" i="95"/>
  <c r="Z48" i="95"/>
  <c r="Z49" i="95"/>
  <c r="Z50" i="95"/>
  <c r="Z51" i="95"/>
  <c r="Z52" i="95"/>
  <c r="Z53" i="95"/>
  <c r="Z54" i="95"/>
  <c r="Z55" i="95"/>
  <c r="Z56" i="95"/>
  <c r="Z57" i="95"/>
  <c r="Z58" i="95"/>
  <c r="Z59" i="95"/>
  <c r="Z60" i="95"/>
  <c r="Z61" i="95"/>
  <c r="Z62" i="95"/>
  <c r="Z63" i="95"/>
  <c r="Z64" i="95"/>
  <c r="Z65" i="95"/>
  <c r="Z66" i="95"/>
  <c r="Z67" i="95"/>
  <c r="Z68" i="95"/>
  <c r="Z69" i="95"/>
  <c r="Z70" i="95"/>
  <c r="Z71" i="95"/>
  <c r="Z72" i="95"/>
  <c r="Z73" i="95"/>
  <c r="Z74" i="95"/>
  <c r="Z75" i="95"/>
  <c r="Z76" i="95"/>
  <c r="Z77" i="95"/>
  <c r="Z29" i="96"/>
  <c r="Z30" i="96"/>
  <c r="Z31" i="96"/>
  <c r="Z32" i="96"/>
  <c r="Z33" i="96"/>
  <c r="Z34" i="96"/>
  <c r="Z35" i="96"/>
  <c r="Z36" i="96"/>
  <c r="Z37" i="96"/>
  <c r="Z38" i="96"/>
  <c r="Z39" i="96"/>
  <c r="Z40" i="96"/>
  <c r="Z41" i="96"/>
  <c r="Z42" i="96"/>
  <c r="Z43" i="96"/>
  <c r="Z44" i="96"/>
  <c r="Z45" i="96"/>
  <c r="Z46" i="96"/>
  <c r="Z47" i="96"/>
  <c r="Z48" i="96"/>
  <c r="Z49" i="96"/>
  <c r="Z50" i="96"/>
  <c r="Z51" i="96"/>
  <c r="Z52" i="96"/>
  <c r="Z53" i="96"/>
  <c r="Z54" i="96"/>
  <c r="Z55" i="96"/>
  <c r="Z56" i="96"/>
  <c r="Z57" i="96"/>
  <c r="Z58" i="96"/>
  <c r="Z59" i="96"/>
  <c r="Z60" i="96"/>
  <c r="Z61" i="96"/>
  <c r="Z62" i="96"/>
  <c r="Z63" i="96"/>
  <c r="Z64" i="96"/>
  <c r="Z65" i="96"/>
  <c r="Z66" i="96"/>
  <c r="Z67" i="96"/>
  <c r="Z68" i="96"/>
  <c r="Z69" i="96"/>
  <c r="Z70" i="96"/>
  <c r="Z71" i="96"/>
  <c r="Z72" i="96"/>
  <c r="Z73" i="96"/>
  <c r="Z74" i="96"/>
  <c r="Z75" i="96"/>
  <c r="Z76" i="96"/>
  <c r="Z77" i="96"/>
  <c r="Z29" i="97"/>
  <c r="Z30" i="97"/>
  <c r="Z31" i="97"/>
  <c r="Z32" i="97"/>
  <c r="Z33" i="97"/>
  <c r="Z34" i="97"/>
  <c r="Z35" i="97"/>
  <c r="Z36" i="97"/>
  <c r="Z37" i="97"/>
  <c r="Z38" i="97"/>
  <c r="Z39" i="97"/>
  <c r="Z40" i="97"/>
  <c r="Z41" i="97"/>
  <c r="Z42" i="97"/>
  <c r="Z43" i="97"/>
  <c r="Z44" i="97"/>
  <c r="Z45" i="97"/>
  <c r="Z46" i="97"/>
  <c r="Z47" i="97"/>
  <c r="Z48" i="97"/>
  <c r="Z49" i="97"/>
  <c r="Z50" i="97"/>
  <c r="Z51" i="97"/>
  <c r="Z52" i="97"/>
  <c r="Z53" i="97"/>
  <c r="Z54" i="97"/>
  <c r="Z55" i="97"/>
  <c r="Z56" i="97"/>
  <c r="Z57" i="97"/>
  <c r="Z58" i="97"/>
  <c r="Z59" i="97"/>
  <c r="Z60" i="97"/>
  <c r="Z61" i="97"/>
  <c r="Z62" i="97"/>
  <c r="Z63" i="97"/>
  <c r="Z64" i="97"/>
  <c r="Z65" i="97"/>
  <c r="Z66" i="97"/>
  <c r="Z67" i="97"/>
  <c r="Z68" i="97"/>
  <c r="Z69" i="97"/>
  <c r="Z70" i="97"/>
  <c r="Z71" i="97"/>
  <c r="Z72" i="97"/>
  <c r="Z73" i="97"/>
  <c r="Z74" i="97"/>
  <c r="Z75" i="97"/>
  <c r="Z76" i="97"/>
  <c r="Z77" i="97"/>
  <c r="Z29" i="98"/>
  <c r="Z30" i="98"/>
  <c r="Z31" i="98"/>
  <c r="Z32" i="98"/>
  <c r="Z33" i="98"/>
  <c r="Z34" i="98"/>
  <c r="Z35" i="98"/>
  <c r="Z36" i="98"/>
  <c r="Z37" i="98"/>
  <c r="Z38" i="98"/>
  <c r="Z39" i="98"/>
  <c r="Z40" i="98"/>
  <c r="Z41" i="98"/>
  <c r="Z42" i="98"/>
  <c r="Z43" i="98"/>
  <c r="Z44" i="98"/>
  <c r="Z45" i="98"/>
  <c r="Z46" i="98"/>
  <c r="Z47" i="98"/>
  <c r="Z48" i="98"/>
  <c r="Z49" i="98"/>
  <c r="Z50" i="98"/>
  <c r="Z51" i="98"/>
  <c r="Z52" i="98"/>
  <c r="Z53" i="98"/>
  <c r="Z54" i="98"/>
  <c r="Z55" i="98"/>
  <c r="Z56" i="98"/>
  <c r="Z57" i="98"/>
  <c r="Z58" i="98"/>
  <c r="Z59" i="98"/>
  <c r="Z60" i="98"/>
  <c r="Z61" i="98"/>
  <c r="Z62" i="98"/>
  <c r="Z63" i="98"/>
  <c r="Z64" i="98"/>
  <c r="Z65" i="98"/>
  <c r="Z66" i="98"/>
  <c r="Z67" i="98"/>
  <c r="Z68" i="98"/>
  <c r="Z69" i="98"/>
  <c r="Z70" i="98"/>
  <c r="Z71" i="98"/>
  <c r="Z72" i="98"/>
  <c r="Z73" i="98"/>
  <c r="Z74" i="98"/>
  <c r="Z75" i="98"/>
  <c r="Z76" i="98"/>
  <c r="Z77" i="98"/>
  <c r="Z29" i="99"/>
  <c r="Z30" i="99"/>
  <c r="Z31" i="99"/>
  <c r="Z32" i="99"/>
  <c r="Z33" i="99"/>
  <c r="Z34" i="99"/>
  <c r="Z35" i="99"/>
  <c r="Z36" i="99"/>
  <c r="Z37" i="99"/>
  <c r="Z38" i="99"/>
  <c r="Z39" i="99"/>
  <c r="Z40" i="99"/>
  <c r="Z41" i="99"/>
  <c r="Z42" i="99"/>
  <c r="Z43" i="99"/>
  <c r="Z44" i="99"/>
  <c r="Z45" i="99"/>
  <c r="Z46" i="99"/>
  <c r="Z47" i="99"/>
  <c r="Z48" i="99"/>
  <c r="Z49" i="99"/>
  <c r="Z50" i="99"/>
  <c r="Z51" i="99"/>
  <c r="Z52" i="99"/>
  <c r="Z53" i="99"/>
  <c r="Z54" i="99"/>
  <c r="Z55" i="99"/>
  <c r="Z56" i="99"/>
  <c r="Z57" i="99"/>
  <c r="Z58" i="99"/>
  <c r="Z59" i="99"/>
  <c r="Z60" i="99"/>
  <c r="Z61" i="99"/>
  <c r="Z62" i="99"/>
  <c r="Z63" i="99"/>
  <c r="Z64" i="99"/>
  <c r="Z65" i="99"/>
  <c r="Z66" i="99"/>
  <c r="Z67" i="99"/>
  <c r="Z68" i="99"/>
  <c r="Z69" i="99"/>
  <c r="Z70" i="99"/>
  <c r="Z71" i="99"/>
  <c r="Z72" i="99"/>
  <c r="Z73" i="99"/>
  <c r="Z74" i="99"/>
  <c r="Z75" i="99"/>
  <c r="Z76" i="99"/>
  <c r="Z77" i="99"/>
  <c r="Z29" i="100"/>
  <c r="Z30" i="100"/>
  <c r="Z31" i="100"/>
  <c r="Z32" i="100"/>
  <c r="Z33" i="100"/>
  <c r="Z34" i="100"/>
  <c r="Z35" i="100"/>
  <c r="Z36" i="100"/>
  <c r="Z37" i="100"/>
  <c r="Z38" i="100"/>
  <c r="Z39" i="100"/>
  <c r="Z40" i="100"/>
  <c r="Z41" i="100"/>
  <c r="Z42" i="100"/>
  <c r="Z43" i="100"/>
  <c r="Z44" i="100"/>
  <c r="Z45" i="100"/>
  <c r="Z46" i="100"/>
  <c r="Z47" i="100"/>
  <c r="Z48" i="100"/>
  <c r="Z49" i="100"/>
  <c r="Z50" i="100"/>
  <c r="Z51" i="100"/>
  <c r="Z52" i="100"/>
  <c r="Z53" i="100"/>
  <c r="Z54" i="100"/>
  <c r="Z55" i="100"/>
  <c r="Z56" i="100"/>
  <c r="Z57" i="100"/>
  <c r="Z58" i="100"/>
  <c r="Z59" i="100"/>
  <c r="Z60" i="100"/>
  <c r="Z61" i="100"/>
  <c r="Z62" i="100"/>
  <c r="Z63" i="100"/>
  <c r="Z64" i="100"/>
  <c r="Z65" i="100"/>
  <c r="Z66" i="100"/>
  <c r="Z67" i="100"/>
  <c r="Z68" i="100"/>
  <c r="Z69" i="100"/>
  <c r="Z70" i="100"/>
  <c r="Z71" i="100"/>
  <c r="Z72" i="100"/>
  <c r="Z73" i="100"/>
  <c r="Z74" i="100"/>
  <c r="Z75" i="100"/>
  <c r="Z76" i="100"/>
  <c r="Z77" i="100"/>
  <c r="Z29" i="101"/>
  <c r="Z30" i="101"/>
  <c r="Z31" i="101"/>
  <c r="Z32" i="101"/>
  <c r="Z33" i="101"/>
  <c r="Z34" i="101"/>
  <c r="Z35" i="101"/>
  <c r="Z36" i="101"/>
  <c r="Z37" i="101"/>
  <c r="Z38" i="101"/>
  <c r="Z39" i="101"/>
  <c r="Z40" i="101"/>
  <c r="Z41" i="101"/>
  <c r="Z42" i="101"/>
  <c r="Z43" i="101"/>
  <c r="Z44" i="101"/>
  <c r="Z45" i="101"/>
  <c r="Z46" i="101"/>
  <c r="Z47" i="101"/>
  <c r="Z48" i="101"/>
  <c r="Z49" i="101"/>
  <c r="Z50" i="101"/>
  <c r="Z51" i="101"/>
  <c r="Z52" i="101"/>
  <c r="Z53" i="101"/>
  <c r="Z54" i="101"/>
  <c r="Z55" i="101"/>
  <c r="Z56" i="101"/>
  <c r="Z57" i="101"/>
  <c r="Z58" i="101"/>
  <c r="Z59" i="101"/>
  <c r="Z60" i="101"/>
  <c r="Z61" i="101"/>
  <c r="Z62" i="101"/>
  <c r="Z63" i="101"/>
  <c r="Z64" i="101"/>
  <c r="Z65" i="101"/>
  <c r="Z66" i="101"/>
  <c r="Z67" i="101"/>
  <c r="Z68" i="101"/>
  <c r="Z69" i="101"/>
  <c r="Z70" i="101"/>
  <c r="Z71" i="101"/>
  <c r="Z72" i="101"/>
  <c r="Z73" i="101"/>
  <c r="Z74" i="101"/>
  <c r="Z75" i="101"/>
  <c r="Z76" i="101"/>
  <c r="Z77" i="101"/>
  <c r="Z29" i="102"/>
  <c r="Z30" i="102"/>
  <c r="Z31" i="102"/>
  <c r="Z32" i="102"/>
  <c r="Z33" i="102"/>
  <c r="Z34" i="102"/>
  <c r="Z35" i="102"/>
  <c r="Z36" i="102"/>
  <c r="Z37" i="102"/>
  <c r="Z38" i="102"/>
  <c r="Z39" i="102"/>
  <c r="Z40" i="102"/>
  <c r="Z41" i="102"/>
  <c r="Z42" i="102"/>
  <c r="Z43" i="102"/>
  <c r="Z44" i="102"/>
  <c r="Z45" i="102"/>
  <c r="Z46" i="102"/>
  <c r="Z47" i="102"/>
  <c r="Z48" i="102"/>
  <c r="Z49" i="102"/>
  <c r="Z50" i="102"/>
  <c r="Z51" i="102"/>
  <c r="Z52" i="102"/>
  <c r="Z53" i="102"/>
  <c r="Z54" i="102"/>
  <c r="Z55" i="102"/>
  <c r="Z56" i="102"/>
  <c r="Z57" i="102"/>
  <c r="Z58" i="102"/>
  <c r="Z59" i="102"/>
  <c r="Z60" i="102"/>
  <c r="Z61" i="102"/>
  <c r="Z62" i="102"/>
  <c r="Z63" i="102"/>
  <c r="Z64" i="102"/>
  <c r="Z65" i="102"/>
  <c r="Z66" i="102"/>
  <c r="Z67" i="102"/>
  <c r="Z68" i="102"/>
  <c r="Z69" i="102"/>
  <c r="Z70" i="102"/>
  <c r="Z71" i="102"/>
  <c r="Z72" i="102"/>
  <c r="Z73" i="102"/>
  <c r="Z74" i="102"/>
  <c r="Z75" i="102"/>
  <c r="Z76" i="102"/>
  <c r="Z77" i="102"/>
  <c r="Z29" i="103"/>
  <c r="Z30" i="103"/>
  <c r="Z31" i="103"/>
  <c r="Z32" i="103"/>
  <c r="Z33" i="103"/>
  <c r="Z34" i="103"/>
  <c r="Z35" i="103"/>
  <c r="Z36" i="103"/>
  <c r="Z37" i="103"/>
  <c r="Z38" i="103"/>
  <c r="Z39" i="103"/>
  <c r="Z40" i="103"/>
  <c r="Z41" i="103"/>
  <c r="Z42" i="103"/>
  <c r="Z43" i="103"/>
  <c r="Z44" i="103"/>
  <c r="Z45" i="103"/>
  <c r="Z46" i="103"/>
  <c r="Z47" i="103"/>
  <c r="Z48" i="103"/>
  <c r="Z49" i="103"/>
  <c r="Z50" i="103"/>
  <c r="Z51" i="103"/>
  <c r="Z52" i="103"/>
  <c r="Z53" i="103"/>
  <c r="Z54" i="103"/>
  <c r="Z55" i="103"/>
  <c r="Z56" i="103"/>
  <c r="Z57" i="103"/>
  <c r="Z58" i="103"/>
  <c r="Z59" i="103"/>
  <c r="Z60" i="103"/>
  <c r="Z61" i="103"/>
  <c r="Z62" i="103"/>
  <c r="Z63" i="103"/>
  <c r="Z64" i="103"/>
  <c r="Z65" i="103"/>
  <c r="Z66" i="103"/>
  <c r="Z67" i="103"/>
  <c r="Z68" i="103"/>
  <c r="Z69" i="103"/>
  <c r="Z70" i="103"/>
  <c r="Z71" i="103"/>
  <c r="Z72" i="103"/>
  <c r="Z73" i="103"/>
  <c r="Z74" i="103"/>
  <c r="Z75" i="103"/>
  <c r="Z76" i="103"/>
  <c r="Z77" i="103"/>
  <c r="Z29" i="104"/>
  <c r="Z30" i="104"/>
  <c r="Z31" i="104"/>
  <c r="Z32" i="104"/>
  <c r="Z33" i="104"/>
  <c r="Z34" i="104"/>
  <c r="Z35" i="104"/>
  <c r="Z36" i="104"/>
  <c r="Z37" i="104"/>
  <c r="Z38" i="104"/>
  <c r="Z39" i="104"/>
  <c r="Z40" i="104"/>
  <c r="Z41" i="104"/>
  <c r="Z42" i="104"/>
  <c r="Z43" i="104"/>
  <c r="Z44" i="104"/>
  <c r="Z45" i="104"/>
  <c r="Z46" i="104"/>
  <c r="Z47" i="104"/>
  <c r="Z48" i="104"/>
  <c r="Z49" i="104"/>
  <c r="Z50" i="104"/>
  <c r="Z51" i="104"/>
  <c r="Z52" i="104"/>
  <c r="Z53" i="104"/>
  <c r="Z54" i="104"/>
  <c r="Z55" i="104"/>
  <c r="Z56" i="104"/>
  <c r="Z57" i="104"/>
  <c r="Z58" i="104"/>
  <c r="Z59" i="104"/>
  <c r="Z60" i="104"/>
  <c r="Z61" i="104"/>
  <c r="Z62" i="104"/>
  <c r="Z63" i="104"/>
  <c r="Z64" i="104"/>
  <c r="Z65" i="104"/>
  <c r="Z66" i="104"/>
  <c r="Z67" i="104"/>
  <c r="Z68" i="104"/>
  <c r="Z69" i="104"/>
  <c r="Z70" i="104"/>
  <c r="Z71" i="104"/>
  <c r="Z72" i="104"/>
  <c r="Z73" i="104"/>
  <c r="Z74" i="104"/>
  <c r="Z75" i="104"/>
  <c r="Z76" i="104"/>
  <c r="Z77" i="104"/>
  <c r="Z29" i="105"/>
  <c r="Z30" i="105"/>
  <c r="Z31" i="105"/>
  <c r="Z32" i="105"/>
  <c r="Z33" i="105"/>
  <c r="Z34" i="105"/>
  <c r="Z35" i="105"/>
  <c r="Z36" i="105"/>
  <c r="Z37" i="105"/>
  <c r="Z38" i="105"/>
  <c r="Z39" i="105"/>
  <c r="Z40" i="105"/>
  <c r="Z41" i="105"/>
  <c r="Z42" i="105"/>
  <c r="Z43" i="105"/>
  <c r="Z44" i="105"/>
  <c r="Z45" i="105"/>
  <c r="Z46" i="105"/>
  <c r="Z47" i="105"/>
  <c r="Z48" i="105"/>
  <c r="Z49" i="105"/>
  <c r="Z50" i="105"/>
  <c r="Z51" i="105"/>
  <c r="Z52" i="105"/>
  <c r="Z53" i="105"/>
  <c r="Z54" i="105"/>
  <c r="Z55" i="105"/>
  <c r="Z56" i="105"/>
  <c r="Z57" i="105"/>
  <c r="Z58" i="105"/>
  <c r="Z59" i="105"/>
  <c r="Z60" i="105"/>
  <c r="Z61" i="105"/>
  <c r="Z62" i="105"/>
  <c r="Z63" i="105"/>
  <c r="Z64" i="105"/>
  <c r="Z65" i="105"/>
  <c r="Z66" i="105"/>
  <c r="Z67" i="105"/>
  <c r="Z68" i="105"/>
  <c r="Z69" i="105"/>
  <c r="Z70" i="105"/>
  <c r="Z71" i="105"/>
  <c r="Z72" i="105"/>
  <c r="Z73" i="105"/>
  <c r="Z74" i="105"/>
  <c r="Z75" i="105"/>
  <c r="Z76" i="105"/>
  <c r="Z77" i="105"/>
  <c r="Z29" i="106"/>
  <c r="Z30" i="106"/>
  <c r="Z31" i="106"/>
  <c r="Z32" i="106"/>
  <c r="Z33" i="106"/>
  <c r="Z34" i="106"/>
  <c r="Z35" i="106"/>
  <c r="Z36" i="106"/>
  <c r="Z37" i="106"/>
  <c r="Z38" i="106"/>
  <c r="Z39" i="106"/>
  <c r="Z40" i="106"/>
  <c r="Z41" i="106"/>
  <c r="Z42" i="106"/>
  <c r="Z43" i="106"/>
  <c r="Z44" i="106"/>
  <c r="Z45" i="106"/>
  <c r="Z46" i="106"/>
  <c r="Z47" i="106"/>
  <c r="Z48" i="106"/>
  <c r="Z49" i="106"/>
  <c r="Z50" i="106"/>
  <c r="Z51" i="106"/>
  <c r="Z52" i="106"/>
  <c r="Z53" i="106"/>
  <c r="Z54" i="106"/>
  <c r="Z55" i="106"/>
  <c r="Z56" i="106"/>
  <c r="Z57" i="106"/>
  <c r="Z58" i="106"/>
  <c r="Z59" i="106"/>
  <c r="Z60" i="106"/>
  <c r="Z61" i="106"/>
  <c r="Z62" i="106"/>
  <c r="Z63" i="106"/>
  <c r="Z64" i="106"/>
  <c r="Z65" i="106"/>
  <c r="Z66" i="106"/>
  <c r="Z67" i="106"/>
  <c r="Z68" i="106"/>
  <c r="Z69" i="106"/>
  <c r="Z70" i="106"/>
  <c r="Z71" i="106"/>
  <c r="Z72" i="106"/>
  <c r="Z73" i="106"/>
  <c r="Z74" i="106"/>
  <c r="Z75" i="106"/>
  <c r="Z76" i="106"/>
  <c r="Z77" i="106"/>
  <c r="Z29" i="107"/>
  <c r="Z30" i="107"/>
  <c r="Z31" i="107"/>
  <c r="Z32" i="107"/>
  <c r="Z33" i="107"/>
  <c r="Z34" i="107"/>
  <c r="Z35" i="107"/>
  <c r="Z36" i="107"/>
  <c r="Z37" i="107"/>
  <c r="Z38" i="107"/>
  <c r="Z39" i="107"/>
  <c r="Z40" i="107"/>
  <c r="Z41" i="107"/>
  <c r="Z42" i="107"/>
  <c r="Z43" i="107"/>
  <c r="Z44" i="107"/>
  <c r="Z45" i="107"/>
  <c r="Z46" i="107"/>
  <c r="Z47" i="107"/>
  <c r="Z48" i="107"/>
  <c r="Z49" i="107"/>
  <c r="Z50" i="107"/>
  <c r="Z51" i="107"/>
  <c r="Z52" i="107"/>
  <c r="Z53" i="107"/>
  <c r="Z54" i="107"/>
  <c r="Z55" i="107"/>
  <c r="Z56" i="107"/>
  <c r="Z57" i="107"/>
  <c r="Z58" i="107"/>
  <c r="Z59" i="107"/>
  <c r="Z60" i="107"/>
  <c r="Z61" i="107"/>
  <c r="Z62" i="107"/>
  <c r="Z63" i="107"/>
  <c r="Z64" i="107"/>
  <c r="Z65" i="107"/>
  <c r="Z66" i="107"/>
  <c r="Z67" i="107"/>
  <c r="Z68" i="107"/>
  <c r="Z69" i="107"/>
  <c r="Z70" i="107"/>
  <c r="Z71" i="107"/>
  <c r="Z72" i="107"/>
  <c r="Z73" i="107"/>
  <c r="Z74" i="107"/>
  <c r="Z75" i="107"/>
  <c r="Z76" i="107"/>
  <c r="Z77" i="107"/>
  <c r="Z29" i="108"/>
  <c r="Z30" i="108"/>
  <c r="Z31" i="108"/>
  <c r="Z32" i="108"/>
  <c r="Z33" i="108"/>
  <c r="Z34" i="108"/>
  <c r="Z35" i="108"/>
  <c r="Z36" i="108"/>
  <c r="Z37" i="108"/>
  <c r="Z38" i="108"/>
  <c r="Z39" i="108"/>
  <c r="Z40" i="108"/>
  <c r="Z41" i="108"/>
  <c r="Z42" i="108"/>
  <c r="Z43" i="108"/>
  <c r="Z44" i="108"/>
  <c r="Z45" i="108"/>
  <c r="Z46" i="108"/>
  <c r="Z47" i="108"/>
  <c r="Z48" i="108"/>
  <c r="Z49" i="108"/>
  <c r="Z50" i="108"/>
  <c r="Z51" i="108"/>
  <c r="Z52" i="108"/>
  <c r="Z53" i="108"/>
  <c r="Z54" i="108"/>
  <c r="Z55" i="108"/>
  <c r="Z56" i="108"/>
  <c r="Z57" i="108"/>
  <c r="Z58" i="108"/>
  <c r="Z59" i="108"/>
  <c r="Z60" i="108"/>
  <c r="Z61" i="108"/>
  <c r="Z62" i="108"/>
  <c r="Z63" i="108"/>
  <c r="Z64" i="108"/>
  <c r="Z65" i="108"/>
  <c r="Z66" i="108"/>
  <c r="Z67" i="108"/>
  <c r="Z68" i="108"/>
  <c r="Z69" i="108"/>
  <c r="Z70" i="108"/>
  <c r="Z71" i="108"/>
  <c r="Z72" i="108"/>
  <c r="Z73" i="108"/>
  <c r="Z74" i="108"/>
  <c r="Z75" i="108"/>
  <c r="Z76" i="108"/>
  <c r="Z77" i="108"/>
  <c r="Z29" i="109"/>
  <c r="Z30" i="109"/>
  <c r="Z31" i="109"/>
  <c r="Z32" i="109"/>
  <c r="Z33" i="109"/>
  <c r="Z34" i="109"/>
  <c r="Z35" i="109"/>
  <c r="Z36" i="109"/>
  <c r="Z37" i="109"/>
  <c r="Z38" i="109"/>
  <c r="Z39" i="109"/>
  <c r="Z40" i="109"/>
  <c r="Z41" i="109"/>
  <c r="Z42" i="109"/>
  <c r="Z43" i="109"/>
  <c r="Z44" i="109"/>
  <c r="Z45" i="109"/>
  <c r="Z46" i="109"/>
  <c r="Z47" i="109"/>
  <c r="Z48" i="109"/>
  <c r="Z49" i="109"/>
  <c r="Z50" i="109"/>
  <c r="Z51" i="109"/>
  <c r="Z52" i="109"/>
  <c r="Z53" i="109"/>
  <c r="Z54" i="109"/>
  <c r="Z55" i="109"/>
  <c r="Z56" i="109"/>
  <c r="Z57" i="109"/>
  <c r="Z58" i="109"/>
  <c r="Z59" i="109"/>
  <c r="Z60" i="109"/>
  <c r="Z61" i="109"/>
  <c r="Z62" i="109"/>
  <c r="Z63" i="109"/>
  <c r="Z64" i="109"/>
  <c r="Z65" i="109"/>
  <c r="Z66" i="109"/>
  <c r="Z67" i="109"/>
  <c r="Z68" i="109"/>
  <c r="Z69" i="109"/>
  <c r="Z70" i="109"/>
  <c r="Z71" i="109"/>
  <c r="Z72" i="109"/>
  <c r="Z73" i="109"/>
  <c r="Z74" i="109"/>
  <c r="Z75" i="109"/>
  <c r="Z76" i="109"/>
  <c r="Z77" i="109"/>
  <c r="Z29" i="110"/>
  <c r="Z30" i="110"/>
  <c r="Z31" i="110"/>
  <c r="Z32" i="110"/>
  <c r="Z33" i="110"/>
  <c r="Z34" i="110"/>
  <c r="Z35" i="110"/>
  <c r="Z36" i="110"/>
  <c r="Z37" i="110"/>
  <c r="Z38" i="110"/>
  <c r="Z39" i="110"/>
  <c r="Z40" i="110"/>
  <c r="Z41" i="110"/>
  <c r="Z42" i="110"/>
  <c r="Z43" i="110"/>
  <c r="Z44" i="110"/>
  <c r="Z45" i="110"/>
  <c r="Z46" i="110"/>
  <c r="Z47" i="110"/>
  <c r="Z48" i="110"/>
  <c r="Z49" i="110"/>
  <c r="Z50" i="110"/>
  <c r="Z51" i="110"/>
  <c r="Z52" i="110"/>
  <c r="Z53" i="110"/>
  <c r="Z54" i="110"/>
  <c r="Z55" i="110"/>
  <c r="Z56" i="110"/>
  <c r="Z57" i="110"/>
  <c r="Z58" i="110"/>
  <c r="Z59" i="110"/>
  <c r="Z60" i="110"/>
  <c r="Z61" i="110"/>
  <c r="Z62" i="110"/>
  <c r="Z63" i="110"/>
  <c r="Z64" i="110"/>
  <c r="Z65" i="110"/>
  <c r="Z66" i="110"/>
  <c r="Z67" i="110"/>
  <c r="Z68" i="110"/>
  <c r="Z69" i="110"/>
  <c r="Z70" i="110"/>
  <c r="Z71" i="110"/>
  <c r="Z72" i="110"/>
  <c r="Z73" i="110"/>
  <c r="Z74" i="110"/>
  <c r="Z75" i="110"/>
  <c r="Z76" i="110"/>
  <c r="Z77" i="110"/>
  <c r="Z29" i="111"/>
  <c r="Z30" i="111"/>
  <c r="Z31" i="111"/>
  <c r="Z32" i="111"/>
  <c r="Z33" i="111"/>
  <c r="Z34" i="111"/>
  <c r="Z35" i="111"/>
  <c r="Z36" i="111"/>
  <c r="Z37" i="111"/>
  <c r="Z38" i="111"/>
  <c r="Z39" i="111"/>
  <c r="Z40" i="111"/>
  <c r="Z41" i="111"/>
  <c r="Z42" i="111"/>
  <c r="Z43" i="111"/>
  <c r="Z44" i="111"/>
  <c r="Z45" i="111"/>
  <c r="Z46" i="111"/>
  <c r="Z47" i="111"/>
  <c r="Z48" i="111"/>
  <c r="Z49" i="111"/>
  <c r="Z50" i="111"/>
  <c r="Z51" i="111"/>
  <c r="Z52" i="111"/>
  <c r="Z53" i="111"/>
  <c r="Z54" i="111"/>
  <c r="Z55" i="111"/>
  <c r="Z56" i="111"/>
  <c r="Z57" i="111"/>
  <c r="Z58" i="111"/>
  <c r="Z59" i="111"/>
  <c r="Z60" i="111"/>
  <c r="Z61" i="111"/>
  <c r="Z62" i="111"/>
  <c r="Z63" i="111"/>
  <c r="Z64" i="111"/>
  <c r="Z65" i="111"/>
  <c r="Z66" i="111"/>
  <c r="Z67" i="111"/>
  <c r="Z68" i="111"/>
  <c r="Z69" i="111"/>
  <c r="Z70" i="111"/>
  <c r="Z71" i="111"/>
  <c r="Z72" i="111"/>
  <c r="Z73" i="111"/>
  <c r="Z74" i="111"/>
  <c r="Z75" i="111"/>
  <c r="Z76" i="111"/>
  <c r="Z77" i="111"/>
  <c r="Z29" i="112"/>
  <c r="Z30" i="112"/>
  <c r="Z31" i="112"/>
  <c r="Z32" i="112"/>
  <c r="Z33" i="112"/>
  <c r="Z34" i="112"/>
  <c r="Z35" i="112"/>
  <c r="Z36" i="112"/>
  <c r="Z37" i="112"/>
  <c r="Z38" i="112"/>
  <c r="Z39" i="112"/>
  <c r="Z40" i="112"/>
  <c r="Z41" i="112"/>
  <c r="Z42" i="112"/>
  <c r="Z43" i="112"/>
  <c r="Z44" i="112"/>
  <c r="Z45" i="112"/>
  <c r="Z46" i="112"/>
  <c r="Z47" i="112"/>
  <c r="Z48" i="112"/>
  <c r="Z49" i="112"/>
  <c r="Z50" i="112"/>
  <c r="Z51" i="112"/>
  <c r="Z52" i="112"/>
  <c r="Z53" i="112"/>
  <c r="Z54" i="112"/>
  <c r="Z55" i="112"/>
  <c r="Z56" i="112"/>
  <c r="Z57" i="112"/>
  <c r="Z58" i="112"/>
  <c r="Z59" i="112"/>
  <c r="Z60" i="112"/>
  <c r="Z61" i="112"/>
  <c r="Z62" i="112"/>
  <c r="Z63" i="112"/>
  <c r="Z64" i="112"/>
  <c r="Z65" i="112"/>
  <c r="Z66" i="112"/>
  <c r="Z67" i="112"/>
  <c r="Z68" i="112"/>
  <c r="Z69" i="112"/>
  <c r="Z70" i="112"/>
  <c r="Z71" i="112"/>
  <c r="Z72" i="112"/>
  <c r="Z73" i="112"/>
  <c r="Z74" i="112"/>
  <c r="Z75" i="112"/>
  <c r="Z76" i="112"/>
  <c r="Z77" i="112"/>
  <c r="Z29" i="113"/>
  <c r="Z30" i="113"/>
  <c r="Z31" i="113"/>
  <c r="Z32" i="113"/>
  <c r="Z33" i="113"/>
  <c r="Z34" i="113"/>
  <c r="Z35" i="113"/>
  <c r="Z36" i="113"/>
  <c r="Z37" i="113"/>
  <c r="Z38" i="113"/>
  <c r="Z39" i="113"/>
  <c r="Z40" i="113"/>
  <c r="Z41" i="113"/>
  <c r="Z42" i="113"/>
  <c r="Z43" i="113"/>
  <c r="Z44" i="113"/>
  <c r="Z45" i="113"/>
  <c r="Z46" i="113"/>
  <c r="Z47" i="113"/>
  <c r="Z48" i="113"/>
  <c r="Z49" i="113"/>
  <c r="Z50" i="113"/>
  <c r="Z51" i="113"/>
  <c r="Z52" i="113"/>
  <c r="Z53" i="113"/>
  <c r="Z54" i="113"/>
  <c r="Z55" i="113"/>
  <c r="Z56" i="113"/>
  <c r="Z57" i="113"/>
  <c r="Z58" i="113"/>
  <c r="Z59" i="113"/>
  <c r="Z60" i="113"/>
  <c r="Z61" i="113"/>
  <c r="Z62" i="113"/>
  <c r="Z63" i="113"/>
  <c r="Z64" i="113"/>
  <c r="Z65" i="113"/>
  <c r="Z66" i="113"/>
  <c r="Z67" i="113"/>
  <c r="Z68" i="113"/>
  <c r="Z69" i="113"/>
  <c r="Z70" i="113"/>
  <c r="Z71" i="113"/>
  <c r="Z72" i="113"/>
  <c r="Z73" i="113"/>
  <c r="Z74" i="113"/>
  <c r="Z75" i="113"/>
  <c r="Z76" i="113"/>
  <c r="Z77" i="113"/>
  <c r="Z29" i="114"/>
  <c r="Z30" i="114"/>
  <c r="Z31" i="114"/>
  <c r="Z32" i="114"/>
  <c r="Z33" i="114"/>
  <c r="Z34" i="114"/>
  <c r="Z35" i="114"/>
  <c r="Z36" i="114"/>
  <c r="Z37" i="114"/>
  <c r="Z38" i="114"/>
  <c r="Z39" i="114"/>
  <c r="Z40" i="114"/>
  <c r="Z41" i="114"/>
  <c r="Z42" i="114"/>
  <c r="Z43" i="114"/>
  <c r="Z44" i="114"/>
  <c r="Z45" i="114"/>
  <c r="Z46" i="114"/>
  <c r="Z47" i="114"/>
  <c r="Z48" i="114"/>
  <c r="Z49" i="114"/>
  <c r="Z50" i="114"/>
  <c r="Z51" i="114"/>
  <c r="Z52" i="114"/>
  <c r="Z53" i="114"/>
  <c r="Z54" i="114"/>
  <c r="Z55" i="114"/>
  <c r="Z56" i="114"/>
  <c r="Z57" i="114"/>
  <c r="Z58" i="114"/>
  <c r="Z59" i="114"/>
  <c r="Z60" i="114"/>
  <c r="Z61" i="114"/>
  <c r="Z62" i="114"/>
  <c r="Z63" i="114"/>
  <c r="Z64" i="114"/>
  <c r="Z65" i="114"/>
  <c r="Z66" i="114"/>
  <c r="Z67" i="114"/>
  <c r="Z68" i="114"/>
  <c r="Z69" i="114"/>
  <c r="Z70" i="114"/>
  <c r="Z71" i="114"/>
  <c r="Z72" i="114"/>
  <c r="Z73" i="114"/>
  <c r="Z74" i="114"/>
  <c r="Z75" i="114"/>
  <c r="Z76" i="114"/>
  <c r="Z77" i="114"/>
  <c r="Z29" i="115"/>
  <c r="Z30" i="115"/>
  <c r="Z31" i="115"/>
  <c r="Z32" i="115"/>
  <c r="Z33" i="115"/>
  <c r="Z34" i="115"/>
  <c r="Z35" i="115"/>
  <c r="Z36" i="115"/>
  <c r="Z37" i="115"/>
  <c r="Z38" i="115"/>
  <c r="Z39" i="115"/>
  <c r="Z40" i="115"/>
  <c r="Z41" i="115"/>
  <c r="Z42" i="115"/>
  <c r="Z43" i="115"/>
  <c r="Z44" i="115"/>
  <c r="Z45" i="115"/>
  <c r="Z46" i="115"/>
  <c r="Z47" i="115"/>
  <c r="Z48" i="115"/>
  <c r="Z49" i="115"/>
  <c r="Z50" i="115"/>
  <c r="Z51" i="115"/>
  <c r="Z52" i="115"/>
  <c r="Z53" i="115"/>
  <c r="Z54" i="115"/>
  <c r="Z55" i="115"/>
  <c r="Z56" i="115"/>
  <c r="Z57" i="115"/>
  <c r="Z58" i="115"/>
  <c r="Z59" i="115"/>
  <c r="Z60" i="115"/>
  <c r="Z61" i="115"/>
  <c r="Z62" i="115"/>
  <c r="Z63" i="115"/>
  <c r="Z64" i="115"/>
  <c r="Z65" i="115"/>
  <c r="Z66" i="115"/>
  <c r="Z67" i="115"/>
  <c r="Z68" i="115"/>
  <c r="Z69" i="115"/>
  <c r="Z70" i="115"/>
  <c r="Z71" i="115"/>
  <c r="Z72" i="115"/>
  <c r="Z73" i="115"/>
  <c r="Z74" i="115"/>
  <c r="Z75" i="115"/>
  <c r="Z76" i="115"/>
  <c r="Z77" i="115"/>
  <c r="Z29" i="116"/>
  <c r="Z30" i="116"/>
  <c r="Z31" i="116"/>
  <c r="Z32" i="116"/>
  <c r="Z33" i="116"/>
  <c r="Z34" i="116"/>
  <c r="Z35" i="116"/>
  <c r="Z36" i="116"/>
  <c r="Z37" i="116"/>
  <c r="Z38" i="116"/>
  <c r="Z39" i="116"/>
  <c r="Z40" i="116"/>
  <c r="Z41" i="116"/>
  <c r="Z42" i="116"/>
  <c r="Z43" i="116"/>
  <c r="Z44" i="116"/>
  <c r="Z45" i="116"/>
  <c r="Z46" i="116"/>
  <c r="Z47" i="116"/>
  <c r="Z48" i="116"/>
  <c r="Z49" i="116"/>
  <c r="Z50" i="116"/>
  <c r="Z51" i="116"/>
  <c r="Z52" i="116"/>
  <c r="Z53" i="116"/>
  <c r="Z54" i="116"/>
  <c r="Z55" i="116"/>
  <c r="Z56" i="116"/>
  <c r="Z57" i="116"/>
  <c r="Z58" i="116"/>
  <c r="Z59" i="116"/>
  <c r="Z60" i="116"/>
  <c r="Z61" i="116"/>
  <c r="Z62" i="116"/>
  <c r="Z63" i="116"/>
  <c r="Z64" i="116"/>
  <c r="Z65" i="116"/>
  <c r="Z66" i="116"/>
  <c r="Z67" i="116"/>
  <c r="Z68" i="116"/>
  <c r="Z69" i="116"/>
  <c r="Z70" i="116"/>
  <c r="Z71" i="116"/>
  <c r="Z72" i="116"/>
  <c r="Z73" i="116"/>
  <c r="Z74" i="116"/>
  <c r="Z75" i="116"/>
  <c r="Z76" i="116"/>
  <c r="Z77" i="116"/>
  <c r="Z29" i="117"/>
  <c r="Z30" i="117"/>
  <c r="Z31" i="117"/>
  <c r="Z32" i="117"/>
  <c r="Z33" i="117"/>
  <c r="Z34" i="117"/>
  <c r="Z35" i="117"/>
  <c r="Z36" i="117"/>
  <c r="Z37" i="117"/>
  <c r="Z38" i="117"/>
  <c r="Z39" i="117"/>
  <c r="Z40" i="117"/>
  <c r="Z41" i="117"/>
  <c r="Z42" i="117"/>
  <c r="Z43" i="117"/>
  <c r="Z44" i="117"/>
  <c r="Z45" i="117"/>
  <c r="Z46" i="117"/>
  <c r="Z47" i="117"/>
  <c r="Z48" i="117"/>
  <c r="Z49" i="117"/>
  <c r="Z50" i="117"/>
  <c r="Z51" i="117"/>
  <c r="Z52" i="117"/>
  <c r="Z53" i="117"/>
  <c r="Z54" i="117"/>
  <c r="Z55" i="117"/>
  <c r="Z56" i="117"/>
  <c r="Z57" i="117"/>
  <c r="Z58" i="117"/>
  <c r="Z59" i="117"/>
  <c r="Z60" i="117"/>
  <c r="Z61" i="117"/>
  <c r="Z62" i="117"/>
  <c r="Z63" i="117"/>
  <c r="Z64" i="117"/>
  <c r="Z65" i="117"/>
  <c r="Z66" i="117"/>
  <c r="Z67" i="117"/>
  <c r="Z68" i="117"/>
  <c r="Z69" i="117"/>
  <c r="Z70" i="117"/>
  <c r="Z71" i="117"/>
  <c r="Z72" i="117"/>
  <c r="Z73" i="117"/>
  <c r="Z74" i="117"/>
  <c r="Z75" i="117"/>
  <c r="Z76" i="117"/>
  <c r="Z77" i="117"/>
  <c r="Z29" i="118"/>
  <c r="Z30" i="118"/>
  <c r="Z31" i="118"/>
  <c r="Z32" i="118"/>
  <c r="Z33" i="118"/>
  <c r="Z34" i="118"/>
  <c r="Z35" i="118"/>
  <c r="Z36" i="118"/>
  <c r="Z37" i="118"/>
  <c r="Z38" i="118"/>
  <c r="Z39" i="118"/>
  <c r="Z40" i="118"/>
  <c r="Z41" i="118"/>
  <c r="Z42" i="118"/>
  <c r="Z43" i="118"/>
  <c r="Z44" i="118"/>
  <c r="Z45" i="118"/>
  <c r="Z46" i="118"/>
  <c r="Z47" i="118"/>
  <c r="Z48" i="118"/>
  <c r="Z49" i="118"/>
  <c r="Z50" i="118"/>
  <c r="Z51" i="118"/>
  <c r="Z52" i="118"/>
  <c r="Z53" i="118"/>
  <c r="Z54" i="118"/>
  <c r="Z55" i="118"/>
  <c r="Z56" i="118"/>
  <c r="Z57" i="118"/>
  <c r="Z58" i="118"/>
  <c r="Z59" i="118"/>
  <c r="Z60" i="118"/>
  <c r="Z61" i="118"/>
  <c r="Z62" i="118"/>
  <c r="Z63" i="118"/>
  <c r="Z64" i="118"/>
  <c r="Z65" i="118"/>
  <c r="Z66" i="118"/>
  <c r="Z67" i="118"/>
  <c r="Z68" i="118"/>
  <c r="Z69" i="118"/>
  <c r="Z70" i="118"/>
  <c r="Z71" i="118"/>
  <c r="Z72" i="118"/>
  <c r="Z73" i="118"/>
  <c r="Z74" i="118"/>
  <c r="Z75" i="118"/>
  <c r="Z76" i="118"/>
  <c r="Z77" i="118"/>
  <c r="Z29" i="119"/>
  <c r="Z30" i="119"/>
  <c r="Z31" i="119"/>
  <c r="Z32" i="119"/>
  <c r="Z33" i="119"/>
  <c r="Z34" i="119"/>
  <c r="Z35" i="119"/>
  <c r="Z36" i="119"/>
  <c r="Z37" i="119"/>
  <c r="Z38" i="119"/>
  <c r="Z39" i="119"/>
  <c r="Z40" i="119"/>
  <c r="Z41" i="119"/>
  <c r="Z42" i="119"/>
  <c r="Z43" i="119"/>
  <c r="Z44" i="119"/>
  <c r="Z45" i="119"/>
  <c r="Z46" i="119"/>
  <c r="Z47" i="119"/>
  <c r="Z48" i="119"/>
  <c r="Z49" i="119"/>
  <c r="Z50" i="119"/>
  <c r="Z51" i="119"/>
  <c r="Z52" i="119"/>
  <c r="Z53" i="119"/>
  <c r="Z54" i="119"/>
  <c r="Z55" i="119"/>
  <c r="Z56" i="119"/>
  <c r="Z57" i="119"/>
  <c r="Z58" i="119"/>
  <c r="Z59" i="119"/>
  <c r="Z60" i="119"/>
  <c r="Z61" i="119"/>
  <c r="Z62" i="119"/>
  <c r="Z63" i="119"/>
  <c r="Z64" i="119"/>
  <c r="Z65" i="119"/>
  <c r="Z66" i="119"/>
  <c r="Z67" i="119"/>
  <c r="Z68" i="119"/>
  <c r="Z69" i="119"/>
  <c r="Z70" i="119"/>
  <c r="Z71" i="119"/>
  <c r="Z72" i="119"/>
  <c r="Z73" i="119"/>
  <c r="Z74" i="119"/>
  <c r="Z75" i="119"/>
  <c r="Z76" i="119"/>
  <c r="Z77" i="119"/>
  <c r="Z29" i="120"/>
  <c r="Z30" i="120"/>
  <c r="Z31" i="120"/>
  <c r="Z32" i="120"/>
  <c r="Z33" i="120"/>
  <c r="Z34" i="120"/>
  <c r="Z35" i="120"/>
  <c r="Z36" i="120"/>
  <c r="Z37" i="120"/>
  <c r="Z38" i="120"/>
  <c r="Z39" i="120"/>
  <c r="Z40" i="120"/>
  <c r="Z41" i="120"/>
  <c r="Z42" i="120"/>
  <c r="Z43" i="120"/>
  <c r="Z44" i="120"/>
  <c r="Z45" i="120"/>
  <c r="Z46" i="120"/>
  <c r="Z47" i="120"/>
  <c r="Z48" i="120"/>
  <c r="Z49" i="120"/>
  <c r="Z50" i="120"/>
  <c r="Z51" i="120"/>
  <c r="Z52" i="120"/>
  <c r="Z53" i="120"/>
  <c r="Z54" i="120"/>
  <c r="Z55" i="120"/>
  <c r="Z56" i="120"/>
  <c r="Z57" i="120"/>
  <c r="Z58" i="120"/>
  <c r="Z59" i="120"/>
  <c r="Z60" i="120"/>
  <c r="Z61" i="120"/>
  <c r="Z62" i="120"/>
  <c r="Z63" i="120"/>
  <c r="Z64" i="120"/>
  <c r="Z65" i="120"/>
  <c r="Z66" i="120"/>
  <c r="Z67" i="120"/>
  <c r="Z68" i="120"/>
  <c r="Z69" i="120"/>
  <c r="Z70" i="120"/>
  <c r="Z71" i="120"/>
  <c r="Z72" i="120"/>
  <c r="Z73" i="120"/>
  <c r="Z74" i="120"/>
  <c r="Z75" i="120"/>
  <c r="Z76" i="120"/>
  <c r="Z77" i="120"/>
  <c r="Z29" i="121"/>
  <c r="Z30" i="121"/>
  <c r="Z31" i="121"/>
  <c r="Z32" i="121"/>
  <c r="Z33" i="121"/>
  <c r="Z34" i="121"/>
  <c r="Z35" i="121"/>
  <c r="Z36" i="121"/>
  <c r="Z37" i="121"/>
  <c r="Z38" i="121"/>
  <c r="Z39" i="121"/>
  <c r="Z40" i="121"/>
  <c r="Z41" i="121"/>
  <c r="Z42" i="121"/>
  <c r="Z43" i="121"/>
  <c r="Z44" i="121"/>
  <c r="Z45" i="121"/>
  <c r="Z46" i="121"/>
  <c r="Z47" i="121"/>
  <c r="Z48" i="121"/>
  <c r="Z49" i="121"/>
  <c r="Z50" i="121"/>
  <c r="Z51" i="121"/>
  <c r="Z52" i="121"/>
  <c r="Z53" i="121"/>
  <c r="Z54" i="121"/>
  <c r="Z55" i="121"/>
  <c r="Z56" i="121"/>
  <c r="Z57" i="121"/>
  <c r="Z58" i="121"/>
  <c r="Z59" i="121"/>
  <c r="Z60" i="121"/>
  <c r="Z61" i="121"/>
  <c r="Z62" i="121"/>
  <c r="Z63" i="121"/>
  <c r="Z64" i="121"/>
  <c r="Z65" i="121"/>
  <c r="Z66" i="121"/>
  <c r="Z67" i="121"/>
  <c r="Z68" i="121"/>
  <c r="Z69" i="121"/>
  <c r="Z70" i="121"/>
  <c r="Z71" i="121"/>
  <c r="Z72" i="121"/>
  <c r="Z73" i="121"/>
  <c r="Z74" i="121"/>
  <c r="Z75" i="121"/>
  <c r="Z76" i="121"/>
  <c r="Z77" i="121"/>
  <c r="Z29" i="122"/>
  <c r="Z30" i="122"/>
  <c r="Z31" i="122"/>
  <c r="Z32" i="122"/>
  <c r="Z33" i="122"/>
  <c r="Z34" i="122"/>
  <c r="Z35" i="122"/>
  <c r="Z36" i="122"/>
  <c r="Z37" i="122"/>
  <c r="Z38" i="122"/>
  <c r="Z39" i="122"/>
  <c r="Z40" i="122"/>
  <c r="Z41" i="122"/>
  <c r="Z42" i="122"/>
  <c r="Z43" i="122"/>
  <c r="Z44" i="122"/>
  <c r="Z45" i="122"/>
  <c r="Z46" i="122"/>
  <c r="Z47" i="122"/>
  <c r="Z48" i="122"/>
  <c r="Z49" i="122"/>
  <c r="Z50" i="122"/>
  <c r="Z51" i="122"/>
  <c r="Z52" i="122"/>
  <c r="Z53" i="122"/>
  <c r="Z54" i="122"/>
  <c r="Z55" i="122"/>
  <c r="Z56" i="122"/>
  <c r="Z57" i="122"/>
  <c r="Z58" i="122"/>
  <c r="Z59" i="122"/>
  <c r="Z60" i="122"/>
  <c r="Z61" i="122"/>
  <c r="Z62" i="122"/>
  <c r="Z63" i="122"/>
  <c r="Z64" i="122"/>
  <c r="Z65" i="122"/>
  <c r="Z66" i="122"/>
  <c r="Z67" i="122"/>
  <c r="Z68" i="122"/>
  <c r="Z69" i="122"/>
  <c r="Z70" i="122"/>
  <c r="Z71" i="122"/>
  <c r="Z72" i="122"/>
  <c r="Z73" i="122"/>
  <c r="Z74" i="122"/>
  <c r="Z75" i="122"/>
  <c r="Z76" i="122"/>
  <c r="Z77" i="122"/>
  <c r="Z29" i="123"/>
  <c r="Z30" i="123"/>
  <c r="Z31" i="123"/>
  <c r="Z32" i="123"/>
  <c r="Z33" i="123"/>
  <c r="Z34" i="123"/>
  <c r="Z35" i="123"/>
  <c r="Z36" i="123"/>
  <c r="Z37" i="123"/>
  <c r="Z38" i="123"/>
  <c r="Z39" i="123"/>
  <c r="Z40" i="123"/>
  <c r="Z41" i="123"/>
  <c r="Z42" i="123"/>
  <c r="Z43" i="123"/>
  <c r="Z44" i="123"/>
  <c r="Z45" i="123"/>
  <c r="Z46" i="123"/>
  <c r="Z47" i="123"/>
  <c r="Z48" i="123"/>
  <c r="Z49" i="123"/>
  <c r="Z50" i="123"/>
  <c r="Z51" i="123"/>
  <c r="Z52" i="123"/>
  <c r="Z53" i="123"/>
  <c r="Z54" i="123"/>
  <c r="Z55" i="123"/>
  <c r="Z56" i="123"/>
  <c r="Z57" i="123"/>
  <c r="Z58" i="123"/>
  <c r="Z59" i="123"/>
  <c r="Z60" i="123"/>
  <c r="Z61" i="123"/>
  <c r="Z62" i="123"/>
  <c r="Z63" i="123"/>
  <c r="Z64" i="123"/>
  <c r="Z65" i="123"/>
  <c r="Z66" i="123"/>
  <c r="Z67" i="123"/>
  <c r="Z68" i="123"/>
  <c r="Z69" i="123"/>
  <c r="Z70" i="123"/>
  <c r="Z71" i="123"/>
  <c r="Z72" i="123"/>
  <c r="Z73" i="123"/>
  <c r="Z74" i="123"/>
  <c r="Z75" i="123"/>
  <c r="Z76" i="123"/>
  <c r="Z77" i="123"/>
  <c r="Z29" i="124"/>
  <c r="Z30" i="124"/>
  <c r="Z31" i="124"/>
  <c r="Z32" i="124"/>
  <c r="Z33" i="124"/>
  <c r="Z34" i="124"/>
  <c r="Z35" i="124"/>
  <c r="Z36" i="124"/>
  <c r="Z37" i="124"/>
  <c r="Z38" i="124"/>
  <c r="Z39" i="124"/>
  <c r="Z40" i="124"/>
  <c r="Z41" i="124"/>
  <c r="Z42" i="124"/>
  <c r="Z43" i="124"/>
  <c r="Z44" i="124"/>
  <c r="Z45" i="124"/>
  <c r="Z46" i="124"/>
  <c r="Z47" i="124"/>
  <c r="Z48" i="124"/>
  <c r="Z49" i="124"/>
  <c r="Z50" i="124"/>
  <c r="Z51" i="124"/>
  <c r="Z52" i="124"/>
  <c r="Z53" i="124"/>
  <c r="Z54" i="124"/>
  <c r="Z55" i="124"/>
  <c r="Z56" i="124"/>
  <c r="Z57" i="124"/>
  <c r="Z58" i="124"/>
  <c r="Z59" i="124"/>
  <c r="Z60" i="124"/>
  <c r="Z61" i="124"/>
  <c r="Z62" i="124"/>
  <c r="Z63" i="124"/>
  <c r="Z64" i="124"/>
  <c r="Z65" i="124"/>
  <c r="Z66" i="124"/>
  <c r="Z67" i="124"/>
  <c r="Z68" i="124"/>
  <c r="Z69" i="124"/>
  <c r="Z70" i="124"/>
  <c r="Z71" i="124"/>
  <c r="Z72" i="124"/>
  <c r="Z73" i="124"/>
  <c r="Z74" i="124"/>
  <c r="Z75" i="124"/>
  <c r="Z76" i="124"/>
  <c r="Z77" i="124"/>
  <c r="Z29" i="125"/>
  <c r="Z30" i="125"/>
  <c r="Z31" i="125"/>
  <c r="Z32" i="125"/>
  <c r="Z33" i="125"/>
  <c r="Z34" i="125"/>
  <c r="Z35" i="125"/>
  <c r="Z36" i="125"/>
  <c r="Z37" i="125"/>
  <c r="Z38" i="125"/>
  <c r="Z39" i="125"/>
  <c r="Z40" i="125"/>
  <c r="Z41" i="125"/>
  <c r="Z42" i="125"/>
  <c r="Z43" i="125"/>
  <c r="Z44" i="125"/>
  <c r="Z45" i="125"/>
  <c r="Z46" i="125"/>
  <c r="Z47" i="125"/>
  <c r="Z48" i="125"/>
  <c r="Z49" i="125"/>
  <c r="Z50" i="125"/>
  <c r="Z51" i="125"/>
  <c r="Z52" i="125"/>
  <c r="Z53" i="125"/>
  <c r="Z54" i="125"/>
  <c r="Z55" i="125"/>
  <c r="Z56" i="125"/>
  <c r="Z57" i="125"/>
  <c r="Z58" i="125"/>
  <c r="Z59" i="125"/>
  <c r="Z60" i="125"/>
  <c r="Z61" i="125"/>
  <c r="Z62" i="125"/>
  <c r="Z63" i="125"/>
  <c r="Z64" i="125"/>
  <c r="Z65" i="125"/>
  <c r="Z66" i="125"/>
  <c r="Z67" i="125"/>
  <c r="Z68" i="125"/>
  <c r="Z69" i="125"/>
  <c r="Z70" i="125"/>
  <c r="Z71" i="125"/>
  <c r="Z72" i="125"/>
  <c r="Z73" i="125"/>
  <c r="Z74" i="125"/>
  <c r="Z75" i="125"/>
  <c r="Z76" i="125"/>
  <c r="Z77" i="125"/>
  <c r="Z29" i="126"/>
  <c r="Z30" i="126"/>
  <c r="Z31" i="126"/>
  <c r="Z32" i="126"/>
  <c r="Z33" i="126"/>
  <c r="Z34" i="126"/>
  <c r="Z35" i="126"/>
  <c r="Z36" i="126"/>
  <c r="Z37" i="126"/>
  <c r="Z38" i="126"/>
  <c r="Z39" i="126"/>
  <c r="Z40" i="126"/>
  <c r="Z41" i="126"/>
  <c r="Z42" i="126"/>
  <c r="Z43" i="126"/>
  <c r="Z44" i="126"/>
  <c r="Z45" i="126"/>
  <c r="Z46" i="126"/>
  <c r="Z47" i="126"/>
  <c r="Z48" i="126"/>
  <c r="Z49" i="126"/>
  <c r="Z50" i="126"/>
  <c r="Z51" i="126"/>
  <c r="Z52" i="126"/>
  <c r="Z53" i="126"/>
  <c r="Z54" i="126"/>
  <c r="Z55" i="126"/>
  <c r="Z56" i="126"/>
  <c r="Z57" i="126"/>
  <c r="Z58" i="126"/>
  <c r="Z59" i="126"/>
  <c r="Z60" i="126"/>
  <c r="Z61" i="126"/>
  <c r="Z62" i="126"/>
  <c r="Z63" i="126"/>
  <c r="Z64" i="126"/>
  <c r="Z65" i="126"/>
  <c r="Z66" i="126"/>
  <c r="Z67" i="126"/>
  <c r="Z68" i="126"/>
  <c r="Z69" i="126"/>
  <c r="Z70" i="126"/>
  <c r="Z71" i="126"/>
  <c r="Z72" i="126"/>
  <c r="Z73" i="126"/>
  <c r="Z74" i="126"/>
  <c r="Z75" i="126"/>
  <c r="Z76" i="126"/>
  <c r="Z77" i="126"/>
  <c r="Z29" i="127"/>
  <c r="Z30" i="127"/>
  <c r="Z31" i="127"/>
  <c r="Z32" i="127"/>
  <c r="Z33" i="127"/>
  <c r="Z34" i="127"/>
  <c r="Z35" i="127"/>
  <c r="Z36" i="127"/>
  <c r="Z37" i="127"/>
  <c r="Z38" i="127"/>
  <c r="Z39" i="127"/>
  <c r="Z40" i="127"/>
  <c r="Z41" i="127"/>
  <c r="Z42" i="127"/>
  <c r="Z43" i="127"/>
  <c r="Z44" i="127"/>
  <c r="Z45" i="127"/>
  <c r="Z46" i="127"/>
  <c r="Z47" i="127"/>
  <c r="Z48" i="127"/>
  <c r="Z49" i="127"/>
  <c r="Z50" i="127"/>
  <c r="Z51" i="127"/>
  <c r="Z52" i="127"/>
  <c r="Z53" i="127"/>
  <c r="Z54" i="127"/>
  <c r="Z55" i="127"/>
  <c r="Z56" i="127"/>
  <c r="Z57" i="127"/>
  <c r="Z58" i="127"/>
  <c r="Z59" i="127"/>
  <c r="Z60" i="127"/>
  <c r="Z61" i="127"/>
  <c r="Z62" i="127"/>
  <c r="Z63" i="127"/>
  <c r="Z64" i="127"/>
  <c r="Z65" i="127"/>
  <c r="Z66" i="127"/>
  <c r="Z67" i="127"/>
  <c r="Z68" i="127"/>
  <c r="Z69" i="127"/>
  <c r="Z70" i="127"/>
  <c r="Z71" i="127"/>
  <c r="Z72" i="127"/>
  <c r="Z73" i="127"/>
  <c r="Z74" i="127"/>
  <c r="Z75" i="127"/>
  <c r="Z76" i="127"/>
  <c r="Z77" i="127"/>
  <c r="Z29" i="128"/>
  <c r="Z30" i="128"/>
  <c r="Z31" i="128"/>
  <c r="Z32" i="128"/>
  <c r="Z33" i="128"/>
  <c r="Z34" i="128"/>
  <c r="Z35" i="128"/>
  <c r="Z36" i="128"/>
  <c r="Z37" i="128"/>
  <c r="Z38" i="128"/>
  <c r="Z39" i="128"/>
  <c r="Z40" i="128"/>
  <c r="Z41" i="128"/>
  <c r="Z42" i="128"/>
  <c r="Z43" i="128"/>
  <c r="Z44" i="128"/>
  <c r="Z45" i="128"/>
  <c r="Z46" i="128"/>
  <c r="Z47" i="128"/>
  <c r="Z48" i="128"/>
  <c r="Z49" i="128"/>
  <c r="Z50" i="128"/>
  <c r="Z51" i="128"/>
  <c r="Z52" i="128"/>
  <c r="Z53" i="128"/>
  <c r="Z54" i="128"/>
  <c r="Z55" i="128"/>
  <c r="Z56" i="128"/>
  <c r="Z57" i="128"/>
  <c r="Z58" i="128"/>
  <c r="Z59" i="128"/>
  <c r="Z60" i="128"/>
  <c r="Z61" i="128"/>
  <c r="Z62" i="128"/>
  <c r="Z63" i="128"/>
  <c r="Z64" i="128"/>
  <c r="Z65" i="128"/>
  <c r="Z66" i="128"/>
  <c r="Z67" i="128"/>
  <c r="Z68" i="128"/>
  <c r="Z69" i="128"/>
  <c r="Z70" i="128"/>
  <c r="Z71" i="128"/>
  <c r="Z72" i="128"/>
  <c r="Z73" i="128"/>
  <c r="Z74" i="128"/>
  <c r="Z75" i="128"/>
  <c r="Z76" i="128"/>
  <c r="Z77" i="128"/>
  <c r="Z29" i="129"/>
  <c r="Z30" i="129"/>
  <c r="Z31" i="129"/>
  <c r="Z32" i="129"/>
  <c r="Z33" i="129"/>
  <c r="Z34" i="129"/>
  <c r="Z35" i="129"/>
  <c r="Z36" i="129"/>
  <c r="Z37" i="129"/>
  <c r="Z38" i="129"/>
  <c r="Z39" i="129"/>
  <c r="Z40" i="129"/>
  <c r="Z41" i="129"/>
  <c r="Z42" i="129"/>
  <c r="Z43" i="129"/>
  <c r="Z44" i="129"/>
  <c r="Z45" i="129"/>
  <c r="Z46" i="129"/>
  <c r="Z47" i="129"/>
  <c r="Z48" i="129"/>
  <c r="Z49" i="129"/>
  <c r="Z50" i="129"/>
  <c r="Z51" i="129"/>
  <c r="Z52" i="129"/>
  <c r="Z53" i="129"/>
  <c r="Z54" i="129"/>
  <c r="Z55" i="129"/>
  <c r="Z56" i="129"/>
  <c r="Z57" i="129"/>
  <c r="Z58" i="129"/>
  <c r="Z59" i="129"/>
  <c r="Z60" i="129"/>
  <c r="Z61" i="129"/>
  <c r="Z62" i="129"/>
  <c r="Z63" i="129"/>
  <c r="Z64" i="129"/>
  <c r="Z65" i="129"/>
  <c r="Z66" i="129"/>
  <c r="Z67" i="129"/>
  <c r="Z68" i="129"/>
  <c r="Z69" i="129"/>
  <c r="Z70" i="129"/>
  <c r="Z71" i="129"/>
  <c r="Z72" i="129"/>
  <c r="Z73" i="129"/>
  <c r="Z74" i="129"/>
  <c r="Z75" i="129"/>
  <c r="Z76" i="129"/>
  <c r="Z77" i="129"/>
  <c r="Z29" i="130"/>
  <c r="Z30" i="130"/>
  <c r="Z31" i="130"/>
  <c r="Z32" i="130"/>
  <c r="Z33" i="130"/>
  <c r="Z34" i="130"/>
  <c r="Z35" i="130"/>
  <c r="Z36" i="130"/>
  <c r="Z37" i="130"/>
  <c r="Z38" i="130"/>
  <c r="Z39" i="130"/>
  <c r="Z40" i="130"/>
  <c r="Z41" i="130"/>
  <c r="Z42" i="130"/>
  <c r="Z43" i="130"/>
  <c r="Z44" i="130"/>
  <c r="Z45" i="130"/>
  <c r="Z46" i="130"/>
  <c r="Z47" i="130"/>
  <c r="Z48" i="130"/>
  <c r="Z49" i="130"/>
  <c r="Z50" i="130"/>
  <c r="Z51" i="130"/>
  <c r="Z52" i="130"/>
  <c r="Z53" i="130"/>
  <c r="Z54" i="130"/>
  <c r="Z55" i="130"/>
  <c r="Z56" i="130"/>
  <c r="Z57" i="130"/>
  <c r="Z58" i="130"/>
  <c r="Z59" i="130"/>
  <c r="Z60" i="130"/>
  <c r="Z61" i="130"/>
  <c r="Z62" i="130"/>
  <c r="Z63" i="130"/>
  <c r="Z64" i="130"/>
  <c r="Z65" i="130"/>
  <c r="Z66" i="130"/>
  <c r="Z67" i="130"/>
  <c r="Z68" i="130"/>
  <c r="Z69" i="130"/>
  <c r="Z70" i="130"/>
  <c r="Z71" i="130"/>
  <c r="Z72" i="130"/>
  <c r="Z73" i="130"/>
  <c r="Z74" i="130"/>
  <c r="Z75" i="130"/>
  <c r="Z76" i="130"/>
  <c r="Z77" i="130"/>
  <c r="Z29" i="131"/>
  <c r="Z30" i="131"/>
  <c r="Z31" i="131"/>
  <c r="Z32" i="131"/>
  <c r="Z33" i="131"/>
  <c r="Z34" i="131"/>
  <c r="Z35" i="131"/>
  <c r="Z36" i="131"/>
  <c r="Z37" i="131"/>
  <c r="Z38" i="131"/>
  <c r="Z39" i="131"/>
  <c r="Z40" i="131"/>
  <c r="Z41" i="131"/>
  <c r="Z42" i="131"/>
  <c r="Z43" i="131"/>
  <c r="Z44" i="131"/>
  <c r="Z45" i="131"/>
  <c r="Z46" i="131"/>
  <c r="Z47" i="131"/>
  <c r="Z48" i="131"/>
  <c r="Z49" i="131"/>
  <c r="Z50" i="131"/>
  <c r="Z51" i="131"/>
  <c r="Z52" i="131"/>
  <c r="Z53" i="131"/>
  <c r="Z54" i="131"/>
  <c r="Z55" i="131"/>
  <c r="Z56" i="131"/>
  <c r="Z57" i="131"/>
  <c r="Z58" i="131"/>
  <c r="Z59" i="131"/>
  <c r="Z60" i="131"/>
  <c r="Z61" i="131"/>
  <c r="Z62" i="131"/>
  <c r="Z63" i="131"/>
  <c r="Z64" i="131"/>
  <c r="Z65" i="131"/>
  <c r="Z66" i="131"/>
  <c r="Z67" i="131"/>
  <c r="Z68" i="131"/>
  <c r="Z69" i="131"/>
  <c r="Z70" i="131"/>
  <c r="Z71" i="131"/>
  <c r="Z72" i="131"/>
  <c r="Z73" i="131"/>
  <c r="Z74" i="131"/>
  <c r="Z75" i="131"/>
  <c r="Z76" i="131"/>
  <c r="Z77" i="131"/>
  <c r="Z29" i="132"/>
  <c r="Z30" i="132"/>
  <c r="Z31" i="132"/>
  <c r="Z32" i="132"/>
  <c r="Z33" i="132"/>
  <c r="Z34" i="132"/>
  <c r="Z35" i="132"/>
  <c r="Z36" i="132"/>
  <c r="Z37" i="132"/>
  <c r="Z38" i="132"/>
  <c r="Z39" i="132"/>
  <c r="Z40" i="132"/>
  <c r="Z41" i="132"/>
  <c r="Z42" i="132"/>
  <c r="Z43" i="132"/>
  <c r="Z44" i="132"/>
  <c r="Z45" i="132"/>
  <c r="Z46" i="132"/>
  <c r="Z47" i="132"/>
  <c r="Z48" i="132"/>
  <c r="Z49" i="132"/>
  <c r="Z50" i="132"/>
  <c r="Z51" i="132"/>
  <c r="Z52" i="132"/>
  <c r="Z53" i="132"/>
  <c r="Z54" i="132"/>
  <c r="Z55" i="132"/>
  <c r="Z56" i="132"/>
  <c r="Z57" i="132"/>
  <c r="Z58" i="132"/>
  <c r="Z59" i="132"/>
  <c r="Z60" i="132"/>
  <c r="Z61" i="132"/>
  <c r="Z62" i="132"/>
  <c r="Z63" i="132"/>
  <c r="Z64" i="132"/>
  <c r="Z65" i="132"/>
  <c r="Z66" i="132"/>
  <c r="Z67" i="132"/>
  <c r="Z68" i="132"/>
  <c r="Z69" i="132"/>
  <c r="Z70" i="132"/>
  <c r="Z71" i="132"/>
  <c r="Z72" i="132"/>
  <c r="Z73" i="132"/>
  <c r="Z74" i="132"/>
  <c r="Z75" i="132"/>
  <c r="Z76" i="132"/>
  <c r="Z77" i="132"/>
  <c r="Z29" i="133"/>
  <c r="Z30" i="133"/>
  <c r="Z31" i="133"/>
  <c r="Z32" i="133"/>
  <c r="Z33" i="133"/>
  <c r="Z34" i="133"/>
  <c r="Z35" i="133"/>
  <c r="Z36" i="133"/>
  <c r="Z37" i="133"/>
  <c r="Z38" i="133"/>
  <c r="Z39" i="133"/>
  <c r="Z40" i="133"/>
  <c r="Z41" i="133"/>
  <c r="Z42" i="133"/>
  <c r="Z43" i="133"/>
  <c r="Z44" i="133"/>
  <c r="Z45" i="133"/>
  <c r="Z46" i="133"/>
  <c r="Z47" i="133"/>
  <c r="Z48" i="133"/>
  <c r="Z49" i="133"/>
  <c r="Z50" i="133"/>
  <c r="Z51" i="133"/>
  <c r="Z52" i="133"/>
  <c r="Z53" i="133"/>
  <c r="Z54" i="133"/>
  <c r="Z55" i="133"/>
  <c r="Z56" i="133"/>
  <c r="Z57" i="133"/>
  <c r="Z58" i="133"/>
  <c r="Z59" i="133"/>
  <c r="Z60" i="133"/>
  <c r="Z61" i="133"/>
  <c r="Z62" i="133"/>
  <c r="Z63" i="133"/>
  <c r="Z64" i="133"/>
  <c r="Z65" i="133"/>
  <c r="Z66" i="133"/>
  <c r="Z67" i="133"/>
  <c r="Z68" i="133"/>
  <c r="Z69" i="133"/>
  <c r="Z70" i="133"/>
  <c r="Z71" i="133"/>
  <c r="Z72" i="133"/>
  <c r="Z73" i="133"/>
  <c r="Z74" i="133"/>
  <c r="Z75" i="133"/>
  <c r="Z76" i="133"/>
  <c r="Z77" i="133"/>
  <c r="Z29" i="134"/>
  <c r="Z30" i="134"/>
  <c r="Z31" i="134"/>
  <c r="Z32" i="134"/>
  <c r="Z33" i="134"/>
  <c r="Z34" i="134"/>
  <c r="Z35" i="134"/>
  <c r="Z36" i="134"/>
  <c r="Z37" i="134"/>
  <c r="Z38" i="134"/>
  <c r="Z39" i="134"/>
  <c r="Z40" i="134"/>
  <c r="Z41" i="134"/>
  <c r="Z42" i="134"/>
  <c r="Z43" i="134"/>
  <c r="Z44" i="134"/>
  <c r="Z45" i="134"/>
  <c r="Z46" i="134"/>
  <c r="Z47" i="134"/>
  <c r="Z48" i="134"/>
  <c r="Z49" i="134"/>
  <c r="Z50" i="134"/>
  <c r="Z51" i="134"/>
  <c r="Z52" i="134"/>
  <c r="Z53" i="134"/>
  <c r="Z54" i="134"/>
  <c r="Z55" i="134"/>
  <c r="Z56" i="134"/>
  <c r="Z57" i="134"/>
  <c r="Z58" i="134"/>
  <c r="Z59" i="134"/>
  <c r="Z60" i="134"/>
  <c r="Z61" i="134"/>
  <c r="Z62" i="134"/>
  <c r="Z63" i="134"/>
  <c r="Z64" i="134"/>
  <c r="Z65" i="134"/>
  <c r="Z66" i="134"/>
  <c r="Z67" i="134"/>
  <c r="Z68" i="134"/>
  <c r="Z69" i="134"/>
  <c r="Z70" i="134"/>
  <c r="Z71" i="134"/>
  <c r="Z72" i="134"/>
  <c r="Z73" i="134"/>
  <c r="Z74" i="134"/>
  <c r="Z75" i="134"/>
  <c r="Z76" i="134"/>
  <c r="Z77" i="134"/>
  <c r="Z29" i="135"/>
  <c r="Z30" i="135"/>
  <c r="Z31" i="135"/>
  <c r="Z32" i="135"/>
  <c r="Z33" i="135"/>
  <c r="Z34" i="135"/>
  <c r="Z35" i="135"/>
  <c r="Z36" i="135"/>
  <c r="Z37" i="135"/>
  <c r="Z38" i="135"/>
  <c r="Z39" i="135"/>
  <c r="Z40" i="135"/>
  <c r="Z41" i="135"/>
  <c r="Z42" i="135"/>
  <c r="Z43" i="135"/>
  <c r="Z44" i="135"/>
  <c r="Z45" i="135"/>
  <c r="Z46" i="135"/>
  <c r="Z47" i="135"/>
  <c r="Z48" i="135"/>
  <c r="Z49" i="135"/>
  <c r="Z50" i="135"/>
  <c r="Z51" i="135"/>
  <c r="Z52" i="135"/>
  <c r="Z53" i="135"/>
  <c r="Z54" i="135"/>
  <c r="Z55" i="135"/>
  <c r="Z56" i="135"/>
  <c r="Z57" i="135"/>
  <c r="Z58" i="135"/>
  <c r="Z59" i="135"/>
  <c r="Z60" i="135"/>
  <c r="Z61" i="135"/>
  <c r="Z62" i="135"/>
  <c r="Z63" i="135"/>
  <c r="Z64" i="135"/>
  <c r="Z65" i="135"/>
  <c r="Z66" i="135"/>
  <c r="Z67" i="135"/>
  <c r="Z68" i="135"/>
  <c r="Z69" i="135"/>
  <c r="Z70" i="135"/>
  <c r="Z71" i="135"/>
  <c r="Z72" i="135"/>
  <c r="Z73" i="135"/>
  <c r="Z74" i="135"/>
  <c r="Z75" i="135"/>
  <c r="Z76" i="135"/>
  <c r="Z77" i="135"/>
  <c r="Z29" i="136"/>
  <c r="Z30" i="136"/>
  <c r="Z31" i="136"/>
  <c r="Z32" i="136"/>
  <c r="Z33" i="136"/>
  <c r="Z34" i="136"/>
  <c r="Z35" i="136"/>
  <c r="Z36" i="136"/>
  <c r="Z37" i="136"/>
  <c r="Z38" i="136"/>
  <c r="Z39" i="136"/>
  <c r="Z40" i="136"/>
  <c r="Z41" i="136"/>
  <c r="Z42" i="136"/>
  <c r="Z43" i="136"/>
  <c r="Z44" i="136"/>
  <c r="Z45" i="136"/>
  <c r="Z46" i="136"/>
  <c r="Z47" i="136"/>
  <c r="Z48" i="136"/>
  <c r="Z49" i="136"/>
  <c r="Z50" i="136"/>
  <c r="Z51" i="136"/>
  <c r="Z52" i="136"/>
  <c r="Z53" i="136"/>
  <c r="Z54" i="136"/>
  <c r="Z55" i="136"/>
  <c r="Z56" i="136"/>
  <c r="Z57" i="136"/>
  <c r="Z58" i="136"/>
  <c r="Z59" i="136"/>
  <c r="Z60" i="136"/>
  <c r="Z61" i="136"/>
  <c r="Z62" i="136"/>
  <c r="Z63" i="136"/>
  <c r="Z64" i="136"/>
  <c r="Z65" i="136"/>
  <c r="Z66" i="136"/>
  <c r="Z67" i="136"/>
  <c r="Z68" i="136"/>
  <c r="Z69" i="136"/>
  <c r="Z70" i="136"/>
  <c r="Z71" i="136"/>
  <c r="Z72" i="136"/>
  <c r="Z73" i="136"/>
  <c r="Z74" i="136"/>
  <c r="Z75" i="136"/>
  <c r="Z76" i="136"/>
  <c r="Z77" i="136"/>
  <c r="Z29" i="137"/>
  <c r="Z30" i="137"/>
  <c r="Z31" i="137"/>
  <c r="Z32" i="137"/>
  <c r="Z33" i="137"/>
  <c r="Z34" i="137"/>
  <c r="Z35" i="137"/>
  <c r="Z36" i="137"/>
  <c r="Z37" i="137"/>
  <c r="Z38" i="137"/>
  <c r="Z39" i="137"/>
  <c r="Z40" i="137"/>
  <c r="Z41" i="137"/>
  <c r="Z42" i="137"/>
  <c r="Z43" i="137"/>
  <c r="Z44" i="137"/>
  <c r="Z45" i="137"/>
  <c r="Z46" i="137"/>
  <c r="Z47" i="137"/>
  <c r="Z48" i="137"/>
  <c r="Z49" i="137"/>
  <c r="Z50" i="137"/>
  <c r="Z51" i="137"/>
  <c r="Z52" i="137"/>
  <c r="Z53" i="137"/>
  <c r="Z54" i="137"/>
  <c r="Z55" i="137"/>
  <c r="Z56" i="137"/>
  <c r="Z57" i="137"/>
  <c r="Z58" i="137"/>
  <c r="Z59" i="137"/>
  <c r="Z60" i="137"/>
  <c r="Z61" i="137"/>
  <c r="Z62" i="137"/>
  <c r="Z63" i="137"/>
  <c r="Z64" i="137"/>
  <c r="Z65" i="137"/>
  <c r="Z66" i="137"/>
  <c r="Z67" i="137"/>
  <c r="Z68" i="137"/>
  <c r="Z69" i="137"/>
  <c r="Z70" i="137"/>
  <c r="Z71" i="137"/>
  <c r="Z72" i="137"/>
  <c r="Z73" i="137"/>
  <c r="Z74" i="137"/>
  <c r="Z75" i="137"/>
  <c r="Z76" i="137"/>
  <c r="Z77" i="137"/>
  <c r="Z29" i="138"/>
  <c r="Z30" i="138"/>
  <c r="Z31" i="138"/>
  <c r="Z32" i="138"/>
  <c r="Z33" i="138"/>
  <c r="Z34" i="138"/>
  <c r="Z35" i="138"/>
  <c r="Z36" i="138"/>
  <c r="Z37" i="138"/>
  <c r="Z38" i="138"/>
  <c r="Z39" i="138"/>
  <c r="Z40" i="138"/>
  <c r="Z41" i="138"/>
  <c r="Z42" i="138"/>
  <c r="Z43" i="138"/>
  <c r="Z44" i="138"/>
  <c r="Z45" i="138"/>
  <c r="Z46" i="138"/>
  <c r="Z47" i="138"/>
  <c r="Z48" i="138"/>
  <c r="Z49" i="138"/>
  <c r="Z50" i="138"/>
  <c r="Z51" i="138"/>
  <c r="Z52" i="138"/>
  <c r="Z53" i="138"/>
  <c r="Z54" i="138"/>
  <c r="Z55" i="138"/>
  <c r="Z56" i="138"/>
  <c r="Z57" i="138"/>
  <c r="Z58" i="138"/>
  <c r="Z59" i="138"/>
  <c r="Z60" i="138"/>
  <c r="Z61" i="138"/>
  <c r="Z62" i="138"/>
  <c r="Z63" i="138"/>
  <c r="Z64" i="138"/>
  <c r="Z65" i="138"/>
  <c r="Z66" i="138"/>
  <c r="Z67" i="138"/>
  <c r="Z68" i="138"/>
  <c r="Z69" i="138"/>
  <c r="Z70" i="138"/>
  <c r="Z71" i="138"/>
  <c r="Z72" i="138"/>
  <c r="Z73" i="138"/>
  <c r="Z74" i="138"/>
  <c r="Z75" i="138"/>
  <c r="Z76" i="138"/>
  <c r="Z77" i="138"/>
  <c r="Z29" i="139"/>
  <c r="Z30" i="139"/>
  <c r="Z31" i="139"/>
  <c r="Z32" i="139"/>
  <c r="Z33" i="139"/>
  <c r="Z34" i="139"/>
  <c r="Z35" i="139"/>
  <c r="Z36" i="139"/>
  <c r="Z37" i="139"/>
  <c r="Z38" i="139"/>
  <c r="Z39" i="139"/>
  <c r="Z40" i="139"/>
  <c r="Z41" i="139"/>
  <c r="Z42" i="139"/>
  <c r="Z43" i="139"/>
  <c r="Z44" i="139"/>
  <c r="Z45" i="139"/>
  <c r="Z46" i="139"/>
  <c r="Z47" i="139"/>
  <c r="Z48" i="139"/>
  <c r="Z49" i="139"/>
  <c r="Z50" i="139"/>
  <c r="Z51" i="139"/>
  <c r="Z52" i="139"/>
  <c r="Z53" i="139"/>
  <c r="Z54" i="139"/>
  <c r="Z55" i="139"/>
  <c r="Z56" i="139"/>
  <c r="Z57" i="139"/>
  <c r="Z58" i="139"/>
  <c r="Z59" i="139"/>
  <c r="Z60" i="139"/>
  <c r="Z61" i="139"/>
  <c r="Z62" i="139"/>
  <c r="Z63" i="139"/>
  <c r="Z64" i="139"/>
  <c r="Z65" i="139"/>
  <c r="Z66" i="139"/>
  <c r="Z67" i="139"/>
  <c r="Z68" i="139"/>
  <c r="Z69" i="139"/>
  <c r="Z70" i="139"/>
  <c r="Z71" i="139"/>
  <c r="Z72" i="139"/>
  <c r="Z73" i="139"/>
  <c r="Z74" i="139"/>
  <c r="Z75" i="139"/>
  <c r="Z76" i="139"/>
  <c r="Z77" i="139"/>
  <c r="Z29" i="140"/>
  <c r="Z30" i="140"/>
  <c r="Z31" i="140"/>
  <c r="Z32" i="140"/>
  <c r="Z33" i="140"/>
  <c r="Z34" i="140"/>
  <c r="Z35" i="140"/>
  <c r="Z36" i="140"/>
  <c r="Z37" i="140"/>
  <c r="Z38" i="140"/>
  <c r="Z39" i="140"/>
  <c r="Z40" i="140"/>
  <c r="Z41" i="140"/>
  <c r="Z42" i="140"/>
  <c r="Z43" i="140"/>
  <c r="Z44" i="140"/>
  <c r="Z45" i="140"/>
  <c r="Z46" i="140"/>
  <c r="Z47" i="140"/>
  <c r="Z48" i="140"/>
  <c r="Z49" i="140"/>
  <c r="Z50" i="140"/>
  <c r="Z51" i="140"/>
  <c r="Z52" i="140"/>
  <c r="Z53" i="140"/>
  <c r="Z54" i="140"/>
  <c r="Z55" i="140"/>
  <c r="Z56" i="140"/>
  <c r="Z57" i="140"/>
  <c r="Z58" i="140"/>
  <c r="Z59" i="140"/>
  <c r="Z60" i="140"/>
  <c r="Z61" i="140"/>
  <c r="Z62" i="140"/>
  <c r="Z63" i="140"/>
  <c r="Z64" i="140"/>
  <c r="Z65" i="140"/>
  <c r="Z66" i="140"/>
  <c r="Z67" i="140"/>
  <c r="Z68" i="140"/>
  <c r="Z69" i="140"/>
  <c r="Z70" i="140"/>
  <c r="Z71" i="140"/>
  <c r="Z72" i="140"/>
  <c r="Z73" i="140"/>
  <c r="Z74" i="140"/>
  <c r="Z75" i="140"/>
  <c r="Z76" i="140"/>
  <c r="Z77" i="140"/>
  <c r="Z29" i="141"/>
  <c r="Z30" i="141"/>
  <c r="Z31" i="141"/>
  <c r="Z32" i="141"/>
  <c r="Z33" i="141"/>
  <c r="Z34" i="141"/>
  <c r="Z35" i="141"/>
  <c r="Z36" i="141"/>
  <c r="Z37" i="141"/>
  <c r="Z38" i="141"/>
  <c r="Z39" i="141"/>
  <c r="Z40" i="141"/>
  <c r="Z41" i="141"/>
  <c r="Z42" i="141"/>
  <c r="Z43" i="141"/>
  <c r="Z44" i="141"/>
  <c r="Z45" i="141"/>
  <c r="Z46" i="141"/>
  <c r="Z47" i="141"/>
  <c r="Z48" i="141"/>
  <c r="Z49" i="141"/>
  <c r="Z50" i="141"/>
  <c r="Z51" i="141"/>
  <c r="Z52" i="141"/>
  <c r="Z53" i="141"/>
  <c r="Z54" i="141"/>
  <c r="Z55" i="141"/>
  <c r="Z56" i="141"/>
  <c r="Z57" i="141"/>
  <c r="Z58" i="141"/>
  <c r="Z59" i="141"/>
  <c r="Z60" i="141"/>
  <c r="Z61" i="141"/>
  <c r="Z62" i="141"/>
  <c r="Z63" i="141"/>
  <c r="Z64" i="141"/>
  <c r="Z65" i="141"/>
  <c r="Z66" i="141"/>
  <c r="Z67" i="141"/>
  <c r="Z68" i="141"/>
  <c r="Z69" i="141"/>
  <c r="Z70" i="141"/>
  <c r="Z71" i="141"/>
  <c r="Z72" i="141"/>
  <c r="Z73" i="141"/>
  <c r="Z74" i="141"/>
  <c r="Z75" i="141"/>
  <c r="Z76" i="141"/>
  <c r="Z77" i="141"/>
  <c r="Z29" i="142"/>
  <c r="Z30" i="142"/>
  <c r="Z31" i="142"/>
  <c r="Z32" i="142"/>
  <c r="Z33" i="142"/>
  <c r="Z34" i="142"/>
  <c r="Z35" i="142"/>
  <c r="Z36" i="142"/>
  <c r="Z37" i="142"/>
  <c r="Z38" i="142"/>
  <c r="Z39" i="142"/>
  <c r="Z40" i="142"/>
  <c r="Z41" i="142"/>
  <c r="Z42" i="142"/>
  <c r="Z43" i="142"/>
  <c r="Z44" i="142"/>
  <c r="Z45" i="142"/>
  <c r="Z46" i="142"/>
  <c r="Z47" i="142"/>
  <c r="Z48" i="142"/>
  <c r="Z49" i="142"/>
  <c r="Z50" i="142"/>
  <c r="Z51" i="142"/>
  <c r="Z52" i="142"/>
  <c r="Z53" i="142"/>
  <c r="Z54" i="142"/>
  <c r="Z55" i="142"/>
  <c r="Z56" i="142"/>
  <c r="Z57" i="142"/>
  <c r="Z58" i="142"/>
  <c r="Z59" i="142"/>
  <c r="Z60" i="142"/>
  <c r="Z61" i="142"/>
  <c r="Z62" i="142"/>
  <c r="Z63" i="142"/>
  <c r="Z64" i="142"/>
  <c r="Z65" i="142"/>
  <c r="Z66" i="142"/>
  <c r="Z67" i="142"/>
  <c r="Z68" i="142"/>
  <c r="Z69" i="142"/>
  <c r="Z70" i="142"/>
  <c r="Z71" i="142"/>
  <c r="Z72" i="142"/>
  <c r="Z73" i="142"/>
  <c r="Z74" i="142"/>
  <c r="Z75" i="142"/>
  <c r="Z76" i="142"/>
  <c r="Z77" i="142"/>
  <c r="Z29" i="143"/>
  <c r="Z30" i="143"/>
  <c r="Z31" i="143"/>
  <c r="Z32" i="143"/>
  <c r="Z33" i="143"/>
  <c r="Z34" i="143"/>
  <c r="Z35" i="143"/>
  <c r="Z36" i="143"/>
  <c r="Z37" i="143"/>
  <c r="Z38" i="143"/>
  <c r="Z39" i="143"/>
  <c r="Z40" i="143"/>
  <c r="Z41" i="143"/>
  <c r="Z42" i="143"/>
  <c r="Z43" i="143"/>
  <c r="Z44" i="143"/>
  <c r="Z45" i="143"/>
  <c r="Z46" i="143"/>
  <c r="Z47" i="143"/>
  <c r="Z48" i="143"/>
  <c r="Z49" i="143"/>
  <c r="Z50" i="143"/>
  <c r="Z51" i="143"/>
  <c r="Z52" i="143"/>
  <c r="Z53" i="143"/>
  <c r="Z54" i="143"/>
  <c r="Z55" i="143"/>
  <c r="Z56" i="143"/>
  <c r="Z57" i="143"/>
  <c r="Z58" i="143"/>
  <c r="Z59" i="143"/>
  <c r="Z60" i="143"/>
  <c r="Z61" i="143"/>
  <c r="Z62" i="143"/>
  <c r="Z63" i="143"/>
  <c r="Z64" i="143"/>
  <c r="Z65" i="143"/>
  <c r="Z66" i="143"/>
  <c r="Z67" i="143"/>
  <c r="Z68" i="143"/>
  <c r="Z69" i="143"/>
  <c r="Z70" i="143"/>
  <c r="Z71" i="143"/>
  <c r="Z72" i="143"/>
  <c r="Z73" i="143"/>
  <c r="Z74" i="143"/>
  <c r="Z75" i="143"/>
  <c r="Z76" i="143"/>
  <c r="Z77" i="143"/>
  <c r="Z29" i="144"/>
  <c r="Z30" i="144"/>
  <c r="Z31" i="144"/>
  <c r="Z32" i="144"/>
  <c r="Z33" i="144"/>
  <c r="Z34" i="144"/>
  <c r="Z35" i="144"/>
  <c r="Z36" i="144"/>
  <c r="Z37" i="144"/>
  <c r="Z38" i="144"/>
  <c r="Z39" i="144"/>
  <c r="Z40" i="144"/>
  <c r="Z41" i="144"/>
  <c r="Z42" i="144"/>
  <c r="Z43" i="144"/>
  <c r="Z44" i="144"/>
  <c r="Z45" i="144"/>
  <c r="Z46" i="144"/>
  <c r="Z47" i="144"/>
  <c r="Z48" i="144"/>
  <c r="Z49" i="144"/>
  <c r="Z50" i="144"/>
  <c r="Z51" i="144"/>
  <c r="Z52" i="144"/>
  <c r="Z53" i="144"/>
  <c r="Z54" i="144"/>
  <c r="Z55" i="144"/>
  <c r="Z56" i="144"/>
  <c r="Z57" i="144"/>
  <c r="Z58" i="144"/>
  <c r="Z59" i="144"/>
  <c r="Z60" i="144"/>
  <c r="Z61" i="144"/>
  <c r="Z62" i="144"/>
  <c r="Z63" i="144"/>
  <c r="Z64" i="144"/>
  <c r="Z65" i="144"/>
  <c r="Z66" i="144"/>
  <c r="Z67" i="144"/>
  <c r="Z68" i="144"/>
  <c r="Z69" i="144"/>
  <c r="Z70" i="144"/>
  <c r="Z71" i="144"/>
  <c r="Z72" i="144"/>
  <c r="Z73" i="144"/>
  <c r="Z74" i="144"/>
  <c r="Z75" i="144"/>
  <c r="Z76" i="144"/>
  <c r="Z77" i="144"/>
  <c r="Z29" i="145"/>
  <c r="Z30" i="145"/>
  <c r="Z31" i="145"/>
  <c r="Z32" i="145"/>
  <c r="Z33" i="145"/>
  <c r="Z34" i="145"/>
  <c r="Z35" i="145"/>
  <c r="Z36" i="145"/>
  <c r="Z37" i="145"/>
  <c r="Z38" i="145"/>
  <c r="Z39" i="145"/>
  <c r="Z40" i="145"/>
  <c r="Z41" i="145"/>
  <c r="Z42" i="145"/>
  <c r="Z43" i="145"/>
  <c r="Z44" i="145"/>
  <c r="Z45" i="145"/>
  <c r="Z46" i="145"/>
  <c r="Z47" i="145"/>
  <c r="Z48" i="145"/>
  <c r="Z49" i="145"/>
  <c r="Z50" i="145"/>
  <c r="Z51" i="145"/>
  <c r="Z52" i="145"/>
  <c r="Z53" i="145"/>
  <c r="Z54" i="145"/>
  <c r="Z55" i="145"/>
  <c r="Z56" i="145"/>
  <c r="Z57" i="145"/>
  <c r="Z58" i="145"/>
  <c r="Z59" i="145"/>
  <c r="Z60" i="145"/>
  <c r="Z61" i="145"/>
  <c r="Z62" i="145"/>
  <c r="Z63" i="145"/>
  <c r="Z64" i="145"/>
  <c r="Z65" i="145"/>
  <c r="Z66" i="145"/>
  <c r="Z67" i="145"/>
  <c r="Z68" i="145"/>
  <c r="Z69" i="145"/>
  <c r="Z70" i="145"/>
  <c r="Z71" i="145"/>
  <c r="Z72" i="145"/>
  <c r="Z73" i="145"/>
  <c r="Z74" i="145"/>
  <c r="Z75" i="145"/>
  <c r="Z76" i="145"/>
  <c r="Z77" i="145"/>
  <c r="Z29" i="152"/>
  <c r="Z30" i="152"/>
  <c r="Z31" i="152"/>
  <c r="Z32" i="152"/>
  <c r="Z33" i="152"/>
  <c r="Z34" i="152"/>
  <c r="Z35" i="152"/>
  <c r="Z36" i="152"/>
  <c r="Z37" i="152"/>
  <c r="Z38" i="152"/>
  <c r="Z39" i="152"/>
  <c r="Z40" i="152"/>
  <c r="Z41" i="152"/>
  <c r="Z42" i="152"/>
  <c r="Z43" i="152"/>
  <c r="Z44" i="152"/>
  <c r="Z45" i="152"/>
  <c r="Z46" i="152"/>
  <c r="Z47" i="152"/>
  <c r="Z48" i="152"/>
  <c r="Z49" i="152"/>
  <c r="Z50" i="152"/>
  <c r="Z51" i="152"/>
  <c r="Z52" i="152"/>
  <c r="Z53" i="152"/>
  <c r="Z54" i="152"/>
  <c r="Z55" i="152"/>
  <c r="Z56" i="152"/>
  <c r="Z57" i="152"/>
  <c r="Z58" i="152"/>
  <c r="Z59" i="152"/>
  <c r="Z60" i="152"/>
  <c r="Z61" i="152"/>
  <c r="Z62" i="152"/>
  <c r="Z63" i="152"/>
  <c r="Z64" i="152"/>
  <c r="Z65" i="152"/>
  <c r="Z66" i="152"/>
  <c r="Z67" i="152"/>
  <c r="Z68" i="152"/>
  <c r="Z69" i="152"/>
  <c r="Z70" i="152"/>
  <c r="Z71" i="152"/>
  <c r="Z72" i="152"/>
  <c r="Z73" i="152"/>
  <c r="Z74" i="152"/>
  <c r="Z75" i="152"/>
  <c r="Z76" i="152"/>
  <c r="Z77" i="152"/>
  <c r="Z29" i="22"/>
  <c r="Z30" i="22"/>
  <c r="Z31" i="22"/>
  <c r="Z32" i="22"/>
  <c r="Z33" i="22"/>
  <c r="Z34" i="22"/>
  <c r="Z35" i="22"/>
  <c r="Z36" i="22"/>
  <c r="Z37" i="22"/>
  <c r="Z38" i="22"/>
  <c r="Z39" i="22"/>
  <c r="Z40" i="22"/>
  <c r="Z41" i="22"/>
  <c r="Z42" i="22"/>
  <c r="Z43" i="22"/>
  <c r="Z44" i="22"/>
  <c r="Z45" i="22"/>
  <c r="Z46" i="22"/>
  <c r="Z47" i="22"/>
  <c r="Z48" i="22"/>
  <c r="Z49" i="22"/>
  <c r="Z50" i="22"/>
  <c r="Z51" i="22"/>
  <c r="Z52" i="22"/>
  <c r="Z53" i="22"/>
  <c r="Z54" i="22"/>
  <c r="Z55" i="22"/>
  <c r="Z56" i="22"/>
  <c r="Z57" i="22"/>
  <c r="Z58" i="22"/>
  <c r="Z59" i="22"/>
  <c r="Z60" i="22"/>
  <c r="Z61" i="22"/>
  <c r="Z62" i="22"/>
  <c r="Z63" i="22"/>
  <c r="Z64" i="22"/>
  <c r="Z65" i="22"/>
  <c r="Z66" i="22"/>
  <c r="Z67" i="22"/>
  <c r="Z68" i="22"/>
  <c r="Z69" i="22"/>
  <c r="Z70" i="22"/>
  <c r="Z71" i="22"/>
  <c r="Z72" i="22"/>
  <c r="Z73" i="22"/>
  <c r="Z74" i="22"/>
  <c r="Z75" i="22"/>
  <c r="Z76" i="22"/>
  <c r="Z77" i="22"/>
  <c r="Z28" i="88"/>
  <c r="Z28" i="89"/>
  <c r="Z28" i="90"/>
  <c r="Z28" i="91"/>
  <c r="Z28" i="92"/>
  <c r="Z28" i="93"/>
  <c r="Z28" i="94"/>
  <c r="Z28" i="95"/>
  <c r="Z28" i="96"/>
  <c r="Z28" i="97"/>
  <c r="Z28" i="98"/>
  <c r="Z28" i="99"/>
  <c r="Z28" i="100"/>
  <c r="Z28" i="101"/>
  <c r="Z28" i="102"/>
  <c r="Z28" i="103"/>
  <c r="Z28" i="104"/>
  <c r="Z28" i="105"/>
  <c r="Z28" i="106"/>
  <c r="Z28" i="107"/>
  <c r="Z28" i="108"/>
  <c r="Z28" i="109"/>
  <c r="Z28" i="110"/>
  <c r="Z28" i="111"/>
  <c r="Z28" i="112"/>
  <c r="Z28" i="113"/>
  <c r="Z28" i="114"/>
  <c r="Z28" i="115"/>
  <c r="Z28" i="116"/>
  <c r="Z28" i="117"/>
  <c r="Z28" i="118"/>
  <c r="Z28" i="119"/>
  <c r="Z28" i="120"/>
  <c r="Z28" i="121"/>
  <c r="Z28" i="122"/>
  <c r="Z28" i="123"/>
  <c r="Z28" i="124"/>
  <c r="Z28" i="125"/>
  <c r="Z28" i="126"/>
  <c r="Z28" i="127"/>
  <c r="Z28" i="128"/>
  <c r="Z28" i="129"/>
  <c r="Z28" i="130"/>
  <c r="Z28" i="131"/>
  <c r="Z28" i="132"/>
  <c r="Z28" i="133"/>
  <c r="Z28" i="134"/>
  <c r="Z28" i="135"/>
  <c r="Z28" i="136"/>
  <c r="Z28" i="137"/>
  <c r="Z28" i="138"/>
  <c r="Z28" i="139"/>
  <c r="Z28" i="140"/>
  <c r="Z28" i="141"/>
  <c r="Z28" i="142"/>
  <c r="Z28" i="143"/>
  <c r="Z28" i="144"/>
  <c r="Z28" i="145"/>
  <c r="Z28" i="152"/>
  <c r="Z28" i="22"/>
  <c r="F29" i="88"/>
  <c r="F30" i="88"/>
  <c r="F31" i="88"/>
  <c r="F32" i="88"/>
  <c r="F33" i="88"/>
  <c r="F34" i="88"/>
  <c r="F35" i="88"/>
  <c r="F36" i="88"/>
  <c r="F37" i="88"/>
  <c r="F38" i="88"/>
  <c r="F39" i="88"/>
  <c r="F40" i="88"/>
  <c r="F41" i="88"/>
  <c r="F42" i="88"/>
  <c r="F43" i="88"/>
  <c r="F44" i="88"/>
  <c r="F45" i="88"/>
  <c r="F46" i="88"/>
  <c r="F47" i="88"/>
  <c r="F48" i="88"/>
  <c r="F49" i="88"/>
  <c r="F50" i="88"/>
  <c r="F51" i="88"/>
  <c r="F52" i="88"/>
  <c r="F53" i="88"/>
  <c r="F54" i="88"/>
  <c r="F55" i="88"/>
  <c r="F56" i="88"/>
  <c r="F57" i="88"/>
  <c r="F58" i="88"/>
  <c r="F59" i="88"/>
  <c r="F60" i="88"/>
  <c r="F61" i="88"/>
  <c r="F62" i="88"/>
  <c r="F63" i="88"/>
  <c r="F64" i="88"/>
  <c r="F65" i="88"/>
  <c r="F66" i="88"/>
  <c r="F67" i="88"/>
  <c r="F68" i="88"/>
  <c r="F69" i="88"/>
  <c r="F70" i="88"/>
  <c r="F71" i="88"/>
  <c r="F72" i="88"/>
  <c r="F73" i="88"/>
  <c r="F74" i="88"/>
  <c r="F75" i="88"/>
  <c r="F76" i="88"/>
  <c r="F77" i="88"/>
  <c r="F29" i="89"/>
  <c r="F30" i="89"/>
  <c r="F31" i="89"/>
  <c r="F32" i="89"/>
  <c r="F33" i="89"/>
  <c r="F34" i="89"/>
  <c r="F35" i="89"/>
  <c r="F36" i="89"/>
  <c r="F37" i="89"/>
  <c r="F38" i="89"/>
  <c r="F39" i="89"/>
  <c r="F40" i="89"/>
  <c r="F41" i="89"/>
  <c r="F42" i="89"/>
  <c r="F43" i="89"/>
  <c r="F44" i="89"/>
  <c r="F45" i="89"/>
  <c r="F46" i="89"/>
  <c r="F47" i="89"/>
  <c r="F48" i="89"/>
  <c r="F49" i="89"/>
  <c r="F50" i="89"/>
  <c r="F51" i="89"/>
  <c r="F52" i="89"/>
  <c r="F53" i="89"/>
  <c r="F54" i="89"/>
  <c r="F55" i="89"/>
  <c r="F56" i="89"/>
  <c r="F57" i="89"/>
  <c r="F58" i="89"/>
  <c r="F59" i="89"/>
  <c r="F60" i="89"/>
  <c r="F61" i="89"/>
  <c r="F62" i="89"/>
  <c r="F63" i="89"/>
  <c r="F64" i="89"/>
  <c r="F65" i="89"/>
  <c r="F66" i="89"/>
  <c r="F67" i="89"/>
  <c r="F68" i="89"/>
  <c r="F69" i="89"/>
  <c r="F70" i="89"/>
  <c r="F71" i="89"/>
  <c r="F72" i="89"/>
  <c r="F73" i="89"/>
  <c r="F74" i="89"/>
  <c r="F75" i="89"/>
  <c r="F76" i="89"/>
  <c r="F77" i="89"/>
  <c r="F29" i="90"/>
  <c r="F30" i="90"/>
  <c r="F31" i="90"/>
  <c r="F32" i="90"/>
  <c r="F33" i="90"/>
  <c r="F34" i="90"/>
  <c r="F35" i="90"/>
  <c r="F36" i="90"/>
  <c r="F37" i="90"/>
  <c r="F38" i="90"/>
  <c r="F39" i="90"/>
  <c r="F40" i="90"/>
  <c r="F41" i="90"/>
  <c r="F42" i="90"/>
  <c r="F43" i="90"/>
  <c r="F44" i="90"/>
  <c r="F45" i="90"/>
  <c r="F46" i="90"/>
  <c r="F47" i="90"/>
  <c r="F48" i="90"/>
  <c r="F49" i="90"/>
  <c r="F50" i="90"/>
  <c r="F51" i="90"/>
  <c r="F52" i="90"/>
  <c r="F53" i="90"/>
  <c r="F54" i="90"/>
  <c r="F55" i="90"/>
  <c r="F56" i="90"/>
  <c r="F57" i="90"/>
  <c r="F58" i="90"/>
  <c r="F59" i="90"/>
  <c r="F60" i="90"/>
  <c r="F61" i="90"/>
  <c r="F62" i="90"/>
  <c r="F63" i="90"/>
  <c r="F64" i="90"/>
  <c r="F65" i="90"/>
  <c r="F66" i="90"/>
  <c r="F67" i="90"/>
  <c r="F68" i="90"/>
  <c r="F69" i="90"/>
  <c r="F70" i="90"/>
  <c r="F71" i="90"/>
  <c r="F72" i="90"/>
  <c r="F73" i="90"/>
  <c r="F74" i="90"/>
  <c r="F75" i="90"/>
  <c r="F76" i="90"/>
  <c r="F77" i="90"/>
  <c r="F29" i="91"/>
  <c r="F30" i="91"/>
  <c r="F31" i="91"/>
  <c r="F32" i="91"/>
  <c r="F33" i="91"/>
  <c r="F34" i="91"/>
  <c r="F35" i="91"/>
  <c r="F36" i="91"/>
  <c r="F37" i="91"/>
  <c r="F38" i="91"/>
  <c r="F39" i="91"/>
  <c r="F40" i="91"/>
  <c r="F41" i="91"/>
  <c r="F42" i="91"/>
  <c r="F43" i="91"/>
  <c r="F44" i="91"/>
  <c r="F45" i="91"/>
  <c r="F46" i="91"/>
  <c r="F47" i="91"/>
  <c r="F48" i="91"/>
  <c r="F49" i="91"/>
  <c r="F50" i="91"/>
  <c r="F51" i="91"/>
  <c r="F52" i="91"/>
  <c r="F53" i="91"/>
  <c r="F54" i="91"/>
  <c r="F55" i="91"/>
  <c r="F56" i="91"/>
  <c r="F57" i="91"/>
  <c r="F58" i="91"/>
  <c r="F59" i="91"/>
  <c r="F60" i="91"/>
  <c r="F61" i="91"/>
  <c r="F62" i="91"/>
  <c r="F63" i="91"/>
  <c r="F64" i="91"/>
  <c r="F65" i="91"/>
  <c r="F66" i="91"/>
  <c r="F67" i="91"/>
  <c r="F68" i="91"/>
  <c r="F69" i="91"/>
  <c r="F70" i="91"/>
  <c r="F71" i="91"/>
  <c r="F72" i="91"/>
  <c r="F73" i="91"/>
  <c r="F74" i="91"/>
  <c r="F75" i="91"/>
  <c r="F76" i="91"/>
  <c r="F77" i="91"/>
  <c r="F29" i="92"/>
  <c r="F30" i="92"/>
  <c r="F31" i="92"/>
  <c r="F32" i="92"/>
  <c r="F33" i="92"/>
  <c r="F34" i="92"/>
  <c r="F35" i="92"/>
  <c r="F36" i="92"/>
  <c r="F37" i="92"/>
  <c r="F38" i="92"/>
  <c r="F39" i="92"/>
  <c r="F40" i="92"/>
  <c r="F41" i="92"/>
  <c r="F42" i="92"/>
  <c r="F43" i="92"/>
  <c r="F44" i="92"/>
  <c r="F45" i="92"/>
  <c r="F46" i="92"/>
  <c r="F47" i="92"/>
  <c r="F48" i="92"/>
  <c r="F49" i="92"/>
  <c r="F50" i="92"/>
  <c r="F51" i="92"/>
  <c r="F52" i="92"/>
  <c r="F53" i="92"/>
  <c r="F54" i="92"/>
  <c r="F55" i="92"/>
  <c r="F56" i="92"/>
  <c r="F57" i="92"/>
  <c r="F58" i="92"/>
  <c r="F59" i="92"/>
  <c r="F60" i="92"/>
  <c r="F61" i="92"/>
  <c r="F62" i="92"/>
  <c r="F63" i="92"/>
  <c r="F64" i="92"/>
  <c r="F65" i="92"/>
  <c r="F66" i="92"/>
  <c r="F67" i="92"/>
  <c r="F68" i="92"/>
  <c r="F69" i="92"/>
  <c r="F70" i="92"/>
  <c r="F71" i="92"/>
  <c r="F72" i="92"/>
  <c r="F73" i="92"/>
  <c r="F74" i="92"/>
  <c r="F75" i="92"/>
  <c r="F76" i="92"/>
  <c r="F77" i="92"/>
  <c r="F29" i="93"/>
  <c r="F30" i="93"/>
  <c r="F31" i="93"/>
  <c r="F32" i="93"/>
  <c r="F33" i="93"/>
  <c r="F34" i="93"/>
  <c r="F35" i="93"/>
  <c r="F36" i="93"/>
  <c r="F37" i="93"/>
  <c r="F38" i="93"/>
  <c r="F39" i="93"/>
  <c r="F40" i="93"/>
  <c r="F41" i="93"/>
  <c r="F42" i="93"/>
  <c r="F43" i="93"/>
  <c r="F44" i="93"/>
  <c r="F45" i="93"/>
  <c r="F46" i="93"/>
  <c r="F47" i="93"/>
  <c r="F48" i="93"/>
  <c r="F49" i="93"/>
  <c r="F50" i="93"/>
  <c r="F51" i="93"/>
  <c r="F52" i="93"/>
  <c r="F53" i="93"/>
  <c r="F54" i="93"/>
  <c r="F55" i="93"/>
  <c r="F56" i="93"/>
  <c r="F57" i="93"/>
  <c r="F58" i="93"/>
  <c r="F59" i="93"/>
  <c r="F60" i="93"/>
  <c r="F61" i="93"/>
  <c r="F62" i="93"/>
  <c r="F63" i="93"/>
  <c r="F64" i="93"/>
  <c r="F65" i="93"/>
  <c r="F66" i="93"/>
  <c r="F67" i="93"/>
  <c r="F68" i="93"/>
  <c r="F69" i="93"/>
  <c r="F70" i="93"/>
  <c r="F71" i="93"/>
  <c r="F72" i="93"/>
  <c r="F73" i="93"/>
  <c r="F74" i="93"/>
  <c r="F75" i="93"/>
  <c r="F76" i="93"/>
  <c r="F77" i="93"/>
  <c r="F29" i="94"/>
  <c r="F30" i="94"/>
  <c r="F31" i="94"/>
  <c r="F32" i="94"/>
  <c r="F33" i="94"/>
  <c r="F34" i="94"/>
  <c r="F35" i="94"/>
  <c r="F36" i="94"/>
  <c r="F37" i="94"/>
  <c r="F38" i="94"/>
  <c r="F39" i="94"/>
  <c r="F40" i="94"/>
  <c r="F41" i="94"/>
  <c r="F42" i="94"/>
  <c r="F43" i="94"/>
  <c r="F44" i="94"/>
  <c r="F45" i="94"/>
  <c r="F46" i="94"/>
  <c r="F47" i="94"/>
  <c r="F48" i="94"/>
  <c r="F49" i="94"/>
  <c r="F50" i="94"/>
  <c r="F51" i="94"/>
  <c r="F52" i="94"/>
  <c r="F53" i="94"/>
  <c r="F54" i="94"/>
  <c r="F55" i="94"/>
  <c r="F56" i="94"/>
  <c r="F57" i="94"/>
  <c r="F58" i="94"/>
  <c r="F59" i="94"/>
  <c r="F60" i="94"/>
  <c r="F61" i="94"/>
  <c r="F62" i="94"/>
  <c r="F63" i="94"/>
  <c r="F64" i="94"/>
  <c r="F65" i="94"/>
  <c r="F66" i="94"/>
  <c r="F67" i="94"/>
  <c r="F68" i="94"/>
  <c r="F69" i="94"/>
  <c r="F70" i="94"/>
  <c r="F71" i="94"/>
  <c r="F72" i="94"/>
  <c r="F73" i="94"/>
  <c r="F74" i="94"/>
  <c r="F75" i="94"/>
  <c r="F76" i="94"/>
  <c r="F77" i="94"/>
  <c r="F29" i="95"/>
  <c r="F30" i="95"/>
  <c r="F31" i="95"/>
  <c r="F32" i="95"/>
  <c r="F33" i="95"/>
  <c r="F34" i="95"/>
  <c r="F35" i="95"/>
  <c r="F36" i="95"/>
  <c r="F37" i="95"/>
  <c r="F38" i="95"/>
  <c r="F39" i="95"/>
  <c r="F40" i="95"/>
  <c r="F41" i="95"/>
  <c r="F42" i="95"/>
  <c r="F43" i="95"/>
  <c r="F44" i="95"/>
  <c r="F45" i="95"/>
  <c r="F46" i="95"/>
  <c r="F47" i="95"/>
  <c r="F48" i="95"/>
  <c r="F49" i="95"/>
  <c r="F50" i="95"/>
  <c r="F51" i="95"/>
  <c r="F52" i="95"/>
  <c r="F53" i="95"/>
  <c r="F54" i="95"/>
  <c r="F55" i="95"/>
  <c r="F56" i="95"/>
  <c r="F57" i="95"/>
  <c r="F58" i="95"/>
  <c r="F59" i="95"/>
  <c r="F60" i="95"/>
  <c r="F61" i="95"/>
  <c r="F62" i="95"/>
  <c r="F63" i="95"/>
  <c r="F64" i="95"/>
  <c r="F65" i="95"/>
  <c r="F66" i="95"/>
  <c r="F67" i="95"/>
  <c r="F68" i="95"/>
  <c r="F69" i="95"/>
  <c r="F70" i="95"/>
  <c r="F71" i="95"/>
  <c r="F72" i="95"/>
  <c r="F73" i="95"/>
  <c r="F74" i="95"/>
  <c r="F75" i="95"/>
  <c r="F76" i="95"/>
  <c r="F77" i="95"/>
  <c r="F29" i="96"/>
  <c r="F30" i="96"/>
  <c r="F31" i="96"/>
  <c r="F32" i="96"/>
  <c r="F33" i="96"/>
  <c r="F34" i="96"/>
  <c r="F35" i="96"/>
  <c r="F36" i="96"/>
  <c r="F37" i="96"/>
  <c r="F38" i="96"/>
  <c r="F39" i="96"/>
  <c r="F40" i="96"/>
  <c r="F41" i="96"/>
  <c r="F42" i="96"/>
  <c r="F43" i="96"/>
  <c r="F44" i="96"/>
  <c r="F45" i="96"/>
  <c r="F46" i="96"/>
  <c r="F47" i="96"/>
  <c r="F48" i="96"/>
  <c r="F49" i="96"/>
  <c r="F50" i="96"/>
  <c r="F51" i="96"/>
  <c r="F52" i="96"/>
  <c r="F53" i="96"/>
  <c r="F54" i="96"/>
  <c r="F55" i="96"/>
  <c r="F56" i="96"/>
  <c r="F57" i="96"/>
  <c r="F58" i="96"/>
  <c r="F59" i="96"/>
  <c r="F60" i="96"/>
  <c r="F61" i="96"/>
  <c r="F62" i="96"/>
  <c r="F63" i="96"/>
  <c r="F64" i="96"/>
  <c r="F65" i="96"/>
  <c r="F66" i="96"/>
  <c r="F67" i="96"/>
  <c r="F68" i="96"/>
  <c r="F69" i="96"/>
  <c r="F70" i="96"/>
  <c r="F71" i="96"/>
  <c r="F72" i="96"/>
  <c r="F73" i="96"/>
  <c r="F74" i="96"/>
  <c r="F75" i="96"/>
  <c r="F76" i="96"/>
  <c r="F77" i="96"/>
  <c r="F29" i="97"/>
  <c r="F30" i="97"/>
  <c r="F31" i="97"/>
  <c r="F32" i="97"/>
  <c r="F33" i="97"/>
  <c r="F34" i="97"/>
  <c r="F35" i="97"/>
  <c r="F36" i="97"/>
  <c r="F37" i="97"/>
  <c r="F38" i="97"/>
  <c r="F39" i="97"/>
  <c r="F40" i="97"/>
  <c r="F41" i="97"/>
  <c r="F42" i="97"/>
  <c r="F43" i="97"/>
  <c r="F44" i="97"/>
  <c r="F45" i="97"/>
  <c r="F46" i="97"/>
  <c r="F47" i="97"/>
  <c r="F48" i="97"/>
  <c r="F49" i="97"/>
  <c r="F50" i="97"/>
  <c r="F51" i="97"/>
  <c r="F52" i="97"/>
  <c r="F53" i="97"/>
  <c r="F54" i="97"/>
  <c r="F55" i="97"/>
  <c r="F56" i="97"/>
  <c r="F57" i="97"/>
  <c r="F58" i="97"/>
  <c r="F59" i="97"/>
  <c r="F60" i="97"/>
  <c r="F61" i="97"/>
  <c r="F62" i="97"/>
  <c r="F63" i="97"/>
  <c r="F64" i="97"/>
  <c r="F65" i="97"/>
  <c r="F66" i="97"/>
  <c r="F67" i="97"/>
  <c r="F68" i="97"/>
  <c r="F69" i="97"/>
  <c r="F70" i="97"/>
  <c r="F71" i="97"/>
  <c r="F72" i="97"/>
  <c r="F73" i="97"/>
  <c r="F74" i="97"/>
  <c r="F75" i="97"/>
  <c r="F76" i="97"/>
  <c r="F77" i="97"/>
  <c r="F29" i="98"/>
  <c r="F30" i="98"/>
  <c r="F31" i="98"/>
  <c r="F32" i="98"/>
  <c r="F33" i="98"/>
  <c r="F34" i="98"/>
  <c r="F35" i="98"/>
  <c r="F36" i="98"/>
  <c r="F37" i="98"/>
  <c r="F38" i="98"/>
  <c r="F39" i="98"/>
  <c r="F40" i="98"/>
  <c r="F41" i="98"/>
  <c r="F42" i="98"/>
  <c r="F43" i="98"/>
  <c r="F44" i="98"/>
  <c r="F45" i="98"/>
  <c r="F46" i="98"/>
  <c r="F47" i="98"/>
  <c r="F48" i="98"/>
  <c r="F49" i="98"/>
  <c r="F50" i="98"/>
  <c r="F51" i="98"/>
  <c r="F52" i="98"/>
  <c r="F53" i="98"/>
  <c r="F54" i="98"/>
  <c r="F55" i="98"/>
  <c r="F56" i="98"/>
  <c r="F57" i="98"/>
  <c r="F58" i="98"/>
  <c r="F59" i="98"/>
  <c r="F60" i="98"/>
  <c r="F61" i="98"/>
  <c r="F62" i="98"/>
  <c r="F63" i="98"/>
  <c r="F64" i="98"/>
  <c r="F65" i="98"/>
  <c r="F66" i="98"/>
  <c r="F67" i="98"/>
  <c r="F68" i="98"/>
  <c r="F69" i="98"/>
  <c r="F70" i="98"/>
  <c r="F71" i="98"/>
  <c r="F72" i="98"/>
  <c r="F73" i="98"/>
  <c r="F74" i="98"/>
  <c r="F75" i="98"/>
  <c r="F76" i="98"/>
  <c r="F77" i="98"/>
  <c r="F29" i="99"/>
  <c r="F30" i="99"/>
  <c r="F31" i="99"/>
  <c r="F32" i="99"/>
  <c r="F33" i="99"/>
  <c r="F34" i="99"/>
  <c r="F35" i="99"/>
  <c r="F36" i="99"/>
  <c r="F37" i="99"/>
  <c r="F38" i="99"/>
  <c r="F39" i="99"/>
  <c r="F40" i="99"/>
  <c r="F41" i="99"/>
  <c r="F42" i="99"/>
  <c r="F43" i="99"/>
  <c r="F44" i="99"/>
  <c r="F45" i="99"/>
  <c r="F46" i="99"/>
  <c r="F47" i="99"/>
  <c r="F48" i="99"/>
  <c r="F49" i="99"/>
  <c r="F50" i="99"/>
  <c r="F51" i="99"/>
  <c r="F52" i="99"/>
  <c r="F53" i="99"/>
  <c r="F54" i="99"/>
  <c r="F55" i="99"/>
  <c r="F56" i="99"/>
  <c r="F57" i="99"/>
  <c r="F58" i="99"/>
  <c r="F59" i="99"/>
  <c r="F60" i="99"/>
  <c r="F61" i="99"/>
  <c r="F62" i="99"/>
  <c r="F63" i="99"/>
  <c r="F64" i="99"/>
  <c r="F65" i="99"/>
  <c r="F66" i="99"/>
  <c r="F67" i="99"/>
  <c r="F68" i="99"/>
  <c r="F69" i="99"/>
  <c r="F70" i="99"/>
  <c r="F71" i="99"/>
  <c r="F72" i="99"/>
  <c r="F73" i="99"/>
  <c r="F74" i="99"/>
  <c r="F75" i="99"/>
  <c r="F76" i="99"/>
  <c r="F77" i="99"/>
  <c r="F29" i="100"/>
  <c r="F30" i="100"/>
  <c r="F31" i="100"/>
  <c r="F32" i="100"/>
  <c r="F33" i="100"/>
  <c r="F34" i="100"/>
  <c r="F35" i="100"/>
  <c r="F36" i="100"/>
  <c r="F37" i="100"/>
  <c r="F38" i="100"/>
  <c r="F39" i="100"/>
  <c r="F40" i="100"/>
  <c r="F41" i="100"/>
  <c r="F42" i="100"/>
  <c r="F43" i="100"/>
  <c r="F44" i="100"/>
  <c r="F45" i="100"/>
  <c r="F46" i="100"/>
  <c r="F47" i="100"/>
  <c r="F48" i="100"/>
  <c r="F49" i="100"/>
  <c r="F50" i="100"/>
  <c r="F51" i="100"/>
  <c r="F52" i="100"/>
  <c r="F53" i="100"/>
  <c r="F54" i="100"/>
  <c r="F55" i="100"/>
  <c r="F56" i="100"/>
  <c r="F57" i="100"/>
  <c r="F58" i="100"/>
  <c r="F59" i="100"/>
  <c r="F60" i="100"/>
  <c r="F61" i="100"/>
  <c r="F62" i="100"/>
  <c r="F63" i="100"/>
  <c r="F64" i="100"/>
  <c r="F65" i="100"/>
  <c r="F66" i="100"/>
  <c r="F67" i="100"/>
  <c r="F68" i="100"/>
  <c r="F69" i="100"/>
  <c r="F70" i="100"/>
  <c r="F71" i="100"/>
  <c r="F72" i="100"/>
  <c r="F73" i="100"/>
  <c r="F74" i="100"/>
  <c r="F75" i="100"/>
  <c r="F76" i="100"/>
  <c r="F77" i="100"/>
  <c r="F29" i="101"/>
  <c r="F30" i="101"/>
  <c r="F31" i="101"/>
  <c r="F32" i="101"/>
  <c r="F33" i="101"/>
  <c r="F34" i="101"/>
  <c r="F35" i="101"/>
  <c r="F36" i="101"/>
  <c r="F37" i="101"/>
  <c r="F38" i="101"/>
  <c r="F39" i="101"/>
  <c r="F40" i="101"/>
  <c r="F41" i="101"/>
  <c r="F42" i="101"/>
  <c r="F43" i="101"/>
  <c r="F44" i="101"/>
  <c r="F45" i="101"/>
  <c r="F46" i="101"/>
  <c r="F47" i="101"/>
  <c r="F48" i="101"/>
  <c r="F49" i="101"/>
  <c r="F50" i="101"/>
  <c r="F51" i="101"/>
  <c r="F52" i="101"/>
  <c r="F53" i="101"/>
  <c r="F54" i="101"/>
  <c r="F55" i="101"/>
  <c r="F56" i="101"/>
  <c r="F57" i="101"/>
  <c r="F58" i="101"/>
  <c r="F59" i="101"/>
  <c r="F60" i="101"/>
  <c r="F61" i="101"/>
  <c r="F62" i="101"/>
  <c r="F63" i="101"/>
  <c r="F64" i="101"/>
  <c r="F65" i="101"/>
  <c r="F66" i="101"/>
  <c r="F67" i="101"/>
  <c r="F68" i="101"/>
  <c r="F69" i="101"/>
  <c r="F70" i="101"/>
  <c r="F71" i="101"/>
  <c r="F72" i="101"/>
  <c r="F73" i="101"/>
  <c r="F74" i="101"/>
  <c r="F75" i="101"/>
  <c r="F76" i="101"/>
  <c r="F77" i="101"/>
  <c r="F29" i="102"/>
  <c r="F30" i="102"/>
  <c r="F31" i="102"/>
  <c r="F32" i="102"/>
  <c r="F33" i="102"/>
  <c r="F34" i="102"/>
  <c r="F35" i="102"/>
  <c r="F36" i="102"/>
  <c r="F37" i="102"/>
  <c r="F38" i="102"/>
  <c r="F39" i="102"/>
  <c r="F40" i="102"/>
  <c r="F41" i="102"/>
  <c r="F42" i="102"/>
  <c r="F43" i="102"/>
  <c r="F44" i="102"/>
  <c r="F45" i="102"/>
  <c r="F46" i="102"/>
  <c r="F47" i="102"/>
  <c r="F48" i="102"/>
  <c r="F49" i="102"/>
  <c r="F50" i="102"/>
  <c r="F51" i="102"/>
  <c r="F52" i="102"/>
  <c r="F53" i="102"/>
  <c r="F54" i="102"/>
  <c r="F55" i="102"/>
  <c r="F56" i="102"/>
  <c r="F57" i="102"/>
  <c r="F58" i="102"/>
  <c r="F59" i="102"/>
  <c r="F60" i="102"/>
  <c r="F61" i="102"/>
  <c r="F62" i="102"/>
  <c r="F63" i="102"/>
  <c r="F64" i="102"/>
  <c r="F65" i="102"/>
  <c r="F66" i="102"/>
  <c r="F67" i="102"/>
  <c r="F68" i="102"/>
  <c r="F69" i="102"/>
  <c r="F70" i="102"/>
  <c r="F71" i="102"/>
  <c r="F72" i="102"/>
  <c r="F73" i="102"/>
  <c r="F74" i="102"/>
  <c r="F75" i="102"/>
  <c r="F76" i="102"/>
  <c r="F77" i="102"/>
  <c r="F29" i="103"/>
  <c r="F30" i="103"/>
  <c r="F31" i="103"/>
  <c r="F32" i="103"/>
  <c r="F33" i="103"/>
  <c r="F34" i="103"/>
  <c r="F35" i="103"/>
  <c r="F36" i="103"/>
  <c r="F37" i="103"/>
  <c r="F38" i="103"/>
  <c r="F39" i="103"/>
  <c r="F40" i="103"/>
  <c r="F41" i="103"/>
  <c r="F42" i="103"/>
  <c r="F43" i="103"/>
  <c r="F44" i="103"/>
  <c r="F45" i="103"/>
  <c r="F46" i="103"/>
  <c r="F47" i="103"/>
  <c r="F48" i="103"/>
  <c r="F49" i="103"/>
  <c r="F50" i="103"/>
  <c r="F51" i="103"/>
  <c r="F52" i="103"/>
  <c r="F53" i="103"/>
  <c r="F54" i="103"/>
  <c r="F55" i="103"/>
  <c r="F56" i="103"/>
  <c r="F57" i="103"/>
  <c r="F58" i="103"/>
  <c r="F59" i="103"/>
  <c r="F60" i="103"/>
  <c r="F61" i="103"/>
  <c r="F62" i="103"/>
  <c r="F63" i="103"/>
  <c r="F64" i="103"/>
  <c r="F65" i="103"/>
  <c r="F66" i="103"/>
  <c r="F67" i="103"/>
  <c r="F68" i="103"/>
  <c r="F69" i="103"/>
  <c r="F70" i="103"/>
  <c r="F71" i="103"/>
  <c r="F72" i="103"/>
  <c r="F73" i="103"/>
  <c r="F74" i="103"/>
  <c r="F75" i="103"/>
  <c r="F76" i="103"/>
  <c r="F77" i="103"/>
  <c r="F29" i="104"/>
  <c r="F30" i="104"/>
  <c r="F31" i="104"/>
  <c r="F32" i="104"/>
  <c r="F33" i="104"/>
  <c r="F34" i="104"/>
  <c r="F35" i="104"/>
  <c r="F36" i="104"/>
  <c r="F37" i="104"/>
  <c r="F38" i="104"/>
  <c r="F39" i="104"/>
  <c r="F40" i="104"/>
  <c r="F41" i="104"/>
  <c r="F42" i="104"/>
  <c r="F43" i="104"/>
  <c r="F44" i="104"/>
  <c r="F45" i="104"/>
  <c r="F46" i="104"/>
  <c r="F47" i="104"/>
  <c r="F48" i="104"/>
  <c r="F49" i="104"/>
  <c r="F50" i="104"/>
  <c r="F51" i="104"/>
  <c r="F52" i="104"/>
  <c r="F53" i="104"/>
  <c r="F54" i="104"/>
  <c r="F55" i="104"/>
  <c r="F56" i="104"/>
  <c r="F57" i="104"/>
  <c r="F58" i="104"/>
  <c r="F59" i="104"/>
  <c r="F60" i="104"/>
  <c r="F61" i="104"/>
  <c r="F62" i="104"/>
  <c r="F63" i="104"/>
  <c r="F64" i="104"/>
  <c r="F65" i="104"/>
  <c r="F66" i="104"/>
  <c r="F67" i="104"/>
  <c r="F68" i="104"/>
  <c r="F69" i="104"/>
  <c r="F70" i="104"/>
  <c r="F71" i="104"/>
  <c r="F72" i="104"/>
  <c r="F73" i="104"/>
  <c r="F74" i="104"/>
  <c r="F75" i="104"/>
  <c r="F76" i="104"/>
  <c r="F77" i="104"/>
  <c r="F29" i="105"/>
  <c r="F30" i="105"/>
  <c r="F31" i="105"/>
  <c r="F32" i="105"/>
  <c r="F33" i="105"/>
  <c r="F34" i="105"/>
  <c r="F35" i="105"/>
  <c r="F36" i="105"/>
  <c r="F37" i="105"/>
  <c r="F38" i="105"/>
  <c r="F39" i="105"/>
  <c r="F40" i="105"/>
  <c r="F41" i="105"/>
  <c r="F42" i="105"/>
  <c r="F43" i="105"/>
  <c r="F44" i="105"/>
  <c r="F45" i="105"/>
  <c r="F46" i="105"/>
  <c r="F47" i="105"/>
  <c r="F48" i="105"/>
  <c r="F49" i="105"/>
  <c r="F50" i="105"/>
  <c r="F51" i="105"/>
  <c r="F52" i="105"/>
  <c r="F53" i="105"/>
  <c r="F54" i="105"/>
  <c r="F55" i="105"/>
  <c r="F56" i="105"/>
  <c r="F57" i="105"/>
  <c r="F58" i="105"/>
  <c r="F59" i="105"/>
  <c r="F60" i="105"/>
  <c r="F61" i="105"/>
  <c r="F62" i="105"/>
  <c r="F63" i="105"/>
  <c r="F64" i="105"/>
  <c r="F65" i="105"/>
  <c r="F66" i="105"/>
  <c r="F67" i="105"/>
  <c r="F68" i="105"/>
  <c r="F69" i="105"/>
  <c r="F70" i="105"/>
  <c r="F71" i="105"/>
  <c r="F72" i="105"/>
  <c r="F73" i="105"/>
  <c r="F74" i="105"/>
  <c r="F75" i="105"/>
  <c r="F76" i="105"/>
  <c r="F77" i="105"/>
  <c r="F29" i="106"/>
  <c r="F30" i="106"/>
  <c r="F31" i="106"/>
  <c r="F32" i="106"/>
  <c r="F33" i="106"/>
  <c r="F34" i="106"/>
  <c r="F35" i="106"/>
  <c r="F36" i="106"/>
  <c r="F37" i="106"/>
  <c r="F38" i="106"/>
  <c r="F39" i="106"/>
  <c r="F40" i="106"/>
  <c r="F41" i="106"/>
  <c r="F42" i="106"/>
  <c r="F43" i="106"/>
  <c r="F44" i="106"/>
  <c r="F45" i="106"/>
  <c r="F46" i="106"/>
  <c r="F47" i="106"/>
  <c r="F48" i="106"/>
  <c r="F49" i="106"/>
  <c r="F50" i="106"/>
  <c r="F51" i="106"/>
  <c r="F52" i="106"/>
  <c r="F53" i="106"/>
  <c r="F54" i="106"/>
  <c r="F55" i="106"/>
  <c r="F56" i="106"/>
  <c r="F57" i="106"/>
  <c r="F58" i="106"/>
  <c r="F59" i="106"/>
  <c r="F60" i="106"/>
  <c r="F61" i="106"/>
  <c r="F62" i="106"/>
  <c r="F63" i="106"/>
  <c r="F64" i="106"/>
  <c r="F65" i="106"/>
  <c r="F66" i="106"/>
  <c r="F67" i="106"/>
  <c r="F68" i="106"/>
  <c r="F69" i="106"/>
  <c r="F70" i="106"/>
  <c r="F71" i="106"/>
  <c r="F72" i="106"/>
  <c r="F73" i="106"/>
  <c r="F74" i="106"/>
  <c r="F75" i="106"/>
  <c r="F76" i="106"/>
  <c r="F77" i="106"/>
  <c r="F29" i="107"/>
  <c r="F30" i="107"/>
  <c r="F31" i="107"/>
  <c r="F32" i="107"/>
  <c r="F33" i="107"/>
  <c r="F34" i="107"/>
  <c r="F35" i="107"/>
  <c r="F36" i="107"/>
  <c r="F37" i="107"/>
  <c r="F38" i="107"/>
  <c r="F39" i="107"/>
  <c r="F40" i="107"/>
  <c r="F41" i="107"/>
  <c r="F42" i="107"/>
  <c r="F43" i="107"/>
  <c r="F44" i="107"/>
  <c r="F45" i="107"/>
  <c r="F46" i="107"/>
  <c r="F47" i="107"/>
  <c r="F48" i="107"/>
  <c r="F49" i="107"/>
  <c r="F50" i="107"/>
  <c r="F51" i="107"/>
  <c r="F52" i="107"/>
  <c r="F53" i="107"/>
  <c r="F54" i="107"/>
  <c r="F55" i="107"/>
  <c r="F56" i="107"/>
  <c r="F57" i="107"/>
  <c r="F58" i="107"/>
  <c r="F59" i="107"/>
  <c r="F60" i="107"/>
  <c r="F61" i="107"/>
  <c r="F62" i="107"/>
  <c r="F63" i="107"/>
  <c r="F64" i="107"/>
  <c r="F65" i="107"/>
  <c r="F66" i="107"/>
  <c r="F67" i="107"/>
  <c r="F68" i="107"/>
  <c r="F69" i="107"/>
  <c r="F70" i="107"/>
  <c r="F71" i="107"/>
  <c r="F72" i="107"/>
  <c r="F73" i="107"/>
  <c r="F74" i="107"/>
  <c r="F75" i="107"/>
  <c r="F76" i="107"/>
  <c r="F77" i="107"/>
  <c r="F29" i="108"/>
  <c r="F30" i="108"/>
  <c r="F31" i="108"/>
  <c r="F32" i="108"/>
  <c r="F33" i="108"/>
  <c r="F34" i="108"/>
  <c r="F35" i="108"/>
  <c r="F36" i="108"/>
  <c r="F37" i="108"/>
  <c r="F38" i="108"/>
  <c r="F39" i="108"/>
  <c r="F40" i="108"/>
  <c r="F41" i="108"/>
  <c r="F42" i="108"/>
  <c r="F43" i="108"/>
  <c r="F44" i="108"/>
  <c r="F45" i="108"/>
  <c r="F46" i="108"/>
  <c r="F47" i="108"/>
  <c r="F48" i="108"/>
  <c r="F49" i="108"/>
  <c r="F50" i="108"/>
  <c r="F51" i="108"/>
  <c r="F52" i="108"/>
  <c r="F53" i="108"/>
  <c r="F54" i="108"/>
  <c r="F55" i="108"/>
  <c r="F56" i="108"/>
  <c r="F57" i="108"/>
  <c r="F58" i="108"/>
  <c r="F59" i="108"/>
  <c r="F60" i="108"/>
  <c r="F61" i="108"/>
  <c r="F62" i="108"/>
  <c r="F63" i="108"/>
  <c r="F64" i="108"/>
  <c r="F65" i="108"/>
  <c r="F66" i="108"/>
  <c r="F67" i="108"/>
  <c r="F68" i="108"/>
  <c r="F69" i="108"/>
  <c r="F70" i="108"/>
  <c r="F71" i="108"/>
  <c r="F72" i="108"/>
  <c r="F73" i="108"/>
  <c r="F74" i="108"/>
  <c r="F75" i="108"/>
  <c r="F76" i="108"/>
  <c r="F77" i="108"/>
  <c r="F29" i="109"/>
  <c r="F30" i="109"/>
  <c r="F31" i="109"/>
  <c r="F32" i="109"/>
  <c r="F33" i="109"/>
  <c r="F34" i="109"/>
  <c r="F35" i="109"/>
  <c r="F36" i="109"/>
  <c r="F37" i="109"/>
  <c r="F38" i="109"/>
  <c r="F39" i="109"/>
  <c r="F40" i="109"/>
  <c r="F41" i="109"/>
  <c r="F42" i="109"/>
  <c r="F43" i="109"/>
  <c r="F44" i="109"/>
  <c r="F45" i="109"/>
  <c r="F46" i="109"/>
  <c r="F47" i="109"/>
  <c r="F48" i="109"/>
  <c r="F49" i="109"/>
  <c r="F50" i="109"/>
  <c r="F51" i="109"/>
  <c r="F52" i="109"/>
  <c r="F53" i="109"/>
  <c r="F54" i="109"/>
  <c r="F55" i="109"/>
  <c r="F56" i="109"/>
  <c r="F57" i="109"/>
  <c r="F58" i="109"/>
  <c r="F59" i="109"/>
  <c r="F60" i="109"/>
  <c r="F61" i="109"/>
  <c r="F62" i="109"/>
  <c r="F63" i="109"/>
  <c r="F64" i="109"/>
  <c r="F65" i="109"/>
  <c r="F66" i="109"/>
  <c r="F67" i="109"/>
  <c r="F68" i="109"/>
  <c r="F69" i="109"/>
  <c r="F70" i="109"/>
  <c r="F71" i="109"/>
  <c r="F72" i="109"/>
  <c r="F73" i="109"/>
  <c r="F74" i="109"/>
  <c r="F75" i="109"/>
  <c r="F76" i="109"/>
  <c r="F77" i="109"/>
  <c r="F29" i="110"/>
  <c r="F30" i="110"/>
  <c r="F31" i="110"/>
  <c r="F32" i="110"/>
  <c r="F33" i="110"/>
  <c r="F34" i="110"/>
  <c r="F35" i="110"/>
  <c r="F36" i="110"/>
  <c r="F37" i="110"/>
  <c r="F38" i="110"/>
  <c r="F39" i="110"/>
  <c r="F40" i="110"/>
  <c r="F41" i="110"/>
  <c r="F42" i="110"/>
  <c r="F43" i="110"/>
  <c r="F44" i="110"/>
  <c r="F45" i="110"/>
  <c r="F46" i="110"/>
  <c r="F47" i="110"/>
  <c r="F48" i="110"/>
  <c r="F49" i="110"/>
  <c r="F50" i="110"/>
  <c r="F51" i="110"/>
  <c r="F52" i="110"/>
  <c r="F53" i="110"/>
  <c r="F54" i="110"/>
  <c r="F55" i="110"/>
  <c r="F56" i="110"/>
  <c r="F57" i="110"/>
  <c r="F58" i="110"/>
  <c r="F59" i="110"/>
  <c r="F60" i="110"/>
  <c r="F61" i="110"/>
  <c r="F62" i="110"/>
  <c r="F63" i="110"/>
  <c r="F64" i="110"/>
  <c r="F65" i="110"/>
  <c r="F66" i="110"/>
  <c r="F67" i="110"/>
  <c r="F68" i="110"/>
  <c r="F69" i="110"/>
  <c r="F70" i="110"/>
  <c r="F71" i="110"/>
  <c r="F72" i="110"/>
  <c r="F73" i="110"/>
  <c r="F74" i="110"/>
  <c r="F75" i="110"/>
  <c r="F76" i="110"/>
  <c r="F77" i="110"/>
  <c r="F29" i="111"/>
  <c r="F30" i="111"/>
  <c r="F31" i="111"/>
  <c r="F32" i="111"/>
  <c r="F33" i="111"/>
  <c r="F34" i="111"/>
  <c r="F35" i="111"/>
  <c r="F36" i="111"/>
  <c r="F37" i="111"/>
  <c r="F38" i="111"/>
  <c r="F39" i="111"/>
  <c r="F40" i="111"/>
  <c r="F41" i="111"/>
  <c r="F42" i="111"/>
  <c r="F43" i="111"/>
  <c r="F44" i="111"/>
  <c r="F45" i="111"/>
  <c r="F46" i="111"/>
  <c r="F47" i="111"/>
  <c r="F48" i="111"/>
  <c r="F49" i="111"/>
  <c r="F50" i="111"/>
  <c r="F51" i="111"/>
  <c r="F52" i="111"/>
  <c r="F53" i="111"/>
  <c r="F54" i="111"/>
  <c r="F55" i="111"/>
  <c r="F56" i="111"/>
  <c r="F57" i="111"/>
  <c r="F58" i="111"/>
  <c r="F59" i="111"/>
  <c r="F60" i="111"/>
  <c r="F61" i="111"/>
  <c r="F62" i="111"/>
  <c r="F63" i="111"/>
  <c r="F64" i="111"/>
  <c r="F65" i="111"/>
  <c r="F66" i="111"/>
  <c r="F67" i="111"/>
  <c r="F68" i="111"/>
  <c r="F69" i="111"/>
  <c r="F70" i="111"/>
  <c r="F71" i="111"/>
  <c r="F72" i="111"/>
  <c r="F73" i="111"/>
  <c r="F74" i="111"/>
  <c r="F75" i="111"/>
  <c r="F76" i="111"/>
  <c r="F77" i="111"/>
  <c r="F29" i="112"/>
  <c r="F30" i="112"/>
  <c r="F31" i="112"/>
  <c r="F32" i="112"/>
  <c r="F33" i="112"/>
  <c r="F34" i="112"/>
  <c r="F35" i="112"/>
  <c r="F36" i="112"/>
  <c r="F37" i="112"/>
  <c r="F38" i="112"/>
  <c r="F39" i="112"/>
  <c r="F40" i="112"/>
  <c r="F41" i="112"/>
  <c r="F42" i="112"/>
  <c r="F43" i="112"/>
  <c r="F44" i="112"/>
  <c r="F45" i="112"/>
  <c r="F46" i="112"/>
  <c r="F47" i="112"/>
  <c r="F48" i="112"/>
  <c r="F49" i="112"/>
  <c r="F50" i="112"/>
  <c r="F51" i="112"/>
  <c r="F52" i="112"/>
  <c r="F53" i="112"/>
  <c r="F54" i="112"/>
  <c r="F55" i="112"/>
  <c r="F56" i="112"/>
  <c r="F57" i="112"/>
  <c r="F58" i="112"/>
  <c r="F59" i="112"/>
  <c r="F60" i="112"/>
  <c r="F61" i="112"/>
  <c r="F62" i="112"/>
  <c r="F63" i="112"/>
  <c r="F64" i="112"/>
  <c r="F65" i="112"/>
  <c r="F66" i="112"/>
  <c r="F67" i="112"/>
  <c r="F68" i="112"/>
  <c r="F69" i="112"/>
  <c r="F70" i="112"/>
  <c r="F71" i="112"/>
  <c r="F72" i="112"/>
  <c r="F73" i="112"/>
  <c r="F74" i="112"/>
  <c r="F75" i="112"/>
  <c r="F76" i="112"/>
  <c r="F77" i="112"/>
  <c r="F29" i="113"/>
  <c r="F30" i="113"/>
  <c r="F31" i="113"/>
  <c r="F32" i="113"/>
  <c r="F33" i="113"/>
  <c r="F34" i="113"/>
  <c r="F35" i="113"/>
  <c r="F36" i="113"/>
  <c r="F37" i="113"/>
  <c r="F38" i="113"/>
  <c r="F39" i="113"/>
  <c r="F40" i="113"/>
  <c r="F41" i="113"/>
  <c r="F42" i="113"/>
  <c r="F43" i="113"/>
  <c r="F44" i="113"/>
  <c r="F45" i="113"/>
  <c r="F46" i="113"/>
  <c r="F47" i="113"/>
  <c r="F48" i="113"/>
  <c r="F49" i="113"/>
  <c r="F50" i="113"/>
  <c r="F51" i="113"/>
  <c r="F52" i="113"/>
  <c r="F53" i="113"/>
  <c r="F54" i="113"/>
  <c r="F55" i="113"/>
  <c r="F56" i="113"/>
  <c r="F57" i="113"/>
  <c r="F58" i="113"/>
  <c r="F59" i="113"/>
  <c r="F60" i="113"/>
  <c r="F61" i="113"/>
  <c r="F62" i="113"/>
  <c r="F63" i="113"/>
  <c r="F64" i="113"/>
  <c r="F65" i="113"/>
  <c r="F66" i="113"/>
  <c r="F67" i="113"/>
  <c r="F68" i="113"/>
  <c r="F69" i="113"/>
  <c r="F70" i="113"/>
  <c r="F71" i="113"/>
  <c r="F72" i="113"/>
  <c r="F73" i="113"/>
  <c r="F74" i="113"/>
  <c r="F75" i="113"/>
  <c r="F76" i="113"/>
  <c r="F77" i="113"/>
  <c r="F29" i="114"/>
  <c r="F30" i="114"/>
  <c r="F31" i="114"/>
  <c r="F32" i="114"/>
  <c r="F33" i="114"/>
  <c r="F34" i="114"/>
  <c r="F35" i="114"/>
  <c r="F36" i="114"/>
  <c r="F37" i="114"/>
  <c r="F38" i="114"/>
  <c r="F39" i="114"/>
  <c r="F40" i="114"/>
  <c r="F41" i="114"/>
  <c r="F42" i="114"/>
  <c r="F43" i="114"/>
  <c r="F44" i="114"/>
  <c r="F45" i="114"/>
  <c r="F46" i="114"/>
  <c r="F47" i="114"/>
  <c r="F48" i="114"/>
  <c r="F49" i="114"/>
  <c r="F50" i="114"/>
  <c r="F51" i="114"/>
  <c r="F52" i="114"/>
  <c r="F53" i="114"/>
  <c r="F54" i="114"/>
  <c r="F55" i="114"/>
  <c r="F56" i="114"/>
  <c r="F57" i="114"/>
  <c r="F58" i="114"/>
  <c r="F59" i="114"/>
  <c r="F60" i="114"/>
  <c r="F61" i="114"/>
  <c r="F62" i="114"/>
  <c r="F63" i="114"/>
  <c r="F64" i="114"/>
  <c r="F65" i="114"/>
  <c r="F66" i="114"/>
  <c r="F67" i="114"/>
  <c r="F68" i="114"/>
  <c r="F69" i="114"/>
  <c r="F70" i="114"/>
  <c r="F71" i="114"/>
  <c r="F72" i="114"/>
  <c r="F73" i="114"/>
  <c r="F74" i="114"/>
  <c r="F75" i="114"/>
  <c r="F76" i="114"/>
  <c r="F77" i="114"/>
  <c r="F29" i="115"/>
  <c r="F30" i="115"/>
  <c r="F31" i="115"/>
  <c r="F32" i="115"/>
  <c r="F33" i="115"/>
  <c r="F34" i="115"/>
  <c r="F35" i="115"/>
  <c r="F36" i="115"/>
  <c r="F37" i="115"/>
  <c r="F38" i="115"/>
  <c r="F39" i="115"/>
  <c r="F40" i="115"/>
  <c r="F41" i="115"/>
  <c r="F42" i="115"/>
  <c r="F43" i="115"/>
  <c r="F44" i="115"/>
  <c r="F45" i="115"/>
  <c r="F46" i="115"/>
  <c r="F47" i="115"/>
  <c r="F48" i="115"/>
  <c r="F49" i="115"/>
  <c r="F50" i="115"/>
  <c r="F51" i="115"/>
  <c r="F52" i="115"/>
  <c r="F53" i="115"/>
  <c r="F54" i="115"/>
  <c r="F55" i="115"/>
  <c r="F56" i="115"/>
  <c r="F57" i="115"/>
  <c r="F58" i="115"/>
  <c r="F59" i="115"/>
  <c r="F60" i="115"/>
  <c r="F61" i="115"/>
  <c r="F62" i="115"/>
  <c r="F63" i="115"/>
  <c r="F64" i="115"/>
  <c r="F65" i="115"/>
  <c r="F66" i="115"/>
  <c r="F67" i="115"/>
  <c r="F68" i="115"/>
  <c r="F69" i="115"/>
  <c r="F70" i="115"/>
  <c r="F71" i="115"/>
  <c r="F72" i="115"/>
  <c r="F73" i="115"/>
  <c r="F74" i="115"/>
  <c r="F75" i="115"/>
  <c r="F76" i="115"/>
  <c r="F77" i="115"/>
  <c r="F29" i="116"/>
  <c r="F30" i="116"/>
  <c r="F31" i="116"/>
  <c r="F32" i="116"/>
  <c r="F33" i="116"/>
  <c r="F34" i="116"/>
  <c r="F35" i="116"/>
  <c r="F36" i="116"/>
  <c r="F37" i="116"/>
  <c r="F38" i="116"/>
  <c r="F39" i="116"/>
  <c r="F40" i="116"/>
  <c r="F41" i="116"/>
  <c r="F42" i="116"/>
  <c r="F43" i="116"/>
  <c r="F44" i="116"/>
  <c r="F45" i="116"/>
  <c r="F46" i="116"/>
  <c r="F47" i="116"/>
  <c r="F48" i="116"/>
  <c r="F49" i="116"/>
  <c r="F50" i="116"/>
  <c r="F51" i="116"/>
  <c r="F52" i="116"/>
  <c r="F53" i="116"/>
  <c r="F54" i="116"/>
  <c r="F55" i="116"/>
  <c r="F56" i="116"/>
  <c r="F57" i="116"/>
  <c r="F58" i="116"/>
  <c r="F59" i="116"/>
  <c r="F60" i="116"/>
  <c r="F61" i="116"/>
  <c r="F62" i="116"/>
  <c r="F63" i="116"/>
  <c r="F64" i="116"/>
  <c r="F65" i="116"/>
  <c r="F66" i="116"/>
  <c r="F67" i="116"/>
  <c r="F68" i="116"/>
  <c r="F69" i="116"/>
  <c r="F70" i="116"/>
  <c r="F71" i="116"/>
  <c r="F72" i="116"/>
  <c r="F73" i="116"/>
  <c r="F74" i="116"/>
  <c r="F75" i="116"/>
  <c r="F76" i="116"/>
  <c r="F77" i="116"/>
  <c r="F29" i="117"/>
  <c r="F30" i="117"/>
  <c r="F31" i="117"/>
  <c r="F32" i="117"/>
  <c r="F33" i="117"/>
  <c r="F34" i="117"/>
  <c r="F35" i="117"/>
  <c r="F36" i="117"/>
  <c r="F37" i="117"/>
  <c r="F38" i="117"/>
  <c r="F39" i="117"/>
  <c r="F40" i="117"/>
  <c r="F41" i="117"/>
  <c r="F42" i="117"/>
  <c r="F43" i="117"/>
  <c r="F44" i="117"/>
  <c r="F45" i="117"/>
  <c r="F46" i="117"/>
  <c r="F47" i="117"/>
  <c r="F48" i="117"/>
  <c r="F49" i="117"/>
  <c r="F50" i="117"/>
  <c r="F51" i="117"/>
  <c r="F52" i="117"/>
  <c r="F53" i="117"/>
  <c r="F54" i="117"/>
  <c r="F55" i="117"/>
  <c r="F56" i="117"/>
  <c r="F57" i="117"/>
  <c r="F58" i="117"/>
  <c r="F59" i="117"/>
  <c r="F60" i="117"/>
  <c r="F61" i="117"/>
  <c r="F62" i="117"/>
  <c r="F63" i="117"/>
  <c r="F64" i="117"/>
  <c r="F65" i="117"/>
  <c r="F66" i="117"/>
  <c r="F67" i="117"/>
  <c r="F68" i="117"/>
  <c r="F69" i="117"/>
  <c r="F70" i="117"/>
  <c r="F71" i="117"/>
  <c r="F72" i="117"/>
  <c r="F73" i="117"/>
  <c r="F74" i="117"/>
  <c r="F75" i="117"/>
  <c r="F76" i="117"/>
  <c r="F77" i="117"/>
  <c r="F29" i="118"/>
  <c r="F30" i="118"/>
  <c r="F31" i="118"/>
  <c r="F32" i="118"/>
  <c r="F33" i="118"/>
  <c r="F34" i="118"/>
  <c r="F35" i="118"/>
  <c r="F36" i="118"/>
  <c r="F37" i="118"/>
  <c r="F38" i="118"/>
  <c r="F39" i="118"/>
  <c r="F40" i="118"/>
  <c r="F41" i="118"/>
  <c r="F42" i="118"/>
  <c r="F43" i="118"/>
  <c r="F44" i="118"/>
  <c r="F45" i="118"/>
  <c r="F46" i="118"/>
  <c r="F47" i="118"/>
  <c r="F48" i="118"/>
  <c r="F49" i="118"/>
  <c r="F50" i="118"/>
  <c r="F51" i="118"/>
  <c r="F52" i="118"/>
  <c r="F53" i="118"/>
  <c r="F54" i="118"/>
  <c r="F55" i="118"/>
  <c r="F56" i="118"/>
  <c r="F57" i="118"/>
  <c r="F58" i="118"/>
  <c r="F59" i="118"/>
  <c r="F60" i="118"/>
  <c r="F61" i="118"/>
  <c r="F62" i="118"/>
  <c r="F63" i="118"/>
  <c r="F64" i="118"/>
  <c r="F65" i="118"/>
  <c r="F66" i="118"/>
  <c r="F67" i="118"/>
  <c r="F68" i="118"/>
  <c r="F69" i="118"/>
  <c r="F70" i="118"/>
  <c r="F71" i="118"/>
  <c r="F72" i="118"/>
  <c r="F73" i="118"/>
  <c r="F74" i="118"/>
  <c r="F75" i="118"/>
  <c r="F76" i="118"/>
  <c r="F77" i="118"/>
  <c r="F29" i="119"/>
  <c r="F30" i="119"/>
  <c r="F31" i="119"/>
  <c r="F32" i="119"/>
  <c r="F33" i="119"/>
  <c r="F34" i="119"/>
  <c r="F35" i="119"/>
  <c r="F36" i="119"/>
  <c r="F37" i="119"/>
  <c r="F38" i="119"/>
  <c r="F39" i="119"/>
  <c r="F40" i="119"/>
  <c r="F41" i="119"/>
  <c r="F42" i="119"/>
  <c r="F43" i="119"/>
  <c r="F44" i="119"/>
  <c r="F45" i="119"/>
  <c r="F46" i="119"/>
  <c r="F47" i="119"/>
  <c r="F48" i="119"/>
  <c r="F49" i="119"/>
  <c r="F50" i="119"/>
  <c r="F51" i="119"/>
  <c r="F52" i="119"/>
  <c r="F53" i="119"/>
  <c r="F54" i="119"/>
  <c r="F55" i="119"/>
  <c r="F56" i="119"/>
  <c r="F57" i="119"/>
  <c r="F58" i="119"/>
  <c r="F59" i="119"/>
  <c r="F60" i="119"/>
  <c r="F61" i="119"/>
  <c r="F62" i="119"/>
  <c r="F63" i="119"/>
  <c r="F64" i="119"/>
  <c r="F65" i="119"/>
  <c r="F66" i="119"/>
  <c r="F67" i="119"/>
  <c r="F68" i="119"/>
  <c r="F69" i="119"/>
  <c r="F70" i="119"/>
  <c r="F71" i="119"/>
  <c r="F72" i="119"/>
  <c r="F73" i="119"/>
  <c r="F74" i="119"/>
  <c r="F75" i="119"/>
  <c r="F76" i="119"/>
  <c r="F77" i="119"/>
  <c r="F29" i="120"/>
  <c r="F30" i="120"/>
  <c r="F31" i="120"/>
  <c r="F32" i="120"/>
  <c r="F33" i="120"/>
  <c r="F34" i="120"/>
  <c r="F35" i="120"/>
  <c r="F36" i="120"/>
  <c r="F37" i="120"/>
  <c r="F38" i="120"/>
  <c r="F39" i="120"/>
  <c r="F40" i="120"/>
  <c r="F41" i="120"/>
  <c r="F42" i="120"/>
  <c r="F43" i="120"/>
  <c r="F44" i="120"/>
  <c r="F45" i="120"/>
  <c r="F46" i="120"/>
  <c r="F47" i="120"/>
  <c r="F48" i="120"/>
  <c r="F49" i="120"/>
  <c r="F50" i="120"/>
  <c r="F51" i="120"/>
  <c r="F52" i="120"/>
  <c r="F53" i="120"/>
  <c r="F54" i="120"/>
  <c r="F55" i="120"/>
  <c r="F56" i="120"/>
  <c r="F57" i="120"/>
  <c r="F58" i="120"/>
  <c r="F59" i="120"/>
  <c r="F60" i="120"/>
  <c r="F61" i="120"/>
  <c r="F62" i="120"/>
  <c r="F63" i="120"/>
  <c r="F64" i="120"/>
  <c r="F65" i="120"/>
  <c r="F66" i="120"/>
  <c r="F67" i="120"/>
  <c r="F68" i="120"/>
  <c r="F69" i="120"/>
  <c r="F70" i="120"/>
  <c r="F71" i="120"/>
  <c r="F72" i="120"/>
  <c r="F73" i="120"/>
  <c r="F74" i="120"/>
  <c r="F75" i="120"/>
  <c r="F76" i="120"/>
  <c r="F77" i="120"/>
  <c r="F29" i="121"/>
  <c r="F30" i="121"/>
  <c r="F31" i="121"/>
  <c r="F32" i="121"/>
  <c r="F33" i="121"/>
  <c r="F34" i="121"/>
  <c r="F35" i="121"/>
  <c r="F36" i="121"/>
  <c r="F37" i="121"/>
  <c r="F38" i="121"/>
  <c r="F39" i="121"/>
  <c r="F40" i="121"/>
  <c r="F41" i="121"/>
  <c r="F42" i="121"/>
  <c r="F43" i="121"/>
  <c r="F44" i="121"/>
  <c r="F45" i="121"/>
  <c r="F46" i="121"/>
  <c r="F47" i="121"/>
  <c r="F48" i="121"/>
  <c r="F49" i="121"/>
  <c r="F50" i="121"/>
  <c r="F51" i="121"/>
  <c r="F52" i="121"/>
  <c r="F53" i="121"/>
  <c r="F54" i="121"/>
  <c r="F55" i="121"/>
  <c r="F56" i="121"/>
  <c r="F57" i="121"/>
  <c r="F58" i="121"/>
  <c r="F59" i="121"/>
  <c r="F60" i="121"/>
  <c r="F61" i="121"/>
  <c r="F62" i="121"/>
  <c r="F63" i="121"/>
  <c r="F64" i="121"/>
  <c r="F65" i="121"/>
  <c r="F66" i="121"/>
  <c r="F67" i="121"/>
  <c r="F68" i="121"/>
  <c r="F69" i="121"/>
  <c r="F70" i="121"/>
  <c r="F71" i="121"/>
  <c r="F72" i="121"/>
  <c r="F73" i="121"/>
  <c r="F74" i="121"/>
  <c r="F75" i="121"/>
  <c r="F76" i="121"/>
  <c r="F77" i="121"/>
  <c r="F29" i="122"/>
  <c r="F30" i="122"/>
  <c r="F31" i="122"/>
  <c r="F32" i="122"/>
  <c r="F33" i="122"/>
  <c r="F34" i="122"/>
  <c r="F35" i="122"/>
  <c r="F36" i="122"/>
  <c r="F37" i="122"/>
  <c r="F38" i="122"/>
  <c r="F39" i="122"/>
  <c r="F40" i="122"/>
  <c r="F41" i="122"/>
  <c r="F42" i="122"/>
  <c r="F43" i="122"/>
  <c r="F44" i="122"/>
  <c r="F45" i="122"/>
  <c r="F46" i="122"/>
  <c r="F47" i="122"/>
  <c r="F48" i="122"/>
  <c r="F49" i="122"/>
  <c r="F50" i="122"/>
  <c r="F51" i="122"/>
  <c r="F52" i="122"/>
  <c r="F53" i="122"/>
  <c r="F54" i="122"/>
  <c r="F55" i="122"/>
  <c r="F56" i="122"/>
  <c r="F57" i="122"/>
  <c r="F58" i="122"/>
  <c r="F59" i="122"/>
  <c r="F60" i="122"/>
  <c r="F61" i="122"/>
  <c r="F62" i="122"/>
  <c r="F63" i="122"/>
  <c r="F64" i="122"/>
  <c r="F65" i="122"/>
  <c r="F66" i="122"/>
  <c r="F67" i="122"/>
  <c r="F68" i="122"/>
  <c r="F69" i="122"/>
  <c r="F70" i="122"/>
  <c r="F71" i="122"/>
  <c r="F72" i="122"/>
  <c r="F73" i="122"/>
  <c r="F74" i="122"/>
  <c r="F75" i="122"/>
  <c r="F76" i="122"/>
  <c r="F77" i="122"/>
  <c r="F29" i="123"/>
  <c r="F30" i="123"/>
  <c r="F31" i="123"/>
  <c r="F32" i="123"/>
  <c r="F33" i="123"/>
  <c r="F34" i="123"/>
  <c r="F35" i="123"/>
  <c r="F36" i="123"/>
  <c r="F37" i="123"/>
  <c r="F38" i="123"/>
  <c r="F39" i="123"/>
  <c r="F40" i="123"/>
  <c r="F41" i="123"/>
  <c r="F42" i="123"/>
  <c r="F43" i="123"/>
  <c r="F44" i="123"/>
  <c r="F45" i="123"/>
  <c r="F46" i="123"/>
  <c r="F47" i="123"/>
  <c r="F48" i="123"/>
  <c r="F49" i="123"/>
  <c r="F50" i="123"/>
  <c r="F51" i="123"/>
  <c r="F52" i="123"/>
  <c r="F53" i="123"/>
  <c r="F54" i="123"/>
  <c r="F55" i="123"/>
  <c r="F56" i="123"/>
  <c r="F57" i="123"/>
  <c r="F58" i="123"/>
  <c r="F59" i="123"/>
  <c r="F60" i="123"/>
  <c r="F61" i="123"/>
  <c r="F62" i="123"/>
  <c r="F63" i="123"/>
  <c r="F64" i="123"/>
  <c r="F65" i="123"/>
  <c r="F66" i="123"/>
  <c r="F67" i="123"/>
  <c r="F68" i="123"/>
  <c r="F69" i="123"/>
  <c r="F70" i="123"/>
  <c r="F71" i="123"/>
  <c r="F72" i="123"/>
  <c r="F73" i="123"/>
  <c r="F74" i="123"/>
  <c r="F75" i="123"/>
  <c r="F76" i="123"/>
  <c r="F77" i="123"/>
  <c r="F29" i="124"/>
  <c r="F30" i="124"/>
  <c r="F31" i="124"/>
  <c r="F32" i="124"/>
  <c r="F33" i="124"/>
  <c r="F34" i="124"/>
  <c r="F35" i="124"/>
  <c r="F36" i="124"/>
  <c r="F37" i="124"/>
  <c r="F38" i="124"/>
  <c r="F39" i="124"/>
  <c r="F40" i="124"/>
  <c r="F41" i="124"/>
  <c r="F42" i="124"/>
  <c r="F43" i="124"/>
  <c r="F44" i="124"/>
  <c r="F45" i="124"/>
  <c r="F46" i="124"/>
  <c r="F47" i="124"/>
  <c r="F48" i="124"/>
  <c r="F49" i="124"/>
  <c r="F50" i="124"/>
  <c r="F51" i="124"/>
  <c r="F52" i="124"/>
  <c r="F53" i="124"/>
  <c r="F54" i="124"/>
  <c r="F55" i="124"/>
  <c r="F56" i="124"/>
  <c r="F57" i="124"/>
  <c r="F58" i="124"/>
  <c r="F59" i="124"/>
  <c r="F60" i="124"/>
  <c r="F61" i="124"/>
  <c r="F62" i="124"/>
  <c r="F63" i="124"/>
  <c r="F64" i="124"/>
  <c r="F65" i="124"/>
  <c r="F66" i="124"/>
  <c r="F67" i="124"/>
  <c r="F68" i="124"/>
  <c r="F69" i="124"/>
  <c r="F70" i="124"/>
  <c r="F71" i="124"/>
  <c r="F72" i="124"/>
  <c r="F73" i="124"/>
  <c r="F74" i="124"/>
  <c r="F75" i="124"/>
  <c r="F76" i="124"/>
  <c r="F77" i="124"/>
  <c r="F29" i="125"/>
  <c r="F30" i="125"/>
  <c r="F31" i="125"/>
  <c r="F32" i="125"/>
  <c r="F33" i="125"/>
  <c r="F34" i="125"/>
  <c r="F35" i="125"/>
  <c r="F36" i="125"/>
  <c r="F37" i="125"/>
  <c r="F38" i="125"/>
  <c r="F39" i="125"/>
  <c r="F40" i="125"/>
  <c r="F41" i="125"/>
  <c r="F42" i="125"/>
  <c r="F43" i="125"/>
  <c r="F44" i="125"/>
  <c r="F45" i="125"/>
  <c r="F46" i="125"/>
  <c r="F47" i="125"/>
  <c r="F48" i="125"/>
  <c r="F49" i="125"/>
  <c r="F50" i="125"/>
  <c r="F51" i="125"/>
  <c r="F52" i="125"/>
  <c r="F53" i="125"/>
  <c r="F54" i="125"/>
  <c r="F55" i="125"/>
  <c r="F56" i="125"/>
  <c r="F57" i="125"/>
  <c r="F58" i="125"/>
  <c r="F59" i="125"/>
  <c r="F60" i="125"/>
  <c r="F61" i="125"/>
  <c r="F62" i="125"/>
  <c r="F63" i="125"/>
  <c r="F64" i="125"/>
  <c r="F65" i="125"/>
  <c r="F66" i="125"/>
  <c r="F67" i="125"/>
  <c r="F68" i="125"/>
  <c r="F69" i="125"/>
  <c r="F70" i="125"/>
  <c r="F71" i="125"/>
  <c r="F72" i="125"/>
  <c r="F73" i="125"/>
  <c r="F74" i="125"/>
  <c r="F75" i="125"/>
  <c r="F76" i="125"/>
  <c r="F77" i="125"/>
  <c r="F29" i="126"/>
  <c r="F30" i="126"/>
  <c r="F31" i="126"/>
  <c r="F32" i="126"/>
  <c r="F33" i="126"/>
  <c r="F34" i="126"/>
  <c r="F35" i="126"/>
  <c r="F36" i="126"/>
  <c r="F37" i="126"/>
  <c r="F38" i="126"/>
  <c r="F39" i="126"/>
  <c r="F40" i="126"/>
  <c r="F41" i="126"/>
  <c r="F42" i="126"/>
  <c r="F43" i="126"/>
  <c r="F44" i="126"/>
  <c r="F45" i="126"/>
  <c r="F46" i="126"/>
  <c r="F47" i="126"/>
  <c r="F48" i="126"/>
  <c r="F49" i="126"/>
  <c r="F50" i="126"/>
  <c r="F51" i="126"/>
  <c r="F52" i="126"/>
  <c r="F53" i="126"/>
  <c r="F54" i="126"/>
  <c r="F55" i="126"/>
  <c r="F56" i="126"/>
  <c r="F57" i="126"/>
  <c r="F58" i="126"/>
  <c r="F59" i="126"/>
  <c r="F60" i="126"/>
  <c r="F61" i="126"/>
  <c r="F62" i="126"/>
  <c r="F63" i="126"/>
  <c r="F64" i="126"/>
  <c r="F65" i="126"/>
  <c r="F66" i="126"/>
  <c r="F67" i="126"/>
  <c r="F68" i="126"/>
  <c r="F69" i="126"/>
  <c r="F70" i="126"/>
  <c r="F71" i="126"/>
  <c r="F72" i="126"/>
  <c r="F73" i="126"/>
  <c r="F74" i="126"/>
  <c r="F75" i="126"/>
  <c r="F76" i="126"/>
  <c r="F77" i="126"/>
  <c r="F29" i="127"/>
  <c r="F30" i="127"/>
  <c r="F31" i="127"/>
  <c r="F32" i="127"/>
  <c r="F33" i="127"/>
  <c r="F34" i="127"/>
  <c r="F35" i="127"/>
  <c r="F36" i="127"/>
  <c r="F37" i="127"/>
  <c r="F38" i="127"/>
  <c r="F39" i="127"/>
  <c r="F40" i="127"/>
  <c r="F41" i="127"/>
  <c r="F42" i="127"/>
  <c r="F43" i="127"/>
  <c r="F44" i="127"/>
  <c r="F45" i="127"/>
  <c r="F46" i="127"/>
  <c r="F47" i="127"/>
  <c r="F48" i="127"/>
  <c r="F49" i="127"/>
  <c r="F50" i="127"/>
  <c r="F51" i="127"/>
  <c r="F52" i="127"/>
  <c r="F53" i="127"/>
  <c r="F54" i="127"/>
  <c r="F55" i="127"/>
  <c r="F56" i="127"/>
  <c r="F57" i="127"/>
  <c r="F58" i="127"/>
  <c r="F59" i="127"/>
  <c r="F60" i="127"/>
  <c r="F61" i="127"/>
  <c r="F62" i="127"/>
  <c r="F63" i="127"/>
  <c r="F64" i="127"/>
  <c r="F65" i="127"/>
  <c r="F66" i="127"/>
  <c r="F67" i="127"/>
  <c r="F68" i="127"/>
  <c r="F69" i="127"/>
  <c r="F70" i="127"/>
  <c r="F71" i="127"/>
  <c r="F72" i="127"/>
  <c r="F73" i="127"/>
  <c r="F74" i="127"/>
  <c r="F75" i="127"/>
  <c r="F76" i="127"/>
  <c r="F77" i="127"/>
  <c r="F29" i="128"/>
  <c r="F30" i="128"/>
  <c r="F31" i="128"/>
  <c r="F32" i="128"/>
  <c r="F33" i="128"/>
  <c r="F34" i="128"/>
  <c r="F35" i="128"/>
  <c r="F36" i="128"/>
  <c r="F37" i="128"/>
  <c r="F38" i="128"/>
  <c r="F39" i="128"/>
  <c r="F40" i="128"/>
  <c r="F41" i="128"/>
  <c r="F42" i="128"/>
  <c r="F43" i="128"/>
  <c r="F44" i="128"/>
  <c r="F45" i="128"/>
  <c r="F46" i="128"/>
  <c r="F47" i="128"/>
  <c r="F48" i="128"/>
  <c r="F49" i="128"/>
  <c r="F50" i="128"/>
  <c r="F51" i="128"/>
  <c r="F52" i="128"/>
  <c r="F53" i="128"/>
  <c r="F54" i="128"/>
  <c r="F55" i="128"/>
  <c r="F56" i="128"/>
  <c r="F57" i="128"/>
  <c r="F58" i="128"/>
  <c r="F59" i="128"/>
  <c r="F60" i="128"/>
  <c r="F61" i="128"/>
  <c r="F62" i="128"/>
  <c r="F63" i="128"/>
  <c r="F64" i="128"/>
  <c r="F65" i="128"/>
  <c r="F66" i="128"/>
  <c r="F67" i="128"/>
  <c r="F68" i="128"/>
  <c r="F69" i="128"/>
  <c r="F70" i="128"/>
  <c r="F71" i="128"/>
  <c r="F72" i="128"/>
  <c r="F73" i="128"/>
  <c r="F74" i="128"/>
  <c r="F75" i="128"/>
  <c r="F76" i="128"/>
  <c r="F77" i="128"/>
  <c r="F29" i="129"/>
  <c r="F30" i="129"/>
  <c r="F31" i="129"/>
  <c r="F32" i="129"/>
  <c r="F33" i="129"/>
  <c r="F34" i="129"/>
  <c r="F35" i="129"/>
  <c r="F36" i="129"/>
  <c r="F37" i="129"/>
  <c r="F38" i="129"/>
  <c r="F39" i="129"/>
  <c r="F40" i="129"/>
  <c r="F41" i="129"/>
  <c r="F42" i="129"/>
  <c r="F43" i="129"/>
  <c r="F44" i="129"/>
  <c r="F45" i="129"/>
  <c r="F46" i="129"/>
  <c r="F47" i="129"/>
  <c r="F48" i="129"/>
  <c r="F49" i="129"/>
  <c r="F50" i="129"/>
  <c r="F51" i="129"/>
  <c r="F52" i="129"/>
  <c r="F53" i="129"/>
  <c r="F54" i="129"/>
  <c r="F55" i="129"/>
  <c r="F56" i="129"/>
  <c r="F57" i="129"/>
  <c r="F58" i="129"/>
  <c r="F59" i="129"/>
  <c r="F60" i="129"/>
  <c r="F61" i="129"/>
  <c r="F62" i="129"/>
  <c r="F63" i="129"/>
  <c r="F64" i="129"/>
  <c r="F65" i="129"/>
  <c r="F66" i="129"/>
  <c r="F67" i="129"/>
  <c r="F68" i="129"/>
  <c r="F69" i="129"/>
  <c r="F70" i="129"/>
  <c r="F71" i="129"/>
  <c r="F72" i="129"/>
  <c r="F73" i="129"/>
  <c r="F74" i="129"/>
  <c r="F75" i="129"/>
  <c r="F76" i="129"/>
  <c r="F77" i="129"/>
  <c r="F29" i="130"/>
  <c r="F30" i="130"/>
  <c r="F31" i="130"/>
  <c r="F32" i="130"/>
  <c r="F33" i="130"/>
  <c r="F34" i="130"/>
  <c r="F35" i="130"/>
  <c r="F36" i="130"/>
  <c r="F37" i="130"/>
  <c r="F38" i="130"/>
  <c r="F39" i="130"/>
  <c r="F40" i="130"/>
  <c r="F41" i="130"/>
  <c r="F42" i="130"/>
  <c r="F43" i="130"/>
  <c r="F44" i="130"/>
  <c r="F45" i="130"/>
  <c r="F46" i="130"/>
  <c r="F47" i="130"/>
  <c r="F48" i="130"/>
  <c r="F49" i="130"/>
  <c r="F50" i="130"/>
  <c r="F51" i="130"/>
  <c r="F52" i="130"/>
  <c r="F53" i="130"/>
  <c r="F54" i="130"/>
  <c r="F55" i="130"/>
  <c r="F56" i="130"/>
  <c r="F57" i="130"/>
  <c r="F58" i="130"/>
  <c r="F59" i="130"/>
  <c r="F60" i="130"/>
  <c r="F61" i="130"/>
  <c r="F62" i="130"/>
  <c r="F63" i="130"/>
  <c r="F64" i="130"/>
  <c r="F65" i="130"/>
  <c r="F66" i="130"/>
  <c r="F67" i="130"/>
  <c r="F68" i="130"/>
  <c r="F69" i="130"/>
  <c r="F70" i="130"/>
  <c r="F71" i="130"/>
  <c r="F72" i="130"/>
  <c r="F73" i="130"/>
  <c r="F74" i="130"/>
  <c r="F75" i="130"/>
  <c r="F76" i="130"/>
  <c r="F77" i="130"/>
  <c r="F29" i="131"/>
  <c r="F30" i="131"/>
  <c r="F31" i="131"/>
  <c r="F32" i="131"/>
  <c r="F33" i="131"/>
  <c r="F34" i="131"/>
  <c r="F35" i="131"/>
  <c r="F36" i="131"/>
  <c r="F37" i="131"/>
  <c r="F38" i="131"/>
  <c r="F39" i="131"/>
  <c r="F40" i="131"/>
  <c r="F41" i="131"/>
  <c r="F42" i="131"/>
  <c r="F43" i="131"/>
  <c r="F44" i="131"/>
  <c r="F45" i="131"/>
  <c r="F46" i="131"/>
  <c r="F47" i="131"/>
  <c r="F48" i="131"/>
  <c r="F49" i="131"/>
  <c r="F50" i="131"/>
  <c r="F51" i="131"/>
  <c r="F52" i="131"/>
  <c r="F53" i="131"/>
  <c r="F54" i="131"/>
  <c r="F55" i="131"/>
  <c r="F56" i="131"/>
  <c r="F57" i="131"/>
  <c r="F58" i="131"/>
  <c r="F59" i="131"/>
  <c r="F60" i="131"/>
  <c r="F61" i="131"/>
  <c r="F62" i="131"/>
  <c r="F63" i="131"/>
  <c r="F64" i="131"/>
  <c r="F65" i="131"/>
  <c r="F66" i="131"/>
  <c r="F67" i="131"/>
  <c r="F68" i="131"/>
  <c r="F69" i="131"/>
  <c r="F70" i="131"/>
  <c r="F71" i="131"/>
  <c r="F72" i="131"/>
  <c r="F73" i="131"/>
  <c r="F74" i="131"/>
  <c r="F75" i="131"/>
  <c r="F76" i="131"/>
  <c r="F77" i="131"/>
  <c r="F29" i="132"/>
  <c r="F30" i="132"/>
  <c r="F31" i="132"/>
  <c r="F32" i="132"/>
  <c r="F33" i="132"/>
  <c r="F34" i="132"/>
  <c r="F35" i="132"/>
  <c r="F36" i="132"/>
  <c r="F37" i="132"/>
  <c r="F38" i="132"/>
  <c r="F39" i="132"/>
  <c r="F40" i="132"/>
  <c r="F41" i="132"/>
  <c r="F42" i="132"/>
  <c r="F43" i="132"/>
  <c r="F44" i="132"/>
  <c r="F45" i="132"/>
  <c r="F46" i="132"/>
  <c r="F47" i="132"/>
  <c r="F48" i="132"/>
  <c r="F49" i="132"/>
  <c r="F50" i="132"/>
  <c r="F51" i="132"/>
  <c r="F52" i="132"/>
  <c r="F53" i="132"/>
  <c r="F54" i="132"/>
  <c r="F55" i="132"/>
  <c r="F56" i="132"/>
  <c r="F57" i="132"/>
  <c r="F58" i="132"/>
  <c r="F59" i="132"/>
  <c r="F60" i="132"/>
  <c r="F61" i="132"/>
  <c r="F62" i="132"/>
  <c r="F63" i="132"/>
  <c r="F64" i="132"/>
  <c r="F65" i="132"/>
  <c r="F66" i="132"/>
  <c r="F67" i="132"/>
  <c r="F68" i="132"/>
  <c r="F69" i="132"/>
  <c r="F70" i="132"/>
  <c r="F71" i="132"/>
  <c r="F72" i="132"/>
  <c r="F73" i="132"/>
  <c r="F74" i="132"/>
  <c r="F75" i="132"/>
  <c r="F76" i="132"/>
  <c r="F77" i="132"/>
  <c r="F29" i="133"/>
  <c r="F30" i="133"/>
  <c r="F31" i="133"/>
  <c r="F32" i="133"/>
  <c r="F33" i="133"/>
  <c r="F34" i="133"/>
  <c r="F35" i="133"/>
  <c r="F36" i="133"/>
  <c r="F37" i="133"/>
  <c r="F38" i="133"/>
  <c r="F39" i="133"/>
  <c r="F40" i="133"/>
  <c r="F41" i="133"/>
  <c r="F42" i="133"/>
  <c r="F43" i="133"/>
  <c r="F44" i="133"/>
  <c r="F45" i="133"/>
  <c r="F46" i="133"/>
  <c r="F47" i="133"/>
  <c r="F48" i="133"/>
  <c r="F49" i="133"/>
  <c r="F50" i="133"/>
  <c r="F51" i="133"/>
  <c r="F52" i="133"/>
  <c r="F53" i="133"/>
  <c r="F54" i="133"/>
  <c r="F55" i="133"/>
  <c r="F56" i="133"/>
  <c r="F57" i="133"/>
  <c r="F58" i="133"/>
  <c r="F59" i="133"/>
  <c r="F60" i="133"/>
  <c r="F61" i="133"/>
  <c r="F62" i="133"/>
  <c r="F63" i="133"/>
  <c r="F64" i="133"/>
  <c r="F65" i="133"/>
  <c r="F66" i="133"/>
  <c r="F67" i="133"/>
  <c r="F68" i="133"/>
  <c r="F69" i="133"/>
  <c r="F70" i="133"/>
  <c r="F71" i="133"/>
  <c r="F72" i="133"/>
  <c r="F73" i="133"/>
  <c r="F74" i="133"/>
  <c r="F75" i="133"/>
  <c r="F76" i="133"/>
  <c r="F77" i="133"/>
  <c r="F29" i="134"/>
  <c r="F30" i="134"/>
  <c r="F31" i="134"/>
  <c r="F32" i="134"/>
  <c r="F33" i="134"/>
  <c r="F34" i="134"/>
  <c r="F35" i="134"/>
  <c r="F36" i="134"/>
  <c r="F37" i="134"/>
  <c r="F38" i="134"/>
  <c r="F39" i="134"/>
  <c r="F40" i="134"/>
  <c r="F41" i="134"/>
  <c r="F42" i="134"/>
  <c r="F43" i="134"/>
  <c r="F44" i="134"/>
  <c r="F45" i="134"/>
  <c r="F46" i="134"/>
  <c r="F47" i="134"/>
  <c r="F48" i="134"/>
  <c r="F49" i="134"/>
  <c r="F50" i="134"/>
  <c r="F51" i="134"/>
  <c r="F52" i="134"/>
  <c r="F53" i="134"/>
  <c r="F54" i="134"/>
  <c r="F55" i="134"/>
  <c r="F56" i="134"/>
  <c r="F57" i="134"/>
  <c r="F58" i="134"/>
  <c r="F59" i="134"/>
  <c r="F60" i="134"/>
  <c r="F61" i="134"/>
  <c r="F62" i="134"/>
  <c r="F63" i="134"/>
  <c r="F64" i="134"/>
  <c r="F65" i="134"/>
  <c r="F66" i="134"/>
  <c r="F67" i="134"/>
  <c r="F68" i="134"/>
  <c r="F69" i="134"/>
  <c r="F70" i="134"/>
  <c r="F71" i="134"/>
  <c r="F72" i="134"/>
  <c r="F73" i="134"/>
  <c r="F74" i="134"/>
  <c r="F75" i="134"/>
  <c r="F76" i="134"/>
  <c r="F77" i="134"/>
  <c r="F29" i="135"/>
  <c r="F30" i="135"/>
  <c r="F31" i="135"/>
  <c r="F32" i="135"/>
  <c r="F33" i="135"/>
  <c r="F34" i="135"/>
  <c r="F35" i="135"/>
  <c r="F36" i="135"/>
  <c r="F37" i="135"/>
  <c r="F38" i="135"/>
  <c r="F39" i="135"/>
  <c r="F40" i="135"/>
  <c r="F41" i="135"/>
  <c r="F42" i="135"/>
  <c r="F43" i="135"/>
  <c r="F44" i="135"/>
  <c r="F45" i="135"/>
  <c r="F46" i="135"/>
  <c r="F47" i="135"/>
  <c r="F48" i="135"/>
  <c r="F49" i="135"/>
  <c r="F50" i="135"/>
  <c r="F51" i="135"/>
  <c r="F52" i="135"/>
  <c r="F53" i="135"/>
  <c r="F54" i="135"/>
  <c r="F55" i="135"/>
  <c r="F56" i="135"/>
  <c r="F57" i="135"/>
  <c r="F58" i="135"/>
  <c r="F59" i="135"/>
  <c r="F60" i="135"/>
  <c r="F61" i="135"/>
  <c r="F62" i="135"/>
  <c r="F63" i="135"/>
  <c r="F64" i="135"/>
  <c r="F65" i="135"/>
  <c r="F66" i="135"/>
  <c r="F67" i="135"/>
  <c r="F68" i="135"/>
  <c r="F69" i="135"/>
  <c r="F70" i="135"/>
  <c r="F71" i="135"/>
  <c r="F72" i="135"/>
  <c r="F73" i="135"/>
  <c r="F74" i="135"/>
  <c r="F75" i="135"/>
  <c r="F76" i="135"/>
  <c r="F77" i="135"/>
  <c r="F29" i="136"/>
  <c r="F30" i="136"/>
  <c r="F31" i="136"/>
  <c r="F32" i="136"/>
  <c r="F33" i="136"/>
  <c r="F34" i="136"/>
  <c r="F35" i="136"/>
  <c r="F36" i="136"/>
  <c r="F37" i="136"/>
  <c r="F38" i="136"/>
  <c r="F39" i="136"/>
  <c r="F40" i="136"/>
  <c r="F41" i="136"/>
  <c r="F42" i="136"/>
  <c r="F43" i="136"/>
  <c r="F44" i="136"/>
  <c r="F45" i="136"/>
  <c r="F46" i="136"/>
  <c r="F47" i="136"/>
  <c r="F48" i="136"/>
  <c r="F49" i="136"/>
  <c r="F50" i="136"/>
  <c r="F51" i="136"/>
  <c r="F52" i="136"/>
  <c r="F53" i="136"/>
  <c r="F54" i="136"/>
  <c r="F55" i="136"/>
  <c r="F56" i="136"/>
  <c r="F57" i="136"/>
  <c r="F58" i="136"/>
  <c r="F59" i="136"/>
  <c r="F60" i="136"/>
  <c r="F61" i="136"/>
  <c r="F62" i="136"/>
  <c r="F63" i="136"/>
  <c r="F64" i="136"/>
  <c r="F65" i="136"/>
  <c r="F66" i="136"/>
  <c r="F67" i="136"/>
  <c r="F68" i="136"/>
  <c r="F69" i="136"/>
  <c r="F70" i="136"/>
  <c r="F71" i="136"/>
  <c r="F72" i="136"/>
  <c r="F73" i="136"/>
  <c r="F74" i="136"/>
  <c r="F75" i="136"/>
  <c r="F76" i="136"/>
  <c r="F77" i="136"/>
  <c r="F29" i="137"/>
  <c r="F30" i="137"/>
  <c r="F31" i="137"/>
  <c r="F32" i="137"/>
  <c r="F33" i="137"/>
  <c r="F34" i="137"/>
  <c r="F35" i="137"/>
  <c r="F36" i="137"/>
  <c r="F37" i="137"/>
  <c r="F38" i="137"/>
  <c r="F39" i="137"/>
  <c r="F40" i="137"/>
  <c r="F41" i="137"/>
  <c r="F42" i="137"/>
  <c r="F43" i="137"/>
  <c r="F44" i="137"/>
  <c r="F45" i="137"/>
  <c r="F46" i="137"/>
  <c r="F47" i="137"/>
  <c r="F48" i="137"/>
  <c r="F49" i="137"/>
  <c r="F50" i="137"/>
  <c r="F51" i="137"/>
  <c r="F52" i="137"/>
  <c r="F53" i="137"/>
  <c r="F54" i="137"/>
  <c r="F55" i="137"/>
  <c r="F56" i="137"/>
  <c r="F57" i="137"/>
  <c r="F58" i="137"/>
  <c r="F59" i="137"/>
  <c r="F60" i="137"/>
  <c r="F61" i="137"/>
  <c r="F62" i="137"/>
  <c r="F63" i="137"/>
  <c r="F64" i="137"/>
  <c r="F65" i="137"/>
  <c r="F66" i="137"/>
  <c r="F67" i="137"/>
  <c r="F68" i="137"/>
  <c r="F69" i="137"/>
  <c r="F70" i="137"/>
  <c r="F71" i="137"/>
  <c r="F72" i="137"/>
  <c r="F73" i="137"/>
  <c r="F74" i="137"/>
  <c r="F75" i="137"/>
  <c r="F76" i="137"/>
  <c r="F77" i="137"/>
  <c r="F29" i="138"/>
  <c r="F30" i="138"/>
  <c r="F31" i="138"/>
  <c r="F32" i="138"/>
  <c r="F33" i="138"/>
  <c r="F34" i="138"/>
  <c r="F35" i="138"/>
  <c r="F36" i="138"/>
  <c r="F37" i="138"/>
  <c r="F38" i="138"/>
  <c r="F39" i="138"/>
  <c r="F40" i="138"/>
  <c r="F41" i="138"/>
  <c r="F42" i="138"/>
  <c r="F43" i="138"/>
  <c r="F44" i="138"/>
  <c r="F45" i="138"/>
  <c r="F46" i="138"/>
  <c r="F47" i="138"/>
  <c r="F48" i="138"/>
  <c r="F49" i="138"/>
  <c r="F50" i="138"/>
  <c r="F51" i="138"/>
  <c r="F52" i="138"/>
  <c r="F53" i="138"/>
  <c r="F54" i="138"/>
  <c r="F55" i="138"/>
  <c r="F56" i="138"/>
  <c r="F57" i="138"/>
  <c r="F58" i="138"/>
  <c r="F59" i="138"/>
  <c r="F60" i="138"/>
  <c r="F61" i="138"/>
  <c r="F62" i="138"/>
  <c r="F63" i="138"/>
  <c r="F64" i="138"/>
  <c r="F65" i="138"/>
  <c r="F66" i="138"/>
  <c r="F67" i="138"/>
  <c r="F68" i="138"/>
  <c r="F69" i="138"/>
  <c r="F70" i="138"/>
  <c r="F71" i="138"/>
  <c r="F72" i="138"/>
  <c r="F73" i="138"/>
  <c r="F74" i="138"/>
  <c r="F75" i="138"/>
  <c r="F76" i="138"/>
  <c r="F77" i="138"/>
  <c r="F29" i="139"/>
  <c r="F30" i="139"/>
  <c r="F31" i="139"/>
  <c r="F32" i="139"/>
  <c r="F33" i="139"/>
  <c r="F34" i="139"/>
  <c r="F35" i="139"/>
  <c r="F36" i="139"/>
  <c r="F37" i="139"/>
  <c r="F38" i="139"/>
  <c r="F39" i="139"/>
  <c r="F40" i="139"/>
  <c r="F41" i="139"/>
  <c r="F42" i="139"/>
  <c r="F43" i="139"/>
  <c r="F44" i="139"/>
  <c r="F45" i="139"/>
  <c r="F46" i="139"/>
  <c r="F47" i="139"/>
  <c r="F48" i="139"/>
  <c r="F49" i="139"/>
  <c r="F50" i="139"/>
  <c r="F51" i="139"/>
  <c r="F52" i="139"/>
  <c r="F53" i="139"/>
  <c r="F54" i="139"/>
  <c r="F55" i="139"/>
  <c r="F56" i="139"/>
  <c r="F57" i="139"/>
  <c r="F58" i="139"/>
  <c r="F59" i="139"/>
  <c r="F60" i="139"/>
  <c r="F61" i="139"/>
  <c r="F62" i="139"/>
  <c r="F63" i="139"/>
  <c r="F64" i="139"/>
  <c r="F65" i="139"/>
  <c r="F66" i="139"/>
  <c r="F67" i="139"/>
  <c r="F68" i="139"/>
  <c r="F69" i="139"/>
  <c r="F70" i="139"/>
  <c r="F71" i="139"/>
  <c r="F72" i="139"/>
  <c r="F73" i="139"/>
  <c r="F74" i="139"/>
  <c r="F75" i="139"/>
  <c r="F76" i="139"/>
  <c r="F77" i="139"/>
  <c r="F29" i="140"/>
  <c r="F30" i="140"/>
  <c r="F31" i="140"/>
  <c r="F32" i="140"/>
  <c r="F33" i="140"/>
  <c r="F34" i="140"/>
  <c r="F35" i="140"/>
  <c r="F36" i="140"/>
  <c r="F37" i="140"/>
  <c r="F38" i="140"/>
  <c r="F39" i="140"/>
  <c r="F40" i="140"/>
  <c r="F41" i="140"/>
  <c r="F42" i="140"/>
  <c r="F43" i="140"/>
  <c r="F44" i="140"/>
  <c r="F45" i="140"/>
  <c r="F46" i="140"/>
  <c r="F47" i="140"/>
  <c r="F48" i="140"/>
  <c r="F49" i="140"/>
  <c r="F50" i="140"/>
  <c r="F51" i="140"/>
  <c r="F52" i="140"/>
  <c r="F53" i="140"/>
  <c r="F54" i="140"/>
  <c r="F55" i="140"/>
  <c r="F56" i="140"/>
  <c r="F57" i="140"/>
  <c r="F58" i="140"/>
  <c r="F59" i="140"/>
  <c r="F60" i="140"/>
  <c r="F61" i="140"/>
  <c r="F62" i="140"/>
  <c r="F63" i="140"/>
  <c r="F64" i="140"/>
  <c r="F65" i="140"/>
  <c r="F66" i="140"/>
  <c r="F67" i="140"/>
  <c r="F68" i="140"/>
  <c r="F69" i="140"/>
  <c r="F70" i="140"/>
  <c r="F71" i="140"/>
  <c r="F72" i="140"/>
  <c r="F73" i="140"/>
  <c r="F74" i="140"/>
  <c r="F75" i="140"/>
  <c r="F76" i="140"/>
  <c r="F77" i="140"/>
  <c r="F29" i="141"/>
  <c r="F30" i="141"/>
  <c r="F31" i="141"/>
  <c r="F32" i="141"/>
  <c r="F33" i="141"/>
  <c r="F34" i="141"/>
  <c r="F35" i="141"/>
  <c r="F36" i="141"/>
  <c r="F37" i="141"/>
  <c r="F38" i="141"/>
  <c r="F39" i="141"/>
  <c r="F40" i="141"/>
  <c r="F41" i="141"/>
  <c r="F42" i="141"/>
  <c r="F43" i="141"/>
  <c r="F44" i="141"/>
  <c r="F45" i="141"/>
  <c r="F46" i="141"/>
  <c r="F47" i="141"/>
  <c r="F48" i="141"/>
  <c r="F49" i="141"/>
  <c r="F50" i="141"/>
  <c r="F51" i="141"/>
  <c r="F52" i="141"/>
  <c r="F53" i="141"/>
  <c r="F54" i="141"/>
  <c r="F55" i="141"/>
  <c r="F56" i="141"/>
  <c r="F57" i="141"/>
  <c r="F58" i="141"/>
  <c r="F59" i="141"/>
  <c r="F60" i="141"/>
  <c r="F61" i="141"/>
  <c r="F62" i="141"/>
  <c r="F63" i="141"/>
  <c r="F64" i="141"/>
  <c r="F65" i="141"/>
  <c r="F66" i="141"/>
  <c r="F67" i="141"/>
  <c r="F68" i="141"/>
  <c r="F69" i="141"/>
  <c r="F70" i="141"/>
  <c r="F71" i="141"/>
  <c r="F72" i="141"/>
  <c r="F73" i="141"/>
  <c r="F74" i="141"/>
  <c r="F75" i="141"/>
  <c r="F76" i="141"/>
  <c r="F77" i="141"/>
  <c r="F29" i="142"/>
  <c r="F30" i="142"/>
  <c r="F31" i="142"/>
  <c r="F32" i="142"/>
  <c r="F33" i="142"/>
  <c r="F34" i="142"/>
  <c r="F35" i="142"/>
  <c r="F36" i="142"/>
  <c r="F37" i="142"/>
  <c r="F38" i="142"/>
  <c r="F39" i="142"/>
  <c r="F40" i="142"/>
  <c r="F41" i="142"/>
  <c r="F42" i="142"/>
  <c r="F43" i="142"/>
  <c r="F44" i="142"/>
  <c r="F45" i="142"/>
  <c r="F46" i="142"/>
  <c r="F47" i="142"/>
  <c r="F48" i="142"/>
  <c r="F49" i="142"/>
  <c r="F50" i="142"/>
  <c r="F51" i="142"/>
  <c r="F52" i="142"/>
  <c r="F53" i="142"/>
  <c r="F54" i="142"/>
  <c r="F55" i="142"/>
  <c r="F56" i="142"/>
  <c r="F57" i="142"/>
  <c r="F58" i="142"/>
  <c r="F59" i="142"/>
  <c r="F60" i="142"/>
  <c r="F61" i="142"/>
  <c r="F62" i="142"/>
  <c r="F63" i="142"/>
  <c r="F64" i="142"/>
  <c r="F65" i="142"/>
  <c r="F66" i="142"/>
  <c r="F67" i="142"/>
  <c r="F68" i="142"/>
  <c r="F69" i="142"/>
  <c r="F70" i="142"/>
  <c r="F71" i="142"/>
  <c r="F72" i="142"/>
  <c r="F73" i="142"/>
  <c r="F74" i="142"/>
  <c r="F75" i="142"/>
  <c r="F76" i="142"/>
  <c r="F77" i="142"/>
  <c r="F29" i="143"/>
  <c r="F30" i="143"/>
  <c r="F31" i="143"/>
  <c r="F32" i="143"/>
  <c r="F33" i="143"/>
  <c r="F34" i="143"/>
  <c r="F35" i="143"/>
  <c r="F36" i="143"/>
  <c r="F37" i="143"/>
  <c r="F38" i="143"/>
  <c r="F39" i="143"/>
  <c r="F40" i="143"/>
  <c r="F41" i="143"/>
  <c r="F42" i="143"/>
  <c r="F43" i="143"/>
  <c r="F44" i="143"/>
  <c r="F45" i="143"/>
  <c r="F46" i="143"/>
  <c r="F47" i="143"/>
  <c r="F48" i="143"/>
  <c r="F49" i="143"/>
  <c r="F50" i="143"/>
  <c r="F51" i="143"/>
  <c r="F52" i="143"/>
  <c r="F53" i="143"/>
  <c r="F54" i="143"/>
  <c r="F55" i="143"/>
  <c r="F56" i="143"/>
  <c r="F57" i="143"/>
  <c r="F58" i="143"/>
  <c r="F59" i="143"/>
  <c r="F60" i="143"/>
  <c r="F61" i="143"/>
  <c r="F62" i="143"/>
  <c r="F63" i="143"/>
  <c r="F64" i="143"/>
  <c r="F65" i="143"/>
  <c r="F66" i="143"/>
  <c r="F67" i="143"/>
  <c r="F68" i="143"/>
  <c r="F69" i="143"/>
  <c r="F70" i="143"/>
  <c r="F71" i="143"/>
  <c r="F72" i="143"/>
  <c r="F73" i="143"/>
  <c r="F74" i="143"/>
  <c r="F75" i="143"/>
  <c r="F76" i="143"/>
  <c r="F77" i="143"/>
  <c r="F29" i="144"/>
  <c r="F30" i="144"/>
  <c r="F31" i="144"/>
  <c r="F32" i="144"/>
  <c r="F33" i="144"/>
  <c r="F34" i="144"/>
  <c r="F35" i="144"/>
  <c r="F36" i="144"/>
  <c r="F37" i="144"/>
  <c r="F38" i="144"/>
  <c r="F39" i="144"/>
  <c r="F40" i="144"/>
  <c r="F41" i="144"/>
  <c r="F42" i="144"/>
  <c r="F43" i="144"/>
  <c r="F44" i="144"/>
  <c r="F45" i="144"/>
  <c r="F46" i="144"/>
  <c r="F47" i="144"/>
  <c r="F48" i="144"/>
  <c r="F49" i="144"/>
  <c r="F50" i="144"/>
  <c r="F51" i="144"/>
  <c r="F52" i="144"/>
  <c r="F53" i="144"/>
  <c r="F54" i="144"/>
  <c r="F55" i="144"/>
  <c r="F56" i="144"/>
  <c r="F57" i="144"/>
  <c r="F58" i="144"/>
  <c r="F59" i="144"/>
  <c r="F60" i="144"/>
  <c r="F61" i="144"/>
  <c r="F62" i="144"/>
  <c r="F63" i="144"/>
  <c r="F64" i="144"/>
  <c r="F65" i="144"/>
  <c r="F66" i="144"/>
  <c r="F67" i="144"/>
  <c r="F68" i="144"/>
  <c r="F69" i="144"/>
  <c r="F70" i="144"/>
  <c r="F71" i="144"/>
  <c r="F72" i="144"/>
  <c r="F73" i="144"/>
  <c r="F74" i="144"/>
  <c r="F75" i="144"/>
  <c r="F76" i="144"/>
  <c r="F77" i="144"/>
  <c r="F29" i="145"/>
  <c r="F30" i="145"/>
  <c r="F31" i="145"/>
  <c r="F32" i="145"/>
  <c r="F33" i="145"/>
  <c r="F34" i="145"/>
  <c r="F35" i="145"/>
  <c r="F36" i="145"/>
  <c r="F37" i="145"/>
  <c r="F38" i="145"/>
  <c r="F39" i="145"/>
  <c r="F40" i="145"/>
  <c r="F41" i="145"/>
  <c r="F42" i="145"/>
  <c r="F43" i="145"/>
  <c r="F44" i="145"/>
  <c r="F45" i="145"/>
  <c r="F46" i="145"/>
  <c r="F47" i="145"/>
  <c r="F48" i="145"/>
  <c r="F49" i="145"/>
  <c r="F50" i="145"/>
  <c r="F51" i="145"/>
  <c r="F52" i="145"/>
  <c r="F53" i="145"/>
  <c r="F54" i="145"/>
  <c r="F55" i="145"/>
  <c r="F56" i="145"/>
  <c r="F57" i="145"/>
  <c r="F58" i="145"/>
  <c r="F59" i="145"/>
  <c r="F60" i="145"/>
  <c r="F61" i="145"/>
  <c r="F62" i="145"/>
  <c r="F63" i="145"/>
  <c r="F64" i="145"/>
  <c r="F65" i="145"/>
  <c r="F66" i="145"/>
  <c r="F67" i="145"/>
  <c r="F68" i="145"/>
  <c r="F69" i="145"/>
  <c r="F70" i="145"/>
  <c r="F71" i="145"/>
  <c r="F72" i="145"/>
  <c r="F73" i="145"/>
  <c r="F74" i="145"/>
  <c r="F75" i="145"/>
  <c r="F76" i="145"/>
  <c r="F77" i="145"/>
  <c r="F29" i="152"/>
  <c r="F30" i="152"/>
  <c r="F31" i="152"/>
  <c r="F32" i="152"/>
  <c r="F33" i="152"/>
  <c r="F34" i="152"/>
  <c r="F35" i="152"/>
  <c r="F36" i="152"/>
  <c r="F37" i="152"/>
  <c r="F38" i="152"/>
  <c r="F39" i="152"/>
  <c r="F40" i="152"/>
  <c r="F41" i="152"/>
  <c r="F42" i="152"/>
  <c r="F43" i="152"/>
  <c r="F44" i="152"/>
  <c r="F45" i="152"/>
  <c r="F46" i="152"/>
  <c r="F47" i="152"/>
  <c r="F48" i="152"/>
  <c r="F49" i="152"/>
  <c r="F50" i="152"/>
  <c r="F51" i="152"/>
  <c r="F52" i="152"/>
  <c r="F53" i="152"/>
  <c r="F54" i="152"/>
  <c r="F55" i="152"/>
  <c r="F56" i="152"/>
  <c r="F57" i="152"/>
  <c r="F58" i="152"/>
  <c r="F59" i="152"/>
  <c r="F60" i="152"/>
  <c r="F61" i="152"/>
  <c r="F62" i="152"/>
  <c r="F63" i="152"/>
  <c r="F64" i="152"/>
  <c r="F65" i="152"/>
  <c r="F66" i="152"/>
  <c r="F67" i="152"/>
  <c r="F68" i="152"/>
  <c r="F69" i="152"/>
  <c r="F70" i="152"/>
  <c r="F71" i="152"/>
  <c r="F72" i="152"/>
  <c r="F73" i="152"/>
  <c r="F74" i="152"/>
  <c r="F75" i="152"/>
  <c r="F76" i="152"/>
  <c r="F77" i="152"/>
  <c r="F35" i="22"/>
  <c r="F36" i="22"/>
  <c r="F37" i="22"/>
  <c r="F38" i="22"/>
  <c r="F39" i="22"/>
  <c r="F40" i="22"/>
  <c r="F41" i="22"/>
  <c r="F42" i="22"/>
  <c r="F43" i="22"/>
  <c r="F44" i="22"/>
  <c r="F45" i="22"/>
  <c r="F46" i="22"/>
  <c r="F47" i="22"/>
  <c r="F48" i="22"/>
  <c r="F49" i="22"/>
  <c r="F50" i="22"/>
  <c r="F51" i="22"/>
  <c r="F52" i="22"/>
  <c r="F53" i="22"/>
  <c r="F54" i="22"/>
  <c r="F55" i="22"/>
  <c r="F56" i="22"/>
  <c r="F57" i="22"/>
  <c r="F58" i="22"/>
  <c r="F59" i="22"/>
  <c r="F60" i="22"/>
  <c r="F61" i="22"/>
  <c r="F62" i="22"/>
  <c r="F63" i="22"/>
  <c r="F64" i="22"/>
  <c r="F65" i="22"/>
  <c r="F66" i="22"/>
  <c r="F67" i="22"/>
  <c r="F68" i="22"/>
  <c r="F69" i="22"/>
  <c r="F70" i="22"/>
  <c r="F71" i="22"/>
  <c r="F72" i="22"/>
  <c r="F73" i="22"/>
  <c r="F74" i="22"/>
  <c r="F75" i="22"/>
  <c r="F76" i="22"/>
  <c r="F77" i="22"/>
  <c r="F28" i="88"/>
  <c r="F28" i="89"/>
  <c r="F28" i="90"/>
  <c r="F28" i="91"/>
  <c r="F28" i="92"/>
  <c r="F28" i="93"/>
  <c r="F28" i="94"/>
  <c r="F28" i="95"/>
  <c r="F28" i="96"/>
  <c r="F28" i="97"/>
  <c r="F28" i="98"/>
  <c r="F28" i="99"/>
  <c r="F28" i="100"/>
  <c r="F28" i="101"/>
  <c r="F28" i="102"/>
  <c r="F28" i="103"/>
  <c r="F28" i="104"/>
  <c r="F28" i="105"/>
  <c r="F28" i="106"/>
  <c r="F28" i="107"/>
  <c r="F28" i="108"/>
  <c r="F28" i="109"/>
  <c r="F28" i="110"/>
  <c r="F28" i="111"/>
  <c r="F28" i="112"/>
  <c r="F28" i="113"/>
  <c r="F28" i="114"/>
  <c r="F28" i="115"/>
  <c r="F28" i="116"/>
  <c r="F28" i="117"/>
  <c r="F28" i="118"/>
  <c r="F28" i="119"/>
  <c r="F28" i="120"/>
  <c r="F28" i="121"/>
  <c r="F28" i="122"/>
  <c r="F28" i="123"/>
  <c r="F28" i="124"/>
  <c r="F28" i="125"/>
  <c r="F28" i="126"/>
  <c r="F28" i="127"/>
  <c r="F28" i="128"/>
  <c r="F28" i="129"/>
  <c r="F28" i="130"/>
  <c r="F28" i="131"/>
  <c r="F28" i="132"/>
  <c r="F28" i="133"/>
  <c r="F28" i="134"/>
  <c r="F28" i="135"/>
  <c r="F28" i="136"/>
  <c r="F28" i="137"/>
  <c r="F28" i="138"/>
  <c r="F28" i="139"/>
  <c r="F28" i="140"/>
  <c r="F28" i="141"/>
  <c r="F28" i="142"/>
  <c r="F28" i="143"/>
  <c r="F28" i="144"/>
  <c r="F28" i="145"/>
  <c r="F28" i="152"/>
  <c r="X29" i="22"/>
  <c r="X30" i="22"/>
  <c r="X31" i="22"/>
  <c r="X32" i="22"/>
  <c r="X33" i="22"/>
  <c r="X34" i="22"/>
  <c r="X35" i="22"/>
  <c r="X36" i="22"/>
  <c r="X37" i="22"/>
  <c r="X38" i="22"/>
  <c r="X39" i="22"/>
  <c r="X40" i="22"/>
  <c r="X41" i="22"/>
  <c r="X42" i="22"/>
  <c r="X43" i="22"/>
  <c r="X44" i="22"/>
  <c r="X45" i="22"/>
  <c r="X46" i="22"/>
  <c r="X47" i="22"/>
  <c r="X48" i="22"/>
  <c r="X49" i="22"/>
  <c r="X50" i="22"/>
  <c r="X51" i="22"/>
  <c r="X52" i="22"/>
  <c r="X53" i="22"/>
  <c r="X54" i="22"/>
  <c r="X55" i="22"/>
  <c r="X56" i="22"/>
  <c r="X57" i="22"/>
  <c r="X58" i="22"/>
  <c r="X59" i="22"/>
  <c r="X60" i="22"/>
  <c r="X61" i="22"/>
  <c r="X62" i="22"/>
  <c r="X63" i="22"/>
  <c r="X64" i="22"/>
  <c r="X65" i="22"/>
  <c r="X66" i="22"/>
  <c r="X67" i="22"/>
  <c r="X68" i="22"/>
  <c r="X69" i="22"/>
  <c r="X70" i="22"/>
  <c r="X71" i="22"/>
  <c r="X72" i="22"/>
  <c r="X73" i="22"/>
  <c r="X74" i="22"/>
  <c r="X75" i="22"/>
  <c r="X76" i="22"/>
  <c r="X77" i="22"/>
  <c r="U29" i="88"/>
  <c r="V29" i="88"/>
  <c r="W29" i="88"/>
  <c r="X29" i="88"/>
  <c r="U30" i="88"/>
  <c r="V30" i="88"/>
  <c r="W30" i="88"/>
  <c r="X30" i="88"/>
  <c r="U31" i="88"/>
  <c r="V31" i="88"/>
  <c r="W31" i="88"/>
  <c r="X31" i="88"/>
  <c r="U32" i="88"/>
  <c r="V32" i="88"/>
  <c r="W32" i="88"/>
  <c r="X32" i="88"/>
  <c r="U33" i="88"/>
  <c r="V33" i="88"/>
  <c r="W33" i="88"/>
  <c r="X33" i="88"/>
  <c r="U34" i="88"/>
  <c r="V34" i="88"/>
  <c r="W34" i="88"/>
  <c r="X34" i="88"/>
  <c r="U35" i="88"/>
  <c r="V35" i="88"/>
  <c r="W35" i="88"/>
  <c r="X35" i="88"/>
  <c r="U36" i="88"/>
  <c r="V36" i="88"/>
  <c r="W36" i="88"/>
  <c r="X36" i="88"/>
  <c r="U37" i="88"/>
  <c r="V37" i="88"/>
  <c r="W37" i="88"/>
  <c r="X37" i="88"/>
  <c r="U38" i="88"/>
  <c r="V38" i="88"/>
  <c r="W38" i="88"/>
  <c r="X38" i="88"/>
  <c r="U39" i="88"/>
  <c r="V39" i="88"/>
  <c r="W39" i="88"/>
  <c r="X39" i="88"/>
  <c r="U40" i="88"/>
  <c r="V40" i="88"/>
  <c r="W40" i="88"/>
  <c r="X40" i="88"/>
  <c r="U41" i="88"/>
  <c r="V41" i="88"/>
  <c r="W41" i="88"/>
  <c r="X41" i="88"/>
  <c r="U42" i="88"/>
  <c r="V42" i="88"/>
  <c r="W42" i="88"/>
  <c r="X42" i="88"/>
  <c r="U43" i="88"/>
  <c r="V43" i="88"/>
  <c r="W43" i="88"/>
  <c r="X43" i="88"/>
  <c r="U44" i="88"/>
  <c r="V44" i="88"/>
  <c r="W44" i="88"/>
  <c r="X44" i="88"/>
  <c r="U45" i="88"/>
  <c r="V45" i="88"/>
  <c r="W45" i="88"/>
  <c r="X45" i="88"/>
  <c r="U46" i="88"/>
  <c r="V46" i="88"/>
  <c r="W46" i="88"/>
  <c r="X46" i="88"/>
  <c r="U47" i="88"/>
  <c r="V47" i="88"/>
  <c r="W47" i="88"/>
  <c r="X47" i="88"/>
  <c r="U48" i="88"/>
  <c r="V48" i="88"/>
  <c r="W48" i="88"/>
  <c r="X48" i="88"/>
  <c r="U49" i="88"/>
  <c r="V49" i="88"/>
  <c r="W49" i="88"/>
  <c r="X49" i="88"/>
  <c r="U50" i="88"/>
  <c r="V50" i="88"/>
  <c r="W50" i="88"/>
  <c r="X50" i="88"/>
  <c r="U51" i="88"/>
  <c r="V51" i="88"/>
  <c r="W51" i="88"/>
  <c r="X51" i="88"/>
  <c r="U52" i="88"/>
  <c r="V52" i="88"/>
  <c r="W52" i="88"/>
  <c r="X52" i="88"/>
  <c r="U53" i="88"/>
  <c r="V53" i="88"/>
  <c r="W53" i="88"/>
  <c r="X53" i="88"/>
  <c r="U54" i="88"/>
  <c r="V54" i="88"/>
  <c r="W54" i="88"/>
  <c r="X54" i="88"/>
  <c r="U55" i="88"/>
  <c r="V55" i="88"/>
  <c r="W55" i="88"/>
  <c r="X55" i="88"/>
  <c r="U56" i="88"/>
  <c r="V56" i="88"/>
  <c r="W56" i="88"/>
  <c r="X56" i="88"/>
  <c r="U57" i="88"/>
  <c r="V57" i="88"/>
  <c r="W57" i="88"/>
  <c r="X57" i="88"/>
  <c r="U58" i="88"/>
  <c r="V58" i="88"/>
  <c r="W58" i="88"/>
  <c r="X58" i="88"/>
  <c r="U59" i="88"/>
  <c r="V59" i="88"/>
  <c r="W59" i="88"/>
  <c r="X59" i="88"/>
  <c r="U60" i="88"/>
  <c r="V60" i="88"/>
  <c r="W60" i="88"/>
  <c r="X60" i="88"/>
  <c r="U61" i="88"/>
  <c r="V61" i="88"/>
  <c r="W61" i="88"/>
  <c r="X61" i="88"/>
  <c r="U62" i="88"/>
  <c r="V62" i="88"/>
  <c r="W62" i="88"/>
  <c r="X62" i="88"/>
  <c r="U63" i="88"/>
  <c r="V63" i="88"/>
  <c r="W63" i="88"/>
  <c r="X63" i="88"/>
  <c r="U64" i="88"/>
  <c r="V64" i="88"/>
  <c r="W64" i="88"/>
  <c r="X64" i="88"/>
  <c r="U65" i="88"/>
  <c r="V65" i="88"/>
  <c r="W65" i="88"/>
  <c r="X65" i="88"/>
  <c r="U66" i="88"/>
  <c r="V66" i="88"/>
  <c r="W66" i="88"/>
  <c r="X66" i="88"/>
  <c r="U67" i="88"/>
  <c r="V67" i="88"/>
  <c r="W67" i="88"/>
  <c r="X67" i="88"/>
  <c r="U68" i="88"/>
  <c r="V68" i="88"/>
  <c r="W68" i="88"/>
  <c r="X68" i="88"/>
  <c r="U69" i="88"/>
  <c r="V69" i="88"/>
  <c r="W69" i="88"/>
  <c r="X69" i="88"/>
  <c r="U70" i="88"/>
  <c r="V70" i="88"/>
  <c r="W70" i="88"/>
  <c r="X70" i="88"/>
  <c r="U71" i="88"/>
  <c r="V71" i="88"/>
  <c r="W71" i="88"/>
  <c r="X71" i="88"/>
  <c r="U72" i="88"/>
  <c r="V72" i="88"/>
  <c r="W72" i="88"/>
  <c r="X72" i="88"/>
  <c r="U73" i="88"/>
  <c r="V73" i="88"/>
  <c r="W73" i="88"/>
  <c r="X73" i="88"/>
  <c r="U74" i="88"/>
  <c r="V74" i="88"/>
  <c r="W74" i="88"/>
  <c r="X74" i="88"/>
  <c r="U75" i="88"/>
  <c r="V75" i="88"/>
  <c r="W75" i="88"/>
  <c r="X75" i="88"/>
  <c r="U76" i="88"/>
  <c r="V76" i="88"/>
  <c r="W76" i="88"/>
  <c r="X76" i="88"/>
  <c r="U77" i="88"/>
  <c r="V77" i="88"/>
  <c r="W77" i="88"/>
  <c r="X77" i="88"/>
  <c r="U29" i="89"/>
  <c r="V29" i="89"/>
  <c r="W29" i="89"/>
  <c r="X29" i="89"/>
  <c r="U30" i="89"/>
  <c r="V30" i="89"/>
  <c r="W30" i="89"/>
  <c r="X30" i="89"/>
  <c r="U31" i="89"/>
  <c r="V31" i="89"/>
  <c r="W31" i="89"/>
  <c r="X31" i="89"/>
  <c r="U32" i="89"/>
  <c r="V32" i="89"/>
  <c r="W32" i="89"/>
  <c r="X32" i="89"/>
  <c r="U33" i="89"/>
  <c r="V33" i="89"/>
  <c r="W33" i="89"/>
  <c r="X33" i="89"/>
  <c r="U34" i="89"/>
  <c r="V34" i="89"/>
  <c r="W34" i="89"/>
  <c r="X34" i="89"/>
  <c r="U35" i="89"/>
  <c r="V35" i="89"/>
  <c r="W35" i="89"/>
  <c r="X35" i="89"/>
  <c r="U36" i="89"/>
  <c r="V36" i="89"/>
  <c r="W36" i="89"/>
  <c r="X36" i="89"/>
  <c r="U37" i="89"/>
  <c r="V37" i="89"/>
  <c r="W37" i="89"/>
  <c r="X37" i="89"/>
  <c r="U38" i="89"/>
  <c r="V38" i="89"/>
  <c r="W38" i="89"/>
  <c r="X38" i="89"/>
  <c r="U39" i="89"/>
  <c r="V39" i="89"/>
  <c r="W39" i="89"/>
  <c r="X39" i="89"/>
  <c r="U40" i="89"/>
  <c r="V40" i="89"/>
  <c r="W40" i="89"/>
  <c r="X40" i="89"/>
  <c r="U41" i="89"/>
  <c r="V41" i="89"/>
  <c r="W41" i="89"/>
  <c r="X41" i="89"/>
  <c r="U42" i="89"/>
  <c r="V42" i="89"/>
  <c r="W42" i="89"/>
  <c r="X42" i="89"/>
  <c r="U43" i="89"/>
  <c r="V43" i="89"/>
  <c r="W43" i="89"/>
  <c r="X43" i="89"/>
  <c r="U44" i="89"/>
  <c r="V44" i="89"/>
  <c r="W44" i="89"/>
  <c r="X44" i="89"/>
  <c r="U45" i="89"/>
  <c r="V45" i="89"/>
  <c r="W45" i="89"/>
  <c r="X45" i="89"/>
  <c r="U46" i="89"/>
  <c r="V46" i="89"/>
  <c r="W46" i="89"/>
  <c r="X46" i="89"/>
  <c r="U47" i="89"/>
  <c r="V47" i="89"/>
  <c r="W47" i="89"/>
  <c r="X47" i="89"/>
  <c r="U48" i="89"/>
  <c r="V48" i="89"/>
  <c r="W48" i="89"/>
  <c r="X48" i="89"/>
  <c r="U49" i="89"/>
  <c r="V49" i="89"/>
  <c r="W49" i="89"/>
  <c r="X49" i="89"/>
  <c r="U50" i="89"/>
  <c r="V50" i="89"/>
  <c r="W50" i="89"/>
  <c r="X50" i="89"/>
  <c r="U51" i="89"/>
  <c r="V51" i="89"/>
  <c r="W51" i="89"/>
  <c r="X51" i="89"/>
  <c r="U52" i="89"/>
  <c r="V52" i="89"/>
  <c r="W52" i="89"/>
  <c r="X52" i="89"/>
  <c r="U53" i="89"/>
  <c r="V53" i="89"/>
  <c r="W53" i="89"/>
  <c r="X53" i="89"/>
  <c r="U54" i="89"/>
  <c r="V54" i="89"/>
  <c r="W54" i="89"/>
  <c r="X54" i="89"/>
  <c r="U55" i="89"/>
  <c r="V55" i="89"/>
  <c r="W55" i="89"/>
  <c r="X55" i="89"/>
  <c r="U56" i="89"/>
  <c r="V56" i="89"/>
  <c r="W56" i="89"/>
  <c r="X56" i="89"/>
  <c r="U57" i="89"/>
  <c r="V57" i="89"/>
  <c r="W57" i="89"/>
  <c r="X57" i="89"/>
  <c r="U58" i="89"/>
  <c r="V58" i="89"/>
  <c r="W58" i="89"/>
  <c r="X58" i="89"/>
  <c r="U59" i="89"/>
  <c r="V59" i="89"/>
  <c r="W59" i="89"/>
  <c r="X59" i="89"/>
  <c r="U60" i="89"/>
  <c r="V60" i="89"/>
  <c r="W60" i="89"/>
  <c r="X60" i="89"/>
  <c r="U61" i="89"/>
  <c r="V61" i="89"/>
  <c r="W61" i="89"/>
  <c r="X61" i="89"/>
  <c r="U62" i="89"/>
  <c r="V62" i="89"/>
  <c r="W62" i="89"/>
  <c r="X62" i="89"/>
  <c r="U63" i="89"/>
  <c r="V63" i="89"/>
  <c r="W63" i="89"/>
  <c r="X63" i="89"/>
  <c r="U64" i="89"/>
  <c r="V64" i="89"/>
  <c r="W64" i="89"/>
  <c r="X64" i="89"/>
  <c r="U65" i="89"/>
  <c r="V65" i="89"/>
  <c r="W65" i="89"/>
  <c r="X65" i="89"/>
  <c r="U66" i="89"/>
  <c r="V66" i="89"/>
  <c r="W66" i="89"/>
  <c r="X66" i="89"/>
  <c r="U67" i="89"/>
  <c r="V67" i="89"/>
  <c r="W67" i="89"/>
  <c r="X67" i="89"/>
  <c r="U68" i="89"/>
  <c r="V68" i="89"/>
  <c r="W68" i="89"/>
  <c r="X68" i="89"/>
  <c r="U69" i="89"/>
  <c r="V69" i="89"/>
  <c r="W69" i="89"/>
  <c r="X69" i="89"/>
  <c r="U70" i="89"/>
  <c r="V70" i="89"/>
  <c r="W70" i="89"/>
  <c r="X70" i="89"/>
  <c r="U71" i="89"/>
  <c r="V71" i="89"/>
  <c r="W71" i="89"/>
  <c r="X71" i="89"/>
  <c r="U72" i="89"/>
  <c r="V72" i="89"/>
  <c r="W72" i="89"/>
  <c r="X72" i="89"/>
  <c r="U73" i="89"/>
  <c r="V73" i="89"/>
  <c r="W73" i="89"/>
  <c r="X73" i="89"/>
  <c r="U74" i="89"/>
  <c r="V74" i="89"/>
  <c r="W74" i="89"/>
  <c r="X74" i="89"/>
  <c r="U75" i="89"/>
  <c r="V75" i="89"/>
  <c r="W75" i="89"/>
  <c r="X75" i="89"/>
  <c r="U76" i="89"/>
  <c r="V76" i="89"/>
  <c r="W76" i="89"/>
  <c r="X76" i="89"/>
  <c r="U77" i="89"/>
  <c r="V77" i="89"/>
  <c r="W77" i="89"/>
  <c r="X77" i="89"/>
  <c r="U29" i="90"/>
  <c r="V29" i="90"/>
  <c r="W29" i="90"/>
  <c r="X29" i="90"/>
  <c r="U30" i="90"/>
  <c r="V30" i="90"/>
  <c r="W30" i="90"/>
  <c r="X30" i="90"/>
  <c r="U31" i="90"/>
  <c r="V31" i="90"/>
  <c r="W31" i="90"/>
  <c r="X31" i="90"/>
  <c r="U32" i="90"/>
  <c r="V32" i="90"/>
  <c r="W32" i="90"/>
  <c r="X32" i="90"/>
  <c r="U33" i="90"/>
  <c r="V33" i="90"/>
  <c r="W33" i="90"/>
  <c r="X33" i="90"/>
  <c r="U34" i="90"/>
  <c r="V34" i="90"/>
  <c r="W34" i="90"/>
  <c r="X34" i="90"/>
  <c r="U35" i="90"/>
  <c r="V35" i="90"/>
  <c r="W35" i="90"/>
  <c r="X35" i="90"/>
  <c r="U36" i="90"/>
  <c r="V36" i="90"/>
  <c r="W36" i="90"/>
  <c r="X36" i="90"/>
  <c r="U37" i="90"/>
  <c r="V37" i="90"/>
  <c r="W37" i="90"/>
  <c r="X37" i="90"/>
  <c r="U38" i="90"/>
  <c r="V38" i="90"/>
  <c r="W38" i="90"/>
  <c r="X38" i="90"/>
  <c r="U39" i="90"/>
  <c r="V39" i="90"/>
  <c r="W39" i="90"/>
  <c r="X39" i="90"/>
  <c r="U40" i="90"/>
  <c r="V40" i="90"/>
  <c r="W40" i="90"/>
  <c r="X40" i="90"/>
  <c r="U41" i="90"/>
  <c r="V41" i="90"/>
  <c r="W41" i="90"/>
  <c r="X41" i="90"/>
  <c r="U42" i="90"/>
  <c r="V42" i="90"/>
  <c r="W42" i="90"/>
  <c r="X42" i="90"/>
  <c r="U43" i="90"/>
  <c r="V43" i="90"/>
  <c r="W43" i="90"/>
  <c r="X43" i="90"/>
  <c r="U44" i="90"/>
  <c r="V44" i="90"/>
  <c r="W44" i="90"/>
  <c r="X44" i="90"/>
  <c r="U45" i="90"/>
  <c r="V45" i="90"/>
  <c r="W45" i="90"/>
  <c r="X45" i="90"/>
  <c r="U46" i="90"/>
  <c r="V46" i="90"/>
  <c r="W46" i="90"/>
  <c r="X46" i="90"/>
  <c r="U47" i="90"/>
  <c r="V47" i="90"/>
  <c r="W47" i="90"/>
  <c r="X47" i="90"/>
  <c r="U48" i="90"/>
  <c r="V48" i="90"/>
  <c r="W48" i="90"/>
  <c r="X48" i="90"/>
  <c r="U49" i="90"/>
  <c r="V49" i="90"/>
  <c r="W49" i="90"/>
  <c r="X49" i="90"/>
  <c r="U50" i="90"/>
  <c r="V50" i="90"/>
  <c r="W50" i="90"/>
  <c r="X50" i="90"/>
  <c r="U51" i="90"/>
  <c r="V51" i="90"/>
  <c r="W51" i="90"/>
  <c r="X51" i="90"/>
  <c r="U52" i="90"/>
  <c r="V52" i="90"/>
  <c r="W52" i="90"/>
  <c r="X52" i="90"/>
  <c r="U53" i="90"/>
  <c r="V53" i="90"/>
  <c r="W53" i="90"/>
  <c r="X53" i="90"/>
  <c r="U54" i="90"/>
  <c r="V54" i="90"/>
  <c r="W54" i="90"/>
  <c r="X54" i="90"/>
  <c r="U55" i="90"/>
  <c r="V55" i="90"/>
  <c r="W55" i="90"/>
  <c r="X55" i="90"/>
  <c r="U56" i="90"/>
  <c r="V56" i="90"/>
  <c r="W56" i="90"/>
  <c r="X56" i="90"/>
  <c r="U57" i="90"/>
  <c r="V57" i="90"/>
  <c r="W57" i="90"/>
  <c r="X57" i="90"/>
  <c r="U58" i="90"/>
  <c r="V58" i="90"/>
  <c r="W58" i="90"/>
  <c r="X58" i="90"/>
  <c r="U59" i="90"/>
  <c r="V59" i="90"/>
  <c r="W59" i="90"/>
  <c r="X59" i="90"/>
  <c r="U60" i="90"/>
  <c r="V60" i="90"/>
  <c r="W60" i="90"/>
  <c r="X60" i="90"/>
  <c r="U61" i="90"/>
  <c r="V61" i="90"/>
  <c r="W61" i="90"/>
  <c r="X61" i="90"/>
  <c r="U62" i="90"/>
  <c r="V62" i="90"/>
  <c r="W62" i="90"/>
  <c r="X62" i="90"/>
  <c r="U63" i="90"/>
  <c r="V63" i="90"/>
  <c r="W63" i="90"/>
  <c r="X63" i="90"/>
  <c r="U64" i="90"/>
  <c r="V64" i="90"/>
  <c r="W64" i="90"/>
  <c r="X64" i="90"/>
  <c r="U65" i="90"/>
  <c r="V65" i="90"/>
  <c r="W65" i="90"/>
  <c r="X65" i="90"/>
  <c r="U66" i="90"/>
  <c r="V66" i="90"/>
  <c r="W66" i="90"/>
  <c r="X66" i="90"/>
  <c r="U67" i="90"/>
  <c r="V67" i="90"/>
  <c r="W67" i="90"/>
  <c r="X67" i="90"/>
  <c r="U68" i="90"/>
  <c r="V68" i="90"/>
  <c r="W68" i="90"/>
  <c r="X68" i="90"/>
  <c r="U69" i="90"/>
  <c r="V69" i="90"/>
  <c r="W69" i="90"/>
  <c r="X69" i="90"/>
  <c r="U70" i="90"/>
  <c r="V70" i="90"/>
  <c r="W70" i="90"/>
  <c r="X70" i="90"/>
  <c r="U71" i="90"/>
  <c r="V71" i="90"/>
  <c r="W71" i="90"/>
  <c r="X71" i="90"/>
  <c r="U72" i="90"/>
  <c r="V72" i="90"/>
  <c r="W72" i="90"/>
  <c r="X72" i="90"/>
  <c r="U73" i="90"/>
  <c r="V73" i="90"/>
  <c r="W73" i="90"/>
  <c r="X73" i="90"/>
  <c r="U74" i="90"/>
  <c r="V74" i="90"/>
  <c r="W74" i="90"/>
  <c r="X74" i="90"/>
  <c r="U75" i="90"/>
  <c r="V75" i="90"/>
  <c r="W75" i="90"/>
  <c r="X75" i="90"/>
  <c r="U76" i="90"/>
  <c r="V76" i="90"/>
  <c r="W76" i="90"/>
  <c r="X76" i="90"/>
  <c r="U77" i="90"/>
  <c r="V77" i="90"/>
  <c r="W77" i="90"/>
  <c r="X77" i="90"/>
  <c r="U29" i="91"/>
  <c r="V29" i="91"/>
  <c r="W29" i="91"/>
  <c r="X29" i="91"/>
  <c r="U30" i="91"/>
  <c r="V30" i="91"/>
  <c r="W30" i="91"/>
  <c r="X30" i="91"/>
  <c r="U31" i="91"/>
  <c r="V31" i="91"/>
  <c r="W31" i="91"/>
  <c r="X31" i="91"/>
  <c r="U32" i="91"/>
  <c r="V32" i="91"/>
  <c r="W32" i="91"/>
  <c r="X32" i="91"/>
  <c r="U33" i="91"/>
  <c r="V33" i="91"/>
  <c r="W33" i="91"/>
  <c r="X33" i="91"/>
  <c r="U34" i="91"/>
  <c r="V34" i="91"/>
  <c r="W34" i="91"/>
  <c r="X34" i="91"/>
  <c r="U35" i="91"/>
  <c r="V35" i="91"/>
  <c r="W35" i="91"/>
  <c r="X35" i="91"/>
  <c r="U36" i="91"/>
  <c r="V36" i="91"/>
  <c r="W36" i="91"/>
  <c r="X36" i="91"/>
  <c r="U37" i="91"/>
  <c r="V37" i="91"/>
  <c r="W37" i="91"/>
  <c r="X37" i="91"/>
  <c r="U38" i="91"/>
  <c r="V38" i="91"/>
  <c r="W38" i="91"/>
  <c r="X38" i="91"/>
  <c r="U39" i="91"/>
  <c r="V39" i="91"/>
  <c r="W39" i="91"/>
  <c r="X39" i="91"/>
  <c r="U40" i="91"/>
  <c r="V40" i="91"/>
  <c r="W40" i="91"/>
  <c r="X40" i="91"/>
  <c r="U41" i="91"/>
  <c r="V41" i="91"/>
  <c r="W41" i="91"/>
  <c r="X41" i="91"/>
  <c r="U42" i="91"/>
  <c r="V42" i="91"/>
  <c r="W42" i="91"/>
  <c r="X42" i="91"/>
  <c r="U43" i="91"/>
  <c r="V43" i="91"/>
  <c r="W43" i="91"/>
  <c r="X43" i="91"/>
  <c r="U44" i="91"/>
  <c r="V44" i="91"/>
  <c r="W44" i="91"/>
  <c r="X44" i="91"/>
  <c r="U45" i="91"/>
  <c r="V45" i="91"/>
  <c r="W45" i="91"/>
  <c r="X45" i="91"/>
  <c r="U46" i="91"/>
  <c r="V46" i="91"/>
  <c r="W46" i="91"/>
  <c r="X46" i="91"/>
  <c r="U47" i="91"/>
  <c r="V47" i="91"/>
  <c r="W47" i="91"/>
  <c r="X47" i="91"/>
  <c r="U48" i="91"/>
  <c r="V48" i="91"/>
  <c r="W48" i="91"/>
  <c r="X48" i="91"/>
  <c r="U49" i="91"/>
  <c r="V49" i="91"/>
  <c r="W49" i="91"/>
  <c r="X49" i="91"/>
  <c r="U50" i="91"/>
  <c r="V50" i="91"/>
  <c r="W50" i="91"/>
  <c r="X50" i="91"/>
  <c r="U51" i="91"/>
  <c r="V51" i="91"/>
  <c r="W51" i="91"/>
  <c r="X51" i="91"/>
  <c r="U52" i="91"/>
  <c r="V52" i="91"/>
  <c r="W52" i="91"/>
  <c r="X52" i="91"/>
  <c r="U53" i="91"/>
  <c r="V53" i="91"/>
  <c r="W53" i="91"/>
  <c r="X53" i="91"/>
  <c r="U54" i="91"/>
  <c r="V54" i="91"/>
  <c r="W54" i="91"/>
  <c r="X54" i="91"/>
  <c r="U55" i="91"/>
  <c r="V55" i="91"/>
  <c r="W55" i="91"/>
  <c r="X55" i="91"/>
  <c r="U56" i="91"/>
  <c r="V56" i="91"/>
  <c r="W56" i="91"/>
  <c r="X56" i="91"/>
  <c r="U57" i="91"/>
  <c r="V57" i="91"/>
  <c r="W57" i="91"/>
  <c r="X57" i="91"/>
  <c r="U58" i="91"/>
  <c r="V58" i="91"/>
  <c r="W58" i="91"/>
  <c r="X58" i="91"/>
  <c r="U59" i="91"/>
  <c r="V59" i="91"/>
  <c r="W59" i="91"/>
  <c r="X59" i="91"/>
  <c r="U60" i="91"/>
  <c r="V60" i="91"/>
  <c r="W60" i="91"/>
  <c r="X60" i="91"/>
  <c r="U61" i="91"/>
  <c r="V61" i="91"/>
  <c r="W61" i="91"/>
  <c r="X61" i="91"/>
  <c r="U62" i="91"/>
  <c r="V62" i="91"/>
  <c r="W62" i="91"/>
  <c r="X62" i="91"/>
  <c r="U63" i="91"/>
  <c r="V63" i="91"/>
  <c r="W63" i="91"/>
  <c r="X63" i="91"/>
  <c r="U64" i="91"/>
  <c r="V64" i="91"/>
  <c r="W64" i="91"/>
  <c r="X64" i="91"/>
  <c r="U65" i="91"/>
  <c r="V65" i="91"/>
  <c r="W65" i="91"/>
  <c r="X65" i="91"/>
  <c r="U66" i="91"/>
  <c r="V66" i="91"/>
  <c r="W66" i="91"/>
  <c r="X66" i="91"/>
  <c r="U67" i="91"/>
  <c r="V67" i="91"/>
  <c r="W67" i="91"/>
  <c r="X67" i="91"/>
  <c r="U68" i="91"/>
  <c r="V68" i="91"/>
  <c r="W68" i="91"/>
  <c r="X68" i="91"/>
  <c r="U69" i="91"/>
  <c r="V69" i="91"/>
  <c r="W69" i="91"/>
  <c r="X69" i="91"/>
  <c r="U70" i="91"/>
  <c r="V70" i="91"/>
  <c r="W70" i="91"/>
  <c r="X70" i="91"/>
  <c r="U71" i="91"/>
  <c r="V71" i="91"/>
  <c r="W71" i="91"/>
  <c r="X71" i="91"/>
  <c r="U72" i="91"/>
  <c r="V72" i="91"/>
  <c r="W72" i="91"/>
  <c r="X72" i="91"/>
  <c r="U73" i="91"/>
  <c r="V73" i="91"/>
  <c r="W73" i="91"/>
  <c r="X73" i="91"/>
  <c r="U74" i="91"/>
  <c r="V74" i="91"/>
  <c r="W74" i="91"/>
  <c r="X74" i="91"/>
  <c r="U75" i="91"/>
  <c r="V75" i="91"/>
  <c r="W75" i="91"/>
  <c r="X75" i="91"/>
  <c r="U76" i="91"/>
  <c r="V76" i="91"/>
  <c r="W76" i="91"/>
  <c r="X76" i="91"/>
  <c r="U77" i="91"/>
  <c r="V77" i="91"/>
  <c r="W77" i="91"/>
  <c r="X77" i="91"/>
  <c r="U29" i="92"/>
  <c r="V29" i="92"/>
  <c r="W29" i="92"/>
  <c r="X29" i="92"/>
  <c r="U30" i="92"/>
  <c r="V30" i="92"/>
  <c r="W30" i="92"/>
  <c r="X30" i="92"/>
  <c r="U31" i="92"/>
  <c r="V31" i="92"/>
  <c r="W31" i="92"/>
  <c r="X31" i="92"/>
  <c r="U32" i="92"/>
  <c r="V32" i="92"/>
  <c r="W32" i="92"/>
  <c r="X32" i="92"/>
  <c r="U33" i="92"/>
  <c r="V33" i="92"/>
  <c r="W33" i="92"/>
  <c r="X33" i="92"/>
  <c r="U34" i="92"/>
  <c r="V34" i="92"/>
  <c r="W34" i="92"/>
  <c r="X34" i="92"/>
  <c r="U35" i="92"/>
  <c r="V35" i="92"/>
  <c r="W35" i="92"/>
  <c r="X35" i="92"/>
  <c r="U36" i="92"/>
  <c r="V36" i="92"/>
  <c r="W36" i="92"/>
  <c r="X36" i="92"/>
  <c r="U37" i="92"/>
  <c r="V37" i="92"/>
  <c r="W37" i="92"/>
  <c r="X37" i="92"/>
  <c r="U38" i="92"/>
  <c r="V38" i="92"/>
  <c r="W38" i="92"/>
  <c r="X38" i="92"/>
  <c r="U39" i="92"/>
  <c r="V39" i="92"/>
  <c r="W39" i="92"/>
  <c r="X39" i="92"/>
  <c r="U40" i="92"/>
  <c r="V40" i="92"/>
  <c r="W40" i="92"/>
  <c r="X40" i="92"/>
  <c r="U41" i="92"/>
  <c r="V41" i="92"/>
  <c r="W41" i="92"/>
  <c r="X41" i="92"/>
  <c r="U42" i="92"/>
  <c r="V42" i="92"/>
  <c r="W42" i="92"/>
  <c r="X42" i="92"/>
  <c r="U43" i="92"/>
  <c r="V43" i="92"/>
  <c r="W43" i="92"/>
  <c r="X43" i="92"/>
  <c r="U44" i="92"/>
  <c r="V44" i="92"/>
  <c r="W44" i="92"/>
  <c r="X44" i="92"/>
  <c r="U45" i="92"/>
  <c r="V45" i="92"/>
  <c r="W45" i="92"/>
  <c r="X45" i="92"/>
  <c r="U46" i="92"/>
  <c r="V46" i="92"/>
  <c r="W46" i="92"/>
  <c r="X46" i="92"/>
  <c r="U47" i="92"/>
  <c r="V47" i="92"/>
  <c r="W47" i="92"/>
  <c r="X47" i="92"/>
  <c r="U48" i="92"/>
  <c r="V48" i="92"/>
  <c r="W48" i="92"/>
  <c r="X48" i="92"/>
  <c r="U49" i="92"/>
  <c r="V49" i="92"/>
  <c r="W49" i="92"/>
  <c r="X49" i="92"/>
  <c r="U50" i="92"/>
  <c r="V50" i="92"/>
  <c r="W50" i="92"/>
  <c r="X50" i="92"/>
  <c r="U51" i="92"/>
  <c r="V51" i="92"/>
  <c r="W51" i="92"/>
  <c r="X51" i="92"/>
  <c r="U52" i="92"/>
  <c r="V52" i="92"/>
  <c r="W52" i="92"/>
  <c r="X52" i="92"/>
  <c r="U53" i="92"/>
  <c r="V53" i="92"/>
  <c r="W53" i="92"/>
  <c r="X53" i="92"/>
  <c r="U54" i="92"/>
  <c r="V54" i="92"/>
  <c r="W54" i="92"/>
  <c r="X54" i="92"/>
  <c r="U55" i="92"/>
  <c r="V55" i="92"/>
  <c r="W55" i="92"/>
  <c r="X55" i="92"/>
  <c r="U56" i="92"/>
  <c r="V56" i="92"/>
  <c r="W56" i="92"/>
  <c r="X56" i="92"/>
  <c r="U57" i="92"/>
  <c r="V57" i="92"/>
  <c r="W57" i="92"/>
  <c r="X57" i="92"/>
  <c r="U58" i="92"/>
  <c r="V58" i="92"/>
  <c r="W58" i="92"/>
  <c r="X58" i="92"/>
  <c r="U59" i="92"/>
  <c r="V59" i="92"/>
  <c r="W59" i="92"/>
  <c r="X59" i="92"/>
  <c r="U60" i="92"/>
  <c r="V60" i="92"/>
  <c r="W60" i="92"/>
  <c r="X60" i="92"/>
  <c r="U61" i="92"/>
  <c r="V61" i="92"/>
  <c r="W61" i="92"/>
  <c r="X61" i="92"/>
  <c r="U62" i="92"/>
  <c r="V62" i="92"/>
  <c r="W62" i="92"/>
  <c r="X62" i="92"/>
  <c r="U63" i="92"/>
  <c r="V63" i="92"/>
  <c r="W63" i="92"/>
  <c r="X63" i="92"/>
  <c r="U64" i="92"/>
  <c r="V64" i="92"/>
  <c r="W64" i="92"/>
  <c r="X64" i="92"/>
  <c r="U65" i="92"/>
  <c r="V65" i="92"/>
  <c r="W65" i="92"/>
  <c r="X65" i="92"/>
  <c r="U66" i="92"/>
  <c r="V66" i="92"/>
  <c r="W66" i="92"/>
  <c r="X66" i="92"/>
  <c r="U67" i="92"/>
  <c r="V67" i="92"/>
  <c r="W67" i="92"/>
  <c r="X67" i="92"/>
  <c r="U68" i="92"/>
  <c r="V68" i="92"/>
  <c r="W68" i="92"/>
  <c r="X68" i="92"/>
  <c r="U69" i="92"/>
  <c r="V69" i="92"/>
  <c r="W69" i="92"/>
  <c r="X69" i="92"/>
  <c r="U70" i="92"/>
  <c r="V70" i="92"/>
  <c r="W70" i="92"/>
  <c r="X70" i="92"/>
  <c r="U71" i="92"/>
  <c r="V71" i="92"/>
  <c r="W71" i="92"/>
  <c r="X71" i="92"/>
  <c r="U72" i="92"/>
  <c r="V72" i="92"/>
  <c r="W72" i="92"/>
  <c r="X72" i="92"/>
  <c r="U73" i="92"/>
  <c r="V73" i="92"/>
  <c r="W73" i="92"/>
  <c r="X73" i="92"/>
  <c r="U74" i="92"/>
  <c r="V74" i="92"/>
  <c r="W74" i="92"/>
  <c r="X74" i="92"/>
  <c r="U75" i="92"/>
  <c r="V75" i="92"/>
  <c r="W75" i="92"/>
  <c r="X75" i="92"/>
  <c r="U76" i="92"/>
  <c r="V76" i="92"/>
  <c r="W76" i="92"/>
  <c r="X76" i="92"/>
  <c r="U77" i="92"/>
  <c r="V77" i="92"/>
  <c r="W77" i="92"/>
  <c r="X77" i="92"/>
  <c r="U29" i="93"/>
  <c r="V29" i="93"/>
  <c r="W29" i="93"/>
  <c r="X29" i="93"/>
  <c r="U30" i="93"/>
  <c r="V30" i="93"/>
  <c r="W30" i="93"/>
  <c r="X30" i="93"/>
  <c r="U31" i="93"/>
  <c r="V31" i="93"/>
  <c r="W31" i="93"/>
  <c r="X31" i="93"/>
  <c r="U32" i="93"/>
  <c r="V32" i="93"/>
  <c r="W32" i="93"/>
  <c r="X32" i="93"/>
  <c r="U33" i="93"/>
  <c r="V33" i="93"/>
  <c r="W33" i="93"/>
  <c r="X33" i="93"/>
  <c r="U34" i="93"/>
  <c r="V34" i="93"/>
  <c r="W34" i="93"/>
  <c r="X34" i="93"/>
  <c r="U35" i="93"/>
  <c r="V35" i="93"/>
  <c r="W35" i="93"/>
  <c r="X35" i="93"/>
  <c r="U36" i="93"/>
  <c r="V36" i="93"/>
  <c r="W36" i="93"/>
  <c r="X36" i="93"/>
  <c r="U37" i="93"/>
  <c r="V37" i="93"/>
  <c r="W37" i="93"/>
  <c r="X37" i="93"/>
  <c r="U38" i="93"/>
  <c r="V38" i="93"/>
  <c r="W38" i="93"/>
  <c r="X38" i="93"/>
  <c r="U39" i="93"/>
  <c r="V39" i="93"/>
  <c r="W39" i="93"/>
  <c r="X39" i="93"/>
  <c r="U40" i="93"/>
  <c r="V40" i="93"/>
  <c r="W40" i="93"/>
  <c r="X40" i="93"/>
  <c r="U41" i="93"/>
  <c r="V41" i="93"/>
  <c r="W41" i="93"/>
  <c r="X41" i="93"/>
  <c r="U42" i="93"/>
  <c r="V42" i="93"/>
  <c r="W42" i="93"/>
  <c r="X42" i="93"/>
  <c r="U43" i="93"/>
  <c r="V43" i="93"/>
  <c r="W43" i="93"/>
  <c r="X43" i="93"/>
  <c r="U44" i="93"/>
  <c r="V44" i="93"/>
  <c r="W44" i="93"/>
  <c r="X44" i="93"/>
  <c r="U45" i="93"/>
  <c r="V45" i="93"/>
  <c r="W45" i="93"/>
  <c r="X45" i="93"/>
  <c r="U46" i="93"/>
  <c r="V46" i="93"/>
  <c r="W46" i="93"/>
  <c r="X46" i="93"/>
  <c r="U47" i="93"/>
  <c r="V47" i="93"/>
  <c r="W47" i="93"/>
  <c r="X47" i="93"/>
  <c r="U48" i="93"/>
  <c r="V48" i="93"/>
  <c r="W48" i="93"/>
  <c r="X48" i="93"/>
  <c r="U49" i="93"/>
  <c r="V49" i="93"/>
  <c r="W49" i="93"/>
  <c r="X49" i="93"/>
  <c r="U50" i="93"/>
  <c r="V50" i="93"/>
  <c r="W50" i="93"/>
  <c r="X50" i="93"/>
  <c r="U51" i="93"/>
  <c r="V51" i="93"/>
  <c r="W51" i="93"/>
  <c r="X51" i="93"/>
  <c r="U52" i="93"/>
  <c r="V52" i="93"/>
  <c r="W52" i="93"/>
  <c r="X52" i="93"/>
  <c r="U53" i="93"/>
  <c r="V53" i="93"/>
  <c r="W53" i="93"/>
  <c r="X53" i="93"/>
  <c r="U54" i="93"/>
  <c r="V54" i="93"/>
  <c r="W54" i="93"/>
  <c r="X54" i="93"/>
  <c r="U55" i="93"/>
  <c r="V55" i="93"/>
  <c r="W55" i="93"/>
  <c r="X55" i="93"/>
  <c r="U56" i="93"/>
  <c r="V56" i="93"/>
  <c r="W56" i="93"/>
  <c r="X56" i="93"/>
  <c r="U57" i="93"/>
  <c r="V57" i="93"/>
  <c r="W57" i="93"/>
  <c r="X57" i="93"/>
  <c r="U58" i="93"/>
  <c r="V58" i="93"/>
  <c r="W58" i="93"/>
  <c r="X58" i="93"/>
  <c r="U59" i="93"/>
  <c r="V59" i="93"/>
  <c r="W59" i="93"/>
  <c r="X59" i="93"/>
  <c r="U60" i="93"/>
  <c r="V60" i="93"/>
  <c r="W60" i="93"/>
  <c r="X60" i="93"/>
  <c r="U61" i="93"/>
  <c r="V61" i="93"/>
  <c r="W61" i="93"/>
  <c r="X61" i="93"/>
  <c r="U62" i="93"/>
  <c r="V62" i="93"/>
  <c r="W62" i="93"/>
  <c r="X62" i="93"/>
  <c r="U63" i="93"/>
  <c r="V63" i="93"/>
  <c r="W63" i="93"/>
  <c r="X63" i="93"/>
  <c r="U64" i="93"/>
  <c r="V64" i="93"/>
  <c r="W64" i="93"/>
  <c r="X64" i="93"/>
  <c r="U65" i="93"/>
  <c r="V65" i="93"/>
  <c r="W65" i="93"/>
  <c r="X65" i="93"/>
  <c r="U66" i="93"/>
  <c r="V66" i="93"/>
  <c r="W66" i="93"/>
  <c r="X66" i="93"/>
  <c r="U67" i="93"/>
  <c r="V67" i="93"/>
  <c r="W67" i="93"/>
  <c r="X67" i="93"/>
  <c r="U68" i="93"/>
  <c r="V68" i="93"/>
  <c r="W68" i="93"/>
  <c r="X68" i="93"/>
  <c r="U69" i="93"/>
  <c r="V69" i="93"/>
  <c r="W69" i="93"/>
  <c r="X69" i="93"/>
  <c r="U70" i="93"/>
  <c r="V70" i="93"/>
  <c r="W70" i="93"/>
  <c r="X70" i="93"/>
  <c r="U71" i="93"/>
  <c r="V71" i="93"/>
  <c r="W71" i="93"/>
  <c r="X71" i="93"/>
  <c r="U72" i="93"/>
  <c r="V72" i="93"/>
  <c r="W72" i="93"/>
  <c r="X72" i="93"/>
  <c r="U73" i="93"/>
  <c r="V73" i="93"/>
  <c r="W73" i="93"/>
  <c r="X73" i="93"/>
  <c r="U74" i="93"/>
  <c r="V74" i="93"/>
  <c r="W74" i="93"/>
  <c r="X74" i="93"/>
  <c r="U75" i="93"/>
  <c r="V75" i="93"/>
  <c r="W75" i="93"/>
  <c r="X75" i="93"/>
  <c r="U76" i="93"/>
  <c r="V76" i="93"/>
  <c r="W76" i="93"/>
  <c r="X76" i="93"/>
  <c r="U77" i="93"/>
  <c r="V77" i="93"/>
  <c r="W77" i="93"/>
  <c r="X77" i="93"/>
  <c r="U29" i="94"/>
  <c r="V29" i="94"/>
  <c r="W29" i="94"/>
  <c r="X29" i="94"/>
  <c r="U30" i="94"/>
  <c r="V30" i="94"/>
  <c r="W30" i="94"/>
  <c r="X30" i="94"/>
  <c r="U31" i="94"/>
  <c r="V31" i="94"/>
  <c r="W31" i="94"/>
  <c r="X31" i="94"/>
  <c r="U32" i="94"/>
  <c r="V32" i="94"/>
  <c r="W32" i="94"/>
  <c r="X32" i="94"/>
  <c r="U33" i="94"/>
  <c r="V33" i="94"/>
  <c r="W33" i="94"/>
  <c r="X33" i="94"/>
  <c r="U34" i="94"/>
  <c r="V34" i="94"/>
  <c r="W34" i="94"/>
  <c r="X34" i="94"/>
  <c r="U35" i="94"/>
  <c r="V35" i="94"/>
  <c r="W35" i="94"/>
  <c r="X35" i="94"/>
  <c r="U36" i="94"/>
  <c r="V36" i="94"/>
  <c r="W36" i="94"/>
  <c r="X36" i="94"/>
  <c r="U37" i="94"/>
  <c r="V37" i="94"/>
  <c r="W37" i="94"/>
  <c r="X37" i="94"/>
  <c r="U38" i="94"/>
  <c r="V38" i="94"/>
  <c r="W38" i="94"/>
  <c r="X38" i="94"/>
  <c r="U39" i="94"/>
  <c r="V39" i="94"/>
  <c r="W39" i="94"/>
  <c r="X39" i="94"/>
  <c r="U40" i="94"/>
  <c r="V40" i="94"/>
  <c r="W40" i="94"/>
  <c r="X40" i="94"/>
  <c r="U41" i="94"/>
  <c r="V41" i="94"/>
  <c r="W41" i="94"/>
  <c r="X41" i="94"/>
  <c r="U42" i="94"/>
  <c r="V42" i="94"/>
  <c r="W42" i="94"/>
  <c r="X42" i="94"/>
  <c r="U43" i="94"/>
  <c r="V43" i="94"/>
  <c r="W43" i="94"/>
  <c r="X43" i="94"/>
  <c r="U44" i="94"/>
  <c r="V44" i="94"/>
  <c r="W44" i="94"/>
  <c r="X44" i="94"/>
  <c r="U45" i="94"/>
  <c r="V45" i="94"/>
  <c r="W45" i="94"/>
  <c r="X45" i="94"/>
  <c r="U46" i="94"/>
  <c r="V46" i="94"/>
  <c r="W46" i="94"/>
  <c r="X46" i="94"/>
  <c r="U47" i="94"/>
  <c r="V47" i="94"/>
  <c r="W47" i="94"/>
  <c r="X47" i="94"/>
  <c r="U48" i="94"/>
  <c r="V48" i="94"/>
  <c r="W48" i="94"/>
  <c r="X48" i="94"/>
  <c r="U49" i="94"/>
  <c r="V49" i="94"/>
  <c r="W49" i="94"/>
  <c r="X49" i="94"/>
  <c r="U50" i="94"/>
  <c r="V50" i="94"/>
  <c r="W50" i="94"/>
  <c r="X50" i="94"/>
  <c r="U51" i="94"/>
  <c r="V51" i="94"/>
  <c r="W51" i="94"/>
  <c r="X51" i="94"/>
  <c r="U52" i="94"/>
  <c r="V52" i="94"/>
  <c r="W52" i="94"/>
  <c r="X52" i="94"/>
  <c r="U53" i="94"/>
  <c r="V53" i="94"/>
  <c r="W53" i="94"/>
  <c r="X53" i="94"/>
  <c r="U54" i="94"/>
  <c r="V54" i="94"/>
  <c r="W54" i="94"/>
  <c r="X54" i="94"/>
  <c r="U55" i="94"/>
  <c r="V55" i="94"/>
  <c r="W55" i="94"/>
  <c r="X55" i="94"/>
  <c r="U56" i="94"/>
  <c r="V56" i="94"/>
  <c r="W56" i="94"/>
  <c r="X56" i="94"/>
  <c r="U57" i="94"/>
  <c r="V57" i="94"/>
  <c r="W57" i="94"/>
  <c r="X57" i="94"/>
  <c r="U58" i="94"/>
  <c r="V58" i="94"/>
  <c r="W58" i="94"/>
  <c r="X58" i="94"/>
  <c r="U59" i="94"/>
  <c r="V59" i="94"/>
  <c r="W59" i="94"/>
  <c r="X59" i="94"/>
  <c r="U60" i="94"/>
  <c r="V60" i="94"/>
  <c r="W60" i="94"/>
  <c r="X60" i="94"/>
  <c r="U61" i="94"/>
  <c r="V61" i="94"/>
  <c r="W61" i="94"/>
  <c r="X61" i="94"/>
  <c r="U62" i="94"/>
  <c r="V62" i="94"/>
  <c r="W62" i="94"/>
  <c r="X62" i="94"/>
  <c r="U63" i="94"/>
  <c r="V63" i="94"/>
  <c r="W63" i="94"/>
  <c r="X63" i="94"/>
  <c r="U64" i="94"/>
  <c r="V64" i="94"/>
  <c r="W64" i="94"/>
  <c r="X64" i="94"/>
  <c r="U65" i="94"/>
  <c r="V65" i="94"/>
  <c r="W65" i="94"/>
  <c r="X65" i="94"/>
  <c r="U66" i="94"/>
  <c r="V66" i="94"/>
  <c r="W66" i="94"/>
  <c r="X66" i="94"/>
  <c r="U67" i="94"/>
  <c r="V67" i="94"/>
  <c r="W67" i="94"/>
  <c r="X67" i="94"/>
  <c r="U68" i="94"/>
  <c r="V68" i="94"/>
  <c r="W68" i="94"/>
  <c r="X68" i="94"/>
  <c r="U69" i="94"/>
  <c r="V69" i="94"/>
  <c r="W69" i="94"/>
  <c r="X69" i="94"/>
  <c r="U70" i="94"/>
  <c r="V70" i="94"/>
  <c r="W70" i="94"/>
  <c r="X70" i="94"/>
  <c r="U71" i="94"/>
  <c r="V71" i="94"/>
  <c r="W71" i="94"/>
  <c r="X71" i="94"/>
  <c r="U72" i="94"/>
  <c r="V72" i="94"/>
  <c r="W72" i="94"/>
  <c r="X72" i="94"/>
  <c r="U73" i="94"/>
  <c r="V73" i="94"/>
  <c r="W73" i="94"/>
  <c r="X73" i="94"/>
  <c r="U74" i="94"/>
  <c r="V74" i="94"/>
  <c r="W74" i="94"/>
  <c r="X74" i="94"/>
  <c r="U75" i="94"/>
  <c r="V75" i="94"/>
  <c r="W75" i="94"/>
  <c r="X75" i="94"/>
  <c r="U76" i="94"/>
  <c r="V76" i="94"/>
  <c r="W76" i="94"/>
  <c r="X76" i="94"/>
  <c r="U77" i="94"/>
  <c r="V77" i="94"/>
  <c r="W77" i="94"/>
  <c r="X77" i="94"/>
  <c r="U29" i="95"/>
  <c r="V29" i="95"/>
  <c r="W29" i="95"/>
  <c r="X29" i="95"/>
  <c r="U30" i="95"/>
  <c r="V30" i="95"/>
  <c r="W30" i="95"/>
  <c r="X30" i="95"/>
  <c r="U31" i="95"/>
  <c r="V31" i="95"/>
  <c r="W31" i="95"/>
  <c r="X31" i="95"/>
  <c r="U32" i="95"/>
  <c r="V32" i="95"/>
  <c r="W32" i="95"/>
  <c r="X32" i="95"/>
  <c r="U33" i="95"/>
  <c r="V33" i="95"/>
  <c r="W33" i="95"/>
  <c r="X33" i="95"/>
  <c r="U34" i="95"/>
  <c r="V34" i="95"/>
  <c r="W34" i="95"/>
  <c r="X34" i="95"/>
  <c r="U35" i="95"/>
  <c r="V35" i="95"/>
  <c r="W35" i="95"/>
  <c r="X35" i="95"/>
  <c r="U36" i="95"/>
  <c r="V36" i="95"/>
  <c r="W36" i="95"/>
  <c r="X36" i="95"/>
  <c r="U37" i="95"/>
  <c r="V37" i="95"/>
  <c r="W37" i="95"/>
  <c r="X37" i="95"/>
  <c r="U38" i="95"/>
  <c r="V38" i="95"/>
  <c r="W38" i="95"/>
  <c r="X38" i="95"/>
  <c r="U39" i="95"/>
  <c r="V39" i="95"/>
  <c r="W39" i="95"/>
  <c r="X39" i="95"/>
  <c r="U40" i="95"/>
  <c r="V40" i="95"/>
  <c r="W40" i="95"/>
  <c r="X40" i="95"/>
  <c r="U41" i="95"/>
  <c r="V41" i="95"/>
  <c r="W41" i="95"/>
  <c r="X41" i="95"/>
  <c r="U42" i="95"/>
  <c r="V42" i="95"/>
  <c r="W42" i="95"/>
  <c r="X42" i="95"/>
  <c r="U43" i="95"/>
  <c r="V43" i="95"/>
  <c r="W43" i="95"/>
  <c r="X43" i="95"/>
  <c r="U44" i="95"/>
  <c r="V44" i="95"/>
  <c r="W44" i="95"/>
  <c r="X44" i="95"/>
  <c r="U45" i="95"/>
  <c r="V45" i="95"/>
  <c r="W45" i="95"/>
  <c r="X45" i="95"/>
  <c r="U46" i="95"/>
  <c r="V46" i="95"/>
  <c r="W46" i="95"/>
  <c r="X46" i="95"/>
  <c r="U47" i="95"/>
  <c r="V47" i="95"/>
  <c r="W47" i="95"/>
  <c r="X47" i="95"/>
  <c r="U48" i="95"/>
  <c r="V48" i="95"/>
  <c r="W48" i="95"/>
  <c r="X48" i="95"/>
  <c r="U49" i="95"/>
  <c r="V49" i="95"/>
  <c r="W49" i="95"/>
  <c r="X49" i="95"/>
  <c r="U50" i="95"/>
  <c r="V50" i="95"/>
  <c r="W50" i="95"/>
  <c r="X50" i="95"/>
  <c r="U51" i="95"/>
  <c r="V51" i="95"/>
  <c r="W51" i="95"/>
  <c r="X51" i="95"/>
  <c r="U52" i="95"/>
  <c r="V52" i="95"/>
  <c r="W52" i="95"/>
  <c r="X52" i="95"/>
  <c r="U53" i="95"/>
  <c r="V53" i="95"/>
  <c r="W53" i="95"/>
  <c r="X53" i="95"/>
  <c r="U54" i="95"/>
  <c r="V54" i="95"/>
  <c r="W54" i="95"/>
  <c r="X54" i="95"/>
  <c r="U55" i="95"/>
  <c r="V55" i="95"/>
  <c r="W55" i="95"/>
  <c r="X55" i="95"/>
  <c r="U56" i="95"/>
  <c r="V56" i="95"/>
  <c r="W56" i="95"/>
  <c r="X56" i="95"/>
  <c r="U57" i="95"/>
  <c r="V57" i="95"/>
  <c r="W57" i="95"/>
  <c r="X57" i="95"/>
  <c r="U58" i="95"/>
  <c r="V58" i="95"/>
  <c r="W58" i="95"/>
  <c r="X58" i="95"/>
  <c r="U59" i="95"/>
  <c r="V59" i="95"/>
  <c r="W59" i="95"/>
  <c r="X59" i="95"/>
  <c r="U60" i="95"/>
  <c r="V60" i="95"/>
  <c r="W60" i="95"/>
  <c r="X60" i="95"/>
  <c r="U61" i="95"/>
  <c r="V61" i="95"/>
  <c r="W61" i="95"/>
  <c r="X61" i="95"/>
  <c r="U62" i="95"/>
  <c r="V62" i="95"/>
  <c r="W62" i="95"/>
  <c r="X62" i="95"/>
  <c r="U63" i="95"/>
  <c r="V63" i="95"/>
  <c r="W63" i="95"/>
  <c r="X63" i="95"/>
  <c r="U64" i="95"/>
  <c r="V64" i="95"/>
  <c r="W64" i="95"/>
  <c r="X64" i="95"/>
  <c r="U65" i="95"/>
  <c r="V65" i="95"/>
  <c r="W65" i="95"/>
  <c r="X65" i="95"/>
  <c r="U66" i="95"/>
  <c r="V66" i="95"/>
  <c r="W66" i="95"/>
  <c r="X66" i="95"/>
  <c r="U67" i="95"/>
  <c r="V67" i="95"/>
  <c r="W67" i="95"/>
  <c r="X67" i="95"/>
  <c r="U68" i="95"/>
  <c r="V68" i="95"/>
  <c r="W68" i="95"/>
  <c r="X68" i="95"/>
  <c r="U69" i="95"/>
  <c r="V69" i="95"/>
  <c r="W69" i="95"/>
  <c r="X69" i="95"/>
  <c r="U70" i="95"/>
  <c r="V70" i="95"/>
  <c r="W70" i="95"/>
  <c r="X70" i="95"/>
  <c r="U71" i="95"/>
  <c r="V71" i="95"/>
  <c r="W71" i="95"/>
  <c r="X71" i="95"/>
  <c r="U72" i="95"/>
  <c r="V72" i="95"/>
  <c r="W72" i="95"/>
  <c r="X72" i="95"/>
  <c r="U73" i="95"/>
  <c r="V73" i="95"/>
  <c r="W73" i="95"/>
  <c r="X73" i="95"/>
  <c r="U74" i="95"/>
  <c r="V74" i="95"/>
  <c r="W74" i="95"/>
  <c r="X74" i="95"/>
  <c r="U75" i="95"/>
  <c r="V75" i="95"/>
  <c r="W75" i="95"/>
  <c r="X75" i="95"/>
  <c r="U76" i="95"/>
  <c r="V76" i="95"/>
  <c r="W76" i="95"/>
  <c r="X76" i="95"/>
  <c r="U77" i="95"/>
  <c r="V77" i="95"/>
  <c r="W77" i="95"/>
  <c r="X77" i="95"/>
  <c r="U29" i="96"/>
  <c r="V29" i="96"/>
  <c r="W29" i="96"/>
  <c r="X29" i="96"/>
  <c r="U30" i="96"/>
  <c r="V30" i="96"/>
  <c r="W30" i="96"/>
  <c r="X30" i="96"/>
  <c r="U31" i="96"/>
  <c r="V31" i="96"/>
  <c r="W31" i="96"/>
  <c r="X31" i="96"/>
  <c r="U32" i="96"/>
  <c r="V32" i="96"/>
  <c r="W32" i="96"/>
  <c r="X32" i="96"/>
  <c r="U33" i="96"/>
  <c r="V33" i="96"/>
  <c r="W33" i="96"/>
  <c r="X33" i="96"/>
  <c r="U34" i="96"/>
  <c r="V34" i="96"/>
  <c r="W34" i="96"/>
  <c r="X34" i="96"/>
  <c r="U35" i="96"/>
  <c r="V35" i="96"/>
  <c r="W35" i="96"/>
  <c r="X35" i="96"/>
  <c r="U36" i="96"/>
  <c r="V36" i="96"/>
  <c r="W36" i="96"/>
  <c r="X36" i="96"/>
  <c r="U37" i="96"/>
  <c r="V37" i="96"/>
  <c r="W37" i="96"/>
  <c r="X37" i="96"/>
  <c r="U38" i="96"/>
  <c r="V38" i="96"/>
  <c r="W38" i="96"/>
  <c r="X38" i="96"/>
  <c r="U39" i="96"/>
  <c r="V39" i="96"/>
  <c r="W39" i="96"/>
  <c r="X39" i="96"/>
  <c r="U40" i="96"/>
  <c r="V40" i="96"/>
  <c r="W40" i="96"/>
  <c r="X40" i="96"/>
  <c r="U41" i="96"/>
  <c r="V41" i="96"/>
  <c r="W41" i="96"/>
  <c r="X41" i="96"/>
  <c r="U42" i="96"/>
  <c r="V42" i="96"/>
  <c r="W42" i="96"/>
  <c r="X42" i="96"/>
  <c r="U43" i="96"/>
  <c r="V43" i="96"/>
  <c r="W43" i="96"/>
  <c r="X43" i="96"/>
  <c r="U44" i="96"/>
  <c r="V44" i="96"/>
  <c r="W44" i="96"/>
  <c r="X44" i="96"/>
  <c r="U45" i="96"/>
  <c r="V45" i="96"/>
  <c r="W45" i="96"/>
  <c r="X45" i="96"/>
  <c r="U46" i="96"/>
  <c r="V46" i="96"/>
  <c r="W46" i="96"/>
  <c r="X46" i="96"/>
  <c r="U47" i="96"/>
  <c r="V47" i="96"/>
  <c r="W47" i="96"/>
  <c r="X47" i="96"/>
  <c r="U48" i="96"/>
  <c r="V48" i="96"/>
  <c r="W48" i="96"/>
  <c r="X48" i="96"/>
  <c r="U49" i="96"/>
  <c r="V49" i="96"/>
  <c r="W49" i="96"/>
  <c r="X49" i="96"/>
  <c r="U50" i="96"/>
  <c r="V50" i="96"/>
  <c r="W50" i="96"/>
  <c r="X50" i="96"/>
  <c r="U51" i="96"/>
  <c r="V51" i="96"/>
  <c r="W51" i="96"/>
  <c r="X51" i="96"/>
  <c r="U52" i="96"/>
  <c r="V52" i="96"/>
  <c r="W52" i="96"/>
  <c r="X52" i="96"/>
  <c r="U53" i="96"/>
  <c r="V53" i="96"/>
  <c r="W53" i="96"/>
  <c r="X53" i="96"/>
  <c r="U54" i="96"/>
  <c r="V54" i="96"/>
  <c r="W54" i="96"/>
  <c r="X54" i="96"/>
  <c r="U55" i="96"/>
  <c r="V55" i="96"/>
  <c r="W55" i="96"/>
  <c r="X55" i="96"/>
  <c r="U56" i="96"/>
  <c r="V56" i="96"/>
  <c r="W56" i="96"/>
  <c r="X56" i="96"/>
  <c r="U57" i="96"/>
  <c r="V57" i="96"/>
  <c r="W57" i="96"/>
  <c r="X57" i="96"/>
  <c r="U58" i="96"/>
  <c r="V58" i="96"/>
  <c r="W58" i="96"/>
  <c r="X58" i="96"/>
  <c r="U59" i="96"/>
  <c r="V59" i="96"/>
  <c r="W59" i="96"/>
  <c r="X59" i="96"/>
  <c r="U60" i="96"/>
  <c r="V60" i="96"/>
  <c r="W60" i="96"/>
  <c r="X60" i="96"/>
  <c r="U61" i="96"/>
  <c r="V61" i="96"/>
  <c r="W61" i="96"/>
  <c r="X61" i="96"/>
  <c r="U62" i="96"/>
  <c r="V62" i="96"/>
  <c r="W62" i="96"/>
  <c r="X62" i="96"/>
  <c r="U63" i="96"/>
  <c r="V63" i="96"/>
  <c r="W63" i="96"/>
  <c r="X63" i="96"/>
  <c r="U64" i="96"/>
  <c r="V64" i="96"/>
  <c r="W64" i="96"/>
  <c r="X64" i="96"/>
  <c r="U65" i="96"/>
  <c r="V65" i="96"/>
  <c r="W65" i="96"/>
  <c r="X65" i="96"/>
  <c r="U66" i="96"/>
  <c r="V66" i="96"/>
  <c r="W66" i="96"/>
  <c r="X66" i="96"/>
  <c r="U67" i="96"/>
  <c r="V67" i="96"/>
  <c r="W67" i="96"/>
  <c r="X67" i="96"/>
  <c r="U68" i="96"/>
  <c r="V68" i="96"/>
  <c r="W68" i="96"/>
  <c r="X68" i="96"/>
  <c r="U69" i="96"/>
  <c r="V69" i="96"/>
  <c r="W69" i="96"/>
  <c r="X69" i="96"/>
  <c r="U70" i="96"/>
  <c r="V70" i="96"/>
  <c r="W70" i="96"/>
  <c r="X70" i="96"/>
  <c r="U71" i="96"/>
  <c r="V71" i="96"/>
  <c r="W71" i="96"/>
  <c r="X71" i="96"/>
  <c r="U72" i="96"/>
  <c r="V72" i="96"/>
  <c r="W72" i="96"/>
  <c r="X72" i="96"/>
  <c r="U73" i="96"/>
  <c r="V73" i="96"/>
  <c r="W73" i="96"/>
  <c r="X73" i="96"/>
  <c r="U74" i="96"/>
  <c r="V74" i="96"/>
  <c r="W74" i="96"/>
  <c r="X74" i="96"/>
  <c r="U75" i="96"/>
  <c r="V75" i="96"/>
  <c r="W75" i="96"/>
  <c r="X75" i="96"/>
  <c r="U76" i="96"/>
  <c r="V76" i="96"/>
  <c r="W76" i="96"/>
  <c r="X76" i="96"/>
  <c r="U77" i="96"/>
  <c r="V77" i="96"/>
  <c r="W77" i="96"/>
  <c r="X77" i="96"/>
  <c r="U29" i="97"/>
  <c r="V29" i="97"/>
  <c r="W29" i="97"/>
  <c r="X29" i="97"/>
  <c r="U30" i="97"/>
  <c r="V30" i="97"/>
  <c r="W30" i="97"/>
  <c r="X30" i="97"/>
  <c r="U31" i="97"/>
  <c r="V31" i="97"/>
  <c r="W31" i="97"/>
  <c r="X31" i="97"/>
  <c r="U32" i="97"/>
  <c r="V32" i="97"/>
  <c r="W32" i="97"/>
  <c r="X32" i="97"/>
  <c r="U33" i="97"/>
  <c r="V33" i="97"/>
  <c r="W33" i="97"/>
  <c r="X33" i="97"/>
  <c r="U34" i="97"/>
  <c r="V34" i="97"/>
  <c r="W34" i="97"/>
  <c r="X34" i="97"/>
  <c r="U35" i="97"/>
  <c r="V35" i="97"/>
  <c r="W35" i="97"/>
  <c r="X35" i="97"/>
  <c r="U36" i="97"/>
  <c r="V36" i="97"/>
  <c r="W36" i="97"/>
  <c r="X36" i="97"/>
  <c r="U37" i="97"/>
  <c r="V37" i="97"/>
  <c r="W37" i="97"/>
  <c r="X37" i="97"/>
  <c r="U38" i="97"/>
  <c r="V38" i="97"/>
  <c r="W38" i="97"/>
  <c r="X38" i="97"/>
  <c r="U39" i="97"/>
  <c r="V39" i="97"/>
  <c r="W39" i="97"/>
  <c r="X39" i="97"/>
  <c r="U40" i="97"/>
  <c r="V40" i="97"/>
  <c r="W40" i="97"/>
  <c r="X40" i="97"/>
  <c r="U41" i="97"/>
  <c r="V41" i="97"/>
  <c r="W41" i="97"/>
  <c r="X41" i="97"/>
  <c r="U42" i="97"/>
  <c r="V42" i="97"/>
  <c r="W42" i="97"/>
  <c r="X42" i="97"/>
  <c r="U43" i="97"/>
  <c r="V43" i="97"/>
  <c r="W43" i="97"/>
  <c r="X43" i="97"/>
  <c r="U44" i="97"/>
  <c r="V44" i="97"/>
  <c r="W44" i="97"/>
  <c r="X44" i="97"/>
  <c r="U45" i="97"/>
  <c r="V45" i="97"/>
  <c r="W45" i="97"/>
  <c r="X45" i="97"/>
  <c r="U46" i="97"/>
  <c r="V46" i="97"/>
  <c r="W46" i="97"/>
  <c r="X46" i="97"/>
  <c r="U47" i="97"/>
  <c r="V47" i="97"/>
  <c r="W47" i="97"/>
  <c r="X47" i="97"/>
  <c r="U48" i="97"/>
  <c r="V48" i="97"/>
  <c r="W48" i="97"/>
  <c r="X48" i="97"/>
  <c r="U49" i="97"/>
  <c r="V49" i="97"/>
  <c r="W49" i="97"/>
  <c r="X49" i="97"/>
  <c r="U50" i="97"/>
  <c r="V50" i="97"/>
  <c r="W50" i="97"/>
  <c r="X50" i="97"/>
  <c r="U51" i="97"/>
  <c r="V51" i="97"/>
  <c r="W51" i="97"/>
  <c r="X51" i="97"/>
  <c r="U52" i="97"/>
  <c r="V52" i="97"/>
  <c r="W52" i="97"/>
  <c r="X52" i="97"/>
  <c r="U53" i="97"/>
  <c r="V53" i="97"/>
  <c r="W53" i="97"/>
  <c r="X53" i="97"/>
  <c r="U54" i="97"/>
  <c r="V54" i="97"/>
  <c r="W54" i="97"/>
  <c r="X54" i="97"/>
  <c r="U55" i="97"/>
  <c r="V55" i="97"/>
  <c r="W55" i="97"/>
  <c r="X55" i="97"/>
  <c r="U56" i="97"/>
  <c r="V56" i="97"/>
  <c r="W56" i="97"/>
  <c r="X56" i="97"/>
  <c r="U57" i="97"/>
  <c r="V57" i="97"/>
  <c r="W57" i="97"/>
  <c r="X57" i="97"/>
  <c r="U58" i="97"/>
  <c r="V58" i="97"/>
  <c r="W58" i="97"/>
  <c r="X58" i="97"/>
  <c r="U59" i="97"/>
  <c r="V59" i="97"/>
  <c r="W59" i="97"/>
  <c r="X59" i="97"/>
  <c r="U60" i="97"/>
  <c r="V60" i="97"/>
  <c r="W60" i="97"/>
  <c r="X60" i="97"/>
  <c r="U61" i="97"/>
  <c r="V61" i="97"/>
  <c r="W61" i="97"/>
  <c r="X61" i="97"/>
  <c r="U62" i="97"/>
  <c r="V62" i="97"/>
  <c r="W62" i="97"/>
  <c r="X62" i="97"/>
  <c r="U63" i="97"/>
  <c r="V63" i="97"/>
  <c r="W63" i="97"/>
  <c r="X63" i="97"/>
  <c r="U64" i="97"/>
  <c r="V64" i="97"/>
  <c r="W64" i="97"/>
  <c r="X64" i="97"/>
  <c r="U65" i="97"/>
  <c r="V65" i="97"/>
  <c r="W65" i="97"/>
  <c r="X65" i="97"/>
  <c r="U66" i="97"/>
  <c r="V66" i="97"/>
  <c r="W66" i="97"/>
  <c r="X66" i="97"/>
  <c r="U67" i="97"/>
  <c r="V67" i="97"/>
  <c r="W67" i="97"/>
  <c r="X67" i="97"/>
  <c r="U68" i="97"/>
  <c r="V68" i="97"/>
  <c r="W68" i="97"/>
  <c r="X68" i="97"/>
  <c r="U69" i="97"/>
  <c r="V69" i="97"/>
  <c r="W69" i="97"/>
  <c r="X69" i="97"/>
  <c r="U70" i="97"/>
  <c r="V70" i="97"/>
  <c r="W70" i="97"/>
  <c r="X70" i="97"/>
  <c r="U71" i="97"/>
  <c r="V71" i="97"/>
  <c r="W71" i="97"/>
  <c r="X71" i="97"/>
  <c r="U72" i="97"/>
  <c r="V72" i="97"/>
  <c r="W72" i="97"/>
  <c r="X72" i="97"/>
  <c r="U73" i="97"/>
  <c r="V73" i="97"/>
  <c r="W73" i="97"/>
  <c r="X73" i="97"/>
  <c r="U74" i="97"/>
  <c r="V74" i="97"/>
  <c r="W74" i="97"/>
  <c r="X74" i="97"/>
  <c r="U75" i="97"/>
  <c r="V75" i="97"/>
  <c r="W75" i="97"/>
  <c r="X75" i="97"/>
  <c r="U76" i="97"/>
  <c r="V76" i="97"/>
  <c r="W76" i="97"/>
  <c r="X76" i="97"/>
  <c r="U77" i="97"/>
  <c r="V77" i="97"/>
  <c r="W77" i="97"/>
  <c r="X77" i="97"/>
  <c r="U29" i="98"/>
  <c r="V29" i="98"/>
  <c r="W29" i="98"/>
  <c r="X29" i="98"/>
  <c r="U30" i="98"/>
  <c r="V30" i="98"/>
  <c r="W30" i="98"/>
  <c r="X30" i="98"/>
  <c r="U31" i="98"/>
  <c r="V31" i="98"/>
  <c r="W31" i="98"/>
  <c r="X31" i="98"/>
  <c r="U32" i="98"/>
  <c r="V32" i="98"/>
  <c r="W32" i="98"/>
  <c r="X32" i="98"/>
  <c r="U33" i="98"/>
  <c r="V33" i="98"/>
  <c r="W33" i="98"/>
  <c r="X33" i="98"/>
  <c r="U34" i="98"/>
  <c r="V34" i="98"/>
  <c r="W34" i="98"/>
  <c r="X34" i="98"/>
  <c r="U35" i="98"/>
  <c r="V35" i="98"/>
  <c r="W35" i="98"/>
  <c r="X35" i="98"/>
  <c r="U36" i="98"/>
  <c r="V36" i="98"/>
  <c r="W36" i="98"/>
  <c r="X36" i="98"/>
  <c r="U37" i="98"/>
  <c r="V37" i="98"/>
  <c r="W37" i="98"/>
  <c r="X37" i="98"/>
  <c r="U38" i="98"/>
  <c r="V38" i="98"/>
  <c r="W38" i="98"/>
  <c r="X38" i="98"/>
  <c r="U39" i="98"/>
  <c r="V39" i="98"/>
  <c r="W39" i="98"/>
  <c r="X39" i="98"/>
  <c r="U40" i="98"/>
  <c r="V40" i="98"/>
  <c r="W40" i="98"/>
  <c r="X40" i="98"/>
  <c r="U41" i="98"/>
  <c r="V41" i="98"/>
  <c r="W41" i="98"/>
  <c r="X41" i="98"/>
  <c r="U42" i="98"/>
  <c r="V42" i="98"/>
  <c r="W42" i="98"/>
  <c r="X42" i="98"/>
  <c r="U43" i="98"/>
  <c r="V43" i="98"/>
  <c r="W43" i="98"/>
  <c r="X43" i="98"/>
  <c r="U44" i="98"/>
  <c r="V44" i="98"/>
  <c r="W44" i="98"/>
  <c r="X44" i="98"/>
  <c r="U45" i="98"/>
  <c r="V45" i="98"/>
  <c r="W45" i="98"/>
  <c r="X45" i="98"/>
  <c r="U46" i="98"/>
  <c r="V46" i="98"/>
  <c r="W46" i="98"/>
  <c r="X46" i="98"/>
  <c r="U47" i="98"/>
  <c r="V47" i="98"/>
  <c r="W47" i="98"/>
  <c r="X47" i="98"/>
  <c r="U48" i="98"/>
  <c r="V48" i="98"/>
  <c r="W48" i="98"/>
  <c r="X48" i="98"/>
  <c r="U49" i="98"/>
  <c r="V49" i="98"/>
  <c r="W49" i="98"/>
  <c r="X49" i="98"/>
  <c r="U50" i="98"/>
  <c r="V50" i="98"/>
  <c r="W50" i="98"/>
  <c r="X50" i="98"/>
  <c r="U51" i="98"/>
  <c r="V51" i="98"/>
  <c r="W51" i="98"/>
  <c r="X51" i="98"/>
  <c r="U52" i="98"/>
  <c r="V52" i="98"/>
  <c r="W52" i="98"/>
  <c r="X52" i="98"/>
  <c r="U53" i="98"/>
  <c r="V53" i="98"/>
  <c r="W53" i="98"/>
  <c r="X53" i="98"/>
  <c r="U54" i="98"/>
  <c r="V54" i="98"/>
  <c r="W54" i="98"/>
  <c r="X54" i="98"/>
  <c r="U55" i="98"/>
  <c r="V55" i="98"/>
  <c r="W55" i="98"/>
  <c r="X55" i="98"/>
  <c r="U56" i="98"/>
  <c r="V56" i="98"/>
  <c r="W56" i="98"/>
  <c r="X56" i="98"/>
  <c r="U57" i="98"/>
  <c r="V57" i="98"/>
  <c r="W57" i="98"/>
  <c r="X57" i="98"/>
  <c r="U58" i="98"/>
  <c r="V58" i="98"/>
  <c r="W58" i="98"/>
  <c r="X58" i="98"/>
  <c r="U59" i="98"/>
  <c r="V59" i="98"/>
  <c r="W59" i="98"/>
  <c r="X59" i="98"/>
  <c r="U60" i="98"/>
  <c r="V60" i="98"/>
  <c r="W60" i="98"/>
  <c r="X60" i="98"/>
  <c r="U61" i="98"/>
  <c r="V61" i="98"/>
  <c r="W61" i="98"/>
  <c r="X61" i="98"/>
  <c r="U62" i="98"/>
  <c r="V62" i="98"/>
  <c r="W62" i="98"/>
  <c r="X62" i="98"/>
  <c r="U63" i="98"/>
  <c r="V63" i="98"/>
  <c r="W63" i="98"/>
  <c r="X63" i="98"/>
  <c r="U64" i="98"/>
  <c r="V64" i="98"/>
  <c r="W64" i="98"/>
  <c r="X64" i="98"/>
  <c r="U65" i="98"/>
  <c r="V65" i="98"/>
  <c r="W65" i="98"/>
  <c r="X65" i="98"/>
  <c r="U66" i="98"/>
  <c r="V66" i="98"/>
  <c r="W66" i="98"/>
  <c r="X66" i="98"/>
  <c r="U67" i="98"/>
  <c r="V67" i="98"/>
  <c r="W67" i="98"/>
  <c r="X67" i="98"/>
  <c r="U68" i="98"/>
  <c r="V68" i="98"/>
  <c r="W68" i="98"/>
  <c r="X68" i="98"/>
  <c r="U69" i="98"/>
  <c r="V69" i="98"/>
  <c r="W69" i="98"/>
  <c r="X69" i="98"/>
  <c r="U70" i="98"/>
  <c r="V70" i="98"/>
  <c r="W70" i="98"/>
  <c r="X70" i="98"/>
  <c r="U71" i="98"/>
  <c r="V71" i="98"/>
  <c r="W71" i="98"/>
  <c r="X71" i="98"/>
  <c r="U72" i="98"/>
  <c r="V72" i="98"/>
  <c r="W72" i="98"/>
  <c r="X72" i="98"/>
  <c r="U73" i="98"/>
  <c r="V73" i="98"/>
  <c r="W73" i="98"/>
  <c r="X73" i="98"/>
  <c r="U74" i="98"/>
  <c r="V74" i="98"/>
  <c r="W74" i="98"/>
  <c r="X74" i="98"/>
  <c r="U75" i="98"/>
  <c r="V75" i="98"/>
  <c r="W75" i="98"/>
  <c r="X75" i="98"/>
  <c r="U76" i="98"/>
  <c r="V76" i="98"/>
  <c r="W76" i="98"/>
  <c r="X76" i="98"/>
  <c r="U77" i="98"/>
  <c r="V77" i="98"/>
  <c r="W77" i="98"/>
  <c r="X77" i="98"/>
  <c r="U29" i="99"/>
  <c r="V29" i="99"/>
  <c r="W29" i="99"/>
  <c r="X29" i="99"/>
  <c r="U30" i="99"/>
  <c r="V30" i="99"/>
  <c r="W30" i="99"/>
  <c r="X30" i="99"/>
  <c r="U31" i="99"/>
  <c r="V31" i="99"/>
  <c r="W31" i="99"/>
  <c r="X31" i="99"/>
  <c r="U32" i="99"/>
  <c r="V32" i="99"/>
  <c r="W32" i="99"/>
  <c r="X32" i="99"/>
  <c r="U33" i="99"/>
  <c r="V33" i="99"/>
  <c r="W33" i="99"/>
  <c r="X33" i="99"/>
  <c r="U34" i="99"/>
  <c r="V34" i="99"/>
  <c r="W34" i="99"/>
  <c r="X34" i="99"/>
  <c r="U35" i="99"/>
  <c r="V35" i="99"/>
  <c r="W35" i="99"/>
  <c r="X35" i="99"/>
  <c r="U36" i="99"/>
  <c r="V36" i="99"/>
  <c r="W36" i="99"/>
  <c r="X36" i="99"/>
  <c r="U37" i="99"/>
  <c r="V37" i="99"/>
  <c r="W37" i="99"/>
  <c r="X37" i="99"/>
  <c r="U38" i="99"/>
  <c r="V38" i="99"/>
  <c r="W38" i="99"/>
  <c r="X38" i="99"/>
  <c r="U39" i="99"/>
  <c r="V39" i="99"/>
  <c r="W39" i="99"/>
  <c r="X39" i="99"/>
  <c r="U40" i="99"/>
  <c r="V40" i="99"/>
  <c r="W40" i="99"/>
  <c r="X40" i="99"/>
  <c r="U41" i="99"/>
  <c r="V41" i="99"/>
  <c r="W41" i="99"/>
  <c r="X41" i="99"/>
  <c r="U42" i="99"/>
  <c r="V42" i="99"/>
  <c r="W42" i="99"/>
  <c r="X42" i="99"/>
  <c r="U43" i="99"/>
  <c r="V43" i="99"/>
  <c r="W43" i="99"/>
  <c r="X43" i="99"/>
  <c r="U44" i="99"/>
  <c r="V44" i="99"/>
  <c r="W44" i="99"/>
  <c r="X44" i="99"/>
  <c r="U45" i="99"/>
  <c r="V45" i="99"/>
  <c r="W45" i="99"/>
  <c r="X45" i="99"/>
  <c r="U46" i="99"/>
  <c r="V46" i="99"/>
  <c r="W46" i="99"/>
  <c r="X46" i="99"/>
  <c r="U47" i="99"/>
  <c r="V47" i="99"/>
  <c r="W47" i="99"/>
  <c r="X47" i="99"/>
  <c r="U48" i="99"/>
  <c r="V48" i="99"/>
  <c r="W48" i="99"/>
  <c r="X48" i="99"/>
  <c r="U49" i="99"/>
  <c r="V49" i="99"/>
  <c r="W49" i="99"/>
  <c r="X49" i="99"/>
  <c r="U50" i="99"/>
  <c r="V50" i="99"/>
  <c r="W50" i="99"/>
  <c r="X50" i="99"/>
  <c r="U51" i="99"/>
  <c r="V51" i="99"/>
  <c r="W51" i="99"/>
  <c r="X51" i="99"/>
  <c r="U52" i="99"/>
  <c r="V52" i="99"/>
  <c r="W52" i="99"/>
  <c r="X52" i="99"/>
  <c r="U53" i="99"/>
  <c r="V53" i="99"/>
  <c r="W53" i="99"/>
  <c r="X53" i="99"/>
  <c r="U54" i="99"/>
  <c r="V54" i="99"/>
  <c r="W54" i="99"/>
  <c r="X54" i="99"/>
  <c r="U55" i="99"/>
  <c r="V55" i="99"/>
  <c r="W55" i="99"/>
  <c r="X55" i="99"/>
  <c r="U56" i="99"/>
  <c r="V56" i="99"/>
  <c r="W56" i="99"/>
  <c r="X56" i="99"/>
  <c r="U57" i="99"/>
  <c r="V57" i="99"/>
  <c r="W57" i="99"/>
  <c r="X57" i="99"/>
  <c r="U58" i="99"/>
  <c r="V58" i="99"/>
  <c r="W58" i="99"/>
  <c r="X58" i="99"/>
  <c r="U59" i="99"/>
  <c r="V59" i="99"/>
  <c r="W59" i="99"/>
  <c r="X59" i="99"/>
  <c r="U60" i="99"/>
  <c r="V60" i="99"/>
  <c r="W60" i="99"/>
  <c r="X60" i="99"/>
  <c r="U61" i="99"/>
  <c r="V61" i="99"/>
  <c r="W61" i="99"/>
  <c r="X61" i="99"/>
  <c r="U62" i="99"/>
  <c r="V62" i="99"/>
  <c r="W62" i="99"/>
  <c r="X62" i="99"/>
  <c r="U63" i="99"/>
  <c r="V63" i="99"/>
  <c r="W63" i="99"/>
  <c r="X63" i="99"/>
  <c r="U64" i="99"/>
  <c r="V64" i="99"/>
  <c r="W64" i="99"/>
  <c r="X64" i="99"/>
  <c r="U65" i="99"/>
  <c r="V65" i="99"/>
  <c r="W65" i="99"/>
  <c r="X65" i="99"/>
  <c r="U66" i="99"/>
  <c r="V66" i="99"/>
  <c r="W66" i="99"/>
  <c r="X66" i="99"/>
  <c r="U67" i="99"/>
  <c r="V67" i="99"/>
  <c r="W67" i="99"/>
  <c r="X67" i="99"/>
  <c r="U68" i="99"/>
  <c r="V68" i="99"/>
  <c r="W68" i="99"/>
  <c r="X68" i="99"/>
  <c r="U69" i="99"/>
  <c r="V69" i="99"/>
  <c r="W69" i="99"/>
  <c r="X69" i="99"/>
  <c r="U70" i="99"/>
  <c r="V70" i="99"/>
  <c r="W70" i="99"/>
  <c r="X70" i="99"/>
  <c r="U71" i="99"/>
  <c r="V71" i="99"/>
  <c r="W71" i="99"/>
  <c r="X71" i="99"/>
  <c r="U72" i="99"/>
  <c r="V72" i="99"/>
  <c r="W72" i="99"/>
  <c r="X72" i="99"/>
  <c r="U73" i="99"/>
  <c r="V73" i="99"/>
  <c r="W73" i="99"/>
  <c r="X73" i="99"/>
  <c r="U74" i="99"/>
  <c r="V74" i="99"/>
  <c r="W74" i="99"/>
  <c r="X74" i="99"/>
  <c r="U75" i="99"/>
  <c r="V75" i="99"/>
  <c r="W75" i="99"/>
  <c r="X75" i="99"/>
  <c r="U76" i="99"/>
  <c r="V76" i="99"/>
  <c r="W76" i="99"/>
  <c r="X76" i="99"/>
  <c r="U77" i="99"/>
  <c r="V77" i="99"/>
  <c r="W77" i="99"/>
  <c r="X77" i="99"/>
  <c r="U29" i="100"/>
  <c r="V29" i="100"/>
  <c r="W29" i="100"/>
  <c r="X29" i="100"/>
  <c r="U30" i="100"/>
  <c r="V30" i="100"/>
  <c r="W30" i="100"/>
  <c r="X30" i="100"/>
  <c r="U31" i="100"/>
  <c r="V31" i="100"/>
  <c r="W31" i="100"/>
  <c r="X31" i="100"/>
  <c r="U32" i="100"/>
  <c r="V32" i="100"/>
  <c r="W32" i="100"/>
  <c r="X32" i="100"/>
  <c r="U33" i="100"/>
  <c r="V33" i="100"/>
  <c r="W33" i="100"/>
  <c r="X33" i="100"/>
  <c r="U34" i="100"/>
  <c r="V34" i="100"/>
  <c r="W34" i="100"/>
  <c r="X34" i="100"/>
  <c r="U35" i="100"/>
  <c r="V35" i="100"/>
  <c r="W35" i="100"/>
  <c r="X35" i="100"/>
  <c r="U36" i="100"/>
  <c r="V36" i="100"/>
  <c r="W36" i="100"/>
  <c r="X36" i="100"/>
  <c r="U37" i="100"/>
  <c r="V37" i="100"/>
  <c r="W37" i="100"/>
  <c r="X37" i="100"/>
  <c r="U38" i="100"/>
  <c r="V38" i="100"/>
  <c r="W38" i="100"/>
  <c r="X38" i="100"/>
  <c r="U39" i="100"/>
  <c r="V39" i="100"/>
  <c r="W39" i="100"/>
  <c r="X39" i="100"/>
  <c r="U40" i="100"/>
  <c r="V40" i="100"/>
  <c r="W40" i="100"/>
  <c r="X40" i="100"/>
  <c r="U41" i="100"/>
  <c r="V41" i="100"/>
  <c r="W41" i="100"/>
  <c r="X41" i="100"/>
  <c r="U42" i="100"/>
  <c r="V42" i="100"/>
  <c r="W42" i="100"/>
  <c r="X42" i="100"/>
  <c r="U43" i="100"/>
  <c r="V43" i="100"/>
  <c r="W43" i="100"/>
  <c r="X43" i="100"/>
  <c r="U44" i="100"/>
  <c r="V44" i="100"/>
  <c r="W44" i="100"/>
  <c r="X44" i="100"/>
  <c r="U45" i="100"/>
  <c r="V45" i="100"/>
  <c r="W45" i="100"/>
  <c r="X45" i="100"/>
  <c r="U46" i="100"/>
  <c r="V46" i="100"/>
  <c r="W46" i="100"/>
  <c r="X46" i="100"/>
  <c r="U47" i="100"/>
  <c r="V47" i="100"/>
  <c r="W47" i="100"/>
  <c r="X47" i="100"/>
  <c r="U48" i="100"/>
  <c r="V48" i="100"/>
  <c r="W48" i="100"/>
  <c r="X48" i="100"/>
  <c r="U49" i="100"/>
  <c r="V49" i="100"/>
  <c r="W49" i="100"/>
  <c r="X49" i="100"/>
  <c r="U50" i="100"/>
  <c r="V50" i="100"/>
  <c r="W50" i="100"/>
  <c r="X50" i="100"/>
  <c r="U51" i="100"/>
  <c r="V51" i="100"/>
  <c r="W51" i="100"/>
  <c r="X51" i="100"/>
  <c r="U52" i="100"/>
  <c r="V52" i="100"/>
  <c r="W52" i="100"/>
  <c r="X52" i="100"/>
  <c r="U53" i="100"/>
  <c r="V53" i="100"/>
  <c r="W53" i="100"/>
  <c r="X53" i="100"/>
  <c r="U54" i="100"/>
  <c r="V54" i="100"/>
  <c r="W54" i="100"/>
  <c r="X54" i="100"/>
  <c r="U55" i="100"/>
  <c r="V55" i="100"/>
  <c r="W55" i="100"/>
  <c r="X55" i="100"/>
  <c r="U56" i="100"/>
  <c r="V56" i="100"/>
  <c r="W56" i="100"/>
  <c r="X56" i="100"/>
  <c r="U57" i="100"/>
  <c r="V57" i="100"/>
  <c r="W57" i="100"/>
  <c r="X57" i="100"/>
  <c r="U58" i="100"/>
  <c r="V58" i="100"/>
  <c r="W58" i="100"/>
  <c r="X58" i="100"/>
  <c r="U59" i="100"/>
  <c r="V59" i="100"/>
  <c r="W59" i="100"/>
  <c r="X59" i="100"/>
  <c r="U60" i="100"/>
  <c r="V60" i="100"/>
  <c r="W60" i="100"/>
  <c r="X60" i="100"/>
  <c r="U61" i="100"/>
  <c r="V61" i="100"/>
  <c r="W61" i="100"/>
  <c r="X61" i="100"/>
  <c r="U62" i="100"/>
  <c r="V62" i="100"/>
  <c r="W62" i="100"/>
  <c r="X62" i="100"/>
  <c r="U63" i="100"/>
  <c r="V63" i="100"/>
  <c r="W63" i="100"/>
  <c r="X63" i="100"/>
  <c r="U64" i="100"/>
  <c r="V64" i="100"/>
  <c r="W64" i="100"/>
  <c r="X64" i="100"/>
  <c r="U65" i="100"/>
  <c r="V65" i="100"/>
  <c r="W65" i="100"/>
  <c r="X65" i="100"/>
  <c r="U66" i="100"/>
  <c r="V66" i="100"/>
  <c r="W66" i="100"/>
  <c r="X66" i="100"/>
  <c r="U67" i="100"/>
  <c r="V67" i="100"/>
  <c r="W67" i="100"/>
  <c r="X67" i="100"/>
  <c r="U68" i="100"/>
  <c r="V68" i="100"/>
  <c r="W68" i="100"/>
  <c r="X68" i="100"/>
  <c r="U69" i="100"/>
  <c r="V69" i="100"/>
  <c r="W69" i="100"/>
  <c r="X69" i="100"/>
  <c r="U70" i="100"/>
  <c r="V70" i="100"/>
  <c r="W70" i="100"/>
  <c r="X70" i="100"/>
  <c r="U71" i="100"/>
  <c r="V71" i="100"/>
  <c r="W71" i="100"/>
  <c r="X71" i="100"/>
  <c r="U72" i="100"/>
  <c r="V72" i="100"/>
  <c r="W72" i="100"/>
  <c r="X72" i="100"/>
  <c r="U73" i="100"/>
  <c r="V73" i="100"/>
  <c r="W73" i="100"/>
  <c r="X73" i="100"/>
  <c r="U74" i="100"/>
  <c r="V74" i="100"/>
  <c r="W74" i="100"/>
  <c r="X74" i="100"/>
  <c r="U75" i="100"/>
  <c r="V75" i="100"/>
  <c r="W75" i="100"/>
  <c r="X75" i="100"/>
  <c r="U76" i="100"/>
  <c r="V76" i="100"/>
  <c r="W76" i="100"/>
  <c r="X76" i="100"/>
  <c r="U77" i="100"/>
  <c r="V77" i="100"/>
  <c r="W77" i="100"/>
  <c r="X77" i="100"/>
  <c r="U29" i="101"/>
  <c r="V29" i="101"/>
  <c r="W29" i="101"/>
  <c r="X29" i="101"/>
  <c r="U30" i="101"/>
  <c r="V30" i="101"/>
  <c r="W30" i="101"/>
  <c r="X30" i="101"/>
  <c r="U31" i="101"/>
  <c r="V31" i="101"/>
  <c r="W31" i="101"/>
  <c r="X31" i="101"/>
  <c r="U32" i="101"/>
  <c r="V32" i="101"/>
  <c r="W32" i="101"/>
  <c r="X32" i="101"/>
  <c r="U33" i="101"/>
  <c r="V33" i="101"/>
  <c r="W33" i="101"/>
  <c r="X33" i="101"/>
  <c r="U34" i="101"/>
  <c r="V34" i="101"/>
  <c r="W34" i="101"/>
  <c r="X34" i="101"/>
  <c r="U35" i="101"/>
  <c r="V35" i="101"/>
  <c r="W35" i="101"/>
  <c r="X35" i="101"/>
  <c r="U36" i="101"/>
  <c r="V36" i="101"/>
  <c r="W36" i="101"/>
  <c r="X36" i="101"/>
  <c r="U37" i="101"/>
  <c r="V37" i="101"/>
  <c r="W37" i="101"/>
  <c r="X37" i="101"/>
  <c r="U38" i="101"/>
  <c r="V38" i="101"/>
  <c r="W38" i="101"/>
  <c r="X38" i="101"/>
  <c r="U39" i="101"/>
  <c r="V39" i="101"/>
  <c r="W39" i="101"/>
  <c r="X39" i="101"/>
  <c r="U40" i="101"/>
  <c r="V40" i="101"/>
  <c r="W40" i="101"/>
  <c r="X40" i="101"/>
  <c r="U41" i="101"/>
  <c r="V41" i="101"/>
  <c r="W41" i="101"/>
  <c r="X41" i="101"/>
  <c r="U42" i="101"/>
  <c r="V42" i="101"/>
  <c r="W42" i="101"/>
  <c r="X42" i="101"/>
  <c r="U43" i="101"/>
  <c r="V43" i="101"/>
  <c r="W43" i="101"/>
  <c r="X43" i="101"/>
  <c r="U44" i="101"/>
  <c r="V44" i="101"/>
  <c r="W44" i="101"/>
  <c r="X44" i="101"/>
  <c r="U45" i="101"/>
  <c r="V45" i="101"/>
  <c r="W45" i="101"/>
  <c r="X45" i="101"/>
  <c r="U46" i="101"/>
  <c r="V46" i="101"/>
  <c r="W46" i="101"/>
  <c r="X46" i="101"/>
  <c r="U47" i="101"/>
  <c r="V47" i="101"/>
  <c r="W47" i="101"/>
  <c r="X47" i="101"/>
  <c r="U48" i="101"/>
  <c r="V48" i="101"/>
  <c r="W48" i="101"/>
  <c r="X48" i="101"/>
  <c r="U49" i="101"/>
  <c r="V49" i="101"/>
  <c r="W49" i="101"/>
  <c r="X49" i="101"/>
  <c r="U50" i="101"/>
  <c r="V50" i="101"/>
  <c r="W50" i="101"/>
  <c r="X50" i="101"/>
  <c r="U51" i="101"/>
  <c r="V51" i="101"/>
  <c r="W51" i="101"/>
  <c r="X51" i="101"/>
  <c r="U52" i="101"/>
  <c r="V52" i="101"/>
  <c r="W52" i="101"/>
  <c r="X52" i="101"/>
  <c r="U53" i="101"/>
  <c r="V53" i="101"/>
  <c r="W53" i="101"/>
  <c r="X53" i="101"/>
  <c r="U54" i="101"/>
  <c r="V54" i="101"/>
  <c r="W54" i="101"/>
  <c r="X54" i="101"/>
  <c r="U55" i="101"/>
  <c r="V55" i="101"/>
  <c r="W55" i="101"/>
  <c r="X55" i="101"/>
  <c r="U56" i="101"/>
  <c r="V56" i="101"/>
  <c r="W56" i="101"/>
  <c r="X56" i="101"/>
  <c r="U57" i="101"/>
  <c r="V57" i="101"/>
  <c r="W57" i="101"/>
  <c r="X57" i="101"/>
  <c r="U58" i="101"/>
  <c r="V58" i="101"/>
  <c r="W58" i="101"/>
  <c r="X58" i="101"/>
  <c r="U59" i="101"/>
  <c r="V59" i="101"/>
  <c r="W59" i="101"/>
  <c r="X59" i="101"/>
  <c r="U60" i="101"/>
  <c r="V60" i="101"/>
  <c r="W60" i="101"/>
  <c r="X60" i="101"/>
  <c r="U61" i="101"/>
  <c r="V61" i="101"/>
  <c r="W61" i="101"/>
  <c r="X61" i="101"/>
  <c r="U62" i="101"/>
  <c r="V62" i="101"/>
  <c r="W62" i="101"/>
  <c r="X62" i="101"/>
  <c r="U63" i="101"/>
  <c r="V63" i="101"/>
  <c r="W63" i="101"/>
  <c r="X63" i="101"/>
  <c r="U64" i="101"/>
  <c r="V64" i="101"/>
  <c r="W64" i="101"/>
  <c r="X64" i="101"/>
  <c r="U65" i="101"/>
  <c r="V65" i="101"/>
  <c r="W65" i="101"/>
  <c r="X65" i="101"/>
  <c r="U66" i="101"/>
  <c r="V66" i="101"/>
  <c r="W66" i="101"/>
  <c r="X66" i="101"/>
  <c r="U67" i="101"/>
  <c r="V67" i="101"/>
  <c r="W67" i="101"/>
  <c r="X67" i="101"/>
  <c r="U68" i="101"/>
  <c r="V68" i="101"/>
  <c r="W68" i="101"/>
  <c r="X68" i="101"/>
  <c r="U69" i="101"/>
  <c r="V69" i="101"/>
  <c r="W69" i="101"/>
  <c r="X69" i="101"/>
  <c r="U70" i="101"/>
  <c r="V70" i="101"/>
  <c r="W70" i="101"/>
  <c r="X70" i="101"/>
  <c r="U71" i="101"/>
  <c r="V71" i="101"/>
  <c r="W71" i="101"/>
  <c r="X71" i="101"/>
  <c r="U72" i="101"/>
  <c r="V72" i="101"/>
  <c r="W72" i="101"/>
  <c r="X72" i="101"/>
  <c r="U73" i="101"/>
  <c r="V73" i="101"/>
  <c r="W73" i="101"/>
  <c r="X73" i="101"/>
  <c r="U74" i="101"/>
  <c r="V74" i="101"/>
  <c r="W74" i="101"/>
  <c r="X74" i="101"/>
  <c r="U75" i="101"/>
  <c r="V75" i="101"/>
  <c r="W75" i="101"/>
  <c r="X75" i="101"/>
  <c r="U76" i="101"/>
  <c r="V76" i="101"/>
  <c r="W76" i="101"/>
  <c r="X76" i="101"/>
  <c r="U77" i="101"/>
  <c r="V77" i="101"/>
  <c r="W77" i="101"/>
  <c r="X77" i="101"/>
  <c r="U29" i="102"/>
  <c r="V29" i="102"/>
  <c r="W29" i="102"/>
  <c r="X29" i="102"/>
  <c r="U30" i="102"/>
  <c r="V30" i="102"/>
  <c r="W30" i="102"/>
  <c r="X30" i="102"/>
  <c r="U31" i="102"/>
  <c r="V31" i="102"/>
  <c r="W31" i="102"/>
  <c r="X31" i="102"/>
  <c r="U32" i="102"/>
  <c r="V32" i="102"/>
  <c r="W32" i="102"/>
  <c r="X32" i="102"/>
  <c r="U33" i="102"/>
  <c r="V33" i="102"/>
  <c r="W33" i="102"/>
  <c r="X33" i="102"/>
  <c r="U34" i="102"/>
  <c r="V34" i="102"/>
  <c r="W34" i="102"/>
  <c r="X34" i="102"/>
  <c r="U35" i="102"/>
  <c r="V35" i="102"/>
  <c r="W35" i="102"/>
  <c r="X35" i="102"/>
  <c r="U36" i="102"/>
  <c r="V36" i="102"/>
  <c r="W36" i="102"/>
  <c r="X36" i="102"/>
  <c r="U37" i="102"/>
  <c r="V37" i="102"/>
  <c r="W37" i="102"/>
  <c r="X37" i="102"/>
  <c r="U38" i="102"/>
  <c r="V38" i="102"/>
  <c r="W38" i="102"/>
  <c r="X38" i="102"/>
  <c r="U39" i="102"/>
  <c r="V39" i="102"/>
  <c r="W39" i="102"/>
  <c r="X39" i="102"/>
  <c r="U40" i="102"/>
  <c r="V40" i="102"/>
  <c r="W40" i="102"/>
  <c r="X40" i="102"/>
  <c r="U41" i="102"/>
  <c r="V41" i="102"/>
  <c r="W41" i="102"/>
  <c r="X41" i="102"/>
  <c r="U42" i="102"/>
  <c r="V42" i="102"/>
  <c r="W42" i="102"/>
  <c r="X42" i="102"/>
  <c r="U43" i="102"/>
  <c r="V43" i="102"/>
  <c r="W43" i="102"/>
  <c r="X43" i="102"/>
  <c r="U44" i="102"/>
  <c r="V44" i="102"/>
  <c r="W44" i="102"/>
  <c r="X44" i="102"/>
  <c r="U45" i="102"/>
  <c r="V45" i="102"/>
  <c r="W45" i="102"/>
  <c r="X45" i="102"/>
  <c r="U46" i="102"/>
  <c r="V46" i="102"/>
  <c r="W46" i="102"/>
  <c r="X46" i="102"/>
  <c r="U47" i="102"/>
  <c r="V47" i="102"/>
  <c r="W47" i="102"/>
  <c r="X47" i="102"/>
  <c r="U48" i="102"/>
  <c r="V48" i="102"/>
  <c r="W48" i="102"/>
  <c r="X48" i="102"/>
  <c r="U49" i="102"/>
  <c r="V49" i="102"/>
  <c r="W49" i="102"/>
  <c r="X49" i="102"/>
  <c r="U50" i="102"/>
  <c r="V50" i="102"/>
  <c r="W50" i="102"/>
  <c r="X50" i="102"/>
  <c r="U51" i="102"/>
  <c r="V51" i="102"/>
  <c r="W51" i="102"/>
  <c r="X51" i="102"/>
  <c r="U52" i="102"/>
  <c r="V52" i="102"/>
  <c r="W52" i="102"/>
  <c r="X52" i="102"/>
  <c r="U53" i="102"/>
  <c r="V53" i="102"/>
  <c r="W53" i="102"/>
  <c r="X53" i="102"/>
  <c r="U54" i="102"/>
  <c r="V54" i="102"/>
  <c r="W54" i="102"/>
  <c r="X54" i="102"/>
  <c r="U55" i="102"/>
  <c r="V55" i="102"/>
  <c r="W55" i="102"/>
  <c r="X55" i="102"/>
  <c r="U56" i="102"/>
  <c r="V56" i="102"/>
  <c r="W56" i="102"/>
  <c r="X56" i="102"/>
  <c r="U57" i="102"/>
  <c r="V57" i="102"/>
  <c r="W57" i="102"/>
  <c r="X57" i="102"/>
  <c r="U58" i="102"/>
  <c r="V58" i="102"/>
  <c r="W58" i="102"/>
  <c r="X58" i="102"/>
  <c r="U59" i="102"/>
  <c r="V59" i="102"/>
  <c r="W59" i="102"/>
  <c r="X59" i="102"/>
  <c r="U60" i="102"/>
  <c r="V60" i="102"/>
  <c r="W60" i="102"/>
  <c r="X60" i="102"/>
  <c r="U61" i="102"/>
  <c r="V61" i="102"/>
  <c r="W61" i="102"/>
  <c r="X61" i="102"/>
  <c r="U62" i="102"/>
  <c r="V62" i="102"/>
  <c r="W62" i="102"/>
  <c r="X62" i="102"/>
  <c r="U63" i="102"/>
  <c r="V63" i="102"/>
  <c r="W63" i="102"/>
  <c r="X63" i="102"/>
  <c r="U64" i="102"/>
  <c r="V64" i="102"/>
  <c r="W64" i="102"/>
  <c r="X64" i="102"/>
  <c r="U65" i="102"/>
  <c r="V65" i="102"/>
  <c r="W65" i="102"/>
  <c r="X65" i="102"/>
  <c r="U66" i="102"/>
  <c r="V66" i="102"/>
  <c r="W66" i="102"/>
  <c r="X66" i="102"/>
  <c r="U67" i="102"/>
  <c r="V67" i="102"/>
  <c r="W67" i="102"/>
  <c r="X67" i="102"/>
  <c r="U68" i="102"/>
  <c r="V68" i="102"/>
  <c r="W68" i="102"/>
  <c r="X68" i="102"/>
  <c r="U69" i="102"/>
  <c r="V69" i="102"/>
  <c r="W69" i="102"/>
  <c r="X69" i="102"/>
  <c r="U70" i="102"/>
  <c r="V70" i="102"/>
  <c r="W70" i="102"/>
  <c r="X70" i="102"/>
  <c r="U71" i="102"/>
  <c r="V71" i="102"/>
  <c r="W71" i="102"/>
  <c r="X71" i="102"/>
  <c r="U72" i="102"/>
  <c r="V72" i="102"/>
  <c r="W72" i="102"/>
  <c r="X72" i="102"/>
  <c r="U73" i="102"/>
  <c r="V73" i="102"/>
  <c r="W73" i="102"/>
  <c r="X73" i="102"/>
  <c r="U74" i="102"/>
  <c r="V74" i="102"/>
  <c r="W74" i="102"/>
  <c r="X74" i="102"/>
  <c r="U75" i="102"/>
  <c r="V75" i="102"/>
  <c r="W75" i="102"/>
  <c r="X75" i="102"/>
  <c r="U76" i="102"/>
  <c r="V76" i="102"/>
  <c r="W76" i="102"/>
  <c r="X76" i="102"/>
  <c r="U77" i="102"/>
  <c r="V77" i="102"/>
  <c r="W77" i="102"/>
  <c r="X77" i="102"/>
  <c r="U29" i="103"/>
  <c r="V29" i="103"/>
  <c r="W29" i="103"/>
  <c r="X29" i="103"/>
  <c r="U30" i="103"/>
  <c r="V30" i="103"/>
  <c r="W30" i="103"/>
  <c r="X30" i="103"/>
  <c r="U31" i="103"/>
  <c r="V31" i="103"/>
  <c r="W31" i="103"/>
  <c r="X31" i="103"/>
  <c r="U32" i="103"/>
  <c r="V32" i="103"/>
  <c r="W32" i="103"/>
  <c r="X32" i="103"/>
  <c r="U33" i="103"/>
  <c r="V33" i="103"/>
  <c r="W33" i="103"/>
  <c r="X33" i="103"/>
  <c r="U34" i="103"/>
  <c r="V34" i="103"/>
  <c r="W34" i="103"/>
  <c r="X34" i="103"/>
  <c r="U35" i="103"/>
  <c r="V35" i="103"/>
  <c r="W35" i="103"/>
  <c r="X35" i="103"/>
  <c r="U36" i="103"/>
  <c r="V36" i="103"/>
  <c r="W36" i="103"/>
  <c r="X36" i="103"/>
  <c r="U37" i="103"/>
  <c r="V37" i="103"/>
  <c r="W37" i="103"/>
  <c r="X37" i="103"/>
  <c r="U38" i="103"/>
  <c r="V38" i="103"/>
  <c r="W38" i="103"/>
  <c r="X38" i="103"/>
  <c r="U39" i="103"/>
  <c r="V39" i="103"/>
  <c r="W39" i="103"/>
  <c r="X39" i="103"/>
  <c r="U40" i="103"/>
  <c r="V40" i="103"/>
  <c r="W40" i="103"/>
  <c r="X40" i="103"/>
  <c r="U41" i="103"/>
  <c r="V41" i="103"/>
  <c r="W41" i="103"/>
  <c r="X41" i="103"/>
  <c r="U42" i="103"/>
  <c r="V42" i="103"/>
  <c r="W42" i="103"/>
  <c r="X42" i="103"/>
  <c r="U43" i="103"/>
  <c r="V43" i="103"/>
  <c r="W43" i="103"/>
  <c r="X43" i="103"/>
  <c r="U44" i="103"/>
  <c r="V44" i="103"/>
  <c r="W44" i="103"/>
  <c r="X44" i="103"/>
  <c r="U45" i="103"/>
  <c r="V45" i="103"/>
  <c r="W45" i="103"/>
  <c r="X45" i="103"/>
  <c r="U46" i="103"/>
  <c r="V46" i="103"/>
  <c r="W46" i="103"/>
  <c r="X46" i="103"/>
  <c r="U47" i="103"/>
  <c r="V47" i="103"/>
  <c r="W47" i="103"/>
  <c r="X47" i="103"/>
  <c r="U48" i="103"/>
  <c r="V48" i="103"/>
  <c r="W48" i="103"/>
  <c r="X48" i="103"/>
  <c r="U49" i="103"/>
  <c r="V49" i="103"/>
  <c r="W49" i="103"/>
  <c r="X49" i="103"/>
  <c r="U50" i="103"/>
  <c r="V50" i="103"/>
  <c r="W50" i="103"/>
  <c r="X50" i="103"/>
  <c r="U51" i="103"/>
  <c r="V51" i="103"/>
  <c r="W51" i="103"/>
  <c r="X51" i="103"/>
  <c r="U52" i="103"/>
  <c r="V52" i="103"/>
  <c r="W52" i="103"/>
  <c r="X52" i="103"/>
  <c r="U53" i="103"/>
  <c r="V53" i="103"/>
  <c r="W53" i="103"/>
  <c r="X53" i="103"/>
  <c r="U54" i="103"/>
  <c r="V54" i="103"/>
  <c r="W54" i="103"/>
  <c r="X54" i="103"/>
  <c r="U55" i="103"/>
  <c r="V55" i="103"/>
  <c r="W55" i="103"/>
  <c r="X55" i="103"/>
  <c r="U56" i="103"/>
  <c r="V56" i="103"/>
  <c r="W56" i="103"/>
  <c r="X56" i="103"/>
  <c r="U57" i="103"/>
  <c r="V57" i="103"/>
  <c r="W57" i="103"/>
  <c r="X57" i="103"/>
  <c r="U58" i="103"/>
  <c r="V58" i="103"/>
  <c r="W58" i="103"/>
  <c r="X58" i="103"/>
  <c r="U59" i="103"/>
  <c r="V59" i="103"/>
  <c r="W59" i="103"/>
  <c r="X59" i="103"/>
  <c r="U60" i="103"/>
  <c r="V60" i="103"/>
  <c r="W60" i="103"/>
  <c r="X60" i="103"/>
  <c r="U61" i="103"/>
  <c r="V61" i="103"/>
  <c r="W61" i="103"/>
  <c r="X61" i="103"/>
  <c r="U62" i="103"/>
  <c r="V62" i="103"/>
  <c r="W62" i="103"/>
  <c r="X62" i="103"/>
  <c r="U63" i="103"/>
  <c r="V63" i="103"/>
  <c r="W63" i="103"/>
  <c r="X63" i="103"/>
  <c r="U64" i="103"/>
  <c r="V64" i="103"/>
  <c r="W64" i="103"/>
  <c r="X64" i="103"/>
  <c r="U65" i="103"/>
  <c r="V65" i="103"/>
  <c r="W65" i="103"/>
  <c r="X65" i="103"/>
  <c r="U66" i="103"/>
  <c r="V66" i="103"/>
  <c r="W66" i="103"/>
  <c r="X66" i="103"/>
  <c r="U67" i="103"/>
  <c r="V67" i="103"/>
  <c r="W67" i="103"/>
  <c r="X67" i="103"/>
  <c r="U68" i="103"/>
  <c r="V68" i="103"/>
  <c r="W68" i="103"/>
  <c r="X68" i="103"/>
  <c r="U69" i="103"/>
  <c r="V69" i="103"/>
  <c r="W69" i="103"/>
  <c r="X69" i="103"/>
  <c r="U70" i="103"/>
  <c r="V70" i="103"/>
  <c r="W70" i="103"/>
  <c r="X70" i="103"/>
  <c r="U71" i="103"/>
  <c r="V71" i="103"/>
  <c r="W71" i="103"/>
  <c r="X71" i="103"/>
  <c r="U72" i="103"/>
  <c r="V72" i="103"/>
  <c r="W72" i="103"/>
  <c r="X72" i="103"/>
  <c r="U73" i="103"/>
  <c r="V73" i="103"/>
  <c r="W73" i="103"/>
  <c r="X73" i="103"/>
  <c r="U74" i="103"/>
  <c r="V74" i="103"/>
  <c r="W74" i="103"/>
  <c r="X74" i="103"/>
  <c r="U75" i="103"/>
  <c r="V75" i="103"/>
  <c r="W75" i="103"/>
  <c r="X75" i="103"/>
  <c r="U76" i="103"/>
  <c r="V76" i="103"/>
  <c r="W76" i="103"/>
  <c r="X76" i="103"/>
  <c r="U77" i="103"/>
  <c r="V77" i="103"/>
  <c r="W77" i="103"/>
  <c r="X77" i="103"/>
  <c r="U29" i="104"/>
  <c r="V29" i="104"/>
  <c r="W29" i="104"/>
  <c r="X29" i="104"/>
  <c r="U30" i="104"/>
  <c r="V30" i="104"/>
  <c r="W30" i="104"/>
  <c r="X30" i="104"/>
  <c r="U31" i="104"/>
  <c r="V31" i="104"/>
  <c r="W31" i="104"/>
  <c r="X31" i="104"/>
  <c r="U32" i="104"/>
  <c r="V32" i="104"/>
  <c r="W32" i="104"/>
  <c r="X32" i="104"/>
  <c r="U33" i="104"/>
  <c r="V33" i="104"/>
  <c r="W33" i="104"/>
  <c r="X33" i="104"/>
  <c r="U34" i="104"/>
  <c r="V34" i="104"/>
  <c r="W34" i="104"/>
  <c r="X34" i="104"/>
  <c r="U35" i="104"/>
  <c r="V35" i="104"/>
  <c r="W35" i="104"/>
  <c r="X35" i="104"/>
  <c r="U36" i="104"/>
  <c r="V36" i="104"/>
  <c r="W36" i="104"/>
  <c r="X36" i="104"/>
  <c r="U37" i="104"/>
  <c r="V37" i="104"/>
  <c r="W37" i="104"/>
  <c r="X37" i="104"/>
  <c r="U38" i="104"/>
  <c r="V38" i="104"/>
  <c r="W38" i="104"/>
  <c r="X38" i="104"/>
  <c r="U39" i="104"/>
  <c r="V39" i="104"/>
  <c r="W39" i="104"/>
  <c r="X39" i="104"/>
  <c r="U40" i="104"/>
  <c r="V40" i="104"/>
  <c r="W40" i="104"/>
  <c r="X40" i="104"/>
  <c r="U41" i="104"/>
  <c r="V41" i="104"/>
  <c r="W41" i="104"/>
  <c r="X41" i="104"/>
  <c r="U42" i="104"/>
  <c r="V42" i="104"/>
  <c r="W42" i="104"/>
  <c r="X42" i="104"/>
  <c r="U43" i="104"/>
  <c r="V43" i="104"/>
  <c r="W43" i="104"/>
  <c r="X43" i="104"/>
  <c r="U44" i="104"/>
  <c r="V44" i="104"/>
  <c r="W44" i="104"/>
  <c r="X44" i="104"/>
  <c r="U45" i="104"/>
  <c r="V45" i="104"/>
  <c r="W45" i="104"/>
  <c r="X45" i="104"/>
  <c r="U46" i="104"/>
  <c r="V46" i="104"/>
  <c r="W46" i="104"/>
  <c r="X46" i="104"/>
  <c r="U47" i="104"/>
  <c r="V47" i="104"/>
  <c r="W47" i="104"/>
  <c r="X47" i="104"/>
  <c r="U48" i="104"/>
  <c r="V48" i="104"/>
  <c r="W48" i="104"/>
  <c r="X48" i="104"/>
  <c r="U49" i="104"/>
  <c r="V49" i="104"/>
  <c r="W49" i="104"/>
  <c r="X49" i="104"/>
  <c r="U50" i="104"/>
  <c r="V50" i="104"/>
  <c r="W50" i="104"/>
  <c r="X50" i="104"/>
  <c r="U51" i="104"/>
  <c r="V51" i="104"/>
  <c r="W51" i="104"/>
  <c r="X51" i="104"/>
  <c r="U52" i="104"/>
  <c r="V52" i="104"/>
  <c r="W52" i="104"/>
  <c r="X52" i="104"/>
  <c r="U53" i="104"/>
  <c r="V53" i="104"/>
  <c r="W53" i="104"/>
  <c r="X53" i="104"/>
  <c r="U54" i="104"/>
  <c r="V54" i="104"/>
  <c r="W54" i="104"/>
  <c r="X54" i="104"/>
  <c r="U55" i="104"/>
  <c r="V55" i="104"/>
  <c r="W55" i="104"/>
  <c r="X55" i="104"/>
  <c r="U56" i="104"/>
  <c r="V56" i="104"/>
  <c r="W56" i="104"/>
  <c r="X56" i="104"/>
  <c r="U57" i="104"/>
  <c r="V57" i="104"/>
  <c r="W57" i="104"/>
  <c r="X57" i="104"/>
  <c r="U58" i="104"/>
  <c r="V58" i="104"/>
  <c r="W58" i="104"/>
  <c r="X58" i="104"/>
  <c r="U59" i="104"/>
  <c r="V59" i="104"/>
  <c r="W59" i="104"/>
  <c r="X59" i="104"/>
  <c r="U60" i="104"/>
  <c r="V60" i="104"/>
  <c r="W60" i="104"/>
  <c r="X60" i="104"/>
  <c r="U61" i="104"/>
  <c r="V61" i="104"/>
  <c r="W61" i="104"/>
  <c r="X61" i="104"/>
  <c r="U62" i="104"/>
  <c r="V62" i="104"/>
  <c r="W62" i="104"/>
  <c r="X62" i="104"/>
  <c r="U63" i="104"/>
  <c r="V63" i="104"/>
  <c r="W63" i="104"/>
  <c r="X63" i="104"/>
  <c r="U64" i="104"/>
  <c r="V64" i="104"/>
  <c r="W64" i="104"/>
  <c r="X64" i="104"/>
  <c r="U65" i="104"/>
  <c r="V65" i="104"/>
  <c r="W65" i="104"/>
  <c r="X65" i="104"/>
  <c r="U66" i="104"/>
  <c r="V66" i="104"/>
  <c r="W66" i="104"/>
  <c r="X66" i="104"/>
  <c r="U67" i="104"/>
  <c r="V67" i="104"/>
  <c r="W67" i="104"/>
  <c r="X67" i="104"/>
  <c r="U68" i="104"/>
  <c r="V68" i="104"/>
  <c r="W68" i="104"/>
  <c r="X68" i="104"/>
  <c r="U69" i="104"/>
  <c r="V69" i="104"/>
  <c r="W69" i="104"/>
  <c r="X69" i="104"/>
  <c r="U70" i="104"/>
  <c r="V70" i="104"/>
  <c r="W70" i="104"/>
  <c r="X70" i="104"/>
  <c r="U71" i="104"/>
  <c r="V71" i="104"/>
  <c r="W71" i="104"/>
  <c r="X71" i="104"/>
  <c r="U72" i="104"/>
  <c r="V72" i="104"/>
  <c r="W72" i="104"/>
  <c r="X72" i="104"/>
  <c r="U73" i="104"/>
  <c r="V73" i="104"/>
  <c r="W73" i="104"/>
  <c r="X73" i="104"/>
  <c r="U74" i="104"/>
  <c r="V74" i="104"/>
  <c r="W74" i="104"/>
  <c r="X74" i="104"/>
  <c r="U75" i="104"/>
  <c r="V75" i="104"/>
  <c r="W75" i="104"/>
  <c r="X75" i="104"/>
  <c r="U76" i="104"/>
  <c r="V76" i="104"/>
  <c r="W76" i="104"/>
  <c r="X76" i="104"/>
  <c r="U77" i="104"/>
  <c r="V77" i="104"/>
  <c r="W77" i="104"/>
  <c r="X77" i="104"/>
  <c r="U29" i="105"/>
  <c r="V29" i="105"/>
  <c r="W29" i="105"/>
  <c r="X29" i="105"/>
  <c r="U30" i="105"/>
  <c r="V30" i="105"/>
  <c r="W30" i="105"/>
  <c r="X30" i="105"/>
  <c r="U31" i="105"/>
  <c r="V31" i="105"/>
  <c r="W31" i="105"/>
  <c r="X31" i="105"/>
  <c r="U32" i="105"/>
  <c r="V32" i="105"/>
  <c r="W32" i="105"/>
  <c r="X32" i="105"/>
  <c r="U33" i="105"/>
  <c r="V33" i="105"/>
  <c r="W33" i="105"/>
  <c r="X33" i="105"/>
  <c r="U34" i="105"/>
  <c r="V34" i="105"/>
  <c r="W34" i="105"/>
  <c r="X34" i="105"/>
  <c r="U35" i="105"/>
  <c r="V35" i="105"/>
  <c r="W35" i="105"/>
  <c r="X35" i="105"/>
  <c r="U36" i="105"/>
  <c r="V36" i="105"/>
  <c r="W36" i="105"/>
  <c r="X36" i="105"/>
  <c r="U37" i="105"/>
  <c r="V37" i="105"/>
  <c r="W37" i="105"/>
  <c r="X37" i="105"/>
  <c r="U38" i="105"/>
  <c r="V38" i="105"/>
  <c r="W38" i="105"/>
  <c r="X38" i="105"/>
  <c r="U39" i="105"/>
  <c r="V39" i="105"/>
  <c r="W39" i="105"/>
  <c r="X39" i="105"/>
  <c r="U40" i="105"/>
  <c r="V40" i="105"/>
  <c r="W40" i="105"/>
  <c r="X40" i="105"/>
  <c r="U41" i="105"/>
  <c r="V41" i="105"/>
  <c r="W41" i="105"/>
  <c r="X41" i="105"/>
  <c r="U42" i="105"/>
  <c r="V42" i="105"/>
  <c r="W42" i="105"/>
  <c r="X42" i="105"/>
  <c r="U43" i="105"/>
  <c r="V43" i="105"/>
  <c r="W43" i="105"/>
  <c r="X43" i="105"/>
  <c r="U44" i="105"/>
  <c r="V44" i="105"/>
  <c r="W44" i="105"/>
  <c r="X44" i="105"/>
  <c r="U45" i="105"/>
  <c r="V45" i="105"/>
  <c r="W45" i="105"/>
  <c r="X45" i="105"/>
  <c r="U46" i="105"/>
  <c r="V46" i="105"/>
  <c r="W46" i="105"/>
  <c r="X46" i="105"/>
  <c r="U47" i="105"/>
  <c r="V47" i="105"/>
  <c r="W47" i="105"/>
  <c r="X47" i="105"/>
  <c r="U48" i="105"/>
  <c r="V48" i="105"/>
  <c r="W48" i="105"/>
  <c r="X48" i="105"/>
  <c r="U49" i="105"/>
  <c r="V49" i="105"/>
  <c r="W49" i="105"/>
  <c r="X49" i="105"/>
  <c r="U50" i="105"/>
  <c r="V50" i="105"/>
  <c r="W50" i="105"/>
  <c r="X50" i="105"/>
  <c r="U51" i="105"/>
  <c r="V51" i="105"/>
  <c r="W51" i="105"/>
  <c r="X51" i="105"/>
  <c r="U52" i="105"/>
  <c r="V52" i="105"/>
  <c r="W52" i="105"/>
  <c r="X52" i="105"/>
  <c r="U53" i="105"/>
  <c r="V53" i="105"/>
  <c r="W53" i="105"/>
  <c r="X53" i="105"/>
  <c r="U54" i="105"/>
  <c r="V54" i="105"/>
  <c r="W54" i="105"/>
  <c r="X54" i="105"/>
  <c r="U55" i="105"/>
  <c r="V55" i="105"/>
  <c r="W55" i="105"/>
  <c r="X55" i="105"/>
  <c r="U56" i="105"/>
  <c r="V56" i="105"/>
  <c r="W56" i="105"/>
  <c r="X56" i="105"/>
  <c r="U57" i="105"/>
  <c r="V57" i="105"/>
  <c r="W57" i="105"/>
  <c r="X57" i="105"/>
  <c r="U58" i="105"/>
  <c r="V58" i="105"/>
  <c r="W58" i="105"/>
  <c r="X58" i="105"/>
  <c r="U59" i="105"/>
  <c r="V59" i="105"/>
  <c r="W59" i="105"/>
  <c r="X59" i="105"/>
  <c r="U60" i="105"/>
  <c r="V60" i="105"/>
  <c r="W60" i="105"/>
  <c r="X60" i="105"/>
  <c r="U61" i="105"/>
  <c r="V61" i="105"/>
  <c r="W61" i="105"/>
  <c r="X61" i="105"/>
  <c r="U62" i="105"/>
  <c r="V62" i="105"/>
  <c r="W62" i="105"/>
  <c r="X62" i="105"/>
  <c r="U63" i="105"/>
  <c r="V63" i="105"/>
  <c r="W63" i="105"/>
  <c r="X63" i="105"/>
  <c r="U64" i="105"/>
  <c r="V64" i="105"/>
  <c r="W64" i="105"/>
  <c r="X64" i="105"/>
  <c r="U65" i="105"/>
  <c r="V65" i="105"/>
  <c r="W65" i="105"/>
  <c r="X65" i="105"/>
  <c r="U66" i="105"/>
  <c r="V66" i="105"/>
  <c r="W66" i="105"/>
  <c r="X66" i="105"/>
  <c r="U67" i="105"/>
  <c r="V67" i="105"/>
  <c r="W67" i="105"/>
  <c r="X67" i="105"/>
  <c r="U68" i="105"/>
  <c r="V68" i="105"/>
  <c r="W68" i="105"/>
  <c r="X68" i="105"/>
  <c r="U69" i="105"/>
  <c r="V69" i="105"/>
  <c r="W69" i="105"/>
  <c r="X69" i="105"/>
  <c r="U70" i="105"/>
  <c r="V70" i="105"/>
  <c r="W70" i="105"/>
  <c r="X70" i="105"/>
  <c r="U71" i="105"/>
  <c r="V71" i="105"/>
  <c r="W71" i="105"/>
  <c r="X71" i="105"/>
  <c r="U72" i="105"/>
  <c r="V72" i="105"/>
  <c r="W72" i="105"/>
  <c r="X72" i="105"/>
  <c r="U73" i="105"/>
  <c r="V73" i="105"/>
  <c r="W73" i="105"/>
  <c r="X73" i="105"/>
  <c r="U74" i="105"/>
  <c r="V74" i="105"/>
  <c r="W74" i="105"/>
  <c r="X74" i="105"/>
  <c r="U75" i="105"/>
  <c r="V75" i="105"/>
  <c r="W75" i="105"/>
  <c r="X75" i="105"/>
  <c r="U76" i="105"/>
  <c r="V76" i="105"/>
  <c r="W76" i="105"/>
  <c r="X76" i="105"/>
  <c r="U77" i="105"/>
  <c r="V77" i="105"/>
  <c r="W77" i="105"/>
  <c r="X77" i="105"/>
  <c r="U29" i="106"/>
  <c r="V29" i="106"/>
  <c r="W29" i="106"/>
  <c r="X29" i="106"/>
  <c r="U30" i="106"/>
  <c r="V30" i="106"/>
  <c r="W30" i="106"/>
  <c r="X30" i="106"/>
  <c r="U31" i="106"/>
  <c r="V31" i="106"/>
  <c r="W31" i="106"/>
  <c r="X31" i="106"/>
  <c r="U32" i="106"/>
  <c r="V32" i="106"/>
  <c r="W32" i="106"/>
  <c r="X32" i="106"/>
  <c r="U33" i="106"/>
  <c r="V33" i="106"/>
  <c r="W33" i="106"/>
  <c r="X33" i="106"/>
  <c r="U34" i="106"/>
  <c r="V34" i="106"/>
  <c r="W34" i="106"/>
  <c r="X34" i="106"/>
  <c r="U35" i="106"/>
  <c r="V35" i="106"/>
  <c r="W35" i="106"/>
  <c r="X35" i="106"/>
  <c r="U36" i="106"/>
  <c r="V36" i="106"/>
  <c r="W36" i="106"/>
  <c r="X36" i="106"/>
  <c r="U37" i="106"/>
  <c r="V37" i="106"/>
  <c r="W37" i="106"/>
  <c r="X37" i="106"/>
  <c r="U38" i="106"/>
  <c r="V38" i="106"/>
  <c r="W38" i="106"/>
  <c r="X38" i="106"/>
  <c r="U39" i="106"/>
  <c r="V39" i="106"/>
  <c r="W39" i="106"/>
  <c r="X39" i="106"/>
  <c r="U40" i="106"/>
  <c r="V40" i="106"/>
  <c r="W40" i="106"/>
  <c r="X40" i="106"/>
  <c r="U41" i="106"/>
  <c r="V41" i="106"/>
  <c r="W41" i="106"/>
  <c r="X41" i="106"/>
  <c r="U42" i="106"/>
  <c r="V42" i="106"/>
  <c r="W42" i="106"/>
  <c r="X42" i="106"/>
  <c r="U43" i="106"/>
  <c r="V43" i="106"/>
  <c r="W43" i="106"/>
  <c r="X43" i="106"/>
  <c r="U44" i="106"/>
  <c r="V44" i="106"/>
  <c r="W44" i="106"/>
  <c r="X44" i="106"/>
  <c r="U45" i="106"/>
  <c r="V45" i="106"/>
  <c r="W45" i="106"/>
  <c r="X45" i="106"/>
  <c r="U46" i="106"/>
  <c r="V46" i="106"/>
  <c r="W46" i="106"/>
  <c r="X46" i="106"/>
  <c r="U47" i="106"/>
  <c r="V47" i="106"/>
  <c r="W47" i="106"/>
  <c r="X47" i="106"/>
  <c r="U48" i="106"/>
  <c r="V48" i="106"/>
  <c r="W48" i="106"/>
  <c r="X48" i="106"/>
  <c r="U49" i="106"/>
  <c r="V49" i="106"/>
  <c r="W49" i="106"/>
  <c r="X49" i="106"/>
  <c r="U50" i="106"/>
  <c r="V50" i="106"/>
  <c r="W50" i="106"/>
  <c r="X50" i="106"/>
  <c r="U51" i="106"/>
  <c r="V51" i="106"/>
  <c r="W51" i="106"/>
  <c r="X51" i="106"/>
  <c r="U52" i="106"/>
  <c r="V52" i="106"/>
  <c r="W52" i="106"/>
  <c r="X52" i="106"/>
  <c r="U53" i="106"/>
  <c r="V53" i="106"/>
  <c r="W53" i="106"/>
  <c r="X53" i="106"/>
  <c r="U54" i="106"/>
  <c r="V54" i="106"/>
  <c r="W54" i="106"/>
  <c r="X54" i="106"/>
  <c r="U55" i="106"/>
  <c r="V55" i="106"/>
  <c r="W55" i="106"/>
  <c r="X55" i="106"/>
  <c r="U56" i="106"/>
  <c r="V56" i="106"/>
  <c r="W56" i="106"/>
  <c r="X56" i="106"/>
  <c r="U57" i="106"/>
  <c r="V57" i="106"/>
  <c r="W57" i="106"/>
  <c r="X57" i="106"/>
  <c r="U58" i="106"/>
  <c r="V58" i="106"/>
  <c r="W58" i="106"/>
  <c r="X58" i="106"/>
  <c r="U59" i="106"/>
  <c r="V59" i="106"/>
  <c r="W59" i="106"/>
  <c r="X59" i="106"/>
  <c r="U60" i="106"/>
  <c r="V60" i="106"/>
  <c r="W60" i="106"/>
  <c r="X60" i="106"/>
  <c r="U61" i="106"/>
  <c r="V61" i="106"/>
  <c r="W61" i="106"/>
  <c r="X61" i="106"/>
  <c r="U62" i="106"/>
  <c r="V62" i="106"/>
  <c r="W62" i="106"/>
  <c r="X62" i="106"/>
  <c r="U63" i="106"/>
  <c r="V63" i="106"/>
  <c r="W63" i="106"/>
  <c r="X63" i="106"/>
  <c r="U64" i="106"/>
  <c r="V64" i="106"/>
  <c r="W64" i="106"/>
  <c r="X64" i="106"/>
  <c r="U65" i="106"/>
  <c r="V65" i="106"/>
  <c r="W65" i="106"/>
  <c r="X65" i="106"/>
  <c r="U66" i="106"/>
  <c r="V66" i="106"/>
  <c r="W66" i="106"/>
  <c r="X66" i="106"/>
  <c r="U67" i="106"/>
  <c r="V67" i="106"/>
  <c r="W67" i="106"/>
  <c r="X67" i="106"/>
  <c r="U68" i="106"/>
  <c r="V68" i="106"/>
  <c r="W68" i="106"/>
  <c r="X68" i="106"/>
  <c r="U69" i="106"/>
  <c r="V69" i="106"/>
  <c r="W69" i="106"/>
  <c r="X69" i="106"/>
  <c r="U70" i="106"/>
  <c r="V70" i="106"/>
  <c r="W70" i="106"/>
  <c r="X70" i="106"/>
  <c r="U71" i="106"/>
  <c r="V71" i="106"/>
  <c r="W71" i="106"/>
  <c r="X71" i="106"/>
  <c r="U72" i="106"/>
  <c r="V72" i="106"/>
  <c r="W72" i="106"/>
  <c r="X72" i="106"/>
  <c r="U73" i="106"/>
  <c r="V73" i="106"/>
  <c r="W73" i="106"/>
  <c r="X73" i="106"/>
  <c r="U74" i="106"/>
  <c r="V74" i="106"/>
  <c r="W74" i="106"/>
  <c r="X74" i="106"/>
  <c r="U75" i="106"/>
  <c r="V75" i="106"/>
  <c r="W75" i="106"/>
  <c r="X75" i="106"/>
  <c r="U76" i="106"/>
  <c r="V76" i="106"/>
  <c r="W76" i="106"/>
  <c r="X76" i="106"/>
  <c r="U77" i="106"/>
  <c r="V77" i="106"/>
  <c r="W77" i="106"/>
  <c r="X77" i="106"/>
  <c r="U29" i="107"/>
  <c r="V29" i="107"/>
  <c r="W29" i="107"/>
  <c r="X29" i="107"/>
  <c r="U30" i="107"/>
  <c r="V30" i="107"/>
  <c r="W30" i="107"/>
  <c r="X30" i="107"/>
  <c r="U31" i="107"/>
  <c r="V31" i="107"/>
  <c r="W31" i="107"/>
  <c r="X31" i="107"/>
  <c r="U32" i="107"/>
  <c r="V32" i="107"/>
  <c r="W32" i="107"/>
  <c r="X32" i="107"/>
  <c r="U33" i="107"/>
  <c r="V33" i="107"/>
  <c r="W33" i="107"/>
  <c r="X33" i="107"/>
  <c r="U34" i="107"/>
  <c r="V34" i="107"/>
  <c r="W34" i="107"/>
  <c r="X34" i="107"/>
  <c r="U35" i="107"/>
  <c r="V35" i="107"/>
  <c r="W35" i="107"/>
  <c r="X35" i="107"/>
  <c r="U36" i="107"/>
  <c r="V36" i="107"/>
  <c r="W36" i="107"/>
  <c r="X36" i="107"/>
  <c r="U37" i="107"/>
  <c r="V37" i="107"/>
  <c r="W37" i="107"/>
  <c r="X37" i="107"/>
  <c r="U38" i="107"/>
  <c r="V38" i="107"/>
  <c r="W38" i="107"/>
  <c r="X38" i="107"/>
  <c r="U39" i="107"/>
  <c r="V39" i="107"/>
  <c r="W39" i="107"/>
  <c r="X39" i="107"/>
  <c r="U40" i="107"/>
  <c r="V40" i="107"/>
  <c r="W40" i="107"/>
  <c r="X40" i="107"/>
  <c r="U41" i="107"/>
  <c r="V41" i="107"/>
  <c r="W41" i="107"/>
  <c r="X41" i="107"/>
  <c r="U42" i="107"/>
  <c r="V42" i="107"/>
  <c r="W42" i="107"/>
  <c r="X42" i="107"/>
  <c r="U43" i="107"/>
  <c r="V43" i="107"/>
  <c r="W43" i="107"/>
  <c r="X43" i="107"/>
  <c r="U44" i="107"/>
  <c r="V44" i="107"/>
  <c r="W44" i="107"/>
  <c r="X44" i="107"/>
  <c r="U45" i="107"/>
  <c r="V45" i="107"/>
  <c r="W45" i="107"/>
  <c r="X45" i="107"/>
  <c r="U46" i="107"/>
  <c r="V46" i="107"/>
  <c r="W46" i="107"/>
  <c r="X46" i="107"/>
  <c r="U47" i="107"/>
  <c r="V47" i="107"/>
  <c r="W47" i="107"/>
  <c r="X47" i="107"/>
  <c r="U48" i="107"/>
  <c r="V48" i="107"/>
  <c r="W48" i="107"/>
  <c r="X48" i="107"/>
  <c r="U49" i="107"/>
  <c r="V49" i="107"/>
  <c r="W49" i="107"/>
  <c r="X49" i="107"/>
  <c r="U50" i="107"/>
  <c r="V50" i="107"/>
  <c r="W50" i="107"/>
  <c r="X50" i="107"/>
  <c r="U51" i="107"/>
  <c r="V51" i="107"/>
  <c r="W51" i="107"/>
  <c r="X51" i="107"/>
  <c r="U52" i="107"/>
  <c r="V52" i="107"/>
  <c r="W52" i="107"/>
  <c r="X52" i="107"/>
  <c r="U53" i="107"/>
  <c r="V53" i="107"/>
  <c r="W53" i="107"/>
  <c r="X53" i="107"/>
  <c r="U54" i="107"/>
  <c r="V54" i="107"/>
  <c r="W54" i="107"/>
  <c r="X54" i="107"/>
  <c r="U55" i="107"/>
  <c r="V55" i="107"/>
  <c r="W55" i="107"/>
  <c r="X55" i="107"/>
  <c r="U56" i="107"/>
  <c r="V56" i="107"/>
  <c r="W56" i="107"/>
  <c r="X56" i="107"/>
  <c r="U57" i="107"/>
  <c r="V57" i="107"/>
  <c r="W57" i="107"/>
  <c r="X57" i="107"/>
  <c r="U58" i="107"/>
  <c r="V58" i="107"/>
  <c r="W58" i="107"/>
  <c r="X58" i="107"/>
  <c r="U59" i="107"/>
  <c r="V59" i="107"/>
  <c r="W59" i="107"/>
  <c r="X59" i="107"/>
  <c r="U60" i="107"/>
  <c r="V60" i="107"/>
  <c r="W60" i="107"/>
  <c r="X60" i="107"/>
  <c r="U61" i="107"/>
  <c r="V61" i="107"/>
  <c r="W61" i="107"/>
  <c r="X61" i="107"/>
  <c r="U62" i="107"/>
  <c r="V62" i="107"/>
  <c r="W62" i="107"/>
  <c r="X62" i="107"/>
  <c r="U63" i="107"/>
  <c r="V63" i="107"/>
  <c r="W63" i="107"/>
  <c r="X63" i="107"/>
  <c r="U64" i="107"/>
  <c r="V64" i="107"/>
  <c r="W64" i="107"/>
  <c r="X64" i="107"/>
  <c r="U65" i="107"/>
  <c r="V65" i="107"/>
  <c r="W65" i="107"/>
  <c r="X65" i="107"/>
  <c r="U66" i="107"/>
  <c r="V66" i="107"/>
  <c r="W66" i="107"/>
  <c r="X66" i="107"/>
  <c r="U67" i="107"/>
  <c r="V67" i="107"/>
  <c r="W67" i="107"/>
  <c r="X67" i="107"/>
  <c r="U68" i="107"/>
  <c r="V68" i="107"/>
  <c r="W68" i="107"/>
  <c r="X68" i="107"/>
  <c r="U69" i="107"/>
  <c r="V69" i="107"/>
  <c r="W69" i="107"/>
  <c r="X69" i="107"/>
  <c r="U70" i="107"/>
  <c r="V70" i="107"/>
  <c r="W70" i="107"/>
  <c r="X70" i="107"/>
  <c r="U71" i="107"/>
  <c r="V71" i="107"/>
  <c r="W71" i="107"/>
  <c r="X71" i="107"/>
  <c r="U72" i="107"/>
  <c r="V72" i="107"/>
  <c r="W72" i="107"/>
  <c r="X72" i="107"/>
  <c r="U73" i="107"/>
  <c r="V73" i="107"/>
  <c r="W73" i="107"/>
  <c r="X73" i="107"/>
  <c r="U74" i="107"/>
  <c r="V74" i="107"/>
  <c r="W74" i="107"/>
  <c r="X74" i="107"/>
  <c r="U75" i="107"/>
  <c r="V75" i="107"/>
  <c r="W75" i="107"/>
  <c r="X75" i="107"/>
  <c r="U76" i="107"/>
  <c r="V76" i="107"/>
  <c r="W76" i="107"/>
  <c r="X76" i="107"/>
  <c r="U77" i="107"/>
  <c r="V77" i="107"/>
  <c r="W77" i="107"/>
  <c r="X77" i="107"/>
  <c r="U29" i="108"/>
  <c r="V29" i="108"/>
  <c r="W29" i="108"/>
  <c r="X29" i="108"/>
  <c r="U30" i="108"/>
  <c r="V30" i="108"/>
  <c r="W30" i="108"/>
  <c r="X30" i="108"/>
  <c r="U31" i="108"/>
  <c r="V31" i="108"/>
  <c r="W31" i="108"/>
  <c r="X31" i="108"/>
  <c r="U32" i="108"/>
  <c r="V32" i="108"/>
  <c r="W32" i="108"/>
  <c r="X32" i="108"/>
  <c r="U33" i="108"/>
  <c r="V33" i="108"/>
  <c r="W33" i="108"/>
  <c r="X33" i="108"/>
  <c r="U34" i="108"/>
  <c r="V34" i="108"/>
  <c r="W34" i="108"/>
  <c r="X34" i="108"/>
  <c r="U35" i="108"/>
  <c r="V35" i="108"/>
  <c r="W35" i="108"/>
  <c r="X35" i="108"/>
  <c r="U36" i="108"/>
  <c r="V36" i="108"/>
  <c r="W36" i="108"/>
  <c r="X36" i="108"/>
  <c r="U37" i="108"/>
  <c r="V37" i="108"/>
  <c r="W37" i="108"/>
  <c r="X37" i="108"/>
  <c r="U38" i="108"/>
  <c r="V38" i="108"/>
  <c r="W38" i="108"/>
  <c r="X38" i="108"/>
  <c r="U39" i="108"/>
  <c r="V39" i="108"/>
  <c r="W39" i="108"/>
  <c r="X39" i="108"/>
  <c r="U40" i="108"/>
  <c r="V40" i="108"/>
  <c r="W40" i="108"/>
  <c r="X40" i="108"/>
  <c r="U41" i="108"/>
  <c r="V41" i="108"/>
  <c r="W41" i="108"/>
  <c r="X41" i="108"/>
  <c r="U42" i="108"/>
  <c r="V42" i="108"/>
  <c r="W42" i="108"/>
  <c r="X42" i="108"/>
  <c r="U43" i="108"/>
  <c r="V43" i="108"/>
  <c r="W43" i="108"/>
  <c r="X43" i="108"/>
  <c r="U44" i="108"/>
  <c r="V44" i="108"/>
  <c r="W44" i="108"/>
  <c r="X44" i="108"/>
  <c r="U45" i="108"/>
  <c r="V45" i="108"/>
  <c r="W45" i="108"/>
  <c r="X45" i="108"/>
  <c r="U46" i="108"/>
  <c r="V46" i="108"/>
  <c r="W46" i="108"/>
  <c r="X46" i="108"/>
  <c r="U47" i="108"/>
  <c r="V47" i="108"/>
  <c r="W47" i="108"/>
  <c r="X47" i="108"/>
  <c r="U48" i="108"/>
  <c r="V48" i="108"/>
  <c r="W48" i="108"/>
  <c r="X48" i="108"/>
  <c r="U49" i="108"/>
  <c r="V49" i="108"/>
  <c r="W49" i="108"/>
  <c r="X49" i="108"/>
  <c r="U50" i="108"/>
  <c r="V50" i="108"/>
  <c r="W50" i="108"/>
  <c r="X50" i="108"/>
  <c r="U51" i="108"/>
  <c r="V51" i="108"/>
  <c r="W51" i="108"/>
  <c r="X51" i="108"/>
  <c r="U52" i="108"/>
  <c r="V52" i="108"/>
  <c r="W52" i="108"/>
  <c r="X52" i="108"/>
  <c r="U53" i="108"/>
  <c r="V53" i="108"/>
  <c r="W53" i="108"/>
  <c r="X53" i="108"/>
  <c r="U54" i="108"/>
  <c r="V54" i="108"/>
  <c r="W54" i="108"/>
  <c r="X54" i="108"/>
  <c r="U55" i="108"/>
  <c r="V55" i="108"/>
  <c r="W55" i="108"/>
  <c r="X55" i="108"/>
  <c r="U56" i="108"/>
  <c r="V56" i="108"/>
  <c r="W56" i="108"/>
  <c r="X56" i="108"/>
  <c r="U57" i="108"/>
  <c r="V57" i="108"/>
  <c r="W57" i="108"/>
  <c r="X57" i="108"/>
  <c r="U58" i="108"/>
  <c r="V58" i="108"/>
  <c r="W58" i="108"/>
  <c r="X58" i="108"/>
  <c r="U59" i="108"/>
  <c r="V59" i="108"/>
  <c r="W59" i="108"/>
  <c r="X59" i="108"/>
  <c r="U60" i="108"/>
  <c r="V60" i="108"/>
  <c r="W60" i="108"/>
  <c r="X60" i="108"/>
  <c r="U61" i="108"/>
  <c r="V61" i="108"/>
  <c r="W61" i="108"/>
  <c r="X61" i="108"/>
  <c r="U62" i="108"/>
  <c r="V62" i="108"/>
  <c r="W62" i="108"/>
  <c r="X62" i="108"/>
  <c r="U63" i="108"/>
  <c r="V63" i="108"/>
  <c r="W63" i="108"/>
  <c r="X63" i="108"/>
  <c r="U64" i="108"/>
  <c r="V64" i="108"/>
  <c r="W64" i="108"/>
  <c r="X64" i="108"/>
  <c r="U65" i="108"/>
  <c r="V65" i="108"/>
  <c r="W65" i="108"/>
  <c r="X65" i="108"/>
  <c r="U66" i="108"/>
  <c r="V66" i="108"/>
  <c r="W66" i="108"/>
  <c r="X66" i="108"/>
  <c r="U67" i="108"/>
  <c r="V67" i="108"/>
  <c r="W67" i="108"/>
  <c r="X67" i="108"/>
  <c r="U68" i="108"/>
  <c r="V68" i="108"/>
  <c r="W68" i="108"/>
  <c r="X68" i="108"/>
  <c r="U69" i="108"/>
  <c r="V69" i="108"/>
  <c r="W69" i="108"/>
  <c r="X69" i="108"/>
  <c r="U70" i="108"/>
  <c r="V70" i="108"/>
  <c r="W70" i="108"/>
  <c r="X70" i="108"/>
  <c r="U71" i="108"/>
  <c r="V71" i="108"/>
  <c r="W71" i="108"/>
  <c r="X71" i="108"/>
  <c r="U72" i="108"/>
  <c r="V72" i="108"/>
  <c r="W72" i="108"/>
  <c r="X72" i="108"/>
  <c r="U73" i="108"/>
  <c r="V73" i="108"/>
  <c r="W73" i="108"/>
  <c r="X73" i="108"/>
  <c r="U74" i="108"/>
  <c r="V74" i="108"/>
  <c r="W74" i="108"/>
  <c r="X74" i="108"/>
  <c r="U75" i="108"/>
  <c r="V75" i="108"/>
  <c r="W75" i="108"/>
  <c r="X75" i="108"/>
  <c r="U76" i="108"/>
  <c r="V76" i="108"/>
  <c r="W76" i="108"/>
  <c r="X76" i="108"/>
  <c r="U77" i="108"/>
  <c r="V77" i="108"/>
  <c r="W77" i="108"/>
  <c r="X77" i="108"/>
  <c r="U29" i="109"/>
  <c r="V29" i="109"/>
  <c r="W29" i="109"/>
  <c r="X29" i="109"/>
  <c r="U30" i="109"/>
  <c r="V30" i="109"/>
  <c r="W30" i="109"/>
  <c r="X30" i="109"/>
  <c r="U31" i="109"/>
  <c r="V31" i="109"/>
  <c r="W31" i="109"/>
  <c r="X31" i="109"/>
  <c r="U32" i="109"/>
  <c r="V32" i="109"/>
  <c r="W32" i="109"/>
  <c r="X32" i="109"/>
  <c r="U33" i="109"/>
  <c r="V33" i="109"/>
  <c r="W33" i="109"/>
  <c r="X33" i="109"/>
  <c r="U34" i="109"/>
  <c r="V34" i="109"/>
  <c r="W34" i="109"/>
  <c r="X34" i="109"/>
  <c r="U35" i="109"/>
  <c r="V35" i="109"/>
  <c r="W35" i="109"/>
  <c r="X35" i="109"/>
  <c r="U36" i="109"/>
  <c r="V36" i="109"/>
  <c r="W36" i="109"/>
  <c r="X36" i="109"/>
  <c r="U37" i="109"/>
  <c r="V37" i="109"/>
  <c r="W37" i="109"/>
  <c r="X37" i="109"/>
  <c r="U38" i="109"/>
  <c r="V38" i="109"/>
  <c r="W38" i="109"/>
  <c r="X38" i="109"/>
  <c r="U39" i="109"/>
  <c r="V39" i="109"/>
  <c r="W39" i="109"/>
  <c r="X39" i="109"/>
  <c r="U40" i="109"/>
  <c r="V40" i="109"/>
  <c r="W40" i="109"/>
  <c r="X40" i="109"/>
  <c r="U41" i="109"/>
  <c r="V41" i="109"/>
  <c r="W41" i="109"/>
  <c r="X41" i="109"/>
  <c r="U42" i="109"/>
  <c r="V42" i="109"/>
  <c r="W42" i="109"/>
  <c r="X42" i="109"/>
  <c r="U43" i="109"/>
  <c r="V43" i="109"/>
  <c r="W43" i="109"/>
  <c r="X43" i="109"/>
  <c r="U44" i="109"/>
  <c r="V44" i="109"/>
  <c r="W44" i="109"/>
  <c r="X44" i="109"/>
  <c r="U45" i="109"/>
  <c r="V45" i="109"/>
  <c r="W45" i="109"/>
  <c r="X45" i="109"/>
  <c r="U46" i="109"/>
  <c r="V46" i="109"/>
  <c r="W46" i="109"/>
  <c r="X46" i="109"/>
  <c r="U47" i="109"/>
  <c r="V47" i="109"/>
  <c r="W47" i="109"/>
  <c r="X47" i="109"/>
  <c r="U48" i="109"/>
  <c r="V48" i="109"/>
  <c r="W48" i="109"/>
  <c r="X48" i="109"/>
  <c r="U49" i="109"/>
  <c r="V49" i="109"/>
  <c r="W49" i="109"/>
  <c r="X49" i="109"/>
  <c r="U50" i="109"/>
  <c r="V50" i="109"/>
  <c r="W50" i="109"/>
  <c r="X50" i="109"/>
  <c r="U51" i="109"/>
  <c r="V51" i="109"/>
  <c r="W51" i="109"/>
  <c r="X51" i="109"/>
  <c r="U52" i="109"/>
  <c r="V52" i="109"/>
  <c r="W52" i="109"/>
  <c r="X52" i="109"/>
  <c r="U53" i="109"/>
  <c r="V53" i="109"/>
  <c r="W53" i="109"/>
  <c r="X53" i="109"/>
  <c r="U54" i="109"/>
  <c r="V54" i="109"/>
  <c r="W54" i="109"/>
  <c r="X54" i="109"/>
  <c r="U55" i="109"/>
  <c r="V55" i="109"/>
  <c r="W55" i="109"/>
  <c r="X55" i="109"/>
  <c r="U56" i="109"/>
  <c r="V56" i="109"/>
  <c r="W56" i="109"/>
  <c r="X56" i="109"/>
  <c r="U57" i="109"/>
  <c r="V57" i="109"/>
  <c r="W57" i="109"/>
  <c r="X57" i="109"/>
  <c r="U58" i="109"/>
  <c r="V58" i="109"/>
  <c r="W58" i="109"/>
  <c r="X58" i="109"/>
  <c r="U59" i="109"/>
  <c r="V59" i="109"/>
  <c r="W59" i="109"/>
  <c r="X59" i="109"/>
  <c r="U60" i="109"/>
  <c r="V60" i="109"/>
  <c r="W60" i="109"/>
  <c r="X60" i="109"/>
  <c r="U61" i="109"/>
  <c r="V61" i="109"/>
  <c r="W61" i="109"/>
  <c r="X61" i="109"/>
  <c r="U62" i="109"/>
  <c r="V62" i="109"/>
  <c r="W62" i="109"/>
  <c r="X62" i="109"/>
  <c r="U63" i="109"/>
  <c r="V63" i="109"/>
  <c r="W63" i="109"/>
  <c r="X63" i="109"/>
  <c r="U64" i="109"/>
  <c r="V64" i="109"/>
  <c r="W64" i="109"/>
  <c r="X64" i="109"/>
  <c r="U65" i="109"/>
  <c r="V65" i="109"/>
  <c r="W65" i="109"/>
  <c r="X65" i="109"/>
  <c r="U66" i="109"/>
  <c r="V66" i="109"/>
  <c r="W66" i="109"/>
  <c r="X66" i="109"/>
  <c r="U67" i="109"/>
  <c r="V67" i="109"/>
  <c r="W67" i="109"/>
  <c r="X67" i="109"/>
  <c r="U68" i="109"/>
  <c r="V68" i="109"/>
  <c r="W68" i="109"/>
  <c r="X68" i="109"/>
  <c r="U69" i="109"/>
  <c r="V69" i="109"/>
  <c r="W69" i="109"/>
  <c r="X69" i="109"/>
  <c r="U70" i="109"/>
  <c r="V70" i="109"/>
  <c r="W70" i="109"/>
  <c r="X70" i="109"/>
  <c r="U71" i="109"/>
  <c r="V71" i="109"/>
  <c r="W71" i="109"/>
  <c r="X71" i="109"/>
  <c r="U72" i="109"/>
  <c r="V72" i="109"/>
  <c r="W72" i="109"/>
  <c r="X72" i="109"/>
  <c r="U73" i="109"/>
  <c r="V73" i="109"/>
  <c r="W73" i="109"/>
  <c r="X73" i="109"/>
  <c r="U74" i="109"/>
  <c r="V74" i="109"/>
  <c r="W74" i="109"/>
  <c r="X74" i="109"/>
  <c r="U75" i="109"/>
  <c r="V75" i="109"/>
  <c r="W75" i="109"/>
  <c r="X75" i="109"/>
  <c r="U76" i="109"/>
  <c r="V76" i="109"/>
  <c r="W76" i="109"/>
  <c r="X76" i="109"/>
  <c r="U77" i="109"/>
  <c r="V77" i="109"/>
  <c r="W77" i="109"/>
  <c r="X77" i="109"/>
  <c r="U29" i="110"/>
  <c r="V29" i="110"/>
  <c r="W29" i="110"/>
  <c r="X29" i="110"/>
  <c r="U30" i="110"/>
  <c r="V30" i="110"/>
  <c r="W30" i="110"/>
  <c r="X30" i="110"/>
  <c r="U31" i="110"/>
  <c r="V31" i="110"/>
  <c r="W31" i="110"/>
  <c r="X31" i="110"/>
  <c r="U32" i="110"/>
  <c r="V32" i="110"/>
  <c r="W32" i="110"/>
  <c r="X32" i="110"/>
  <c r="U33" i="110"/>
  <c r="V33" i="110"/>
  <c r="W33" i="110"/>
  <c r="X33" i="110"/>
  <c r="U34" i="110"/>
  <c r="V34" i="110"/>
  <c r="W34" i="110"/>
  <c r="X34" i="110"/>
  <c r="U35" i="110"/>
  <c r="V35" i="110"/>
  <c r="W35" i="110"/>
  <c r="X35" i="110"/>
  <c r="U36" i="110"/>
  <c r="V36" i="110"/>
  <c r="W36" i="110"/>
  <c r="X36" i="110"/>
  <c r="U37" i="110"/>
  <c r="V37" i="110"/>
  <c r="W37" i="110"/>
  <c r="X37" i="110"/>
  <c r="U38" i="110"/>
  <c r="V38" i="110"/>
  <c r="W38" i="110"/>
  <c r="X38" i="110"/>
  <c r="U39" i="110"/>
  <c r="V39" i="110"/>
  <c r="W39" i="110"/>
  <c r="X39" i="110"/>
  <c r="U40" i="110"/>
  <c r="V40" i="110"/>
  <c r="W40" i="110"/>
  <c r="X40" i="110"/>
  <c r="U41" i="110"/>
  <c r="V41" i="110"/>
  <c r="W41" i="110"/>
  <c r="X41" i="110"/>
  <c r="U42" i="110"/>
  <c r="V42" i="110"/>
  <c r="W42" i="110"/>
  <c r="X42" i="110"/>
  <c r="U43" i="110"/>
  <c r="V43" i="110"/>
  <c r="W43" i="110"/>
  <c r="X43" i="110"/>
  <c r="U44" i="110"/>
  <c r="V44" i="110"/>
  <c r="W44" i="110"/>
  <c r="X44" i="110"/>
  <c r="U45" i="110"/>
  <c r="V45" i="110"/>
  <c r="W45" i="110"/>
  <c r="X45" i="110"/>
  <c r="U46" i="110"/>
  <c r="V46" i="110"/>
  <c r="W46" i="110"/>
  <c r="X46" i="110"/>
  <c r="U47" i="110"/>
  <c r="V47" i="110"/>
  <c r="W47" i="110"/>
  <c r="X47" i="110"/>
  <c r="U48" i="110"/>
  <c r="V48" i="110"/>
  <c r="W48" i="110"/>
  <c r="X48" i="110"/>
  <c r="U49" i="110"/>
  <c r="V49" i="110"/>
  <c r="W49" i="110"/>
  <c r="X49" i="110"/>
  <c r="U50" i="110"/>
  <c r="V50" i="110"/>
  <c r="W50" i="110"/>
  <c r="X50" i="110"/>
  <c r="U51" i="110"/>
  <c r="V51" i="110"/>
  <c r="W51" i="110"/>
  <c r="X51" i="110"/>
  <c r="U52" i="110"/>
  <c r="V52" i="110"/>
  <c r="W52" i="110"/>
  <c r="X52" i="110"/>
  <c r="U53" i="110"/>
  <c r="V53" i="110"/>
  <c r="W53" i="110"/>
  <c r="X53" i="110"/>
  <c r="U54" i="110"/>
  <c r="V54" i="110"/>
  <c r="W54" i="110"/>
  <c r="X54" i="110"/>
  <c r="U55" i="110"/>
  <c r="V55" i="110"/>
  <c r="W55" i="110"/>
  <c r="X55" i="110"/>
  <c r="U56" i="110"/>
  <c r="V56" i="110"/>
  <c r="W56" i="110"/>
  <c r="X56" i="110"/>
  <c r="U57" i="110"/>
  <c r="V57" i="110"/>
  <c r="W57" i="110"/>
  <c r="X57" i="110"/>
  <c r="U58" i="110"/>
  <c r="V58" i="110"/>
  <c r="W58" i="110"/>
  <c r="X58" i="110"/>
  <c r="U59" i="110"/>
  <c r="V59" i="110"/>
  <c r="W59" i="110"/>
  <c r="X59" i="110"/>
  <c r="U60" i="110"/>
  <c r="V60" i="110"/>
  <c r="W60" i="110"/>
  <c r="X60" i="110"/>
  <c r="U61" i="110"/>
  <c r="V61" i="110"/>
  <c r="W61" i="110"/>
  <c r="X61" i="110"/>
  <c r="U62" i="110"/>
  <c r="V62" i="110"/>
  <c r="W62" i="110"/>
  <c r="X62" i="110"/>
  <c r="U63" i="110"/>
  <c r="V63" i="110"/>
  <c r="W63" i="110"/>
  <c r="X63" i="110"/>
  <c r="U64" i="110"/>
  <c r="V64" i="110"/>
  <c r="W64" i="110"/>
  <c r="X64" i="110"/>
  <c r="U65" i="110"/>
  <c r="V65" i="110"/>
  <c r="W65" i="110"/>
  <c r="X65" i="110"/>
  <c r="U66" i="110"/>
  <c r="V66" i="110"/>
  <c r="W66" i="110"/>
  <c r="X66" i="110"/>
  <c r="U67" i="110"/>
  <c r="V67" i="110"/>
  <c r="W67" i="110"/>
  <c r="X67" i="110"/>
  <c r="U68" i="110"/>
  <c r="V68" i="110"/>
  <c r="W68" i="110"/>
  <c r="X68" i="110"/>
  <c r="U69" i="110"/>
  <c r="V69" i="110"/>
  <c r="W69" i="110"/>
  <c r="X69" i="110"/>
  <c r="U70" i="110"/>
  <c r="V70" i="110"/>
  <c r="W70" i="110"/>
  <c r="X70" i="110"/>
  <c r="U71" i="110"/>
  <c r="V71" i="110"/>
  <c r="W71" i="110"/>
  <c r="X71" i="110"/>
  <c r="U72" i="110"/>
  <c r="V72" i="110"/>
  <c r="W72" i="110"/>
  <c r="X72" i="110"/>
  <c r="U73" i="110"/>
  <c r="V73" i="110"/>
  <c r="W73" i="110"/>
  <c r="X73" i="110"/>
  <c r="U74" i="110"/>
  <c r="V74" i="110"/>
  <c r="W74" i="110"/>
  <c r="X74" i="110"/>
  <c r="U75" i="110"/>
  <c r="V75" i="110"/>
  <c r="W75" i="110"/>
  <c r="X75" i="110"/>
  <c r="U76" i="110"/>
  <c r="V76" i="110"/>
  <c r="W76" i="110"/>
  <c r="X76" i="110"/>
  <c r="U77" i="110"/>
  <c r="V77" i="110"/>
  <c r="W77" i="110"/>
  <c r="X77" i="110"/>
  <c r="U29" i="111"/>
  <c r="V29" i="111"/>
  <c r="W29" i="111"/>
  <c r="X29" i="111"/>
  <c r="U30" i="111"/>
  <c r="V30" i="111"/>
  <c r="W30" i="111"/>
  <c r="X30" i="111"/>
  <c r="U31" i="111"/>
  <c r="V31" i="111"/>
  <c r="W31" i="111"/>
  <c r="X31" i="111"/>
  <c r="U32" i="111"/>
  <c r="V32" i="111"/>
  <c r="W32" i="111"/>
  <c r="X32" i="111"/>
  <c r="U33" i="111"/>
  <c r="V33" i="111"/>
  <c r="W33" i="111"/>
  <c r="X33" i="111"/>
  <c r="U34" i="111"/>
  <c r="V34" i="111"/>
  <c r="W34" i="111"/>
  <c r="X34" i="111"/>
  <c r="U35" i="111"/>
  <c r="V35" i="111"/>
  <c r="W35" i="111"/>
  <c r="X35" i="111"/>
  <c r="U36" i="111"/>
  <c r="V36" i="111"/>
  <c r="W36" i="111"/>
  <c r="X36" i="111"/>
  <c r="U37" i="111"/>
  <c r="V37" i="111"/>
  <c r="W37" i="111"/>
  <c r="X37" i="111"/>
  <c r="U38" i="111"/>
  <c r="V38" i="111"/>
  <c r="W38" i="111"/>
  <c r="X38" i="111"/>
  <c r="U39" i="111"/>
  <c r="V39" i="111"/>
  <c r="W39" i="111"/>
  <c r="X39" i="111"/>
  <c r="U40" i="111"/>
  <c r="V40" i="111"/>
  <c r="W40" i="111"/>
  <c r="X40" i="111"/>
  <c r="U41" i="111"/>
  <c r="V41" i="111"/>
  <c r="W41" i="111"/>
  <c r="X41" i="111"/>
  <c r="U42" i="111"/>
  <c r="V42" i="111"/>
  <c r="W42" i="111"/>
  <c r="X42" i="111"/>
  <c r="U43" i="111"/>
  <c r="V43" i="111"/>
  <c r="W43" i="111"/>
  <c r="X43" i="111"/>
  <c r="U44" i="111"/>
  <c r="V44" i="111"/>
  <c r="W44" i="111"/>
  <c r="X44" i="111"/>
  <c r="U45" i="111"/>
  <c r="V45" i="111"/>
  <c r="W45" i="111"/>
  <c r="X45" i="111"/>
  <c r="U46" i="111"/>
  <c r="V46" i="111"/>
  <c r="W46" i="111"/>
  <c r="X46" i="111"/>
  <c r="U47" i="111"/>
  <c r="V47" i="111"/>
  <c r="W47" i="111"/>
  <c r="X47" i="111"/>
  <c r="U48" i="111"/>
  <c r="V48" i="111"/>
  <c r="W48" i="111"/>
  <c r="X48" i="111"/>
  <c r="U49" i="111"/>
  <c r="V49" i="111"/>
  <c r="W49" i="111"/>
  <c r="X49" i="111"/>
  <c r="U50" i="111"/>
  <c r="V50" i="111"/>
  <c r="W50" i="111"/>
  <c r="X50" i="111"/>
  <c r="U51" i="111"/>
  <c r="V51" i="111"/>
  <c r="W51" i="111"/>
  <c r="X51" i="111"/>
  <c r="U52" i="111"/>
  <c r="V52" i="111"/>
  <c r="W52" i="111"/>
  <c r="X52" i="111"/>
  <c r="U53" i="111"/>
  <c r="V53" i="111"/>
  <c r="W53" i="111"/>
  <c r="X53" i="111"/>
  <c r="U54" i="111"/>
  <c r="V54" i="111"/>
  <c r="W54" i="111"/>
  <c r="X54" i="111"/>
  <c r="U55" i="111"/>
  <c r="V55" i="111"/>
  <c r="W55" i="111"/>
  <c r="X55" i="111"/>
  <c r="U56" i="111"/>
  <c r="V56" i="111"/>
  <c r="W56" i="111"/>
  <c r="X56" i="111"/>
  <c r="U57" i="111"/>
  <c r="V57" i="111"/>
  <c r="W57" i="111"/>
  <c r="X57" i="111"/>
  <c r="U58" i="111"/>
  <c r="V58" i="111"/>
  <c r="W58" i="111"/>
  <c r="X58" i="111"/>
  <c r="U59" i="111"/>
  <c r="V59" i="111"/>
  <c r="W59" i="111"/>
  <c r="X59" i="111"/>
  <c r="U60" i="111"/>
  <c r="V60" i="111"/>
  <c r="W60" i="111"/>
  <c r="X60" i="111"/>
  <c r="U61" i="111"/>
  <c r="V61" i="111"/>
  <c r="W61" i="111"/>
  <c r="X61" i="111"/>
  <c r="U62" i="111"/>
  <c r="V62" i="111"/>
  <c r="W62" i="111"/>
  <c r="X62" i="111"/>
  <c r="U63" i="111"/>
  <c r="V63" i="111"/>
  <c r="W63" i="111"/>
  <c r="X63" i="111"/>
  <c r="U64" i="111"/>
  <c r="V64" i="111"/>
  <c r="W64" i="111"/>
  <c r="X64" i="111"/>
  <c r="U65" i="111"/>
  <c r="V65" i="111"/>
  <c r="W65" i="111"/>
  <c r="X65" i="111"/>
  <c r="U66" i="111"/>
  <c r="V66" i="111"/>
  <c r="W66" i="111"/>
  <c r="X66" i="111"/>
  <c r="U67" i="111"/>
  <c r="V67" i="111"/>
  <c r="W67" i="111"/>
  <c r="X67" i="111"/>
  <c r="U68" i="111"/>
  <c r="V68" i="111"/>
  <c r="W68" i="111"/>
  <c r="X68" i="111"/>
  <c r="U69" i="111"/>
  <c r="V69" i="111"/>
  <c r="W69" i="111"/>
  <c r="X69" i="111"/>
  <c r="U70" i="111"/>
  <c r="V70" i="111"/>
  <c r="W70" i="111"/>
  <c r="X70" i="111"/>
  <c r="U71" i="111"/>
  <c r="V71" i="111"/>
  <c r="W71" i="111"/>
  <c r="X71" i="111"/>
  <c r="U72" i="111"/>
  <c r="V72" i="111"/>
  <c r="W72" i="111"/>
  <c r="X72" i="111"/>
  <c r="U73" i="111"/>
  <c r="V73" i="111"/>
  <c r="W73" i="111"/>
  <c r="X73" i="111"/>
  <c r="U74" i="111"/>
  <c r="V74" i="111"/>
  <c r="W74" i="111"/>
  <c r="X74" i="111"/>
  <c r="U75" i="111"/>
  <c r="V75" i="111"/>
  <c r="W75" i="111"/>
  <c r="X75" i="111"/>
  <c r="U76" i="111"/>
  <c r="V76" i="111"/>
  <c r="W76" i="111"/>
  <c r="X76" i="111"/>
  <c r="U77" i="111"/>
  <c r="V77" i="111"/>
  <c r="W77" i="111"/>
  <c r="X77" i="111"/>
  <c r="U29" i="112"/>
  <c r="V29" i="112"/>
  <c r="W29" i="112"/>
  <c r="X29" i="112"/>
  <c r="U30" i="112"/>
  <c r="V30" i="112"/>
  <c r="W30" i="112"/>
  <c r="X30" i="112"/>
  <c r="U31" i="112"/>
  <c r="V31" i="112"/>
  <c r="W31" i="112"/>
  <c r="X31" i="112"/>
  <c r="U32" i="112"/>
  <c r="V32" i="112"/>
  <c r="W32" i="112"/>
  <c r="X32" i="112"/>
  <c r="U33" i="112"/>
  <c r="V33" i="112"/>
  <c r="W33" i="112"/>
  <c r="X33" i="112"/>
  <c r="U34" i="112"/>
  <c r="V34" i="112"/>
  <c r="W34" i="112"/>
  <c r="X34" i="112"/>
  <c r="U35" i="112"/>
  <c r="V35" i="112"/>
  <c r="W35" i="112"/>
  <c r="X35" i="112"/>
  <c r="U36" i="112"/>
  <c r="V36" i="112"/>
  <c r="W36" i="112"/>
  <c r="X36" i="112"/>
  <c r="U37" i="112"/>
  <c r="V37" i="112"/>
  <c r="W37" i="112"/>
  <c r="X37" i="112"/>
  <c r="U38" i="112"/>
  <c r="V38" i="112"/>
  <c r="W38" i="112"/>
  <c r="X38" i="112"/>
  <c r="U39" i="112"/>
  <c r="V39" i="112"/>
  <c r="W39" i="112"/>
  <c r="X39" i="112"/>
  <c r="U40" i="112"/>
  <c r="V40" i="112"/>
  <c r="W40" i="112"/>
  <c r="X40" i="112"/>
  <c r="U41" i="112"/>
  <c r="V41" i="112"/>
  <c r="W41" i="112"/>
  <c r="X41" i="112"/>
  <c r="U42" i="112"/>
  <c r="V42" i="112"/>
  <c r="W42" i="112"/>
  <c r="X42" i="112"/>
  <c r="U43" i="112"/>
  <c r="V43" i="112"/>
  <c r="W43" i="112"/>
  <c r="X43" i="112"/>
  <c r="U44" i="112"/>
  <c r="V44" i="112"/>
  <c r="W44" i="112"/>
  <c r="X44" i="112"/>
  <c r="U45" i="112"/>
  <c r="V45" i="112"/>
  <c r="W45" i="112"/>
  <c r="X45" i="112"/>
  <c r="U46" i="112"/>
  <c r="V46" i="112"/>
  <c r="W46" i="112"/>
  <c r="X46" i="112"/>
  <c r="U47" i="112"/>
  <c r="V47" i="112"/>
  <c r="W47" i="112"/>
  <c r="X47" i="112"/>
  <c r="U48" i="112"/>
  <c r="V48" i="112"/>
  <c r="W48" i="112"/>
  <c r="X48" i="112"/>
  <c r="U49" i="112"/>
  <c r="V49" i="112"/>
  <c r="W49" i="112"/>
  <c r="X49" i="112"/>
  <c r="U50" i="112"/>
  <c r="V50" i="112"/>
  <c r="W50" i="112"/>
  <c r="X50" i="112"/>
  <c r="U51" i="112"/>
  <c r="V51" i="112"/>
  <c r="W51" i="112"/>
  <c r="X51" i="112"/>
  <c r="U52" i="112"/>
  <c r="V52" i="112"/>
  <c r="W52" i="112"/>
  <c r="X52" i="112"/>
  <c r="U53" i="112"/>
  <c r="V53" i="112"/>
  <c r="W53" i="112"/>
  <c r="X53" i="112"/>
  <c r="U54" i="112"/>
  <c r="V54" i="112"/>
  <c r="W54" i="112"/>
  <c r="X54" i="112"/>
  <c r="U55" i="112"/>
  <c r="V55" i="112"/>
  <c r="W55" i="112"/>
  <c r="X55" i="112"/>
  <c r="U56" i="112"/>
  <c r="V56" i="112"/>
  <c r="W56" i="112"/>
  <c r="X56" i="112"/>
  <c r="U57" i="112"/>
  <c r="V57" i="112"/>
  <c r="W57" i="112"/>
  <c r="X57" i="112"/>
  <c r="U58" i="112"/>
  <c r="V58" i="112"/>
  <c r="W58" i="112"/>
  <c r="X58" i="112"/>
  <c r="U59" i="112"/>
  <c r="V59" i="112"/>
  <c r="W59" i="112"/>
  <c r="X59" i="112"/>
  <c r="U60" i="112"/>
  <c r="V60" i="112"/>
  <c r="W60" i="112"/>
  <c r="X60" i="112"/>
  <c r="U61" i="112"/>
  <c r="V61" i="112"/>
  <c r="W61" i="112"/>
  <c r="X61" i="112"/>
  <c r="U62" i="112"/>
  <c r="V62" i="112"/>
  <c r="W62" i="112"/>
  <c r="X62" i="112"/>
  <c r="U63" i="112"/>
  <c r="V63" i="112"/>
  <c r="W63" i="112"/>
  <c r="X63" i="112"/>
  <c r="U64" i="112"/>
  <c r="V64" i="112"/>
  <c r="W64" i="112"/>
  <c r="X64" i="112"/>
  <c r="U65" i="112"/>
  <c r="V65" i="112"/>
  <c r="W65" i="112"/>
  <c r="X65" i="112"/>
  <c r="U66" i="112"/>
  <c r="V66" i="112"/>
  <c r="W66" i="112"/>
  <c r="X66" i="112"/>
  <c r="U67" i="112"/>
  <c r="V67" i="112"/>
  <c r="W67" i="112"/>
  <c r="X67" i="112"/>
  <c r="U68" i="112"/>
  <c r="V68" i="112"/>
  <c r="W68" i="112"/>
  <c r="X68" i="112"/>
  <c r="U69" i="112"/>
  <c r="V69" i="112"/>
  <c r="W69" i="112"/>
  <c r="X69" i="112"/>
  <c r="U70" i="112"/>
  <c r="V70" i="112"/>
  <c r="W70" i="112"/>
  <c r="X70" i="112"/>
  <c r="U71" i="112"/>
  <c r="V71" i="112"/>
  <c r="W71" i="112"/>
  <c r="X71" i="112"/>
  <c r="U72" i="112"/>
  <c r="V72" i="112"/>
  <c r="W72" i="112"/>
  <c r="X72" i="112"/>
  <c r="U73" i="112"/>
  <c r="V73" i="112"/>
  <c r="W73" i="112"/>
  <c r="X73" i="112"/>
  <c r="U74" i="112"/>
  <c r="V74" i="112"/>
  <c r="W74" i="112"/>
  <c r="X74" i="112"/>
  <c r="U75" i="112"/>
  <c r="V75" i="112"/>
  <c r="W75" i="112"/>
  <c r="X75" i="112"/>
  <c r="U76" i="112"/>
  <c r="V76" i="112"/>
  <c r="W76" i="112"/>
  <c r="X76" i="112"/>
  <c r="U77" i="112"/>
  <c r="V77" i="112"/>
  <c r="W77" i="112"/>
  <c r="X77" i="112"/>
  <c r="U29" i="113"/>
  <c r="V29" i="113"/>
  <c r="W29" i="113"/>
  <c r="X29" i="113"/>
  <c r="U30" i="113"/>
  <c r="V30" i="113"/>
  <c r="W30" i="113"/>
  <c r="X30" i="113"/>
  <c r="U31" i="113"/>
  <c r="V31" i="113"/>
  <c r="W31" i="113"/>
  <c r="X31" i="113"/>
  <c r="U32" i="113"/>
  <c r="V32" i="113"/>
  <c r="W32" i="113"/>
  <c r="X32" i="113"/>
  <c r="U33" i="113"/>
  <c r="V33" i="113"/>
  <c r="W33" i="113"/>
  <c r="X33" i="113"/>
  <c r="U34" i="113"/>
  <c r="V34" i="113"/>
  <c r="W34" i="113"/>
  <c r="X34" i="113"/>
  <c r="U35" i="113"/>
  <c r="V35" i="113"/>
  <c r="W35" i="113"/>
  <c r="X35" i="113"/>
  <c r="U36" i="113"/>
  <c r="V36" i="113"/>
  <c r="W36" i="113"/>
  <c r="X36" i="113"/>
  <c r="U37" i="113"/>
  <c r="V37" i="113"/>
  <c r="W37" i="113"/>
  <c r="X37" i="113"/>
  <c r="U38" i="113"/>
  <c r="V38" i="113"/>
  <c r="W38" i="113"/>
  <c r="X38" i="113"/>
  <c r="U39" i="113"/>
  <c r="V39" i="113"/>
  <c r="W39" i="113"/>
  <c r="X39" i="113"/>
  <c r="U40" i="113"/>
  <c r="V40" i="113"/>
  <c r="W40" i="113"/>
  <c r="X40" i="113"/>
  <c r="U41" i="113"/>
  <c r="V41" i="113"/>
  <c r="W41" i="113"/>
  <c r="X41" i="113"/>
  <c r="U42" i="113"/>
  <c r="V42" i="113"/>
  <c r="W42" i="113"/>
  <c r="X42" i="113"/>
  <c r="U43" i="113"/>
  <c r="V43" i="113"/>
  <c r="W43" i="113"/>
  <c r="X43" i="113"/>
  <c r="U44" i="113"/>
  <c r="V44" i="113"/>
  <c r="W44" i="113"/>
  <c r="X44" i="113"/>
  <c r="U45" i="113"/>
  <c r="V45" i="113"/>
  <c r="W45" i="113"/>
  <c r="X45" i="113"/>
  <c r="U46" i="113"/>
  <c r="V46" i="113"/>
  <c r="W46" i="113"/>
  <c r="X46" i="113"/>
  <c r="U47" i="113"/>
  <c r="V47" i="113"/>
  <c r="W47" i="113"/>
  <c r="X47" i="113"/>
  <c r="U48" i="113"/>
  <c r="V48" i="113"/>
  <c r="W48" i="113"/>
  <c r="X48" i="113"/>
  <c r="U49" i="113"/>
  <c r="V49" i="113"/>
  <c r="W49" i="113"/>
  <c r="X49" i="113"/>
  <c r="U50" i="113"/>
  <c r="V50" i="113"/>
  <c r="W50" i="113"/>
  <c r="X50" i="113"/>
  <c r="U51" i="113"/>
  <c r="V51" i="113"/>
  <c r="W51" i="113"/>
  <c r="X51" i="113"/>
  <c r="U52" i="113"/>
  <c r="V52" i="113"/>
  <c r="W52" i="113"/>
  <c r="X52" i="113"/>
  <c r="U53" i="113"/>
  <c r="V53" i="113"/>
  <c r="W53" i="113"/>
  <c r="X53" i="113"/>
  <c r="U54" i="113"/>
  <c r="V54" i="113"/>
  <c r="W54" i="113"/>
  <c r="X54" i="113"/>
  <c r="U55" i="113"/>
  <c r="V55" i="113"/>
  <c r="W55" i="113"/>
  <c r="X55" i="113"/>
  <c r="U56" i="113"/>
  <c r="V56" i="113"/>
  <c r="W56" i="113"/>
  <c r="X56" i="113"/>
  <c r="U57" i="113"/>
  <c r="V57" i="113"/>
  <c r="W57" i="113"/>
  <c r="X57" i="113"/>
  <c r="U58" i="113"/>
  <c r="V58" i="113"/>
  <c r="W58" i="113"/>
  <c r="X58" i="113"/>
  <c r="U59" i="113"/>
  <c r="V59" i="113"/>
  <c r="W59" i="113"/>
  <c r="X59" i="113"/>
  <c r="U60" i="113"/>
  <c r="V60" i="113"/>
  <c r="W60" i="113"/>
  <c r="X60" i="113"/>
  <c r="U61" i="113"/>
  <c r="V61" i="113"/>
  <c r="W61" i="113"/>
  <c r="X61" i="113"/>
  <c r="U62" i="113"/>
  <c r="V62" i="113"/>
  <c r="W62" i="113"/>
  <c r="X62" i="113"/>
  <c r="U63" i="113"/>
  <c r="V63" i="113"/>
  <c r="W63" i="113"/>
  <c r="X63" i="113"/>
  <c r="U64" i="113"/>
  <c r="V64" i="113"/>
  <c r="W64" i="113"/>
  <c r="X64" i="113"/>
  <c r="U65" i="113"/>
  <c r="V65" i="113"/>
  <c r="W65" i="113"/>
  <c r="X65" i="113"/>
  <c r="U66" i="113"/>
  <c r="V66" i="113"/>
  <c r="W66" i="113"/>
  <c r="X66" i="113"/>
  <c r="U67" i="113"/>
  <c r="V67" i="113"/>
  <c r="W67" i="113"/>
  <c r="X67" i="113"/>
  <c r="U68" i="113"/>
  <c r="V68" i="113"/>
  <c r="W68" i="113"/>
  <c r="X68" i="113"/>
  <c r="U69" i="113"/>
  <c r="V69" i="113"/>
  <c r="W69" i="113"/>
  <c r="X69" i="113"/>
  <c r="U70" i="113"/>
  <c r="V70" i="113"/>
  <c r="W70" i="113"/>
  <c r="X70" i="113"/>
  <c r="U71" i="113"/>
  <c r="V71" i="113"/>
  <c r="W71" i="113"/>
  <c r="X71" i="113"/>
  <c r="U72" i="113"/>
  <c r="V72" i="113"/>
  <c r="W72" i="113"/>
  <c r="X72" i="113"/>
  <c r="U73" i="113"/>
  <c r="V73" i="113"/>
  <c r="W73" i="113"/>
  <c r="X73" i="113"/>
  <c r="U74" i="113"/>
  <c r="V74" i="113"/>
  <c r="W74" i="113"/>
  <c r="X74" i="113"/>
  <c r="U75" i="113"/>
  <c r="V75" i="113"/>
  <c r="W75" i="113"/>
  <c r="X75" i="113"/>
  <c r="U76" i="113"/>
  <c r="V76" i="113"/>
  <c r="W76" i="113"/>
  <c r="X76" i="113"/>
  <c r="U77" i="113"/>
  <c r="V77" i="113"/>
  <c r="W77" i="113"/>
  <c r="X77" i="113"/>
  <c r="U29" i="114"/>
  <c r="V29" i="114"/>
  <c r="W29" i="114"/>
  <c r="X29" i="114"/>
  <c r="U30" i="114"/>
  <c r="V30" i="114"/>
  <c r="W30" i="114"/>
  <c r="X30" i="114"/>
  <c r="U31" i="114"/>
  <c r="V31" i="114"/>
  <c r="W31" i="114"/>
  <c r="X31" i="114"/>
  <c r="U32" i="114"/>
  <c r="V32" i="114"/>
  <c r="W32" i="114"/>
  <c r="X32" i="114"/>
  <c r="U33" i="114"/>
  <c r="V33" i="114"/>
  <c r="W33" i="114"/>
  <c r="X33" i="114"/>
  <c r="U34" i="114"/>
  <c r="V34" i="114"/>
  <c r="W34" i="114"/>
  <c r="X34" i="114"/>
  <c r="U35" i="114"/>
  <c r="V35" i="114"/>
  <c r="W35" i="114"/>
  <c r="X35" i="114"/>
  <c r="U36" i="114"/>
  <c r="V36" i="114"/>
  <c r="W36" i="114"/>
  <c r="X36" i="114"/>
  <c r="U37" i="114"/>
  <c r="V37" i="114"/>
  <c r="W37" i="114"/>
  <c r="X37" i="114"/>
  <c r="U38" i="114"/>
  <c r="V38" i="114"/>
  <c r="W38" i="114"/>
  <c r="X38" i="114"/>
  <c r="U39" i="114"/>
  <c r="V39" i="114"/>
  <c r="W39" i="114"/>
  <c r="X39" i="114"/>
  <c r="U40" i="114"/>
  <c r="V40" i="114"/>
  <c r="W40" i="114"/>
  <c r="X40" i="114"/>
  <c r="U41" i="114"/>
  <c r="V41" i="114"/>
  <c r="W41" i="114"/>
  <c r="X41" i="114"/>
  <c r="U42" i="114"/>
  <c r="V42" i="114"/>
  <c r="W42" i="114"/>
  <c r="X42" i="114"/>
  <c r="U43" i="114"/>
  <c r="V43" i="114"/>
  <c r="W43" i="114"/>
  <c r="X43" i="114"/>
  <c r="U44" i="114"/>
  <c r="V44" i="114"/>
  <c r="W44" i="114"/>
  <c r="X44" i="114"/>
  <c r="U45" i="114"/>
  <c r="V45" i="114"/>
  <c r="W45" i="114"/>
  <c r="X45" i="114"/>
  <c r="U46" i="114"/>
  <c r="V46" i="114"/>
  <c r="W46" i="114"/>
  <c r="X46" i="114"/>
  <c r="U47" i="114"/>
  <c r="V47" i="114"/>
  <c r="W47" i="114"/>
  <c r="X47" i="114"/>
  <c r="U48" i="114"/>
  <c r="V48" i="114"/>
  <c r="W48" i="114"/>
  <c r="X48" i="114"/>
  <c r="U49" i="114"/>
  <c r="V49" i="114"/>
  <c r="W49" i="114"/>
  <c r="X49" i="114"/>
  <c r="U50" i="114"/>
  <c r="V50" i="114"/>
  <c r="W50" i="114"/>
  <c r="X50" i="114"/>
  <c r="U51" i="114"/>
  <c r="V51" i="114"/>
  <c r="W51" i="114"/>
  <c r="X51" i="114"/>
  <c r="U52" i="114"/>
  <c r="V52" i="114"/>
  <c r="W52" i="114"/>
  <c r="X52" i="114"/>
  <c r="U53" i="114"/>
  <c r="V53" i="114"/>
  <c r="W53" i="114"/>
  <c r="X53" i="114"/>
  <c r="U54" i="114"/>
  <c r="V54" i="114"/>
  <c r="W54" i="114"/>
  <c r="X54" i="114"/>
  <c r="U55" i="114"/>
  <c r="V55" i="114"/>
  <c r="W55" i="114"/>
  <c r="X55" i="114"/>
  <c r="U56" i="114"/>
  <c r="V56" i="114"/>
  <c r="W56" i="114"/>
  <c r="X56" i="114"/>
  <c r="U57" i="114"/>
  <c r="V57" i="114"/>
  <c r="W57" i="114"/>
  <c r="X57" i="114"/>
  <c r="U58" i="114"/>
  <c r="V58" i="114"/>
  <c r="W58" i="114"/>
  <c r="X58" i="114"/>
  <c r="U59" i="114"/>
  <c r="V59" i="114"/>
  <c r="W59" i="114"/>
  <c r="X59" i="114"/>
  <c r="U60" i="114"/>
  <c r="V60" i="114"/>
  <c r="W60" i="114"/>
  <c r="X60" i="114"/>
  <c r="U61" i="114"/>
  <c r="V61" i="114"/>
  <c r="W61" i="114"/>
  <c r="X61" i="114"/>
  <c r="U62" i="114"/>
  <c r="V62" i="114"/>
  <c r="W62" i="114"/>
  <c r="X62" i="114"/>
  <c r="U63" i="114"/>
  <c r="V63" i="114"/>
  <c r="W63" i="114"/>
  <c r="X63" i="114"/>
  <c r="U64" i="114"/>
  <c r="V64" i="114"/>
  <c r="W64" i="114"/>
  <c r="X64" i="114"/>
  <c r="U65" i="114"/>
  <c r="V65" i="114"/>
  <c r="W65" i="114"/>
  <c r="X65" i="114"/>
  <c r="U66" i="114"/>
  <c r="V66" i="114"/>
  <c r="W66" i="114"/>
  <c r="X66" i="114"/>
  <c r="U67" i="114"/>
  <c r="V67" i="114"/>
  <c r="W67" i="114"/>
  <c r="X67" i="114"/>
  <c r="U68" i="114"/>
  <c r="V68" i="114"/>
  <c r="W68" i="114"/>
  <c r="X68" i="114"/>
  <c r="U69" i="114"/>
  <c r="V69" i="114"/>
  <c r="W69" i="114"/>
  <c r="X69" i="114"/>
  <c r="U70" i="114"/>
  <c r="V70" i="114"/>
  <c r="W70" i="114"/>
  <c r="X70" i="114"/>
  <c r="U71" i="114"/>
  <c r="V71" i="114"/>
  <c r="W71" i="114"/>
  <c r="X71" i="114"/>
  <c r="U72" i="114"/>
  <c r="V72" i="114"/>
  <c r="W72" i="114"/>
  <c r="X72" i="114"/>
  <c r="U73" i="114"/>
  <c r="V73" i="114"/>
  <c r="W73" i="114"/>
  <c r="X73" i="114"/>
  <c r="U74" i="114"/>
  <c r="V74" i="114"/>
  <c r="W74" i="114"/>
  <c r="X74" i="114"/>
  <c r="U75" i="114"/>
  <c r="V75" i="114"/>
  <c r="W75" i="114"/>
  <c r="X75" i="114"/>
  <c r="U76" i="114"/>
  <c r="V76" i="114"/>
  <c r="W76" i="114"/>
  <c r="X76" i="114"/>
  <c r="U77" i="114"/>
  <c r="V77" i="114"/>
  <c r="W77" i="114"/>
  <c r="X77" i="114"/>
  <c r="U29" i="115"/>
  <c r="V29" i="115"/>
  <c r="W29" i="115"/>
  <c r="X29" i="115"/>
  <c r="U30" i="115"/>
  <c r="V30" i="115"/>
  <c r="W30" i="115"/>
  <c r="X30" i="115"/>
  <c r="U31" i="115"/>
  <c r="V31" i="115"/>
  <c r="W31" i="115"/>
  <c r="X31" i="115"/>
  <c r="U32" i="115"/>
  <c r="V32" i="115"/>
  <c r="W32" i="115"/>
  <c r="X32" i="115"/>
  <c r="U33" i="115"/>
  <c r="V33" i="115"/>
  <c r="W33" i="115"/>
  <c r="X33" i="115"/>
  <c r="U34" i="115"/>
  <c r="V34" i="115"/>
  <c r="W34" i="115"/>
  <c r="X34" i="115"/>
  <c r="U35" i="115"/>
  <c r="V35" i="115"/>
  <c r="W35" i="115"/>
  <c r="X35" i="115"/>
  <c r="U36" i="115"/>
  <c r="V36" i="115"/>
  <c r="W36" i="115"/>
  <c r="X36" i="115"/>
  <c r="U37" i="115"/>
  <c r="V37" i="115"/>
  <c r="W37" i="115"/>
  <c r="X37" i="115"/>
  <c r="U38" i="115"/>
  <c r="V38" i="115"/>
  <c r="W38" i="115"/>
  <c r="X38" i="115"/>
  <c r="U39" i="115"/>
  <c r="V39" i="115"/>
  <c r="W39" i="115"/>
  <c r="X39" i="115"/>
  <c r="U40" i="115"/>
  <c r="V40" i="115"/>
  <c r="W40" i="115"/>
  <c r="X40" i="115"/>
  <c r="U41" i="115"/>
  <c r="V41" i="115"/>
  <c r="W41" i="115"/>
  <c r="X41" i="115"/>
  <c r="U42" i="115"/>
  <c r="V42" i="115"/>
  <c r="W42" i="115"/>
  <c r="X42" i="115"/>
  <c r="U43" i="115"/>
  <c r="V43" i="115"/>
  <c r="W43" i="115"/>
  <c r="X43" i="115"/>
  <c r="U44" i="115"/>
  <c r="V44" i="115"/>
  <c r="W44" i="115"/>
  <c r="X44" i="115"/>
  <c r="U45" i="115"/>
  <c r="V45" i="115"/>
  <c r="W45" i="115"/>
  <c r="X45" i="115"/>
  <c r="U46" i="115"/>
  <c r="V46" i="115"/>
  <c r="W46" i="115"/>
  <c r="X46" i="115"/>
  <c r="U47" i="115"/>
  <c r="V47" i="115"/>
  <c r="W47" i="115"/>
  <c r="X47" i="115"/>
  <c r="U48" i="115"/>
  <c r="V48" i="115"/>
  <c r="W48" i="115"/>
  <c r="X48" i="115"/>
  <c r="U49" i="115"/>
  <c r="V49" i="115"/>
  <c r="W49" i="115"/>
  <c r="X49" i="115"/>
  <c r="U50" i="115"/>
  <c r="V50" i="115"/>
  <c r="W50" i="115"/>
  <c r="X50" i="115"/>
  <c r="U51" i="115"/>
  <c r="V51" i="115"/>
  <c r="W51" i="115"/>
  <c r="X51" i="115"/>
  <c r="U52" i="115"/>
  <c r="V52" i="115"/>
  <c r="W52" i="115"/>
  <c r="X52" i="115"/>
  <c r="U53" i="115"/>
  <c r="V53" i="115"/>
  <c r="W53" i="115"/>
  <c r="X53" i="115"/>
  <c r="U54" i="115"/>
  <c r="V54" i="115"/>
  <c r="W54" i="115"/>
  <c r="X54" i="115"/>
  <c r="U55" i="115"/>
  <c r="V55" i="115"/>
  <c r="W55" i="115"/>
  <c r="X55" i="115"/>
  <c r="U56" i="115"/>
  <c r="V56" i="115"/>
  <c r="W56" i="115"/>
  <c r="X56" i="115"/>
  <c r="U57" i="115"/>
  <c r="V57" i="115"/>
  <c r="W57" i="115"/>
  <c r="X57" i="115"/>
  <c r="U58" i="115"/>
  <c r="V58" i="115"/>
  <c r="W58" i="115"/>
  <c r="X58" i="115"/>
  <c r="U59" i="115"/>
  <c r="V59" i="115"/>
  <c r="W59" i="115"/>
  <c r="X59" i="115"/>
  <c r="U60" i="115"/>
  <c r="V60" i="115"/>
  <c r="W60" i="115"/>
  <c r="X60" i="115"/>
  <c r="U61" i="115"/>
  <c r="V61" i="115"/>
  <c r="W61" i="115"/>
  <c r="X61" i="115"/>
  <c r="U62" i="115"/>
  <c r="V62" i="115"/>
  <c r="W62" i="115"/>
  <c r="X62" i="115"/>
  <c r="U63" i="115"/>
  <c r="V63" i="115"/>
  <c r="W63" i="115"/>
  <c r="X63" i="115"/>
  <c r="U64" i="115"/>
  <c r="V64" i="115"/>
  <c r="W64" i="115"/>
  <c r="X64" i="115"/>
  <c r="U65" i="115"/>
  <c r="V65" i="115"/>
  <c r="W65" i="115"/>
  <c r="X65" i="115"/>
  <c r="U66" i="115"/>
  <c r="V66" i="115"/>
  <c r="W66" i="115"/>
  <c r="X66" i="115"/>
  <c r="U67" i="115"/>
  <c r="V67" i="115"/>
  <c r="W67" i="115"/>
  <c r="X67" i="115"/>
  <c r="U68" i="115"/>
  <c r="V68" i="115"/>
  <c r="W68" i="115"/>
  <c r="X68" i="115"/>
  <c r="U69" i="115"/>
  <c r="V69" i="115"/>
  <c r="W69" i="115"/>
  <c r="X69" i="115"/>
  <c r="U70" i="115"/>
  <c r="V70" i="115"/>
  <c r="W70" i="115"/>
  <c r="X70" i="115"/>
  <c r="U71" i="115"/>
  <c r="V71" i="115"/>
  <c r="W71" i="115"/>
  <c r="X71" i="115"/>
  <c r="U72" i="115"/>
  <c r="V72" i="115"/>
  <c r="W72" i="115"/>
  <c r="X72" i="115"/>
  <c r="U73" i="115"/>
  <c r="V73" i="115"/>
  <c r="W73" i="115"/>
  <c r="X73" i="115"/>
  <c r="U74" i="115"/>
  <c r="V74" i="115"/>
  <c r="W74" i="115"/>
  <c r="X74" i="115"/>
  <c r="U75" i="115"/>
  <c r="V75" i="115"/>
  <c r="W75" i="115"/>
  <c r="X75" i="115"/>
  <c r="U76" i="115"/>
  <c r="V76" i="115"/>
  <c r="W76" i="115"/>
  <c r="X76" i="115"/>
  <c r="U77" i="115"/>
  <c r="V77" i="115"/>
  <c r="W77" i="115"/>
  <c r="X77" i="115"/>
  <c r="U29" i="116"/>
  <c r="V29" i="116"/>
  <c r="W29" i="116"/>
  <c r="X29" i="116"/>
  <c r="U30" i="116"/>
  <c r="V30" i="116"/>
  <c r="W30" i="116"/>
  <c r="X30" i="116"/>
  <c r="U31" i="116"/>
  <c r="V31" i="116"/>
  <c r="W31" i="116"/>
  <c r="X31" i="116"/>
  <c r="U32" i="116"/>
  <c r="V32" i="116"/>
  <c r="W32" i="116"/>
  <c r="X32" i="116"/>
  <c r="U33" i="116"/>
  <c r="V33" i="116"/>
  <c r="W33" i="116"/>
  <c r="X33" i="116"/>
  <c r="U34" i="116"/>
  <c r="V34" i="116"/>
  <c r="W34" i="116"/>
  <c r="X34" i="116"/>
  <c r="U35" i="116"/>
  <c r="V35" i="116"/>
  <c r="W35" i="116"/>
  <c r="X35" i="116"/>
  <c r="U36" i="116"/>
  <c r="V36" i="116"/>
  <c r="W36" i="116"/>
  <c r="X36" i="116"/>
  <c r="U37" i="116"/>
  <c r="V37" i="116"/>
  <c r="W37" i="116"/>
  <c r="X37" i="116"/>
  <c r="U38" i="116"/>
  <c r="V38" i="116"/>
  <c r="W38" i="116"/>
  <c r="X38" i="116"/>
  <c r="U39" i="116"/>
  <c r="V39" i="116"/>
  <c r="W39" i="116"/>
  <c r="X39" i="116"/>
  <c r="U40" i="116"/>
  <c r="V40" i="116"/>
  <c r="W40" i="116"/>
  <c r="X40" i="116"/>
  <c r="U41" i="116"/>
  <c r="V41" i="116"/>
  <c r="W41" i="116"/>
  <c r="X41" i="116"/>
  <c r="U42" i="116"/>
  <c r="V42" i="116"/>
  <c r="W42" i="116"/>
  <c r="X42" i="116"/>
  <c r="U43" i="116"/>
  <c r="V43" i="116"/>
  <c r="W43" i="116"/>
  <c r="X43" i="116"/>
  <c r="U44" i="116"/>
  <c r="V44" i="116"/>
  <c r="W44" i="116"/>
  <c r="X44" i="116"/>
  <c r="U45" i="116"/>
  <c r="V45" i="116"/>
  <c r="W45" i="116"/>
  <c r="X45" i="116"/>
  <c r="U46" i="116"/>
  <c r="V46" i="116"/>
  <c r="W46" i="116"/>
  <c r="X46" i="116"/>
  <c r="U47" i="116"/>
  <c r="V47" i="116"/>
  <c r="W47" i="116"/>
  <c r="X47" i="116"/>
  <c r="U48" i="116"/>
  <c r="V48" i="116"/>
  <c r="W48" i="116"/>
  <c r="X48" i="116"/>
  <c r="U49" i="116"/>
  <c r="V49" i="116"/>
  <c r="W49" i="116"/>
  <c r="X49" i="116"/>
  <c r="U50" i="116"/>
  <c r="V50" i="116"/>
  <c r="W50" i="116"/>
  <c r="X50" i="116"/>
  <c r="U51" i="116"/>
  <c r="V51" i="116"/>
  <c r="W51" i="116"/>
  <c r="X51" i="116"/>
  <c r="U52" i="116"/>
  <c r="V52" i="116"/>
  <c r="W52" i="116"/>
  <c r="X52" i="116"/>
  <c r="U53" i="116"/>
  <c r="V53" i="116"/>
  <c r="W53" i="116"/>
  <c r="X53" i="116"/>
  <c r="U54" i="116"/>
  <c r="V54" i="116"/>
  <c r="W54" i="116"/>
  <c r="X54" i="116"/>
  <c r="U55" i="116"/>
  <c r="V55" i="116"/>
  <c r="W55" i="116"/>
  <c r="X55" i="116"/>
  <c r="U56" i="116"/>
  <c r="V56" i="116"/>
  <c r="W56" i="116"/>
  <c r="X56" i="116"/>
  <c r="U57" i="116"/>
  <c r="V57" i="116"/>
  <c r="W57" i="116"/>
  <c r="X57" i="116"/>
  <c r="U58" i="116"/>
  <c r="V58" i="116"/>
  <c r="W58" i="116"/>
  <c r="X58" i="116"/>
  <c r="U59" i="116"/>
  <c r="V59" i="116"/>
  <c r="W59" i="116"/>
  <c r="X59" i="116"/>
  <c r="U60" i="116"/>
  <c r="V60" i="116"/>
  <c r="W60" i="116"/>
  <c r="X60" i="116"/>
  <c r="U61" i="116"/>
  <c r="V61" i="116"/>
  <c r="W61" i="116"/>
  <c r="X61" i="116"/>
  <c r="U62" i="116"/>
  <c r="V62" i="116"/>
  <c r="W62" i="116"/>
  <c r="X62" i="116"/>
  <c r="U63" i="116"/>
  <c r="V63" i="116"/>
  <c r="W63" i="116"/>
  <c r="X63" i="116"/>
  <c r="U64" i="116"/>
  <c r="V64" i="116"/>
  <c r="W64" i="116"/>
  <c r="X64" i="116"/>
  <c r="U65" i="116"/>
  <c r="V65" i="116"/>
  <c r="W65" i="116"/>
  <c r="X65" i="116"/>
  <c r="U66" i="116"/>
  <c r="V66" i="116"/>
  <c r="W66" i="116"/>
  <c r="X66" i="116"/>
  <c r="U67" i="116"/>
  <c r="V67" i="116"/>
  <c r="W67" i="116"/>
  <c r="X67" i="116"/>
  <c r="U68" i="116"/>
  <c r="V68" i="116"/>
  <c r="W68" i="116"/>
  <c r="X68" i="116"/>
  <c r="U69" i="116"/>
  <c r="V69" i="116"/>
  <c r="W69" i="116"/>
  <c r="X69" i="116"/>
  <c r="U70" i="116"/>
  <c r="V70" i="116"/>
  <c r="W70" i="116"/>
  <c r="X70" i="116"/>
  <c r="U71" i="116"/>
  <c r="V71" i="116"/>
  <c r="W71" i="116"/>
  <c r="X71" i="116"/>
  <c r="U72" i="116"/>
  <c r="V72" i="116"/>
  <c r="W72" i="116"/>
  <c r="X72" i="116"/>
  <c r="U73" i="116"/>
  <c r="V73" i="116"/>
  <c r="W73" i="116"/>
  <c r="X73" i="116"/>
  <c r="U74" i="116"/>
  <c r="V74" i="116"/>
  <c r="W74" i="116"/>
  <c r="X74" i="116"/>
  <c r="U75" i="116"/>
  <c r="V75" i="116"/>
  <c r="W75" i="116"/>
  <c r="X75" i="116"/>
  <c r="U76" i="116"/>
  <c r="V76" i="116"/>
  <c r="W76" i="116"/>
  <c r="X76" i="116"/>
  <c r="U77" i="116"/>
  <c r="V77" i="116"/>
  <c r="W77" i="116"/>
  <c r="X77" i="116"/>
  <c r="U29" i="117"/>
  <c r="V29" i="117"/>
  <c r="W29" i="117"/>
  <c r="X29" i="117"/>
  <c r="U30" i="117"/>
  <c r="V30" i="117"/>
  <c r="W30" i="117"/>
  <c r="X30" i="117"/>
  <c r="U31" i="117"/>
  <c r="V31" i="117"/>
  <c r="W31" i="117"/>
  <c r="X31" i="117"/>
  <c r="U32" i="117"/>
  <c r="V32" i="117"/>
  <c r="W32" i="117"/>
  <c r="X32" i="117"/>
  <c r="U33" i="117"/>
  <c r="V33" i="117"/>
  <c r="W33" i="117"/>
  <c r="X33" i="117"/>
  <c r="U34" i="117"/>
  <c r="V34" i="117"/>
  <c r="W34" i="117"/>
  <c r="X34" i="117"/>
  <c r="U35" i="117"/>
  <c r="V35" i="117"/>
  <c r="W35" i="117"/>
  <c r="X35" i="117"/>
  <c r="U36" i="117"/>
  <c r="V36" i="117"/>
  <c r="W36" i="117"/>
  <c r="X36" i="117"/>
  <c r="U37" i="117"/>
  <c r="V37" i="117"/>
  <c r="W37" i="117"/>
  <c r="X37" i="117"/>
  <c r="U38" i="117"/>
  <c r="V38" i="117"/>
  <c r="W38" i="117"/>
  <c r="X38" i="117"/>
  <c r="U39" i="117"/>
  <c r="V39" i="117"/>
  <c r="W39" i="117"/>
  <c r="X39" i="117"/>
  <c r="U40" i="117"/>
  <c r="V40" i="117"/>
  <c r="W40" i="117"/>
  <c r="X40" i="117"/>
  <c r="U41" i="117"/>
  <c r="V41" i="117"/>
  <c r="W41" i="117"/>
  <c r="X41" i="117"/>
  <c r="U42" i="117"/>
  <c r="V42" i="117"/>
  <c r="W42" i="117"/>
  <c r="X42" i="117"/>
  <c r="U43" i="117"/>
  <c r="V43" i="117"/>
  <c r="W43" i="117"/>
  <c r="X43" i="117"/>
  <c r="U44" i="117"/>
  <c r="V44" i="117"/>
  <c r="W44" i="117"/>
  <c r="X44" i="117"/>
  <c r="U45" i="117"/>
  <c r="V45" i="117"/>
  <c r="W45" i="117"/>
  <c r="X45" i="117"/>
  <c r="U46" i="117"/>
  <c r="V46" i="117"/>
  <c r="W46" i="117"/>
  <c r="X46" i="117"/>
  <c r="U47" i="117"/>
  <c r="V47" i="117"/>
  <c r="W47" i="117"/>
  <c r="X47" i="117"/>
  <c r="U48" i="117"/>
  <c r="V48" i="117"/>
  <c r="W48" i="117"/>
  <c r="X48" i="117"/>
  <c r="U49" i="117"/>
  <c r="V49" i="117"/>
  <c r="W49" i="117"/>
  <c r="X49" i="117"/>
  <c r="U50" i="117"/>
  <c r="V50" i="117"/>
  <c r="W50" i="117"/>
  <c r="X50" i="117"/>
  <c r="U51" i="117"/>
  <c r="V51" i="117"/>
  <c r="W51" i="117"/>
  <c r="X51" i="117"/>
  <c r="U52" i="117"/>
  <c r="V52" i="117"/>
  <c r="W52" i="117"/>
  <c r="X52" i="117"/>
  <c r="U53" i="117"/>
  <c r="V53" i="117"/>
  <c r="W53" i="117"/>
  <c r="X53" i="117"/>
  <c r="U54" i="117"/>
  <c r="V54" i="117"/>
  <c r="W54" i="117"/>
  <c r="X54" i="117"/>
  <c r="U55" i="117"/>
  <c r="V55" i="117"/>
  <c r="W55" i="117"/>
  <c r="X55" i="117"/>
  <c r="U56" i="117"/>
  <c r="V56" i="117"/>
  <c r="W56" i="117"/>
  <c r="X56" i="117"/>
  <c r="U57" i="117"/>
  <c r="V57" i="117"/>
  <c r="W57" i="117"/>
  <c r="X57" i="117"/>
  <c r="U58" i="117"/>
  <c r="V58" i="117"/>
  <c r="W58" i="117"/>
  <c r="X58" i="117"/>
  <c r="U59" i="117"/>
  <c r="V59" i="117"/>
  <c r="W59" i="117"/>
  <c r="X59" i="117"/>
  <c r="U60" i="117"/>
  <c r="V60" i="117"/>
  <c r="W60" i="117"/>
  <c r="X60" i="117"/>
  <c r="U61" i="117"/>
  <c r="V61" i="117"/>
  <c r="W61" i="117"/>
  <c r="X61" i="117"/>
  <c r="U62" i="117"/>
  <c r="V62" i="117"/>
  <c r="W62" i="117"/>
  <c r="X62" i="117"/>
  <c r="U63" i="117"/>
  <c r="V63" i="117"/>
  <c r="W63" i="117"/>
  <c r="X63" i="117"/>
  <c r="U64" i="117"/>
  <c r="V64" i="117"/>
  <c r="W64" i="117"/>
  <c r="X64" i="117"/>
  <c r="U65" i="117"/>
  <c r="V65" i="117"/>
  <c r="W65" i="117"/>
  <c r="X65" i="117"/>
  <c r="U66" i="117"/>
  <c r="V66" i="117"/>
  <c r="W66" i="117"/>
  <c r="X66" i="117"/>
  <c r="U67" i="117"/>
  <c r="V67" i="117"/>
  <c r="W67" i="117"/>
  <c r="X67" i="117"/>
  <c r="U68" i="117"/>
  <c r="V68" i="117"/>
  <c r="W68" i="117"/>
  <c r="X68" i="117"/>
  <c r="U69" i="117"/>
  <c r="V69" i="117"/>
  <c r="W69" i="117"/>
  <c r="X69" i="117"/>
  <c r="U70" i="117"/>
  <c r="V70" i="117"/>
  <c r="W70" i="117"/>
  <c r="X70" i="117"/>
  <c r="U71" i="117"/>
  <c r="V71" i="117"/>
  <c r="W71" i="117"/>
  <c r="X71" i="117"/>
  <c r="U72" i="117"/>
  <c r="V72" i="117"/>
  <c r="W72" i="117"/>
  <c r="X72" i="117"/>
  <c r="U73" i="117"/>
  <c r="V73" i="117"/>
  <c r="W73" i="117"/>
  <c r="X73" i="117"/>
  <c r="U74" i="117"/>
  <c r="V74" i="117"/>
  <c r="W74" i="117"/>
  <c r="X74" i="117"/>
  <c r="U75" i="117"/>
  <c r="V75" i="117"/>
  <c r="W75" i="117"/>
  <c r="X75" i="117"/>
  <c r="U76" i="117"/>
  <c r="V76" i="117"/>
  <c r="W76" i="117"/>
  <c r="X76" i="117"/>
  <c r="U77" i="117"/>
  <c r="V77" i="117"/>
  <c r="W77" i="117"/>
  <c r="X77" i="117"/>
  <c r="U29" i="118"/>
  <c r="V29" i="118"/>
  <c r="W29" i="118"/>
  <c r="X29" i="118"/>
  <c r="U30" i="118"/>
  <c r="V30" i="118"/>
  <c r="W30" i="118"/>
  <c r="X30" i="118"/>
  <c r="U31" i="118"/>
  <c r="V31" i="118"/>
  <c r="W31" i="118"/>
  <c r="X31" i="118"/>
  <c r="U32" i="118"/>
  <c r="V32" i="118"/>
  <c r="W32" i="118"/>
  <c r="X32" i="118"/>
  <c r="U33" i="118"/>
  <c r="V33" i="118"/>
  <c r="W33" i="118"/>
  <c r="X33" i="118"/>
  <c r="U34" i="118"/>
  <c r="V34" i="118"/>
  <c r="W34" i="118"/>
  <c r="X34" i="118"/>
  <c r="U35" i="118"/>
  <c r="V35" i="118"/>
  <c r="W35" i="118"/>
  <c r="X35" i="118"/>
  <c r="U36" i="118"/>
  <c r="V36" i="118"/>
  <c r="W36" i="118"/>
  <c r="X36" i="118"/>
  <c r="U37" i="118"/>
  <c r="V37" i="118"/>
  <c r="W37" i="118"/>
  <c r="X37" i="118"/>
  <c r="U38" i="118"/>
  <c r="V38" i="118"/>
  <c r="W38" i="118"/>
  <c r="X38" i="118"/>
  <c r="U39" i="118"/>
  <c r="V39" i="118"/>
  <c r="W39" i="118"/>
  <c r="X39" i="118"/>
  <c r="U40" i="118"/>
  <c r="V40" i="118"/>
  <c r="W40" i="118"/>
  <c r="X40" i="118"/>
  <c r="U41" i="118"/>
  <c r="V41" i="118"/>
  <c r="W41" i="118"/>
  <c r="X41" i="118"/>
  <c r="U42" i="118"/>
  <c r="V42" i="118"/>
  <c r="W42" i="118"/>
  <c r="X42" i="118"/>
  <c r="U43" i="118"/>
  <c r="V43" i="118"/>
  <c r="W43" i="118"/>
  <c r="X43" i="118"/>
  <c r="U44" i="118"/>
  <c r="V44" i="118"/>
  <c r="W44" i="118"/>
  <c r="X44" i="118"/>
  <c r="U45" i="118"/>
  <c r="V45" i="118"/>
  <c r="W45" i="118"/>
  <c r="X45" i="118"/>
  <c r="U46" i="118"/>
  <c r="V46" i="118"/>
  <c r="W46" i="118"/>
  <c r="X46" i="118"/>
  <c r="U47" i="118"/>
  <c r="V47" i="118"/>
  <c r="W47" i="118"/>
  <c r="X47" i="118"/>
  <c r="U48" i="118"/>
  <c r="V48" i="118"/>
  <c r="W48" i="118"/>
  <c r="X48" i="118"/>
  <c r="U49" i="118"/>
  <c r="V49" i="118"/>
  <c r="W49" i="118"/>
  <c r="X49" i="118"/>
  <c r="U50" i="118"/>
  <c r="V50" i="118"/>
  <c r="W50" i="118"/>
  <c r="X50" i="118"/>
  <c r="U51" i="118"/>
  <c r="V51" i="118"/>
  <c r="W51" i="118"/>
  <c r="X51" i="118"/>
  <c r="U52" i="118"/>
  <c r="V52" i="118"/>
  <c r="W52" i="118"/>
  <c r="X52" i="118"/>
  <c r="U53" i="118"/>
  <c r="V53" i="118"/>
  <c r="W53" i="118"/>
  <c r="X53" i="118"/>
  <c r="U54" i="118"/>
  <c r="V54" i="118"/>
  <c r="W54" i="118"/>
  <c r="X54" i="118"/>
  <c r="U55" i="118"/>
  <c r="V55" i="118"/>
  <c r="W55" i="118"/>
  <c r="X55" i="118"/>
  <c r="U56" i="118"/>
  <c r="V56" i="118"/>
  <c r="W56" i="118"/>
  <c r="X56" i="118"/>
  <c r="U57" i="118"/>
  <c r="V57" i="118"/>
  <c r="W57" i="118"/>
  <c r="X57" i="118"/>
  <c r="U58" i="118"/>
  <c r="V58" i="118"/>
  <c r="W58" i="118"/>
  <c r="X58" i="118"/>
  <c r="U59" i="118"/>
  <c r="V59" i="118"/>
  <c r="W59" i="118"/>
  <c r="X59" i="118"/>
  <c r="U60" i="118"/>
  <c r="V60" i="118"/>
  <c r="W60" i="118"/>
  <c r="X60" i="118"/>
  <c r="U61" i="118"/>
  <c r="V61" i="118"/>
  <c r="W61" i="118"/>
  <c r="X61" i="118"/>
  <c r="U62" i="118"/>
  <c r="V62" i="118"/>
  <c r="W62" i="118"/>
  <c r="X62" i="118"/>
  <c r="U63" i="118"/>
  <c r="V63" i="118"/>
  <c r="W63" i="118"/>
  <c r="X63" i="118"/>
  <c r="U64" i="118"/>
  <c r="V64" i="118"/>
  <c r="W64" i="118"/>
  <c r="X64" i="118"/>
  <c r="U65" i="118"/>
  <c r="V65" i="118"/>
  <c r="W65" i="118"/>
  <c r="X65" i="118"/>
  <c r="U66" i="118"/>
  <c r="V66" i="118"/>
  <c r="W66" i="118"/>
  <c r="X66" i="118"/>
  <c r="U67" i="118"/>
  <c r="V67" i="118"/>
  <c r="W67" i="118"/>
  <c r="X67" i="118"/>
  <c r="U68" i="118"/>
  <c r="V68" i="118"/>
  <c r="W68" i="118"/>
  <c r="X68" i="118"/>
  <c r="U69" i="118"/>
  <c r="V69" i="118"/>
  <c r="W69" i="118"/>
  <c r="X69" i="118"/>
  <c r="U70" i="118"/>
  <c r="V70" i="118"/>
  <c r="W70" i="118"/>
  <c r="X70" i="118"/>
  <c r="U71" i="118"/>
  <c r="V71" i="118"/>
  <c r="W71" i="118"/>
  <c r="X71" i="118"/>
  <c r="U72" i="118"/>
  <c r="V72" i="118"/>
  <c r="W72" i="118"/>
  <c r="X72" i="118"/>
  <c r="U73" i="118"/>
  <c r="V73" i="118"/>
  <c r="W73" i="118"/>
  <c r="X73" i="118"/>
  <c r="U74" i="118"/>
  <c r="V74" i="118"/>
  <c r="W74" i="118"/>
  <c r="X74" i="118"/>
  <c r="U75" i="118"/>
  <c r="V75" i="118"/>
  <c r="W75" i="118"/>
  <c r="X75" i="118"/>
  <c r="U76" i="118"/>
  <c r="V76" i="118"/>
  <c r="W76" i="118"/>
  <c r="X76" i="118"/>
  <c r="U77" i="118"/>
  <c r="V77" i="118"/>
  <c r="W77" i="118"/>
  <c r="X77" i="118"/>
  <c r="U29" i="119"/>
  <c r="V29" i="119"/>
  <c r="W29" i="119"/>
  <c r="X29" i="119"/>
  <c r="U30" i="119"/>
  <c r="V30" i="119"/>
  <c r="W30" i="119"/>
  <c r="X30" i="119"/>
  <c r="U31" i="119"/>
  <c r="V31" i="119"/>
  <c r="W31" i="119"/>
  <c r="X31" i="119"/>
  <c r="U32" i="119"/>
  <c r="V32" i="119"/>
  <c r="W32" i="119"/>
  <c r="X32" i="119"/>
  <c r="U33" i="119"/>
  <c r="V33" i="119"/>
  <c r="W33" i="119"/>
  <c r="X33" i="119"/>
  <c r="U34" i="119"/>
  <c r="V34" i="119"/>
  <c r="W34" i="119"/>
  <c r="X34" i="119"/>
  <c r="U35" i="119"/>
  <c r="V35" i="119"/>
  <c r="W35" i="119"/>
  <c r="X35" i="119"/>
  <c r="U36" i="119"/>
  <c r="V36" i="119"/>
  <c r="W36" i="119"/>
  <c r="X36" i="119"/>
  <c r="U37" i="119"/>
  <c r="V37" i="119"/>
  <c r="W37" i="119"/>
  <c r="X37" i="119"/>
  <c r="U38" i="119"/>
  <c r="V38" i="119"/>
  <c r="W38" i="119"/>
  <c r="X38" i="119"/>
  <c r="U39" i="119"/>
  <c r="V39" i="119"/>
  <c r="W39" i="119"/>
  <c r="X39" i="119"/>
  <c r="U40" i="119"/>
  <c r="V40" i="119"/>
  <c r="W40" i="119"/>
  <c r="X40" i="119"/>
  <c r="U41" i="119"/>
  <c r="V41" i="119"/>
  <c r="W41" i="119"/>
  <c r="X41" i="119"/>
  <c r="U42" i="119"/>
  <c r="V42" i="119"/>
  <c r="W42" i="119"/>
  <c r="X42" i="119"/>
  <c r="U43" i="119"/>
  <c r="V43" i="119"/>
  <c r="W43" i="119"/>
  <c r="X43" i="119"/>
  <c r="U44" i="119"/>
  <c r="V44" i="119"/>
  <c r="W44" i="119"/>
  <c r="X44" i="119"/>
  <c r="U45" i="119"/>
  <c r="V45" i="119"/>
  <c r="W45" i="119"/>
  <c r="X45" i="119"/>
  <c r="U46" i="119"/>
  <c r="V46" i="119"/>
  <c r="W46" i="119"/>
  <c r="X46" i="119"/>
  <c r="U47" i="119"/>
  <c r="V47" i="119"/>
  <c r="W47" i="119"/>
  <c r="X47" i="119"/>
  <c r="U48" i="119"/>
  <c r="V48" i="119"/>
  <c r="W48" i="119"/>
  <c r="X48" i="119"/>
  <c r="U49" i="119"/>
  <c r="V49" i="119"/>
  <c r="W49" i="119"/>
  <c r="X49" i="119"/>
  <c r="U50" i="119"/>
  <c r="V50" i="119"/>
  <c r="W50" i="119"/>
  <c r="X50" i="119"/>
  <c r="U51" i="119"/>
  <c r="V51" i="119"/>
  <c r="W51" i="119"/>
  <c r="X51" i="119"/>
  <c r="U52" i="119"/>
  <c r="V52" i="119"/>
  <c r="W52" i="119"/>
  <c r="X52" i="119"/>
  <c r="U53" i="119"/>
  <c r="V53" i="119"/>
  <c r="W53" i="119"/>
  <c r="X53" i="119"/>
  <c r="U54" i="119"/>
  <c r="V54" i="119"/>
  <c r="W54" i="119"/>
  <c r="X54" i="119"/>
  <c r="U55" i="119"/>
  <c r="V55" i="119"/>
  <c r="W55" i="119"/>
  <c r="X55" i="119"/>
  <c r="U56" i="119"/>
  <c r="V56" i="119"/>
  <c r="W56" i="119"/>
  <c r="X56" i="119"/>
  <c r="U57" i="119"/>
  <c r="V57" i="119"/>
  <c r="W57" i="119"/>
  <c r="X57" i="119"/>
  <c r="U58" i="119"/>
  <c r="V58" i="119"/>
  <c r="W58" i="119"/>
  <c r="X58" i="119"/>
  <c r="U59" i="119"/>
  <c r="V59" i="119"/>
  <c r="W59" i="119"/>
  <c r="X59" i="119"/>
  <c r="U60" i="119"/>
  <c r="V60" i="119"/>
  <c r="W60" i="119"/>
  <c r="X60" i="119"/>
  <c r="U61" i="119"/>
  <c r="V61" i="119"/>
  <c r="W61" i="119"/>
  <c r="X61" i="119"/>
  <c r="U62" i="119"/>
  <c r="V62" i="119"/>
  <c r="W62" i="119"/>
  <c r="X62" i="119"/>
  <c r="U63" i="119"/>
  <c r="V63" i="119"/>
  <c r="W63" i="119"/>
  <c r="X63" i="119"/>
  <c r="U64" i="119"/>
  <c r="V64" i="119"/>
  <c r="W64" i="119"/>
  <c r="X64" i="119"/>
  <c r="U65" i="119"/>
  <c r="V65" i="119"/>
  <c r="W65" i="119"/>
  <c r="X65" i="119"/>
  <c r="U66" i="119"/>
  <c r="V66" i="119"/>
  <c r="W66" i="119"/>
  <c r="X66" i="119"/>
  <c r="U67" i="119"/>
  <c r="V67" i="119"/>
  <c r="W67" i="119"/>
  <c r="X67" i="119"/>
  <c r="U68" i="119"/>
  <c r="V68" i="119"/>
  <c r="W68" i="119"/>
  <c r="X68" i="119"/>
  <c r="U69" i="119"/>
  <c r="V69" i="119"/>
  <c r="W69" i="119"/>
  <c r="X69" i="119"/>
  <c r="U70" i="119"/>
  <c r="V70" i="119"/>
  <c r="W70" i="119"/>
  <c r="X70" i="119"/>
  <c r="U71" i="119"/>
  <c r="V71" i="119"/>
  <c r="W71" i="119"/>
  <c r="X71" i="119"/>
  <c r="U72" i="119"/>
  <c r="V72" i="119"/>
  <c r="W72" i="119"/>
  <c r="X72" i="119"/>
  <c r="U73" i="119"/>
  <c r="V73" i="119"/>
  <c r="W73" i="119"/>
  <c r="X73" i="119"/>
  <c r="U74" i="119"/>
  <c r="V74" i="119"/>
  <c r="W74" i="119"/>
  <c r="X74" i="119"/>
  <c r="U75" i="119"/>
  <c r="V75" i="119"/>
  <c r="W75" i="119"/>
  <c r="X75" i="119"/>
  <c r="U76" i="119"/>
  <c r="V76" i="119"/>
  <c r="W76" i="119"/>
  <c r="X76" i="119"/>
  <c r="U77" i="119"/>
  <c r="V77" i="119"/>
  <c r="W77" i="119"/>
  <c r="X77" i="119"/>
  <c r="U29" i="120"/>
  <c r="V29" i="120"/>
  <c r="W29" i="120"/>
  <c r="X29" i="120"/>
  <c r="U30" i="120"/>
  <c r="V30" i="120"/>
  <c r="W30" i="120"/>
  <c r="X30" i="120"/>
  <c r="U31" i="120"/>
  <c r="V31" i="120"/>
  <c r="W31" i="120"/>
  <c r="X31" i="120"/>
  <c r="U32" i="120"/>
  <c r="V32" i="120"/>
  <c r="W32" i="120"/>
  <c r="X32" i="120"/>
  <c r="U33" i="120"/>
  <c r="V33" i="120"/>
  <c r="W33" i="120"/>
  <c r="X33" i="120"/>
  <c r="U34" i="120"/>
  <c r="V34" i="120"/>
  <c r="W34" i="120"/>
  <c r="X34" i="120"/>
  <c r="U35" i="120"/>
  <c r="V35" i="120"/>
  <c r="W35" i="120"/>
  <c r="X35" i="120"/>
  <c r="U36" i="120"/>
  <c r="V36" i="120"/>
  <c r="W36" i="120"/>
  <c r="X36" i="120"/>
  <c r="U37" i="120"/>
  <c r="V37" i="120"/>
  <c r="W37" i="120"/>
  <c r="X37" i="120"/>
  <c r="U38" i="120"/>
  <c r="V38" i="120"/>
  <c r="W38" i="120"/>
  <c r="X38" i="120"/>
  <c r="U39" i="120"/>
  <c r="V39" i="120"/>
  <c r="W39" i="120"/>
  <c r="X39" i="120"/>
  <c r="U40" i="120"/>
  <c r="V40" i="120"/>
  <c r="W40" i="120"/>
  <c r="X40" i="120"/>
  <c r="U41" i="120"/>
  <c r="V41" i="120"/>
  <c r="W41" i="120"/>
  <c r="X41" i="120"/>
  <c r="U42" i="120"/>
  <c r="V42" i="120"/>
  <c r="W42" i="120"/>
  <c r="X42" i="120"/>
  <c r="U43" i="120"/>
  <c r="V43" i="120"/>
  <c r="W43" i="120"/>
  <c r="X43" i="120"/>
  <c r="U44" i="120"/>
  <c r="V44" i="120"/>
  <c r="W44" i="120"/>
  <c r="X44" i="120"/>
  <c r="U45" i="120"/>
  <c r="V45" i="120"/>
  <c r="W45" i="120"/>
  <c r="X45" i="120"/>
  <c r="U46" i="120"/>
  <c r="V46" i="120"/>
  <c r="W46" i="120"/>
  <c r="X46" i="120"/>
  <c r="U47" i="120"/>
  <c r="V47" i="120"/>
  <c r="W47" i="120"/>
  <c r="X47" i="120"/>
  <c r="U48" i="120"/>
  <c r="V48" i="120"/>
  <c r="W48" i="120"/>
  <c r="X48" i="120"/>
  <c r="U49" i="120"/>
  <c r="V49" i="120"/>
  <c r="W49" i="120"/>
  <c r="X49" i="120"/>
  <c r="U50" i="120"/>
  <c r="V50" i="120"/>
  <c r="W50" i="120"/>
  <c r="X50" i="120"/>
  <c r="U51" i="120"/>
  <c r="V51" i="120"/>
  <c r="W51" i="120"/>
  <c r="X51" i="120"/>
  <c r="U52" i="120"/>
  <c r="V52" i="120"/>
  <c r="W52" i="120"/>
  <c r="X52" i="120"/>
  <c r="U53" i="120"/>
  <c r="V53" i="120"/>
  <c r="W53" i="120"/>
  <c r="X53" i="120"/>
  <c r="U54" i="120"/>
  <c r="V54" i="120"/>
  <c r="W54" i="120"/>
  <c r="X54" i="120"/>
  <c r="U55" i="120"/>
  <c r="V55" i="120"/>
  <c r="W55" i="120"/>
  <c r="X55" i="120"/>
  <c r="U56" i="120"/>
  <c r="V56" i="120"/>
  <c r="W56" i="120"/>
  <c r="X56" i="120"/>
  <c r="U57" i="120"/>
  <c r="V57" i="120"/>
  <c r="W57" i="120"/>
  <c r="X57" i="120"/>
  <c r="U58" i="120"/>
  <c r="V58" i="120"/>
  <c r="W58" i="120"/>
  <c r="X58" i="120"/>
  <c r="U59" i="120"/>
  <c r="V59" i="120"/>
  <c r="W59" i="120"/>
  <c r="X59" i="120"/>
  <c r="U60" i="120"/>
  <c r="V60" i="120"/>
  <c r="W60" i="120"/>
  <c r="X60" i="120"/>
  <c r="U61" i="120"/>
  <c r="V61" i="120"/>
  <c r="W61" i="120"/>
  <c r="X61" i="120"/>
  <c r="U62" i="120"/>
  <c r="V62" i="120"/>
  <c r="W62" i="120"/>
  <c r="X62" i="120"/>
  <c r="U63" i="120"/>
  <c r="V63" i="120"/>
  <c r="W63" i="120"/>
  <c r="X63" i="120"/>
  <c r="U64" i="120"/>
  <c r="V64" i="120"/>
  <c r="W64" i="120"/>
  <c r="X64" i="120"/>
  <c r="U65" i="120"/>
  <c r="V65" i="120"/>
  <c r="W65" i="120"/>
  <c r="X65" i="120"/>
  <c r="U66" i="120"/>
  <c r="V66" i="120"/>
  <c r="W66" i="120"/>
  <c r="X66" i="120"/>
  <c r="U67" i="120"/>
  <c r="V67" i="120"/>
  <c r="W67" i="120"/>
  <c r="X67" i="120"/>
  <c r="U68" i="120"/>
  <c r="V68" i="120"/>
  <c r="W68" i="120"/>
  <c r="X68" i="120"/>
  <c r="U69" i="120"/>
  <c r="V69" i="120"/>
  <c r="W69" i="120"/>
  <c r="X69" i="120"/>
  <c r="U70" i="120"/>
  <c r="V70" i="120"/>
  <c r="W70" i="120"/>
  <c r="X70" i="120"/>
  <c r="U71" i="120"/>
  <c r="V71" i="120"/>
  <c r="W71" i="120"/>
  <c r="X71" i="120"/>
  <c r="U72" i="120"/>
  <c r="V72" i="120"/>
  <c r="W72" i="120"/>
  <c r="X72" i="120"/>
  <c r="U73" i="120"/>
  <c r="V73" i="120"/>
  <c r="W73" i="120"/>
  <c r="X73" i="120"/>
  <c r="U74" i="120"/>
  <c r="V74" i="120"/>
  <c r="W74" i="120"/>
  <c r="X74" i="120"/>
  <c r="U75" i="120"/>
  <c r="V75" i="120"/>
  <c r="W75" i="120"/>
  <c r="X75" i="120"/>
  <c r="U76" i="120"/>
  <c r="V76" i="120"/>
  <c r="W76" i="120"/>
  <c r="X76" i="120"/>
  <c r="U77" i="120"/>
  <c r="V77" i="120"/>
  <c r="W77" i="120"/>
  <c r="X77" i="120"/>
  <c r="U29" i="121"/>
  <c r="V29" i="121"/>
  <c r="W29" i="121"/>
  <c r="X29" i="121"/>
  <c r="U30" i="121"/>
  <c r="V30" i="121"/>
  <c r="W30" i="121"/>
  <c r="X30" i="121"/>
  <c r="U31" i="121"/>
  <c r="V31" i="121"/>
  <c r="W31" i="121"/>
  <c r="X31" i="121"/>
  <c r="U32" i="121"/>
  <c r="V32" i="121"/>
  <c r="W32" i="121"/>
  <c r="X32" i="121"/>
  <c r="U33" i="121"/>
  <c r="V33" i="121"/>
  <c r="W33" i="121"/>
  <c r="X33" i="121"/>
  <c r="U34" i="121"/>
  <c r="V34" i="121"/>
  <c r="W34" i="121"/>
  <c r="X34" i="121"/>
  <c r="U35" i="121"/>
  <c r="V35" i="121"/>
  <c r="W35" i="121"/>
  <c r="X35" i="121"/>
  <c r="U36" i="121"/>
  <c r="V36" i="121"/>
  <c r="W36" i="121"/>
  <c r="X36" i="121"/>
  <c r="U37" i="121"/>
  <c r="V37" i="121"/>
  <c r="W37" i="121"/>
  <c r="X37" i="121"/>
  <c r="U38" i="121"/>
  <c r="V38" i="121"/>
  <c r="W38" i="121"/>
  <c r="X38" i="121"/>
  <c r="U39" i="121"/>
  <c r="V39" i="121"/>
  <c r="W39" i="121"/>
  <c r="X39" i="121"/>
  <c r="U40" i="121"/>
  <c r="V40" i="121"/>
  <c r="W40" i="121"/>
  <c r="X40" i="121"/>
  <c r="U41" i="121"/>
  <c r="V41" i="121"/>
  <c r="W41" i="121"/>
  <c r="X41" i="121"/>
  <c r="U42" i="121"/>
  <c r="V42" i="121"/>
  <c r="W42" i="121"/>
  <c r="X42" i="121"/>
  <c r="U43" i="121"/>
  <c r="V43" i="121"/>
  <c r="W43" i="121"/>
  <c r="X43" i="121"/>
  <c r="U44" i="121"/>
  <c r="V44" i="121"/>
  <c r="W44" i="121"/>
  <c r="X44" i="121"/>
  <c r="U45" i="121"/>
  <c r="V45" i="121"/>
  <c r="W45" i="121"/>
  <c r="X45" i="121"/>
  <c r="U46" i="121"/>
  <c r="V46" i="121"/>
  <c r="W46" i="121"/>
  <c r="X46" i="121"/>
  <c r="U47" i="121"/>
  <c r="V47" i="121"/>
  <c r="W47" i="121"/>
  <c r="X47" i="121"/>
  <c r="U48" i="121"/>
  <c r="V48" i="121"/>
  <c r="W48" i="121"/>
  <c r="X48" i="121"/>
  <c r="U49" i="121"/>
  <c r="V49" i="121"/>
  <c r="W49" i="121"/>
  <c r="X49" i="121"/>
  <c r="U50" i="121"/>
  <c r="V50" i="121"/>
  <c r="W50" i="121"/>
  <c r="X50" i="121"/>
  <c r="U51" i="121"/>
  <c r="V51" i="121"/>
  <c r="W51" i="121"/>
  <c r="X51" i="121"/>
  <c r="U52" i="121"/>
  <c r="V52" i="121"/>
  <c r="W52" i="121"/>
  <c r="X52" i="121"/>
  <c r="U53" i="121"/>
  <c r="V53" i="121"/>
  <c r="W53" i="121"/>
  <c r="X53" i="121"/>
  <c r="U54" i="121"/>
  <c r="V54" i="121"/>
  <c r="W54" i="121"/>
  <c r="X54" i="121"/>
  <c r="U55" i="121"/>
  <c r="V55" i="121"/>
  <c r="W55" i="121"/>
  <c r="X55" i="121"/>
  <c r="U56" i="121"/>
  <c r="V56" i="121"/>
  <c r="W56" i="121"/>
  <c r="X56" i="121"/>
  <c r="U57" i="121"/>
  <c r="V57" i="121"/>
  <c r="W57" i="121"/>
  <c r="X57" i="121"/>
  <c r="U58" i="121"/>
  <c r="V58" i="121"/>
  <c r="W58" i="121"/>
  <c r="X58" i="121"/>
  <c r="U59" i="121"/>
  <c r="V59" i="121"/>
  <c r="W59" i="121"/>
  <c r="X59" i="121"/>
  <c r="U60" i="121"/>
  <c r="V60" i="121"/>
  <c r="W60" i="121"/>
  <c r="X60" i="121"/>
  <c r="U61" i="121"/>
  <c r="V61" i="121"/>
  <c r="W61" i="121"/>
  <c r="X61" i="121"/>
  <c r="U62" i="121"/>
  <c r="V62" i="121"/>
  <c r="W62" i="121"/>
  <c r="X62" i="121"/>
  <c r="U63" i="121"/>
  <c r="V63" i="121"/>
  <c r="W63" i="121"/>
  <c r="X63" i="121"/>
  <c r="U64" i="121"/>
  <c r="V64" i="121"/>
  <c r="W64" i="121"/>
  <c r="X64" i="121"/>
  <c r="U65" i="121"/>
  <c r="V65" i="121"/>
  <c r="W65" i="121"/>
  <c r="X65" i="121"/>
  <c r="U66" i="121"/>
  <c r="V66" i="121"/>
  <c r="W66" i="121"/>
  <c r="X66" i="121"/>
  <c r="U67" i="121"/>
  <c r="V67" i="121"/>
  <c r="W67" i="121"/>
  <c r="X67" i="121"/>
  <c r="U68" i="121"/>
  <c r="V68" i="121"/>
  <c r="W68" i="121"/>
  <c r="X68" i="121"/>
  <c r="U69" i="121"/>
  <c r="V69" i="121"/>
  <c r="W69" i="121"/>
  <c r="X69" i="121"/>
  <c r="U70" i="121"/>
  <c r="V70" i="121"/>
  <c r="W70" i="121"/>
  <c r="X70" i="121"/>
  <c r="U71" i="121"/>
  <c r="V71" i="121"/>
  <c r="W71" i="121"/>
  <c r="X71" i="121"/>
  <c r="U72" i="121"/>
  <c r="V72" i="121"/>
  <c r="W72" i="121"/>
  <c r="X72" i="121"/>
  <c r="U73" i="121"/>
  <c r="V73" i="121"/>
  <c r="W73" i="121"/>
  <c r="X73" i="121"/>
  <c r="U74" i="121"/>
  <c r="V74" i="121"/>
  <c r="W74" i="121"/>
  <c r="X74" i="121"/>
  <c r="U75" i="121"/>
  <c r="V75" i="121"/>
  <c r="W75" i="121"/>
  <c r="X75" i="121"/>
  <c r="U76" i="121"/>
  <c r="V76" i="121"/>
  <c r="W76" i="121"/>
  <c r="X76" i="121"/>
  <c r="U77" i="121"/>
  <c r="V77" i="121"/>
  <c r="W77" i="121"/>
  <c r="X77" i="121"/>
  <c r="U29" i="122"/>
  <c r="V29" i="122"/>
  <c r="W29" i="122"/>
  <c r="X29" i="122"/>
  <c r="U30" i="122"/>
  <c r="V30" i="122"/>
  <c r="W30" i="122"/>
  <c r="X30" i="122"/>
  <c r="U31" i="122"/>
  <c r="V31" i="122"/>
  <c r="W31" i="122"/>
  <c r="X31" i="122"/>
  <c r="U32" i="122"/>
  <c r="V32" i="122"/>
  <c r="W32" i="122"/>
  <c r="X32" i="122"/>
  <c r="U33" i="122"/>
  <c r="V33" i="122"/>
  <c r="W33" i="122"/>
  <c r="X33" i="122"/>
  <c r="U34" i="122"/>
  <c r="V34" i="122"/>
  <c r="W34" i="122"/>
  <c r="X34" i="122"/>
  <c r="U35" i="122"/>
  <c r="V35" i="122"/>
  <c r="W35" i="122"/>
  <c r="X35" i="122"/>
  <c r="U36" i="122"/>
  <c r="V36" i="122"/>
  <c r="W36" i="122"/>
  <c r="X36" i="122"/>
  <c r="U37" i="122"/>
  <c r="V37" i="122"/>
  <c r="W37" i="122"/>
  <c r="X37" i="122"/>
  <c r="U38" i="122"/>
  <c r="V38" i="122"/>
  <c r="W38" i="122"/>
  <c r="X38" i="122"/>
  <c r="U39" i="122"/>
  <c r="V39" i="122"/>
  <c r="W39" i="122"/>
  <c r="X39" i="122"/>
  <c r="U40" i="122"/>
  <c r="V40" i="122"/>
  <c r="W40" i="122"/>
  <c r="X40" i="122"/>
  <c r="U41" i="122"/>
  <c r="V41" i="122"/>
  <c r="W41" i="122"/>
  <c r="X41" i="122"/>
  <c r="U42" i="122"/>
  <c r="V42" i="122"/>
  <c r="W42" i="122"/>
  <c r="X42" i="122"/>
  <c r="U43" i="122"/>
  <c r="V43" i="122"/>
  <c r="W43" i="122"/>
  <c r="X43" i="122"/>
  <c r="U44" i="122"/>
  <c r="V44" i="122"/>
  <c r="W44" i="122"/>
  <c r="X44" i="122"/>
  <c r="U45" i="122"/>
  <c r="V45" i="122"/>
  <c r="W45" i="122"/>
  <c r="X45" i="122"/>
  <c r="U46" i="122"/>
  <c r="V46" i="122"/>
  <c r="W46" i="122"/>
  <c r="X46" i="122"/>
  <c r="U47" i="122"/>
  <c r="V47" i="122"/>
  <c r="W47" i="122"/>
  <c r="X47" i="122"/>
  <c r="U48" i="122"/>
  <c r="V48" i="122"/>
  <c r="W48" i="122"/>
  <c r="X48" i="122"/>
  <c r="U49" i="122"/>
  <c r="V49" i="122"/>
  <c r="W49" i="122"/>
  <c r="X49" i="122"/>
  <c r="U50" i="122"/>
  <c r="V50" i="122"/>
  <c r="W50" i="122"/>
  <c r="X50" i="122"/>
  <c r="U51" i="122"/>
  <c r="V51" i="122"/>
  <c r="W51" i="122"/>
  <c r="X51" i="122"/>
  <c r="U52" i="122"/>
  <c r="V52" i="122"/>
  <c r="W52" i="122"/>
  <c r="X52" i="122"/>
  <c r="U53" i="122"/>
  <c r="V53" i="122"/>
  <c r="W53" i="122"/>
  <c r="X53" i="122"/>
  <c r="U54" i="122"/>
  <c r="V54" i="122"/>
  <c r="W54" i="122"/>
  <c r="X54" i="122"/>
  <c r="U55" i="122"/>
  <c r="V55" i="122"/>
  <c r="W55" i="122"/>
  <c r="X55" i="122"/>
  <c r="U56" i="122"/>
  <c r="V56" i="122"/>
  <c r="W56" i="122"/>
  <c r="X56" i="122"/>
  <c r="U57" i="122"/>
  <c r="V57" i="122"/>
  <c r="W57" i="122"/>
  <c r="X57" i="122"/>
  <c r="U58" i="122"/>
  <c r="V58" i="122"/>
  <c r="W58" i="122"/>
  <c r="X58" i="122"/>
  <c r="U59" i="122"/>
  <c r="V59" i="122"/>
  <c r="W59" i="122"/>
  <c r="X59" i="122"/>
  <c r="U60" i="122"/>
  <c r="V60" i="122"/>
  <c r="W60" i="122"/>
  <c r="X60" i="122"/>
  <c r="U61" i="122"/>
  <c r="V61" i="122"/>
  <c r="W61" i="122"/>
  <c r="X61" i="122"/>
  <c r="U62" i="122"/>
  <c r="V62" i="122"/>
  <c r="W62" i="122"/>
  <c r="X62" i="122"/>
  <c r="U63" i="122"/>
  <c r="V63" i="122"/>
  <c r="W63" i="122"/>
  <c r="X63" i="122"/>
  <c r="U64" i="122"/>
  <c r="V64" i="122"/>
  <c r="W64" i="122"/>
  <c r="X64" i="122"/>
  <c r="U65" i="122"/>
  <c r="V65" i="122"/>
  <c r="W65" i="122"/>
  <c r="X65" i="122"/>
  <c r="U66" i="122"/>
  <c r="V66" i="122"/>
  <c r="W66" i="122"/>
  <c r="X66" i="122"/>
  <c r="U67" i="122"/>
  <c r="V67" i="122"/>
  <c r="W67" i="122"/>
  <c r="X67" i="122"/>
  <c r="U68" i="122"/>
  <c r="V68" i="122"/>
  <c r="W68" i="122"/>
  <c r="X68" i="122"/>
  <c r="U69" i="122"/>
  <c r="V69" i="122"/>
  <c r="W69" i="122"/>
  <c r="X69" i="122"/>
  <c r="U70" i="122"/>
  <c r="V70" i="122"/>
  <c r="W70" i="122"/>
  <c r="X70" i="122"/>
  <c r="U71" i="122"/>
  <c r="V71" i="122"/>
  <c r="W71" i="122"/>
  <c r="X71" i="122"/>
  <c r="U72" i="122"/>
  <c r="V72" i="122"/>
  <c r="W72" i="122"/>
  <c r="X72" i="122"/>
  <c r="U73" i="122"/>
  <c r="V73" i="122"/>
  <c r="W73" i="122"/>
  <c r="X73" i="122"/>
  <c r="U74" i="122"/>
  <c r="V74" i="122"/>
  <c r="W74" i="122"/>
  <c r="X74" i="122"/>
  <c r="U75" i="122"/>
  <c r="V75" i="122"/>
  <c r="W75" i="122"/>
  <c r="X75" i="122"/>
  <c r="U76" i="122"/>
  <c r="V76" i="122"/>
  <c r="W76" i="122"/>
  <c r="X76" i="122"/>
  <c r="U77" i="122"/>
  <c r="V77" i="122"/>
  <c r="W77" i="122"/>
  <c r="X77" i="122"/>
  <c r="U29" i="123"/>
  <c r="V29" i="123"/>
  <c r="W29" i="123"/>
  <c r="X29" i="123"/>
  <c r="U30" i="123"/>
  <c r="V30" i="123"/>
  <c r="W30" i="123"/>
  <c r="X30" i="123"/>
  <c r="U31" i="123"/>
  <c r="V31" i="123"/>
  <c r="W31" i="123"/>
  <c r="X31" i="123"/>
  <c r="U32" i="123"/>
  <c r="V32" i="123"/>
  <c r="W32" i="123"/>
  <c r="X32" i="123"/>
  <c r="U33" i="123"/>
  <c r="V33" i="123"/>
  <c r="W33" i="123"/>
  <c r="X33" i="123"/>
  <c r="U34" i="123"/>
  <c r="V34" i="123"/>
  <c r="W34" i="123"/>
  <c r="X34" i="123"/>
  <c r="U35" i="123"/>
  <c r="V35" i="123"/>
  <c r="W35" i="123"/>
  <c r="X35" i="123"/>
  <c r="U36" i="123"/>
  <c r="V36" i="123"/>
  <c r="W36" i="123"/>
  <c r="X36" i="123"/>
  <c r="U37" i="123"/>
  <c r="V37" i="123"/>
  <c r="W37" i="123"/>
  <c r="X37" i="123"/>
  <c r="U38" i="123"/>
  <c r="V38" i="123"/>
  <c r="W38" i="123"/>
  <c r="X38" i="123"/>
  <c r="U39" i="123"/>
  <c r="V39" i="123"/>
  <c r="W39" i="123"/>
  <c r="X39" i="123"/>
  <c r="U40" i="123"/>
  <c r="V40" i="123"/>
  <c r="W40" i="123"/>
  <c r="X40" i="123"/>
  <c r="U41" i="123"/>
  <c r="V41" i="123"/>
  <c r="W41" i="123"/>
  <c r="X41" i="123"/>
  <c r="U42" i="123"/>
  <c r="V42" i="123"/>
  <c r="W42" i="123"/>
  <c r="X42" i="123"/>
  <c r="U43" i="123"/>
  <c r="V43" i="123"/>
  <c r="W43" i="123"/>
  <c r="X43" i="123"/>
  <c r="U44" i="123"/>
  <c r="V44" i="123"/>
  <c r="W44" i="123"/>
  <c r="X44" i="123"/>
  <c r="U45" i="123"/>
  <c r="V45" i="123"/>
  <c r="W45" i="123"/>
  <c r="X45" i="123"/>
  <c r="U46" i="123"/>
  <c r="V46" i="123"/>
  <c r="W46" i="123"/>
  <c r="X46" i="123"/>
  <c r="U47" i="123"/>
  <c r="V47" i="123"/>
  <c r="W47" i="123"/>
  <c r="X47" i="123"/>
  <c r="U48" i="123"/>
  <c r="V48" i="123"/>
  <c r="W48" i="123"/>
  <c r="X48" i="123"/>
  <c r="U49" i="123"/>
  <c r="V49" i="123"/>
  <c r="W49" i="123"/>
  <c r="X49" i="123"/>
  <c r="U50" i="123"/>
  <c r="V50" i="123"/>
  <c r="W50" i="123"/>
  <c r="X50" i="123"/>
  <c r="U51" i="123"/>
  <c r="V51" i="123"/>
  <c r="W51" i="123"/>
  <c r="X51" i="123"/>
  <c r="U52" i="123"/>
  <c r="V52" i="123"/>
  <c r="W52" i="123"/>
  <c r="X52" i="123"/>
  <c r="U53" i="123"/>
  <c r="V53" i="123"/>
  <c r="W53" i="123"/>
  <c r="X53" i="123"/>
  <c r="U54" i="123"/>
  <c r="V54" i="123"/>
  <c r="W54" i="123"/>
  <c r="X54" i="123"/>
  <c r="U55" i="123"/>
  <c r="V55" i="123"/>
  <c r="W55" i="123"/>
  <c r="X55" i="123"/>
  <c r="U56" i="123"/>
  <c r="V56" i="123"/>
  <c r="W56" i="123"/>
  <c r="X56" i="123"/>
  <c r="U57" i="123"/>
  <c r="V57" i="123"/>
  <c r="W57" i="123"/>
  <c r="X57" i="123"/>
  <c r="U58" i="123"/>
  <c r="V58" i="123"/>
  <c r="W58" i="123"/>
  <c r="X58" i="123"/>
  <c r="U59" i="123"/>
  <c r="V59" i="123"/>
  <c r="W59" i="123"/>
  <c r="X59" i="123"/>
  <c r="U60" i="123"/>
  <c r="V60" i="123"/>
  <c r="W60" i="123"/>
  <c r="X60" i="123"/>
  <c r="U61" i="123"/>
  <c r="V61" i="123"/>
  <c r="W61" i="123"/>
  <c r="X61" i="123"/>
  <c r="U62" i="123"/>
  <c r="V62" i="123"/>
  <c r="W62" i="123"/>
  <c r="X62" i="123"/>
  <c r="U63" i="123"/>
  <c r="V63" i="123"/>
  <c r="W63" i="123"/>
  <c r="X63" i="123"/>
  <c r="U64" i="123"/>
  <c r="V64" i="123"/>
  <c r="W64" i="123"/>
  <c r="X64" i="123"/>
  <c r="U65" i="123"/>
  <c r="V65" i="123"/>
  <c r="W65" i="123"/>
  <c r="X65" i="123"/>
  <c r="U66" i="123"/>
  <c r="V66" i="123"/>
  <c r="W66" i="123"/>
  <c r="X66" i="123"/>
  <c r="U67" i="123"/>
  <c r="V67" i="123"/>
  <c r="W67" i="123"/>
  <c r="X67" i="123"/>
  <c r="U68" i="123"/>
  <c r="V68" i="123"/>
  <c r="W68" i="123"/>
  <c r="X68" i="123"/>
  <c r="U69" i="123"/>
  <c r="V69" i="123"/>
  <c r="W69" i="123"/>
  <c r="X69" i="123"/>
  <c r="U70" i="123"/>
  <c r="V70" i="123"/>
  <c r="W70" i="123"/>
  <c r="X70" i="123"/>
  <c r="U71" i="123"/>
  <c r="V71" i="123"/>
  <c r="W71" i="123"/>
  <c r="X71" i="123"/>
  <c r="U72" i="123"/>
  <c r="V72" i="123"/>
  <c r="W72" i="123"/>
  <c r="X72" i="123"/>
  <c r="U73" i="123"/>
  <c r="V73" i="123"/>
  <c r="W73" i="123"/>
  <c r="X73" i="123"/>
  <c r="U74" i="123"/>
  <c r="V74" i="123"/>
  <c r="W74" i="123"/>
  <c r="X74" i="123"/>
  <c r="U75" i="123"/>
  <c r="V75" i="123"/>
  <c r="W75" i="123"/>
  <c r="X75" i="123"/>
  <c r="U76" i="123"/>
  <c r="V76" i="123"/>
  <c r="W76" i="123"/>
  <c r="X76" i="123"/>
  <c r="U77" i="123"/>
  <c r="V77" i="123"/>
  <c r="W77" i="123"/>
  <c r="X77" i="123"/>
  <c r="U29" i="124"/>
  <c r="V29" i="124"/>
  <c r="W29" i="124"/>
  <c r="X29" i="124"/>
  <c r="U30" i="124"/>
  <c r="V30" i="124"/>
  <c r="W30" i="124"/>
  <c r="X30" i="124"/>
  <c r="U31" i="124"/>
  <c r="V31" i="124"/>
  <c r="W31" i="124"/>
  <c r="X31" i="124"/>
  <c r="U32" i="124"/>
  <c r="V32" i="124"/>
  <c r="W32" i="124"/>
  <c r="X32" i="124"/>
  <c r="U33" i="124"/>
  <c r="V33" i="124"/>
  <c r="W33" i="124"/>
  <c r="X33" i="124"/>
  <c r="U34" i="124"/>
  <c r="V34" i="124"/>
  <c r="W34" i="124"/>
  <c r="X34" i="124"/>
  <c r="U35" i="124"/>
  <c r="V35" i="124"/>
  <c r="W35" i="124"/>
  <c r="X35" i="124"/>
  <c r="U36" i="124"/>
  <c r="V36" i="124"/>
  <c r="W36" i="124"/>
  <c r="X36" i="124"/>
  <c r="U37" i="124"/>
  <c r="V37" i="124"/>
  <c r="W37" i="124"/>
  <c r="X37" i="124"/>
  <c r="U38" i="124"/>
  <c r="V38" i="124"/>
  <c r="W38" i="124"/>
  <c r="X38" i="124"/>
  <c r="U39" i="124"/>
  <c r="V39" i="124"/>
  <c r="W39" i="124"/>
  <c r="X39" i="124"/>
  <c r="U40" i="124"/>
  <c r="V40" i="124"/>
  <c r="W40" i="124"/>
  <c r="X40" i="124"/>
  <c r="U41" i="124"/>
  <c r="V41" i="124"/>
  <c r="W41" i="124"/>
  <c r="X41" i="124"/>
  <c r="U42" i="124"/>
  <c r="V42" i="124"/>
  <c r="W42" i="124"/>
  <c r="X42" i="124"/>
  <c r="U43" i="124"/>
  <c r="V43" i="124"/>
  <c r="W43" i="124"/>
  <c r="X43" i="124"/>
  <c r="U44" i="124"/>
  <c r="V44" i="124"/>
  <c r="W44" i="124"/>
  <c r="X44" i="124"/>
  <c r="U45" i="124"/>
  <c r="V45" i="124"/>
  <c r="W45" i="124"/>
  <c r="X45" i="124"/>
  <c r="U46" i="124"/>
  <c r="V46" i="124"/>
  <c r="W46" i="124"/>
  <c r="X46" i="124"/>
  <c r="U47" i="124"/>
  <c r="V47" i="124"/>
  <c r="W47" i="124"/>
  <c r="X47" i="124"/>
  <c r="U48" i="124"/>
  <c r="V48" i="124"/>
  <c r="W48" i="124"/>
  <c r="X48" i="124"/>
  <c r="U49" i="124"/>
  <c r="V49" i="124"/>
  <c r="W49" i="124"/>
  <c r="X49" i="124"/>
  <c r="U50" i="124"/>
  <c r="V50" i="124"/>
  <c r="W50" i="124"/>
  <c r="X50" i="124"/>
  <c r="U51" i="124"/>
  <c r="V51" i="124"/>
  <c r="W51" i="124"/>
  <c r="X51" i="124"/>
  <c r="U52" i="124"/>
  <c r="V52" i="124"/>
  <c r="W52" i="124"/>
  <c r="X52" i="124"/>
  <c r="U53" i="124"/>
  <c r="V53" i="124"/>
  <c r="W53" i="124"/>
  <c r="X53" i="124"/>
  <c r="U54" i="124"/>
  <c r="V54" i="124"/>
  <c r="W54" i="124"/>
  <c r="X54" i="124"/>
  <c r="U55" i="124"/>
  <c r="V55" i="124"/>
  <c r="W55" i="124"/>
  <c r="X55" i="124"/>
  <c r="U56" i="124"/>
  <c r="V56" i="124"/>
  <c r="W56" i="124"/>
  <c r="X56" i="124"/>
  <c r="U57" i="124"/>
  <c r="V57" i="124"/>
  <c r="W57" i="124"/>
  <c r="X57" i="124"/>
  <c r="U58" i="124"/>
  <c r="V58" i="124"/>
  <c r="W58" i="124"/>
  <c r="X58" i="124"/>
  <c r="U59" i="124"/>
  <c r="V59" i="124"/>
  <c r="W59" i="124"/>
  <c r="X59" i="124"/>
  <c r="U60" i="124"/>
  <c r="V60" i="124"/>
  <c r="W60" i="124"/>
  <c r="X60" i="124"/>
  <c r="U61" i="124"/>
  <c r="V61" i="124"/>
  <c r="W61" i="124"/>
  <c r="X61" i="124"/>
  <c r="U62" i="124"/>
  <c r="V62" i="124"/>
  <c r="W62" i="124"/>
  <c r="X62" i="124"/>
  <c r="U63" i="124"/>
  <c r="V63" i="124"/>
  <c r="W63" i="124"/>
  <c r="X63" i="124"/>
  <c r="U64" i="124"/>
  <c r="V64" i="124"/>
  <c r="W64" i="124"/>
  <c r="X64" i="124"/>
  <c r="U65" i="124"/>
  <c r="V65" i="124"/>
  <c r="W65" i="124"/>
  <c r="X65" i="124"/>
  <c r="U66" i="124"/>
  <c r="V66" i="124"/>
  <c r="W66" i="124"/>
  <c r="X66" i="124"/>
  <c r="U67" i="124"/>
  <c r="V67" i="124"/>
  <c r="W67" i="124"/>
  <c r="X67" i="124"/>
  <c r="U68" i="124"/>
  <c r="V68" i="124"/>
  <c r="W68" i="124"/>
  <c r="X68" i="124"/>
  <c r="U69" i="124"/>
  <c r="V69" i="124"/>
  <c r="W69" i="124"/>
  <c r="X69" i="124"/>
  <c r="U70" i="124"/>
  <c r="V70" i="124"/>
  <c r="W70" i="124"/>
  <c r="X70" i="124"/>
  <c r="U71" i="124"/>
  <c r="V71" i="124"/>
  <c r="W71" i="124"/>
  <c r="X71" i="124"/>
  <c r="U72" i="124"/>
  <c r="V72" i="124"/>
  <c r="W72" i="124"/>
  <c r="X72" i="124"/>
  <c r="U73" i="124"/>
  <c r="V73" i="124"/>
  <c r="W73" i="124"/>
  <c r="X73" i="124"/>
  <c r="U74" i="124"/>
  <c r="V74" i="124"/>
  <c r="W74" i="124"/>
  <c r="X74" i="124"/>
  <c r="U75" i="124"/>
  <c r="V75" i="124"/>
  <c r="W75" i="124"/>
  <c r="X75" i="124"/>
  <c r="U76" i="124"/>
  <c r="V76" i="124"/>
  <c r="W76" i="124"/>
  <c r="X76" i="124"/>
  <c r="U77" i="124"/>
  <c r="V77" i="124"/>
  <c r="W77" i="124"/>
  <c r="X77" i="124"/>
  <c r="U29" i="125"/>
  <c r="V29" i="125"/>
  <c r="W29" i="125"/>
  <c r="X29" i="125"/>
  <c r="U30" i="125"/>
  <c r="V30" i="125"/>
  <c r="W30" i="125"/>
  <c r="X30" i="125"/>
  <c r="U31" i="125"/>
  <c r="V31" i="125"/>
  <c r="W31" i="125"/>
  <c r="X31" i="125"/>
  <c r="U32" i="125"/>
  <c r="V32" i="125"/>
  <c r="W32" i="125"/>
  <c r="X32" i="125"/>
  <c r="U33" i="125"/>
  <c r="V33" i="125"/>
  <c r="W33" i="125"/>
  <c r="X33" i="125"/>
  <c r="U34" i="125"/>
  <c r="V34" i="125"/>
  <c r="W34" i="125"/>
  <c r="X34" i="125"/>
  <c r="U35" i="125"/>
  <c r="V35" i="125"/>
  <c r="W35" i="125"/>
  <c r="X35" i="125"/>
  <c r="U36" i="125"/>
  <c r="V36" i="125"/>
  <c r="W36" i="125"/>
  <c r="X36" i="125"/>
  <c r="U37" i="125"/>
  <c r="V37" i="125"/>
  <c r="W37" i="125"/>
  <c r="X37" i="125"/>
  <c r="U38" i="125"/>
  <c r="V38" i="125"/>
  <c r="W38" i="125"/>
  <c r="X38" i="125"/>
  <c r="U39" i="125"/>
  <c r="V39" i="125"/>
  <c r="W39" i="125"/>
  <c r="X39" i="125"/>
  <c r="U40" i="125"/>
  <c r="V40" i="125"/>
  <c r="W40" i="125"/>
  <c r="X40" i="125"/>
  <c r="U41" i="125"/>
  <c r="V41" i="125"/>
  <c r="W41" i="125"/>
  <c r="X41" i="125"/>
  <c r="U42" i="125"/>
  <c r="V42" i="125"/>
  <c r="W42" i="125"/>
  <c r="X42" i="125"/>
  <c r="U43" i="125"/>
  <c r="V43" i="125"/>
  <c r="W43" i="125"/>
  <c r="X43" i="125"/>
  <c r="U44" i="125"/>
  <c r="V44" i="125"/>
  <c r="W44" i="125"/>
  <c r="X44" i="125"/>
  <c r="U45" i="125"/>
  <c r="V45" i="125"/>
  <c r="W45" i="125"/>
  <c r="X45" i="125"/>
  <c r="U46" i="125"/>
  <c r="V46" i="125"/>
  <c r="W46" i="125"/>
  <c r="X46" i="125"/>
  <c r="U47" i="125"/>
  <c r="V47" i="125"/>
  <c r="W47" i="125"/>
  <c r="X47" i="125"/>
  <c r="U48" i="125"/>
  <c r="V48" i="125"/>
  <c r="W48" i="125"/>
  <c r="X48" i="125"/>
  <c r="U49" i="125"/>
  <c r="V49" i="125"/>
  <c r="W49" i="125"/>
  <c r="X49" i="125"/>
  <c r="U50" i="125"/>
  <c r="V50" i="125"/>
  <c r="W50" i="125"/>
  <c r="X50" i="125"/>
  <c r="U51" i="125"/>
  <c r="V51" i="125"/>
  <c r="W51" i="125"/>
  <c r="X51" i="125"/>
  <c r="U52" i="125"/>
  <c r="V52" i="125"/>
  <c r="W52" i="125"/>
  <c r="X52" i="125"/>
  <c r="U53" i="125"/>
  <c r="V53" i="125"/>
  <c r="W53" i="125"/>
  <c r="X53" i="125"/>
  <c r="U54" i="125"/>
  <c r="V54" i="125"/>
  <c r="W54" i="125"/>
  <c r="X54" i="125"/>
  <c r="U55" i="125"/>
  <c r="V55" i="125"/>
  <c r="W55" i="125"/>
  <c r="X55" i="125"/>
  <c r="U56" i="125"/>
  <c r="V56" i="125"/>
  <c r="W56" i="125"/>
  <c r="X56" i="125"/>
  <c r="U57" i="125"/>
  <c r="V57" i="125"/>
  <c r="W57" i="125"/>
  <c r="X57" i="125"/>
  <c r="U58" i="125"/>
  <c r="V58" i="125"/>
  <c r="W58" i="125"/>
  <c r="X58" i="125"/>
  <c r="U59" i="125"/>
  <c r="V59" i="125"/>
  <c r="W59" i="125"/>
  <c r="X59" i="125"/>
  <c r="U60" i="125"/>
  <c r="V60" i="125"/>
  <c r="W60" i="125"/>
  <c r="X60" i="125"/>
  <c r="U61" i="125"/>
  <c r="V61" i="125"/>
  <c r="W61" i="125"/>
  <c r="X61" i="125"/>
  <c r="U62" i="125"/>
  <c r="V62" i="125"/>
  <c r="W62" i="125"/>
  <c r="X62" i="125"/>
  <c r="U63" i="125"/>
  <c r="V63" i="125"/>
  <c r="W63" i="125"/>
  <c r="X63" i="125"/>
  <c r="U64" i="125"/>
  <c r="V64" i="125"/>
  <c r="W64" i="125"/>
  <c r="X64" i="125"/>
  <c r="U65" i="125"/>
  <c r="V65" i="125"/>
  <c r="W65" i="125"/>
  <c r="X65" i="125"/>
  <c r="U66" i="125"/>
  <c r="V66" i="125"/>
  <c r="W66" i="125"/>
  <c r="X66" i="125"/>
  <c r="U67" i="125"/>
  <c r="V67" i="125"/>
  <c r="W67" i="125"/>
  <c r="X67" i="125"/>
  <c r="U68" i="125"/>
  <c r="V68" i="125"/>
  <c r="W68" i="125"/>
  <c r="X68" i="125"/>
  <c r="U69" i="125"/>
  <c r="V69" i="125"/>
  <c r="W69" i="125"/>
  <c r="X69" i="125"/>
  <c r="U70" i="125"/>
  <c r="V70" i="125"/>
  <c r="W70" i="125"/>
  <c r="X70" i="125"/>
  <c r="U71" i="125"/>
  <c r="V71" i="125"/>
  <c r="W71" i="125"/>
  <c r="X71" i="125"/>
  <c r="U72" i="125"/>
  <c r="V72" i="125"/>
  <c r="W72" i="125"/>
  <c r="X72" i="125"/>
  <c r="U73" i="125"/>
  <c r="V73" i="125"/>
  <c r="W73" i="125"/>
  <c r="X73" i="125"/>
  <c r="U74" i="125"/>
  <c r="V74" i="125"/>
  <c r="W74" i="125"/>
  <c r="X74" i="125"/>
  <c r="U75" i="125"/>
  <c r="V75" i="125"/>
  <c r="W75" i="125"/>
  <c r="X75" i="125"/>
  <c r="U76" i="125"/>
  <c r="V76" i="125"/>
  <c r="W76" i="125"/>
  <c r="X76" i="125"/>
  <c r="U77" i="125"/>
  <c r="V77" i="125"/>
  <c r="W77" i="125"/>
  <c r="X77" i="125"/>
  <c r="U29" i="126"/>
  <c r="V29" i="126"/>
  <c r="W29" i="126"/>
  <c r="X29" i="126"/>
  <c r="U30" i="126"/>
  <c r="V30" i="126"/>
  <c r="W30" i="126"/>
  <c r="X30" i="126"/>
  <c r="U31" i="126"/>
  <c r="V31" i="126"/>
  <c r="W31" i="126"/>
  <c r="X31" i="126"/>
  <c r="U32" i="126"/>
  <c r="V32" i="126"/>
  <c r="W32" i="126"/>
  <c r="X32" i="126"/>
  <c r="U33" i="126"/>
  <c r="V33" i="126"/>
  <c r="W33" i="126"/>
  <c r="X33" i="126"/>
  <c r="U34" i="126"/>
  <c r="V34" i="126"/>
  <c r="W34" i="126"/>
  <c r="X34" i="126"/>
  <c r="U35" i="126"/>
  <c r="V35" i="126"/>
  <c r="W35" i="126"/>
  <c r="X35" i="126"/>
  <c r="U36" i="126"/>
  <c r="V36" i="126"/>
  <c r="W36" i="126"/>
  <c r="X36" i="126"/>
  <c r="U37" i="126"/>
  <c r="V37" i="126"/>
  <c r="W37" i="126"/>
  <c r="X37" i="126"/>
  <c r="U38" i="126"/>
  <c r="V38" i="126"/>
  <c r="W38" i="126"/>
  <c r="X38" i="126"/>
  <c r="U39" i="126"/>
  <c r="V39" i="126"/>
  <c r="W39" i="126"/>
  <c r="X39" i="126"/>
  <c r="U40" i="126"/>
  <c r="V40" i="126"/>
  <c r="W40" i="126"/>
  <c r="X40" i="126"/>
  <c r="U41" i="126"/>
  <c r="V41" i="126"/>
  <c r="W41" i="126"/>
  <c r="X41" i="126"/>
  <c r="U42" i="126"/>
  <c r="V42" i="126"/>
  <c r="W42" i="126"/>
  <c r="X42" i="126"/>
  <c r="U43" i="126"/>
  <c r="V43" i="126"/>
  <c r="W43" i="126"/>
  <c r="X43" i="126"/>
  <c r="U44" i="126"/>
  <c r="V44" i="126"/>
  <c r="W44" i="126"/>
  <c r="X44" i="126"/>
  <c r="U45" i="126"/>
  <c r="V45" i="126"/>
  <c r="W45" i="126"/>
  <c r="X45" i="126"/>
  <c r="U46" i="126"/>
  <c r="V46" i="126"/>
  <c r="W46" i="126"/>
  <c r="X46" i="126"/>
  <c r="U47" i="126"/>
  <c r="V47" i="126"/>
  <c r="W47" i="126"/>
  <c r="X47" i="126"/>
  <c r="U48" i="126"/>
  <c r="V48" i="126"/>
  <c r="W48" i="126"/>
  <c r="X48" i="126"/>
  <c r="U49" i="126"/>
  <c r="V49" i="126"/>
  <c r="W49" i="126"/>
  <c r="X49" i="126"/>
  <c r="U50" i="126"/>
  <c r="V50" i="126"/>
  <c r="W50" i="126"/>
  <c r="X50" i="126"/>
  <c r="U51" i="126"/>
  <c r="V51" i="126"/>
  <c r="W51" i="126"/>
  <c r="X51" i="126"/>
  <c r="U52" i="126"/>
  <c r="V52" i="126"/>
  <c r="W52" i="126"/>
  <c r="X52" i="126"/>
  <c r="U53" i="126"/>
  <c r="V53" i="126"/>
  <c r="W53" i="126"/>
  <c r="X53" i="126"/>
  <c r="U54" i="126"/>
  <c r="V54" i="126"/>
  <c r="W54" i="126"/>
  <c r="X54" i="126"/>
  <c r="U55" i="126"/>
  <c r="V55" i="126"/>
  <c r="W55" i="126"/>
  <c r="X55" i="126"/>
  <c r="U56" i="126"/>
  <c r="V56" i="126"/>
  <c r="W56" i="126"/>
  <c r="X56" i="126"/>
  <c r="U57" i="126"/>
  <c r="V57" i="126"/>
  <c r="W57" i="126"/>
  <c r="X57" i="126"/>
  <c r="U58" i="126"/>
  <c r="V58" i="126"/>
  <c r="W58" i="126"/>
  <c r="X58" i="126"/>
  <c r="U59" i="126"/>
  <c r="V59" i="126"/>
  <c r="W59" i="126"/>
  <c r="X59" i="126"/>
  <c r="U60" i="126"/>
  <c r="V60" i="126"/>
  <c r="W60" i="126"/>
  <c r="X60" i="126"/>
  <c r="U61" i="126"/>
  <c r="V61" i="126"/>
  <c r="W61" i="126"/>
  <c r="X61" i="126"/>
  <c r="U62" i="126"/>
  <c r="V62" i="126"/>
  <c r="W62" i="126"/>
  <c r="X62" i="126"/>
  <c r="U63" i="126"/>
  <c r="V63" i="126"/>
  <c r="W63" i="126"/>
  <c r="X63" i="126"/>
  <c r="U64" i="126"/>
  <c r="V64" i="126"/>
  <c r="W64" i="126"/>
  <c r="X64" i="126"/>
  <c r="U65" i="126"/>
  <c r="V65" i="126"/>
  <c r="W65" i="126"/>
  <c r="X65" i="126"/>
  <c r="U66" i="126"/>
  <c r="V66" i="126"/>
  <c r="W66" i="126"/>
  <c r="X66" i="126"/>
  <c r="U67" i="126"/>
  <c r="V67" i="126"/>
  <c r="W67" i="126"/>
  <c r="X67" i="126"/>
  <c r="U68" i="126"/>
  <c r="V68" i="126"/>
  <c r="W68" i="126"/>
  <c r="X68" i="126"/>
  <c r="U69" i="126"/>
  <c r="V69" i="126"/>
  <c r="W69" i="126"/>
  <c r="X69" i="126"/>
  <c r="U70" i="126"/>
  <c r="V70" i="126"/>
  <c r="W70" i="126"/>
  <c r="X70" i="126"/>
  <c r="U71" i="126"/>
  <c r="V71" i="126"/>
  <c r="W71" i="126"/>
  <c r="X71" i="126"/>
  <c r="U72" i="126"/>
  <c r="V72" i="126"/>
  <c r="W72" i="126"/>
  <c r="X72" i="126"/>
  <c r="U73" i="126"/>
  <c r="V73" i="126"/>
  <c r="W73" i="126"/>
  <c r="X73" i="126"/>
  <c r="U74" i="126"/>
  <c r="V74" i="126"/>
  <c r="W74" i="126"/>
  <c r="X74" i="126"/>
  <c r="U75" i="126"/>
  <c r="V75" i="126"/>
  <c r="W75" i="126"/>
  <c r="X75" i="126"/>
  <c r="U76" i="126"/>
  <c r="V76" i="126"/>
  <c r="W76" i="126"/>
  <c r="X76" i="126"/>
  <c r="U77" i="126"/>
  <c r="V77" i="126"/>
  <c r="W77" i="126"/>
  <c r="X77" i="126"/>
  <c r="U29" i="127"/>
  <c r="V29" i="127"/>
  <c r="W29" i="127"/>
  <c r="X29" i="127"/>
  <c r="U30" i="127"/>
  <c r="V30" i="127"/>
  <c r="W30" i="127"/>
  <c r="X30" i="127"/>
  <c r="U31" i="127"/>
  <c r="V31" i="127"/>
  <c r="W31" i="127"/>
  <c r="X31" i="127"/>
  <c r="U32" i="127"/>
  <c r="V32" i="127"/>
  <c r="W32" i="127"/>
  <c r="X32" i="127"/>
  <c r="U33" i="127"/>
  <c r="V33" i="127"/>
  <c r="W33" i="127"/>
  <c r="X33" i="127"/>
  <c r="U34" i="127"/>
  <c r="V34" i="127"/>
  <c r="W34" i="127"/>
  <c r="X34" i="127"/>
  <c r="U35" i="127"/>
  <c r="V35" i="127"/>
  <c r="W35" i="127"/>
  <c r="X35" i="127"/>
  <c r="U36" i="127"/>
  <c r="V36" i="127"/>
  <c r="W36" i="127"/>
  <c r="X36" i="127"/>
  <c r="U37" i="127"/>
  <c r="V37" i="127"/>
  <c r="W37" i="127"/>
  <c r="X37" i="127"/>
  <c r="U38" i="127"/>
  <c r="V38" i="127"/>
  <c r="W38" i="127"/>
  <c r="X38" i="127"/>
  <c r="U39" i="127"/>
  <c r="V39" i="127"/>
  <c r="W39" i="127"/>
  <c r="X39" i="127"/>
  <c r="U40" i="127"/>
  <c r="V40" i="127"/>
  <c r="W40" i="127"/>
  <c r="X40" i="127"/>
  <c r="U41" i="127"/>
  <c r="V41" i="127"/>
  <c r="W41" i="127"/>
  <c r="X41" i="127"/>
  <c r="U42" i="127"/>
  <c r="V42" i="127"/>
  <c r="W42" i="127"/>
  <c r="X42" i="127"/>
  <c r="U43" i="127"/>
  <c r="V43" i="127"/>
  <c r="W43" i="127"/>
  <c r="X43" i="127"/>
  <c r="U44" i="127"/>
  <c r="V44" i="127"/>
  <c r="W44" i="127"/>
  <c r="X44" i="127"/>
  <c r="U45" i="127"/>
  <c r="V45" i="127"/>
  <c r="W45" i="127"/>
  <c r="X45" i="127"/>
  <c r="U46" i="127"/>
  <c r="V46" i="127"/>
  <c r="W46" i="127"/>
  <c r="X46" i="127"/>
  <c r="U47" i="127"/>
  <c r="V47" i="127"/>
  <c r="W47" i="127"/>
  <c r="X47" i="127"/>
  <c r="U48" i="127"/>
  <c r="V48" i="127"/>
  <c r="W48" i="127"/>
  <c r="X48" i="127"/>
  <c r="U49" i="127"/>
  <c r="V49" i="127"/>
  <c r="W49" i="127"/>
  <c r="X49" i="127"/>
  <c r="U50" i="127"/>
  <c r="V50" i="127"/>
  <c r="W50" i="127"/>
  <c r="X50" i="127"/>
  <c r="U51" i="127"/>
  <c r="V51" i="127"/>
  <c r="W51" i="127"/>
  <c r="X51" i="127"/>
  <c r="U52" i="127"/>
  <c r="V52" i="127"/>
  <c r="W52" i="127"/>
  <c r="X52" i="127"/>
  <c r="U53" i="127"/>
  <c r="V53" i="127"/>
  <c r="W53" i="127"/>
  <c r="X53" i="127"/>
  <c r="U54" i="127"/>
  <c r="V54" i="127"/>
  <c r="W54" i="127"/>
  <c r="X54" i="127"/>
  <c r="U55" i="127"/>
  <c r="V55" i="127"/>
  <c r="W55" i="127"/>
  <c r="X55" i="127"/>
  <c r="U56" i="127"/>
  <c r="V56" i="127"/>
  <c r="W56" i="127"/>
  <c r="X56" i="127"/>
  <c r="U57" i="127"/>
  <c r="V57" i="127"/>
  <c r="W57" i="127"/>
  <c r="X57" i="127"/>
  <c r="U58" i="127"/>
  <c r="V58" i="127"/>
  <c r="W58" i="127"/>
  <c r="X58" i="127"/>
  <c r="U59" i="127"/>
  <c r="V59" i="127"/>
  <c r="W59" i="127"/>
  <c r="X59" i="127"/>
  <c r="U60" i="127"/>
  <c r="V60" i="127"/>
  <c r="W60" i="127"/>
  <c r="X60" i="127"/>
  <c r="U61" i="127"/>
  <c r="V61" i="127"/>
  <c r="W61" i="127"/>
  <c r="X61" i="127"/>
  <c r="U62" i="127"/>
  <c r="V62" i="127"/>
  <c r="W62" i="127"/>
  <c r="X62" i="127"/>
  <c r="U63" i="127"/>
  <c r="V63" i="127"/>
  <c r="W63" i="127"/>
  <c r="X63" i="127"/>
  <c r="U64" i="127"/>
  <c r="V64" i="127"/>
  <c r="W64" i="127"/>
  <c r="X64" i="127"/>
  <c r="U65" i="127"/>
  <c r="V65" i="127"/>
  <c r="W65" i="127"/>
  <c r="X65" i="127"/>
  <c r="U66" i="127"/>
  <c r="V66" i="127"/>
  <c r="W66" i="127"/>
  <c r="X66" i="127"/>
  <c r="U67" i="127"/>
  <c r="V67" i="127"/>
  <c r="W67" i="127"/>
  <c r="X67" i="127"/>
  <c r="U68" i="127"/>
  <c r="V68" i="127"/>
  <c r="W68" i="127"/>
  <c r="X68" i="127"/>
  <c r="U69" i="127"/>
  <c r="V69" i="127"/>
  <c r="W69" i="127"/>
  <c r="X69" i="127"/>
  <c r="U70" i="127"/>
  <c r="V70" i="127"/>
  <c r="W70" i="127"/>
  <c r="X70" i="127"/>
  <c r="U71" i="127"/>
  <c r="V71" i="127"/>
  <c r="W71" i="127"/>
  <c r="X71" i="127"/>
  <c r="U72" i="127"/>
  <c r="V72" i="127"/>
  <c r="W72" i="127"/>
  <c r="X72" i="127"/>
  <c r="U73" i="127"/>
  <c r="V73" i="127"/>
  <c r="W73" i="127"/>
  <c r="X73" i="127"/>
  <c r="U74" i="127"/>
  <c r="V74" i="127"/>
  <c r="W74" i="127"/>
  <c r="X74" i="127"/>
  <c r="U75" i="127"/>
  <c r="V75" i="127"/>
  <c r="W75" i="127"/>
  <c r="X75" i="127"/>
  <c r="U76" i="127"/>
  <c r="V76" i="127"/>
  <c r="W76" i="127"/>
  <c r="X76" i="127"/>
  <c r="U77" i="127"/>
  <c r="V77" i="127"/>
  <c r="W77" i="127"/>
  <c r="X77" i="127"/>
  <c r="U29" i="128"/>
  <c r="V29" i="128"/>
  <c r="W29" i="128"/>
  <c r="X29" i="128"/>
  <c r="U30" i="128"/>
  <c r="V30" i="128"/>
  <c r="W30" i="128"/>
  <c r="X30" i="128"/>
  <c r="U31" i="128"/>
  <c r="V31" i="128"/>
  <c r="W31" i="128"/>
  <c r="X31" i="128"/>
  <c r="U32" i="128"/>
  <c r="V32" i="128"/>
  <c r="W32" i="128"/>
  <c r="X32" i="128"/>
  <c r="U33" i="128"/>
  <c r="V33" i="128"/>
  <c r="W33" i="128"/>
  <c r="X33" i="128"/>
  <c r="U34" i="128"/>
  <c r="V34" i="128"/>
  <c r="W34" i="128"/>
  <c r="X34" i="128"/>
  <c r="U35" i="128"/>
  <c r="V35" i="128"/>
  <c r="W35" i="128"/>
  <c r="X35" i="128"/>
  <c r="U36" i="128"/>
  <c r="V36" i="128"/>
  <c r="W36" i="128"/>
  <c r="X36" i="128"/>
  <c r="U37" i="128"/>
  <c r="V37" i="128"/>
  <c r="W37" i="128"/>
  <c r="X37" i="128"/>
  <c r="U38" i="128"/>
  <c r="V38" i="128"/>
  <c r="W38" i="128"/>
  <c r="X38" i="128"/>
  <c r="U39" i="128"/>
  <c r="V39" i="128"/>
  <c r="W39" i="128"/>
  <c r="X39" i="128"/>
  <c r="U40" i="128"/>
  <c r="V40" i="128"/>
  <c r="W40" i="128"/>
  <c r="X40" i="128"/>
  <c r="U41" i="128"/>
  <c r="V41" i="128"/>
  <c r="W41" i="128"/>
  <c r="X41" i="128"/>
  <c r="U42" i="128"/>
  <c r="V42" i="128"/>
  <c r="W42" i="128"/>
  <c r="X42" i="128"/>
  <c r="U43" i="128"/>
  <c r="V43" i="128"/>
  <c r="W43" i="128"/>
  <c r="X43" i="128"/>
  <c r="U44" i="128"/>
  <c r="V44" i="128"/>
  <c r="W44" i="128"/>
  <c r="X44" i="128"/>
  <c r="U45" i="128"/>
  <c r="V45" i="128"/>
  <c r="W45" i="128"/>
  <c r="X45" i="128"/>
  <c r="U46" i="128"/>
  <c r="V46" i="128"/>
  <c r="W46" i="128"/>
  <c r="X46" i="128"/>
  <c r="U47" i="128"/>
  <c r="V47" i="128"/>
  <c r="W47" i="128"/>
  <c r="X47" i="128"/>
  <c r="U48" i="128"/>
  <c r="V48" i="128"/>
  <c r="W48" i="128"/>
  <c r="X48" i="128"/>
  <c r="U49" i="128"/>
  <c r="V49" i="128"/>
  <c r="W49" i="128"/>
  <c r="X49" i="128"/>
  <c r="U50" i="128"/>
  <c r="V50" i="128"/>
  <c r="W50" i="128"/>
  <c r="X50" i="128"/>
  <c r="U51" i="128"/>
  <c r="V51" i="128"/>
  <c r="W51" i="128"/>
  <c r="X51" i="128"/>
  <c r="U52" i="128"/>
  <c r="V52" i="128"/>
  <c r="W52" i="128"/>
  <c r="X52" i="128"/>
  <c r="U53" i="128"/>
  <c r="V53" i="128"/>
  <c r="W53" i="128"/>
  <c r="X53" i="128"/>
  <c r="U54" i="128"/>
  <c r="V54" i="128"/>
  <c r="W54" i="128"/>
  <c r="X54" i="128"/>
  <c r="U55" i="128"/>
  <c r="V55" i="128"/>
  <c r="W55" i="128"/>
  <c r="X55" i="128"/>
  <c r="U56" i="128"/>
  <c r="V56" i="128"/>
  <c r="W56" i="128"/>
  <c r="X56" i="128"/>
  <c r="U57" i="128"/>
  <c r="V57" i="128"/>
  <c r="W57" i="128"/>
  <c r="X57" i="128"/>
  <c r="U58" i="128"/>
  <c r="V58" i="128"/>
  <c r="W58" i="128"/>
  <c r="X58" i="128"/>
  <c r="U59" i="128"/>
  <c r="V59" i="128"/>
  <c r="W59" i="128"/>
  <c r="X59" i="128"/>
  <c r="U60" i="128"/>
  <c r="V60" i="128"/>
  <c r="W60" i="128"/>
  <c r="X60" i="128"/>
  <c r="U61" i="128"/>
  <c r="V61" i="128"/>
  <c r="W61" i="128"/>
  <c r="X61" i="128"/>
  <c r="U62" i="128"/>
  <c r="V62" i="128"/>
  <c r="W62" i="128"/>
  <c r="X62" i="128"/>
  <c r="U63" i="128"/>
  <c r="V63" i="128"/>
  <c r="W63" i="128"/>
  <c r="X63" i="128"/>
  <c r="U64" i="128"/>
  <c r="V64" i="128"/>
  <c r="W64" i="128"/>
  <c r="X64" i="128"/>
  <c r="U65" i="128"/>
  <c r="V65" i="128"/>
  <c r="W65" i="128"/>
  <c r="X65" i="128"/>
  <c r="U66" i="128"/>
  <c r="V66" i="128"/>
  <c r="W66" i="128"/>
  <c r="X66" i="128"/>
  <c r="U67" i="128"/>
  <c r="V67" i="128"/>
  <c r="W67" i="128"/>
  <c r="X67" i="128"/>
  <c r="U68" i="128"/>
  <c r="V68" i="128"/>
  <c r="W68" i="128"/>
  <c r="X68" i="128"/>
  <c r="U69" i="128"/>
  <c r="V69" i="128"/>
  <c r="W69" i="128"/>
  <c r="X69" i="128"/>
  <c r="U70" i="128"/>
  <c r="V70" i="128"/>
  <c r="W70" i="128"/>
  <c r="X70" i="128"/>
  <c r="U71" i="128"/>
  <c r="V71" i="128"/>
  <c r="W71" i="128"/>
  <c r="X71" i="128"/>
  <c r="U72" i="128"/>
  <c r="V72" i="128"/>
  <c r="W72" i="128"/>
  <c r="X72" i="128"/>
  <c r="U73" i="128"/>
  <c r="V73" i="128"/>
  <c r="W73" i="128"/>
  <c r="X73" i="128"/>
  <c r="U74" i="128"/>
  <c r="V74" i="128"/>
  <c r="W74" i="128"/>
  <c r="X74" i="128"/>
  <c r="U75" i="128"/>
  <c r="V75" i="128"/>
  <c r="W75" i="128"/>
  <c r="X75" i="128"/>
  <c r="U76" i="128"/>
  <c r="V76" i="128"/>
  <c r="W76" i="128"/>
  <c r="X76" i="128"/>
  <c r="U77" i="128"/>
  <c r="V77" i="128"/>
  <c r="W77" i="128"/>
  <c r="X77" i="128"/>
  <c r="U29" i="129"/>
  <c r="V29" i="129"/>
  <c r="W29" i="129"/>
  <c r="X29" i="129"/>
  <c r="U30" i="129"/>
  <c r="V30" i="129"/>
  <c r="W30" i="129"/>
  <c r="X30" i="129"/>
  <c r="U31" i="129"/>
  <c r="V31" i="129"/>
  <c r="W31" i="129"/>
  <c r="X31" i="129"/>
  <c r="U32" i="129"/>
  <c r="V32" i="129"/>
  <c r="W32" i="129"/>
  <c r="X32" i="129"/>
  <c r="U33" i="129"/>
  <c r="V33" i="129"/>
  <c r="W33" i="129"/>
  <c r="X33" i="129"/>
  <c r="U34" i="129"/>
  <c r="V34" i="129"/>
  <c r="W34" i="129"/>
  <c r="X34" i="129"/>
  <c r="U35" i="129"/>
  <c r="V35" i="129"/>
  <c r="W35" i="129"/>
  <c r="X35" i="129"/>
  <c r="U36" i="129"/>
  <c r="V36" i="129"/>
  <c r="W36" i="129"/>
  <c r="X36" i="129"/>
  <c r="U37" i="129"/>
  <c r="V37" i="129"/>
  <c r="W37" i="129"/>
  <c r="X37" i="129"/>
  <c r="U38" i="129"/>
  <c r="V38" i="129"/>
  <c r="W38" i="129"/>
  <c r="X38" i="129"/>
  <c r="U39" i="129"/>
  <c r="V39" i="129"/>
  <c r="W39" i="129"/>
  <c r="X39" i="129"/>
  <c r="U40" i="129"/>
  <c r="V40" i="129"/>
  <c r="W40" i="129"/>
  <c r="X40" i="129"/>
  <c r="U41" i="129"/>
  <c r="V41" i="129"/>
  <c r="W41" i="129"/>
  <c r="X41" i="129"/>
  <c r="U42" i="129"/>
  <c r="V42" i="129"/>
  <c r="W42" i="129"/>
  <c r="X42" i="129"/>
  <c r="U43" i="129"/>
  <c r="V43" i="129"/>
  <c r="W43" i="129"/>
  <c r="X43" i="129"/>
  <c r="U44" i="129"/>
  <c r="V44" i="129"/>
  <c r="W44" i="129"/>
  <c r="X44" i="129"/>
  <c r="U45" i="129"/>
  <c r="V45" i="129"/>
  <c r="W45" i="129"/>
  <c r="X45" i="129"/>
  <c r="U46" i="129"/>
  <c r="V46" i="129"/>
  <c r="W46" i="129"/>
  <c r="X46" i="129"/>
  <c r="U47" i="129"/>
  <c r="V47" i="129"/>
  <c r="W47" i="129"/>
  <c r="X47" i="129"/>
  <c r="U48" i="129"/>
  <c r="V48" i="129"/>
  <c r="W48" i="129"/>
  <c r="X48" i="129"/>
  <c r="U49" i="129"/>
  <c r="V49" i="129"/>
  <c r="W49" i="129"/>
  <c r="X49" i="129"/>
  <c r="U50" i="129"/>
  <c r="V50" i="129"/>
  <c r="W50" i="129"/>
  <c r="X50" i="129"/>
  <c r="U51" i="129"/>
  <c r="V51" i="129"/>
  <c r="W51" i="129"/>
  <c r="X51" i="129"/>
  <c r="U52" i="129"/>
  <c r="V52" i="129"/>
  <c r="W52" i="129"/>
  <c r="X52" i="129"/>
  <c r="U53" i="129"/>
  <c r="V53" i="129"/>
  <c r="W53" i="129"/>
  <c r="X53" i="129"/>
  <c r="U54" i="129"/>
  <c r="V54" i="129"/>
  <c r="W54" i="129"/>
  <c r="X54" i="129"/>
  <c r="U55" i="129"/>
  <c r="V55" i="129"/>
  <c r="W55" i="129"/>
  <c r="X55" i="129"/>
  <c r="U56" i="129"/>
  <c r="V56" i="129"/>
  <c r="W56" i="129"/>
  <c r="X56" i="129"/>
  <c r="U57" i="129"/>
  <c r="V57" i="129"/>
  <c r="W57" i="129"/>
  <c r="X57" i="129"/>
  <c r="U58" i="129"/>
  <c r="V58" i="129"/>
  <c r="W58" i="129"/>
  <c r="X58" i="129"/>
  <c r="U59" i="129"/>
  <c r="V59" i="129"/>
  <c r="W59" i="129"/>
  <c r="X59" i="129"/>
  <c r="U60" i="129"/>
  <c r="V60" i="129"/>
  <c r="W60" i="129"/>
  <c r="X60" i="129"/>
  <c r="U61" i="129"/>
  <c r="V61" i="129"/>
  <c r="W61" i="129"/>
  <c r="X61" i="129"/>
  <c r="U62" i="129"/>
  <c r="V62" i="129"/>
  <c r="W62" i="129"/>
  <c r="X62" i="129"/>
  <c r="U63" i="129"/>
  <c r="V63" i="129"/>
  <c r="W63" i="129"/>
  <c r="X63" i="129"/>
  <c r="U64" i="129"/>
  <c r="V64" i="129"/>
  <c r="W64" i="129"/>
  <c r="X64" i="129"/>
  <c r="U65" i="129"/>
  <c r="V65" i="129"/>
  <c r="W65" i="129"/>
  <c r="X65" i="129"/>
  <c r="U66" i="129"/>
  <c r="V66" i="129"/>
  <c r="W66" i="129"/>
  <c r="X66" i="129"/>
  <c r="U67" i="129"/>
  <c r="V67" i="129"/>
  <c r="W67" i="129"/>
  <c r="X67" i="129"/>
  <c r="U68" i="129"/>
  <c r="V68" i="129"/>
  <c r="W68" i="129"/>
  <c r="X68" i="129"/>
  <c r="U69" i="129"/>
  <c r="V69" i="129"/>
  <c r="W69" i="129"/>
  <c r="X69" i="129"/>
  <c r="U70" i="129"/>
  <c r="V70" i="129"/>
  <c r="W70" i="129"/>
  <c r="X70" i="129"/>
  <c r="U71" i="129"/>
  <c r="V71" i="129"/>
  <c r="W71" i="129"/>
  <c r="X71" i="129"/>
  <c r="U72" i="129"/>
  <c r="V72" i="129"/>
  <c r="W72" i="129"/>
  <c r="X72" i="129"/>
  <c r="U73" i="129"/>
  <c r="V73" i="129"/>
  <c r="W73" i="129"/>
  <c r="X73" i="129"/>
  <c r="U74" i="129"/>
  <c r="V74" i="129"/>
  <c r="W74" i="129"/>
  <c r="X74" i="129"/>
  <c r="U75" i="129"/>
  <c r="V75" i="129"/>
  <c r="W75" i="129"/>
  <c r="X75" i="129"/>
  <c r="U76" i="129"/>
  <c r="V76" i="129"/>
  <c r="W76" i="129"/>
  <c r="X76" i="129"/>
  <c r="U77" i="129"/>
  <c r="V77" i="129"/>
  <c r="W77" i="129"/>
  <c r="X77" i="129"/>
  <c r="U29" i="130"/>
  <c r="V29" i="130"/>
  <c r="W29" i="130"/>
  <c r="X29" i="130"/>
  <c r="U30" i="130"/>
  <c r="V30" i="130"/>
  <c r="W30" i="130"/>
  <c r="X30" i="130"/>
  <c r="U31" i="130"/>
  <c r="V31" i="130"/>
  <c r="W31" i="130"/>
  <c r="X31" i="130"/>
  <c r="U32" i="130"/>
  <c r="V32" i="130"/>
  <c r="W32" i="130"/>
  <c r="X32" i="130"/>
  <c r="U33" i="130"/>
  <c r="V33" i="130"/>
  <c r="W33" i="130"/>
  <c r="X33" i="130"/>
  <c r="U34" i="130"/>
  <c r="V34" i="130"/>
  <c r="W34" i="130"/>
  <c r="X34" i="130"/>
  <c r="U35" i="130"/>
  <c r="V35" i="130"/>
  <c r="W35" i="130"/>
  <c r="X35" i="130"/>
  <c r="U36" i="130"/>
  <c r="V36" i="130"/>
  <c r="W36" i="130"/>
  <c r="X36" i="130"/>
  <c r="U37" i="130"/>
  <c r="V37" i="130"/>
  <c r="W37" i="130"/>
  <c r="X37" i="130"/>
  <c r="U38" i="130"/>
  <c r="V38" i="130"/>
  <c r="W38" i="130"/>
  <c r="X38" i="130"/>
  <c r="U39" i="130"/>
  <c r="V39" i="130"/>
  <c r="W39" i="130"/>
  <c r="X39" i="130"/>
  <c r="U40" i="130"/>
  <c r="V40" i="130"/>
  <c r="W40" i="130"/>
  <c r="X40" i="130"/>
  <c r="U41" i="130"/>
  <c r="V41" i="130"/>
  <c r="W41" i="130"/>
  <c r="X41" i="130"/>
  <c r="U42" i="130"/>
  <c r="V42" i="130"/>
  <c r="W42" i="130"/>
  <c r="X42" i="130"/>
  <c r="U43" i="130"/>
  <c r="V43" i="130"/>
  <c r="W43" i="130"/>
  <c r="X43" i="130"/>
  <c r="U44" i="130"/>
  <c r="V44" i="130"/>
  <c r="W44" i="130"/>
  <c r="X44" i="130"/>
  <c r="U45" i="130"/>
  <c r="V45" i="130"/>
  <c r="W45" i="130"/>
  <c r="X45" i="130"/>
  <c r="U46" i="130"/>
  <c r="V46" i="130"/>
  <c r="W46" i="130"/>
  <c r="X46" i="130"/>
  <c r="U47" i="130"/>
  <c r="V47" i="130"/>
  <c r="W47" i="130"/>
  <c r="X47" i="130"/>
  <c r="U48" i="130"/>
  <c r="V48" i="130"/>
  <c r="W48" i="130"/>
  <c r="X48" i="130"/>
  <c r="U49" i="130"/>
  <c r="V49" i="130"/>
  <c r="W49" i="130"/>
  <c r="X49" i="130"/>
  <c r="U50" i="130"/>
  <c r="V50" i="130"/>
  <c r="W50" i="130"/>
  <c r="X50" i="130"/>
  <c r="U51" i="130"/>
  <c r="V51" i="130"/>
  <c r="W51" i="130"/>
  <c r="X51" i="130"/>
  <c r="U52" i="130"/>
  <c r="V52" i="130"/>
  <c r="W52" i="130"/>
  <c r="X52" i="130"/>
  <c r="U53" i="130"/>
  <c r="V53" i="130"/>
  <c r="W53" i="130"/>
  <c r="X53" i="130"/>
  <c r="U54" i="130"/>
  <c r="V54" i="130"/>
  <c r="W54" i="130"/>
  <c r="X54" i="130"/>
  <c r="U55" i="130"/>
  <c r="V55" i="130"/>
  <c r="W55" i="130"/>
  <c r="X55" i="130"/>
  <c r="U56" i="130"/>
  <c r="V56" i="130"/>
  <c r="W56" i="130"/>
  <c r="X56" i="130"/>
  <c r="U57" i="130"/>
  <c r="V57" i="130"/>
  <c r="W57" i="130"/>
  <c r="X57" i="130"/>
  <c r="U58" i="130"/>
  <c r="V58" i="130"/>
  <c r="W58" i="130"/>
  <c r="X58" i="130"/>
  <c r="U59" i="130"/>
  <c r="V59" i="130"/>
  <c r="W59" i="130"/>
  <c r="X59" i="130"/>
  <c r="U60" i="130"/>
  <c r="V60" i="130"/>
  <c r="W60" i="130"/>
  <c r="X60" i="130"/>
  <c r="U61" i="130"/>
  <c r="V61" i="130"/>
  <c r="W61" i="130"/>
  <c r="X61" i="130"/>
  <c r="U62" i="130"/>
  <c r="V62" i="130"/>
  <c r="W62" i="130"/>
  <c r="X62" i="130"/>
  <c r="U63" i="130"/>
  <c r="V63" i="130"/>
  <c r="W63" i="130"/>
  <c r="X63" i="130"/>
  <c r="U64" i="130"/>
  <c r="V64" i="130"/>
  <c r="W64" i="130"/>
  <c r="X64" i="130"/>
  <c r="U65" i="130"/>
  <c r="V65" i="130"/>
  <c r="W65" i="130"/>
  <c r="X65" i="130"/>
  <c r="U66" i="130"/>
  <c r="V66" i="130"/>
  <c r="W66" i="130"/>
  <c r="X66" i="130"/>
  <c r="U67" i="130"/>
  <c r="V67" i="130"/>
  <c r="W67" i="130"/>
  <c r="X67" i="130"/>
  <c r="U68" i="130"/>
  <c r="V68" i="130"/>
  <c r="W68" i="130"/>
  <c r="X68" i="130"/>
  <c r="U69" i="130"/>
  <c r="V69" i="130"/>
  <c r="W69" i="130"/>
  <c r="X69" i="130"/>
  <c r="U70" i="130"/>
  <c r="V70" i="130"/>
  <c r="W70" i="130"/>
  <c r="X70" i="130"/>
  <c r="U71" i="130"/>
  <c r="V71" i="130"/>
  <c r="W71" i="130"/>
  <c r="X71" i="130"/>
  <c r="U72" i="130"/>
  <c r="V72" i="130"/>
  <c r="W72" i="130"/>
  <c r="X72" i="130"/>
  <c r="U73" i="130"/>
  <c r="V73" i="130"/>
  <c r="W73" i="130"/>
  <c r="X73" i="130"/>
  <c r="U74" i="130"/>
  <c r="V74" i="130"/>
  <c r="W74" i="130"/>
  <c r="X74" i="130"/>
  <c r="U75" i="130"/>
  <c r="V75" i="130"/>
  <c r="W75" i="130"/>
  <c r="X75" i="130"/>
  <c r="U76" i="130"/>
  <c r="V76" i="130"/>
  <c r="W76" i="130"/>
  <c r="X76" i="130"/>
  <c r="U77" i="130"/>
  <c r="V77" i="130"/>
  <c r="W77" i="130"/>
  <c r="X77" i="130"/>
  <c r="U29" i="131"/>
  <c r="V29" i="131"/>
  <c r="W29" i="131"/>
  <c r="X29" i="131"/>
  <c r="U30" i="131"/>
  <c r="V30" i="131"/>
  <c r="W30" i="131"/>
  <c r="X30" i="131"/>
  <c r="U31" i="131"/>
  <c r="V31" i="131"/>
  <c r="W31" i="131"/>
  <c r="X31" i="131"/>
  <c r="U32" i="131"/>
  <c r="V32" i="131"/>
  <c r="W32" i="131"/>
  <c r="X32" i="131"/>
  <c r="U33" i="131"/>
  <c r="V33" i="131"/>
  <c r="W33" i="131"/>
  <c r="X33" i="131"/>
  <c r="U34" i="131"/>
  <c r="V34" i="131"/>
  <c r="W34" i="131"/>
  <c r="X34" i="131"/>
  <c r="U35" i="131"/>
  <c r="V35" i="131"/>
  <c r="W35" i="131"/>
  <c r="X35" i="131"/>
  <c r="U36" i="131"/>
  <c r="V36" i="131"/>
  <c r="W36" i="131"/>
  <c r="X36" i="131"/>
  <c r="U37" i="131"/>
  <c r="V37" i="131"/>
  <c r="W37" i="131"/>
  <c r="X37" i="131"/>
  <c r="U38" i="131"/>
  <c r="V38" i="131"/>
  <c r="W38" i="131"/>
  <c r="X38" i="131"/>
  <c r="U39" i="131"/>
  <c r="V39" i="131"/>
  <c r="W39" i="131"/>
  <c r="X39" i="131"/>
  <c r="U40" i="131"/>
  <c r="V40" i="131"/>
  <c r="W40" i="131"/>
  <c r="X40" i="131"/>
  <c r="U41" i="131"/>
  <c r="V41" i="131"/>
  <c r="W41" i="131"/>
  <c r="X41" i="131"/>
  <c r="U42" i="131"/>
  <c r="V42" i="131"/>
  <c r="W42" i="131"/>
  <c r="X42" i="131"/>
  <c r="U43" i="131"/>
  <c r="V43" i="131"/>
  <c r="W43" i="131"/>
  <c r="X43" i="131"/>
  <c r="U44" i="131"/>
  <c r="V44" i="131"/>
  <c r="W44" i="131"/>
  <c r="X44" i="131"/>
  <c r="U45" i="131"/>
  <c r="V45" i="131"/>
  <c r="W45" i="131"/>
  <c r="X45" i="131"/>
  <c r="U46" i="131"/>
  <c r="V46" i="131"/>
  <c r="W46" i="131"/>
  <c r="X46" i="131"/>
  <c r="U47" i="131"/>
  <c r="V47" i="131"/>
  <c r="W47" i="131"/>
  <c r="X47" i="131"/>
  <c r="U48" i="131"/>
  <c r="V48" i="131"/>
  <c r="W48" i="131"/>
  <c r="X48" i="131"/>
  <c r="U49" i="131"/>
  <c r="V49" i="131"/>
  <c r="W49" i="131"/>
  <c r="X49" i="131"/>
  <c r="U50" i="131"/>
  <c r="V50" i="131"/>
  <c r="W50" i="131"/>
  <c r="X50" i="131"/>
  <c r="U51" i="131"/>
  <c r="V51" i="131"/>
  <c r="W51" i="131"/>
  <c r="X51" i="131"/>
  <c r="U52" i="131"/>
  <c r="V52" i="131"/>
  <c r="W52" i="131"/>
  <c r="X52" i="131"/>
  <c r="U53" i="131"/>
  <c r="V53" i="131"/>
  <c r="W53" i="131"/>
  <c r="X53" i="131"/>
  <c r="U54" i="131"/>
  <c r="V54" i="131"/>
  <c r="W54" i="131"/>
  <c r="X54" i="131"/>
  <c r="U55" i="131"/>
  <c r="V55" i="131"/>
  <c r="W55" i="131"/>
  <c r="X55" i="131"/>
  <c r="U56" i="131"/>
  <c r="V56" i="131"/>
  <c r="W56" i="131"/>
  <c r="X56" i="131"/>
  <c r="U57" i="131"/>
  <c r="V57" i="131"/>
  <c r="W57" i="131"/>
  <c r="X57" i="131"/>
  <c r="U58" i="131"/>
  <c r="V58" i="131"/>
  <c r="W58" i="131"/>
  <c r="X58" i="131"/>
  <c r="U59" i="131"/>
  <c r="V59" i="131"/>
  <c r="W59" i="131"/>
  <c r="X59" i="131"/>
  <c r="U60" i="131"/>
  <c r="V60" i="131"/>
  <c r="W60" i="131"/>
  <c r="X60" i="131"/>
  <c r="U61" i="131"/>
  <c r="V61" i="131"/>
  <c r="W61" i="131"/>
  <c r="X61" i="131"/>
  <c r="U62" i="131"/>
  <c r="V62" i="131"/>
  <c r="W62" i="131"/>
  <c r="X62" i="131"/>
  <c r="U63" i="131"/>
  <c r="V63" i="131"/>
  <c r="W63" i="131"/>
  <c r="X63" i="131"/>
  <c r="U64" i="131"/>
  <c r="V64" i="131"/>
  <c r="W64" i="131"/>
  <c r="X64" i="131"/>
  <c r="U65" i="131"/>
  <c r="V65" i="131"/>
  <c r="W65" i="131"/>
  <c r="X65" i="131"/>
  <c r="U66" i="131"/>
  <c r="V66" i="131"/>
  <c r="W66" i="131"/>
  <c r="X66" i="131"/>
  <c r="U67" i="131"/>
  <c r="V67" i="131"/>
  <c r="W67" i="131"/>
  <c r="X67" i="131"/>
  <c r="U68" i="131"/>
  <c r="V68" i="131"/>
  <c r="W68" i="131"/>
  <c r="X68" i="131"/>
  <c r="U69" i="131"/>
  <c r="V69" i="131"/>
  <c r="W69" i="131"/>
  <c r="X69" i="131"/>
  <c r="U70" i="131"/>
  <c r="V70" i="131"/>
  <c r="W70" i="131"/>
  <c r="X70" i="131"/>
  <c r="U71" i="131"/>
  <c r="V71" i="131"/>
  <c r="W71" i="131"/>
  <c r="X71" i="131"/>
  <c r="U72" i="131"/>
  <c r="V72" i="131"/>
  <c r="W72" i="131"/>
  <c r="X72" i="131"/>
  <c r="U73" i="131"/>
  <c r="V73" i="131"/>
  <c r="W73" i="131"/>
  <c r="X73" i="131"/>
  <c r="U74" i="131"/>
  <c r="V74" i="131"/>
  <c r="W74" i="131"/>
  <c r="X74" i="131"/>
  <c r="U75" i="131"/>
  <c r="V75" i="131"/>
  <c r="W75" i="131"/>
  <c r="X75" i="131"/>
  <c r="U76" i="131"/>
  <c r="V76" i="131"/>
  <c r="W76" i="131"/>
  <c r="X76" i="131"/>
  <c r="U77" i="131"/>
  <c r="V77" i="131"/>
  <c r="W77" i="131"/>
  <c r="X77" i="131"/>
  <c r="U29" i="132"/>
  <c r="V29" i="132"/>
  <c r="W29" i="132"/>
  <c r="X29" i="132"/>
  <c r="U30" i="132"/>
  <c r="V30" i="132"/>
  <c r="W30" i="132"/>
  <c r="X30" i="132"/>
  <c r="U31" i="132"/>
  <c r="V31" i="132"/>
  <c r="W31" i="132"/>
  <c r="X31" i="132"/>
  <c r="U32" i="132"/>
  <c r="V32" i="132"/>
  <c r="W32" i="132"/>
  <c r="X32" i="132"/>
  <c r="U33" i="132"/>
  <c r="V33" i="132"/>
  <c r="W33" i="132"/>
  <c r="X33" i="132"/>
  <c r="U34" i="132"/>
  <c r="V34" i="132"/>
  <c r="W34" i="132"/>
  <c r="X34" i="132"/>
  <c r="U35" i="132"/>
  <c r="V35" i="132"/>
  <c r="W35" i="132"/>
  <c r="X35" i="132"/>
  <c r="U36" i="132"/>
  <c r="V36" i="132"/>
  <c r="W36" i="132"/>
  <c r="X36" i="132"/>
  <c r="U37" i="132"/>
  <c r="V37" i="132"/>
  <c r="W37" i="132"/>
  <c r="X37" i="132"/>
  <c r="U38" i="132"/>
  <c r="V38" i="132"/>
  <c r="W38" i="132"/>
  <c r="X38" i="132"/>
  <c r="U39" i="132"/>
  <c r="V39" i="132"/>
  <c r="W39" i="132"/>
  <c r="X39" i="132"/>
  <c r="U40" i="132"/>
  <c r="V40" i="132"/>
  <c r="W40" i="132"/>
  <c r="X40" i="132"/>
  <c r="U41" i="132"/>
  <c r="V41" i="132"/>
  <c r="W41" i="132"/>
  <c r="X41" i="132"/>
  <c r="U42" i="132"/>
  <c r="V42" i="132"/>
  <c r="W42" i="132"/>
  <c r="X42" i="132"/>
  <c r="U43" i="132"/>
  <c r="V43" i="132"/>
  <c r="W43" i="132"/>
  <c r="X43" i="132"/>
  <c r="U44" i="132"/>
  <c r="V44" i="132"/>
  <c r="W44" i="132"/>
  <c r="X44" i="132"/>
  <c r="U45" i="132"/>
  <c r="V45" i="132"/>
  <c r="W45" i="132"/>
  <c r="X45" i="132"/>
  <c r="U46" i="132"/>
  <c r="V46" i="132"/>
  <c r="W46" i="132"/>
  <c r="X46" i="132"/>
  <c r="U47" i="132"/>
  <c r="V47" i="132"/>
  <c r="W47" i="132"/>
  <c r="X47" i="132"/>
  <c r="U48" i="132"/>
  <c r="V48" i="132"/>
  <c r="W48" i="132"/>
  <c r="X48" i="132"/>
  <c r="U49" i="132"/>
  <c r="V49" i="132"/>
  <c r="W49" i="132"/>
  <c r="X49" i="132"/>
  <c r="U50" i="132"/>
  <c r="V50" i="132"/>
  <c r="W50" i="132"/>
  <c r="X50" i="132"/>
  <c r="U51" i="132"/>
  <c r="V51" i="132"/>
  <c r="W51" i="132"/>
  <c r="X51" i="132"/>
  <c r="U52" i="132"/>
  <c r="V52" i="132"/>
  <c r="W52" i="132"/>
  <c r="X52" i="132"/>
  <c r="U53" i="132"/>
  <c r="V53" i="132"/>
  <c r="W53" i="132"/>
  <c r="X53" i="132"/>
  <c r="U54" i="132"/>
  <c r="V54" i="132"/>
  <c r="W54" i="132"/>
  <c r="X54" i="132"/>
  <c r="U55" i="132"/>
  <c r="V55" i="132"/>
  <c r="W55" i="132"/>
  <c r="X55" i="132"/>
  <c r="U56" i="132"/>
  <c r="V56" i="132"/>
  <c r="W56" i="132"/>
  <c r="X56" i="132"/>
  <c r="U57" i="132"/>
  <c r="V57" i="132"/>
  <c r="W57" i="132"/>
  <c r="X57" i="132"/>
  <c r="U58" i="132"/>
  <c r="V58" i="132"/>
  <c r="W58" i="132"/>
  <c r="X58" i="132"/>
  <c r="U59" i="132"/>
  <c r="V59" i="132"/>
  <c r="W59" i="132"/>
  <c r="X59" i="132"/>
  <c r="U60" i="132"/>
  <c r="V60" i="132"/>
  <c r="W60" i="132"/>
  <c r="X60" i="132"/>
  <c r="U61" i="132"/>
  <c r="V61" i="132"/>
  <c r="W61" i="132"/>
  <c r="X61" i="132"/>
  <c r="U62" i="132"/>
  <c r="V62" i="132"/>
  <c r="W62" i="132"/>
  <c r="X62" i="132"/>
  <c r="U63" i="132"/>
  <c r="V63" i="132"/>
  <c r="W63" i="132"/>
  <c r="X63" i="132"/>
  <c r="U64" i="132"/>
  <c r="V64" i="132"/>
  <c r="W64" i="132"/>
  <c r="X64" i="132"/>
  <c r="U65" i="132"/>
  <c r="V65" i="132"/>
  <c r="W65" i="132"/>
  <c r="X65" i="132"/>
  <c r="U66" i="132"/>
  <c r="V66" i="132"/>
  <c r="W66" i="132"/>
  <c r="X66" i="132"/>
  <c r="U67" i="132"/>
  <c r="V67" i="132"/>
  <c r="W67" i="132"/>
  <c r="X67" i="132"/>
  <c r="U68" i="132"/>
  <c r="V68" i="132"/>
  <c r="W68" i="132"/>
  <c r="X68" i="132"/>
  <c r="U69" i="132"/>
  <c r="V69" i="132"/>
  <c r="W69" i="132"/>
  <c r="X69" i="132"/>
  <c r="U70" i="132"/>
  <c r="V70" i="132"/>
  <c r="W70" i="132"/>
  <c r="X70" i="132"/>
  <c r="U71" i="132"/>
  <c r="V71" i="132"/>
  <c r="W71" i="132"/>
  <c r="X71" i="132"/>
  <c r="U72" i="132"/>
  <c r="V72" i="132"/>
  <c r="W72" i="132"/>
  <c r="X72" i="132"/>
  <c r="U73" i="132"/>
  <c r="V73" i="132"/>
  <c r="W73" i="132"/>
  <c r="X73" i="132"/>
  <c r="U74" i="132"/>
  <c r="V74" i="132"/>
  <c r="W74" i="132"/>
  <c r="X74" i="132"/>
  <c r="U75" i="132"/>
  <c r="V75" i="132"/>
  <c r="W75" i="132"/>
  <c r="X75" i="132"/>
  <c r="U76" i="132"/>
  <c r="V76" i="132"/>
  <c r="W76" i="132"/>
  <c r="X76" i="132"/>
  <c r="U77" i="132"/>
  <c r="V77" i="132"/>
  <c r="W77" i="132"/>
  <c r="X77" i="132"/>
  <c r="U29" i="133"/>
  <c r="V29" i="133"/>
  <c r="W29" i="133"/>
  <c r="X29" i="133"/>
  <c r="U30" i="133"/>
  <c r="V30" i="133"/>
  <c r="W30" i="133"/>
  <c r="X30" i="133"/>
  <c r="U31" i="133"/>
  <c r="V31" i="133"/>
  <c r="W31" i="133"/>
  <c r="X31" i="133"/>
  <c r="U32" i="133"/>
  <c r="V32" i="133"/>
  <c r="W32" i="133"/>
  <c r="X32" i="133"/>
  <c r="U33" i="133"/>
  <c r="V33" i="133"/>
  <c r="W33" i="133"/>
  <c r="X33" i="133"/>
  <c r="U34" i="133"/>
  <c r="V34" i="133"/>
  <c r="W34" i="133"/>
  <c r="X34" i="133"/>
  <c r="U35" i="133"/>
  <c r="V35" i="133"/>
  <c r="W35" i="133"/>
  <c r="X35" i="133"/>
  <c r="U36" i="133"/>
  <c r="V36" i="133"/>
  <c r="W36" i="133"/>
  <c r="X36" i="133"/>
  <c r="U37" i="133"/>
  <c r="V37" i="133"/>
  <c r="W37" i="133"/>
  <c r="X37" i="133"/>
  <c r="U38" i="133"/>
  <c r="V38" i="133"/>
  <c r="W38" i="133"/>
  <c r="X38" i="133"/>
  <c r="U39" i="133"/>
  <c r="V39" i="133"/>
  <c r="W39" i="133"/>
  <c r="X39" i="133"/>
  <c r="U40" i="133"/>
  <c r="V40" i="133"/>
  <c r="W40" i="133"/>
  <c r="X40" i="133"/>
  <c r="U41" i="133"/>
  <c r="V41" i="133"/>
  <c r="W41" i="133"/>
  <c r="X41" i="133"/>
  <c r="U42" i="133"/>
  <c r="V42" i="133"/>
  <c r="W42" i="133"/>
  <c r="X42" i="133"/>
  <c r="U43" i="133"/>
  <c r="V43" i="133"/>
  <c r="W43" i="133"/>
  <c r="X43" i="133"/>
  <c r="U44" i="133"/>
  <c r="V44" i="133"/>
  <c r="W44" i="133"/>
  <c r="X44" i="133"/>
  <c r="U45" i="133"/>
  <c r="V45" i="133"/>
  <c r="W45" i="133"/>
  <c r="X45" i="133"/>
  <c r="U46" i="133"/>
  <c r="V46" i="133"/>
  <c r="W46" i="133"/>
  <c r="X46" i="133"/>
  <c r="U47" i="133"/>
  <c r="V47" i="133"/>
  <c r="W47" i="133"/>
  <c r="X47" i="133"/>
  <c r="U48" i="133"/>
  <c r="V48" i="133"/>
  <c r="W48" i="133"/>
  <c r="X48" i="133"/>
  <c r="U49" i="133"/>
  <c r="V49" i="133"/>
  <c r="W49" i="133"/>
  <c r="X49" i="133"/>
  <c r="U50" i="133"/>
  <c r="V50" i="133"/>
  <c r="W50" i="133"/>
  <c r="X50" i="133"/>
  <c r="U51" i="133"/>
  <c r="V51" i="133"/>
  <c r="W51" i="133"/>
  <c r="X51" i="133"/>
  <c r="U52" i="133"/>
  <c r="V52" i="133"/>
  <c r="W52" i="133"/>
  <c r="X52" i="133"/>
  <c r="U53" i="133"/>
  <c r="V53" i="133"/>
  <c r="W53" i="133"/>
  <c r="X53" i="133"/>
  <c r="U54" i="133"/>
  <c r="V54" i="133"/>
  <c r="W54" i="133"/>
  <c r="X54" i="133"/>
  <c r="U55" i="133"/>
  <c r="V55" i="133"/>
  <c r="W55" i="133"/>
  <c r="X55" i="133"/>
  <c r="U56" i="133"/>
  <c r="V56" i="133"/>
  <c r="W56" i="133"/>
  <c r="X56" i="133"/>
  <c r="U57" i="133"/>
  <c r="V57" i="133"/>
  <c r="W57" i="133"/>
  <c r="X57" i="133"/>
  <c r="U58" i="133"/>
  <c r="V58" i="133"/>
  <c r="W58" i="133"/>
  <c r="X58" i="133"/>
  <c r="U59" i="133"/>
  <c r="V59" i="133"/>
  <c r="W59" i="133"/>
  <c r="X59" i="133"/>
  <c r="U60" i="133"/>
  <c r="V60" i="133"/>
  <c r="W60" i="133"/>
  <c r="X60" i="133"/>
  <c r="U61" i="133"/>
  <c r="V61" i="133"/>
  <c r="W61" i="133"/>
  <c r="X61" i="133"/>
  <c r="U62" i="133"/>
  <c r="V62" i="133"/>
  <c r="W62" i="133"/>
  <c r="X62" i="133"/>
  <c r="U63" i="133"/>
  <c r="V63" i="133"/>
  <c r="W63" i="133"/>
  <c r="X63" i="133"/>
  <c r="U64" i="133"/>
  <c r="V64" i="133"/>
  <c r="W64" i="133"/>
  <c r="X64" i="133"/>
  <c r="U65" i="133"/>
  <c r="V65" i="133"/>
  <c r="W65" i="133"/>
  <c r="X65" i="133"/>
  <c r="U66" i="133"/>
  <c r="V66" i="133"/>
  <c r="W66" i="133"/>
  <c r="X66" i="133"/>
  <c r="U67" i="133"/>
  <c r="V67" i="133"/>
  <c r="W67" i="133"/>
  <c r="X67" i="133"/>
  <c r="U68" i="133"/>
  <c r="V68" i="133"/>
  <c r="W68" i="133"/>
  <c r="X68" i="133"/>
  <c r="U69" i="133"/>
  <c r="V69" i="133"/>
  <c r="W69" i="133"/>
  <c r="X69" i="133"/>
  <c r="U70" i="133"/>
  <c r="V70" i="133"/>
  <c r="W70" i="133"/>
  <c r="X70" i="133"/>
  <c r="U71" i="133"/>
  <c r="V71" i="133"/>
  <c r="W71" i="133"/>
  <c r="X71" i="133"/>
  <c r="U72" i="133"/>
  <c r="V72" i="133"/>
  <c r="W72" i="133"/>
  <c r="X72" i="133"/>
  <c r="U73" i="133"/>
  <c r="V73" i="133"/>
  <c r="W73" i="133"/>
  <c r="X73" i="133"/>
  <c r="U74" i="133"/>
  <c r="V74" i="133"/>
  <c r="W74" i="133"/>
  <c r="X74" i="133"/>
  <c r="U75" i="133"/>
  <c r="V75" i="133"/>
  <c r="W75" i="133"/>
  <c r="X75" i="133"/>
  <c r="U76" i="133"/>
  <c r="V76" i="133"/>
  <c r="W76" i="133"/>
  <c r="X76" i="133"/>
  <c r="U77" i="133"/>
  <c r="V77" i="133"/>
  <c r="W77" i="133"/>
  <c r="X77" i="133"/>
  <c r="U29" i="134"/>
  <c r="V29" i="134"/>
  <c r="W29" i="134"/>
  <c r="X29" i="134"/>
  <c r="U30" i="134"/>
  <c r="V30" i="134"/>
  <c r="W30" i="134"/>
  <c r="X30" i="134"/>
  <c r="U31" i="134"/>
  <c r="V31" i="134"/>
  <c r="W31" i="134"/>
  <c r="X31" i="134"/>
  <c r="U32" i="134"/>
  <c r="V32" i="134"/>
  <c r="W32" i="134"/>
  <c r="X32" i="134"/>
  <c r="U33" i="134"/>
  <c r="V33" i="134"/>
  <c r="W33" i="134"/>
  <c r="X33" i="134"/>
  <c r="U34" i="134"/>
  <c r="V34" i="134"/>
  <c r="W34" i="134"/>
  <c r="X34" i="134"/>
  <c r="U35" i="134"/>
  <c r="V35" i="134"/>
  <c r="W35" i="134"/>
  <c r="X35" i="134"/>
  <c r="U36" i="134"/>
  <c r="V36" i="134"/>
  <c r="W36" i="134"/>
  <c r="X36" i="134"/>
  <c r="U37" i="134"/>
  <c r="V37" i="134"/>
  <c r="W37" i="134"/>
  <c r="X37" i="134"/>
  <c r="U38" i="134"/>
  <c r="V38" i="134"/>
  <c r="W38" i="134"/>
  <c r="X38" i="134"/>
  <c r="U39" i="134"/>
  <c r="V39" i="134"/>
  <c r="W39" i="134"/>
  <c r="X39" i="134"/>
  <c r="U40" i="134"/>
  <c r="V40" i="134"/>
  <c r="W40" i="134"/>
  <c r="X40" i="134"/>
  <c r="U41" i="134"/>
  <c r="V41" i="134"/>
  <c r="W41" i="134"/>
  <c r="X41" i="134"/>
  <c r="U42" i="134"/>
  <c r="V42" i="134"/>
  <c r="W42" i="134"/>
  <c r="X42" i="134"/>
  <c r="U43" i="134"/>
  <c r="V43" i="134"/>
  <c r="W43" i="134"/>
  <c r="X43" i="134"/>
  <c r="U44" i="134"/>
  <c r="V44" i="134"/>
  <c r="W44" i="134"/>
  <c r="X44" i="134"/>
  <c r="U45" i="134"/>
  <c r="V45" i="134"/>
  <c r="W45" i="134"/>
  <c r="X45" i="134"/>
  <c r="U46" i="134"/>
  <c r="V46" i="134"/>
  <c r="W46" i="134"/>
  <c r="X46" i="134"/>
  <c r="U47" i="134"/>
  <c r="V47" i="134"/>
  <c r="W47" i="134"/>
  <c r="X47" i="134"/>
  <c r="U48" i="134"/>
  <c r="V48" i="134"/>
  <c r="W48" i="134"/>
  <c r="X48" i="134"/>
  <c r="U49" i="134"/>
  <c r="V49" i="134"/>
  <c r="W49" i="134"/>
  <c r="X49" i="134"/>
  <c r="U50" i="134"/>
  <c r="V50" i="134"/>
  <c r="W50" i="134"/>
  <c r="X50" i="134"/>
  <c r="U51" i="134"/>
  <c r="V51" i="134"/>
  <c r="W51" i="134"/>
  <c r="X51" i="134"/>
  <c r="U52" i="134"/>
  <c r="V52" i="134"/>
  <c r="W52" i="134"/>
  <c r="X52" i="134"/>
  <c r="U53" i="134"/>
  <c r="V53" i="134"/>
  <c r="W53" i="134"/>
  <c r="X53" i="134"/>
  <c r="U54" i="134"/>
  <c r="V54" i="134"/>
  <c r="W54" i="134"/>
  <c r="X54" i="134"/>
  <c r="U55" i="134"/>
  <c r="V55" i="134"/>
  <c r="W55" i="134"/>
  <c r="X55" i="134"/>
  <c r="U56" i="134"/>
  <c r="V56" i="134"/>
  <c r="W56" i="134"/>
  <c r="X56" i="134"/>
  <c r="U57" i="134"/>
  <c r="V57" i="134"/>
  <c r="W57" i="134"/>
  <c r="X57" i="134"/>
  <c r="U58" i="134"/>
  <c r="V58" i="134"/>
  <c r="W58" i="134"/>
  <c r="X58" i="134"/>
  <c r="U59" i="134"/>
  <c r="V59" i="134"/>
  <c r="W59" i="134"/>
  <c r="X59" i="134"/>
  <c r="U60" i="134"/>
  <c r="V60" i="134"/>
  <c r="W60" i="134"/>
  <c r="X60" i="134"/>
  <c r="U61" i="134"/>
  <c r="V61" i="134"/>
  <c r="W61" i="134"/>
  <c r="X61" i="134"/>
  <c r="U62" i="134"/>
  <c r="V62" i="134"/>
  <c r="W62" i="134"/>
  <c r="X62" i="134"/>
  <c r="U63" i="134"/>
  <c r="V63" i="134"/>
  <c r="W63" i="134"/>
  <c r="X63" i="134"/>
  <c r="U64" i="134"/>
  <c r="V64" i="134"/>
  <c r="W64" i="134"/>
  <c r="X64" i="134"/>
  <c r="U65" i="134"/>
  <c r="V65" i="134"/>
  <c r="W65" i="134"/>
  <c r="X65" i="134"/>
  <c r="U66" i="134"/>
  <c r="V66" i="134"/>
  <c r="W66" i="134"/>
  <c r="X66" i="134"/>
  <c r="U67" i="134"/>
  <c r="V67" i="134"/>
  <c r="W67" i="134"/>
  <c r="X67" i="134"/>
  <c r="U68" i="134"/>
  <c r="V68" i="134"/>
  <c r="W68" i="134"/>
  <c r="X68" i="134"/>
  <c r="U69" i="134"/>
  <c r="V69" i="134"/>
  <c r="W69" i="134"/>
  <c r="X69" i="134"/>
  <c r="U70" i="134"/>
  <c r="V70" i="134"/>
  <c r="W70" i="134"/>
  <c r="X70" i="134"/>
  <c r="U71" i="134"/>
  <c r="V71" i="134"/>
  <c r="W71" i="134"/>
  <c r="X71" i="134"/>
  <c r="U72" i="134"/>
  <c r="V72" i="134"/>
  <c r="W72" i="134"/>
  <c r="X72" i="134"/>
  <c r="U73" i="134"/>
  <c r="V73" i="134"/>
  <c r="W73" i="134"/>
  <c r="X73" i="134"/>
  <c r="U74" i="134"/>
  <c r="V74" i="134"/>
  <c r="W74" i="134"/>
  <c r="X74" i="134"/>
  <c r="U75" i="134"/>
  <c r="V75" i="134"/>
  <c r="W75" i="134"/>
  <c r="X75" i="134"/>
  <c r="U76" i="134"/>
  <c r="V76" i="134"/>
  <c r="W76" i="134"/>
  <c r="X76" i="134"/>
  <c r="U77" i="134"/>
  <c r="V77" i="134"/>
  <c r="W77" i="134"/>
  <c r="X77" i="134"/>
  <c r="U29" i="135"/>
  <c r="V29" i="135"/>
  <c r="W29" i="135"/>
  <c r="X29" i="135"/>
  <c r="U30" i="135"/>
  <c r="V30" i="135"/>
  <c r="W30" i="135"/>
  <c r="X30" i="135"/>
  <c r="U31" i="135"/>
  <c r="V31" i="135"/>
  <c r="W31" i="135"/>
  <c r="X31" i="135"/>
  <c r="U32" i="135"/>
  <c r="V32" i="135"/>
  <c r="W32" i="135"/>
  <c r="X32" i="135"/>
  <c r="U33" i="135"/>
  <c r="V33" i="135"/>
  <c r="W33" i="135"/>
  <c r="X33" i="135"/>
  <c r="U34" i="135"/>
  <c r="V34" i="135"/>
  <c r="W34" i="135"/>
  <c r="X34" i="135"/>
  <c r="U35" i="135"/>
  <c r="V35" i="135"/>
  <c r="W35" i="135"/>
  <c r="X35" i="135"/>
  <c r="U36" i="135"/>
  <c r="V36" i="135"/>
  <c r="W36" i="135"/>
  <c r="X36" i="135"/>
  <c r="U37" i="135"/>
  <c r="V37" i="135"/>
  <c r="W37" i="135"/>
  <c r="X37" i="135"/>
  <c r="U38" i="135"/>
  <c r="V38" i="135"/>
  <c r="W38" i="135"/>
  <c r="X38" i="135"/>
  <c r="U39" i="135"/>
  <c r="V39" i="135"/>
  <c r="W39" i="135"/>
  <c r="X39" i="135"/>
  <c r="U40" i="135"/>
  <c r="V40" i="135"/>
  <c r="W40" i="135"/>
  <c r="X40" i="135"/>
  <c r="U41" i="135"/>
  <c r="V41" i="135"/>
  <c r="W41" i="135"/>
  <c r="X41" i="135"/>
  <c r="U42" i="135"/>
  <c r="V42" i="135"/>
  <c r="W42" i="135"/>
  <c r="X42" i="135"/>
  <c r="U43" i="135"/>
  <c r="V43" i="135"/>
  <c r="W43" i="135"/>
  <c r="X43" i="135"/>
  <c r="U44" i="135"/>
  <c r="V44" i="135"/>
  <c r="W44" i="135"/>
  <c r="X44" i="135"/>
  <c r="U45" i="135"/>
  <c r="V45" i="135"/>
  <c r="W45" i="135"/>
  <c r="X45" i="135"/>
  <c r="U46" i="135"/>
  <c r="V46" i="135"/>
  <c r="W46" i="135"/>
  <c r="X46" i="135"/>
  <c r="U47" i="135"/>
  <c r="V47" i="135"/>
  <c r="W47" i="135"/>
  <c r="X47" i="135"/>
  <c r="U48" i="135"/>
  <c r="V48" i="135"/>
  <c r="W48" i="135"/>
  <c r="X48" i="135"/>
  <c r="U49" i="135"/>
  <c r="V49" i="135"/>
  <c r="W49" i="135"/>
  <c r="X49" i="135"/>
  <c r="U50" i="135"/>
  <c r="V50" i="135"/>
  <c r="W50" i="135"/>
  <c r="X50" i="135"/>
  <c r="U51" i="135"/>
  <c r="V51" i="135"/>
  <c r="W51" i="135"/>
  <c r="X51" i="135"/>
  <c r="U52" i="135"/>
  <c r="V52" i="135"/>
  <c r="W52" i="135"/>
  <c r="X52" i="135"/>
  <c r="U53" i="135"/>
  <c r="V53" i="135"/>
  <c r="W53" i="135"/>
  <c r="X53" i="135"/>
  <c r="U54" i="135"/>
  <c r="V54" i="135"/>
  <c r="W54" i="135"/>
  <c r="X54" i="135"/>
  <c r="U55" i="135"/>
  <c r="V55" i="135"/>
  <c r="W55" i="135"/>
  <c r="X55" i="135"/>
  <c r="U56" i="135"/>
  <c r="V56" i="135"/>
  <c r="W56" i="135"/>
  <c r="X56" i="135"/>
  <c r="U57" i="135"/>
  <c r="V57" i="135"/>
  <c r="W57" i="135"/>
  <c r="X57" i="135"/>
  <c r="U58" i="135"/>
  <c r="V58" i="135"/>
  <c r="W58" i="135"/>
  <c r="X58" i="135"/>
  <c r="U59" i="135"/>
  <c r="V59" i="135"/>
  <c r="W59" i="135"/>
  <c r="X59" i="135"/>
  <c r="U60" i="135"/>
  <c r="V60" i="135"/>
  <c r="W60" i="135"/>
  <c r="X60" i="135"/>
  <c r="U61" i="135"/>
  <c r="V61" i="135"/>
  <c r="W61" i="135"/>
  <c r="X61" i="135"/>
  <c r="U62" i="135"/>
  <c r="V62" i="135"/>
  <c r="W62" i="135"/>
  <c r="X62" i="135"/>
  <c r="U63" i="135"/>
  <c r="V63" i="135"/>
  <c r="W63" i="135"/>
  <c r="X63" i="135"/>
  <c r="U64" i="135"/>
  <c r="V64" i="135"/>
  <c r="W64" i="135"/>
  <c r="X64" i="135"/>
  <c r="U65" i="135"/>
  <c r="V65" i="135"/>
  <c r="W65" i="135"/>
  <c r="X65" i="135"/>
  <c r="U66" i="135"/>
  <c r="V66" i="135"/>
  <c r="W66" i="135"/>
  <c r="X66" i="135"/>
  <c r="U67" i="135"/>
  <c r="V67" i="135"/>
  <c r="W67" i="135"/>
  <c r="X67" i="135"/>
  <c r="U68" i="135"/>
  <c r="V68" i="135"/>
  <c r="W68" i="135"/>
  <c r="X68" i="135"/>
  <c r="U69" i="135"/>
  <c r="V69" i="135"/>
  <c r="W69" i="135"/>
  <c r="X69" i="135"/>
  <c r="U70" i="135"/>
  <c r="V70" i="135"/>
  <c r="W70" i="135"/>
  <c r="X70" i="135"/>
  <c r="U71" i="135"/>
  <c r="V71" i="135"/>
  <c r="W71" i="135"/>
  <c r="X71" i="135"/>
  <c r="U72" i="135"/>
  <c r="V72" i="135"/>
  <c r="W72" i="135"/>
  <c r="X72" i="135"/>
  <c r="U73" i="135"/>
  <c r="V73" i="135"/>
  <c r="W73" i="135"/>
  <c r="X73" i="135"/>
  <c r="U74" i="135"/>
  <c r="V74" i="135"/>
  <c r="W74" i="135"/>
  <c r="X74" i="135"/>
  <c r="U75" i="135"/>
  <c r="V75" i="135"/>
  <c r="W75" i="135"/>
  <c r="X75" i="135"/>
  <c r="U76" i="135"/>
  <c r="V76" i="135"/>
  <c r="W76" i="135"/>
  <c r="X76" i="135"/>
  <c r="U77" i="135"/>
  <c r="V77" i="135"/>
  <c r="W77" i="135"/>
  <c r="X77" i="135"/>
  <c r="U29" i="136"/>
  <c r="V29" i="136"/>
  <c r="W29" i="136"/>
  <c r="X29" i="136"/>
  <c r="U30" i="136"/>
  <c r="V30" i="136"/>
  <c r="W30" i="136"/>
  <c r="X30" i="136"/>
  <c r="U31" i="136"/>
  <c r="V31" i="136"/>
  <c r="W31" i="136"/>
  <c r="X31" i="136"/>
  <c r="U32" i="136"/>
  <c r="V32" i="136"/>
  <c r="W32" i="136"/>
  <c r="X32" i="136"/>
  <c r="U33" i="136"/>
  <c r="V33" i="136"/>
  <c r="W33" i="136"/>
  <c r="X33" i="136"/>
  <c r="U34" i="136"/>
  <c r="V34" i="136"/>
  <c r="W34" i="136"/>
  <c r="X34" i="136"/>
  <c r="U35" i="136"/>
  <c r="V35" i="136"/>
  <c r="W35" i="136"/>
  <c r="X35" i="136"/>
  <c r="U36" i="136"/>
  <c r="V36" i="136"/>
  <c r="W36" i="136"/>
  <c r="X36" i="136"/>
  <c r="U37" i="136"/>
  <c r="V37" i="136"/>
  <c r="W37" i="136"/>
  <c r="X37" i="136"/>
  <c r="U38" i="136"/>
  <c r="V38" i="136"/>
  <c r="W38" i="136"/>
  <c r="X38" i="136"/>
  <c r="U39" i="136"/>
  <c r="V39" i="136"/>
  <c r="W39" i="136"/>
  <c r="X39" i="136"/>
  <c r="U40" i="136"/>
  <c r="V40" i="136"/>
  <c r="W40" i="136"/>
  <c r="X40" i="136"/>
  <c r="U41" i="136"/>
  <c r="V41" i="136"/>
  <c r="W41" i="136"/>
  <c r="X41" i="136"/>
  <c r="U42" i="136"/>
  <c r="V42" i="136"/>
  <c r="W42" i="136"/>
  <c r="X42" i="136"/>
  <c r="U43" i="136"/>
  <c r="V43" i="136"/>
  <c r="W43" i="136"/>
  <c r="X43" i="136"/>
  <c r="U44" i="136"/>
  <c r="V44" i="136"/>
  <c r="W44" i="136"/>
  <c r="X44" i="136"/>
  <c r="U45" i="136"/>
  <c r="V45" i="136"/>
  <c r="W45" i="136"/>
  <c r="X45" i="136"/>
  <c r="U46" i="136"/>
  <c r="V46" i="136"/>
  <c r="W46" i="136"/>
  <c r="X46" i="136"/>
  <c r="U47" i="136"/>
  <c r="V47" i="136"/>
  <c r="W47" i="136"/>
  <c r="X47" i="136"/>
  <c r="U48" i="136"/>
  <c r="V48" i="136"/>
  <c r="W48" i="136"/>
  <c r="X48" i="136"/>
  <c r="U49" i="136"/>
  <c r="V49" i="136"/>
  <c r="W49" i="136"/>
  <c r="X49" i="136"/>
  <c r="U50" i="136"/>
  <c r="V50" i="136"/>
  <c r="W50" i="136"/>
  <c r="X50" i="136"/>
  <c r="U51" i="136"/>
  <c r="V51" i="136"/>
  <c r="W51" i="136"/>
  <c r="X51" i="136"/>
  <c r="U52" i="136"/>
  <c r="V52" i="136"/>
  <c r="W52" i="136"/>
  <c r="X52" i="136"/>
  <c r="U53" i="136"/>
  <c r="V53" i="136"/>
  <c r="W53" i="136"/>
  <c r="X53" i="136"/>
  <c r="U54" i="136"/>
  <c r="V54" i="136"/>
  <c r="W54" i="136"/>
  <c r="X54" i="136"/>
  <c r="U55" i="136"/>
  <c r="V55" i="136"/>
  <c r="W55" i="136"/>
  <c r="X55" i="136"/>
  <c r="U56" i="136"/>
  <c r="V56" i="136"/>
  <c r="W56" i="136"/>
  <c r="X56" i="136"/>
  <c r="U57" i="136"/>
  <c r="V57" i="136"/>
  <c r="W57" i="136"/>
  <c r="X57" i="136"/>
  <c r="U58" i="136"/>
  <c r="V58" i="136"/>
  <c r="W58" i="136"/>
  <c r="X58" i="136"/>
  <c r="U59" i="136"/>
  <c r="V59" i="136"/>
  <c r="W59" i="136"/>
  <c r="X59" i="136"/>
  <c r="U60" i="136"/>
  <c r="V60" i="136"/>
  <c r="W60" i="136"/>
  <c r="X60" i="136"/>
  <c r="U61" i="136"/>
  <c r="V61" i="136"/>
  <c r="W61" i="136"/>
  <c r="X61" i="136"/>
  <c r="U62" i="136"/>
  <c r="V62" i="136"/>
  <c r="W62" i="136"/>
  <c r="X62" i="136"/>
  <c r="U63" i="136"/>
  <c r="V63" i="136"/>
  <c r="W63" i="136"/>
  <c r="X63" i="136"/>
  <c r="U64" i="136"/>
  <c r="V64" i="136"/>
  <c r="W64" i="136"/>
  <c r="X64" i="136"/>
  <c r="U65" i="136"/>
  <c r="V65" i="136"/>
  <c r="W65" i="136"/>
  <c r="X65" i="136"/>
  <c r="U66" i="136"/>
  <c r="V66" i="136"/>
  <c r="W66" i="136"/>
  <c r="X66" i="136"/>
  <c r="U67" i="136"/>
  <c r="V67" i="136"/>
  <c r="W67" i="136"/>
  <c r="X67" i="136"/>
  <c r="U68" i="136"/>
  <c r="V68" i="136"/>
  <c r="W68" i="136"/>
  <c r="X68" i="136"/>
  <c r="U69" i="136"/>
  <c r="V69" i="136"/>
  <c r="W69" i="136"/>
  <c r="X69" i="136"/>
  <c r="U70" i="136"/>
  <c r="V70" i="136"/>
  <c r="W70" i="136"/>
  <c r="X70" i="136"/>
  <c r="U71" i="136"/>
  <c r="V71" i="136"/>
  <c r="W71" i="136"/>
  <c r="X71" i="136"/>
  <c r="U72" i="136"/>
  <c r="V72" i="136"/>
  <c r="W72" i="136"/>
  <c r="X72" i="136"/>
  <c r="U73" i="136"/>
  <c r="V73" i="136"/>
  <c r="W73" i="136"/>
  <c r="X73" i="136"/>
  <c r="U74" i="136"/>
  <c r="V74" i="136"/>
  <c r="W74" i="136"/>
  <c r="X74" i="136"/>
  <c r="U75" i="136"/>
  <c r="V75" i="136"/>
  <c r="W75" i="136"/>
  <c r="X75" i="136"/>
  <c r="U76" i="136"/>
  <c r="V76" i="136"/>
  <c r="W76" i="136"/>
  <c r="X76" i="136"/>
  <c r="U77" i="136"/>
  <c r="V77" i="136"/>
  <c r="W77" i="136"/>
  <c r="X77" i="136"/>
  <c r="U29" i="137"/>
  <c r="V29" i="137"/>
  <c r="W29" i="137"/>
  <c r="X29" i="137"/>
  <c r="U30" i="137"/>
  <c r="V30" i="137"/>
  <c r="W30" i="137"/>
  <c r="X30" i="137"/>
  <c r="U31" i="137"/>
  <c r="V31" i="137"/>
  <c r="W31" i="137"/>
  <c r="X31" i="137"/>
  <c r="U32" i="137"/>
  <c r="V32" i="137"/>
  <c r="W32" i="137"/>
  <c r="X32" i="137"/>
  <c r="U33" i="137"/>
  <c r="V33" i="137"/>
  <c r="W33" i="137"/>
  <c r="X33" i="137"/>
  <c r="U34" i="137"/>
  <c r="V34" i="137"/>
  <c r="W34" i="137"/>
  <c r="X34" i="137"/>
  <c r="U35" i="137"/>
  <c r="V35" i="137"/>
  <c r="W35" i="137"/>
  <c r="X35" i="137"/>
  <c r="U36" i="137"/>
  <c r="V36" i="137"/>
  <c r="W36" i="137"/>
  <c r="X36" i="137"/>
  <c r="U37" i="137"/>
  <c r="V37" i="137"/>
  <c r="W37" i="137"/>
  <c r="X37" i="137"/>
  <c r="U38" i="137"/>
  <c r="V38" i="137"/>
  <c r="W38" i="137"/>
  <c r="X38" i="137"/>
  <c r="U39" i="137"/>
  <c r="V39" i="137"/>
  <c r="W39" i="137"/>
  <c r="X39" i="137"/>
  <c r="U40" i="137"/>
  <c r="V40" i="137"/>
  <c r="W40" i="137"/>
  <c r="X40" i="137"/>
  <c r="U41" i="137"/>
  <c r="V41" i="137"/>
  <c r="W41" i="137"/>
  <c r="X41" i="137"/>
  <c r="U42" i="137"/>
  <c r="V42" i="137"/>
  <c r="W42" i="137"/>
  <c r="X42" i="137"/>
  <c r="U43" i="137"/>
  <c r="V43" i="137"/>
  <c r="W43" i="137"/>
  <c r="X43" i="137"/>
  <c r="U44" i="137"/>
  <c r="V44" i="137"/>
  <c r="W44" i="137"/>
  <c r="X44" i="137"/>
  <c r="U45" i="137"/>
  <c r="V45" i="137"/>
  <c r="W45" i="137"/>
  <c r="X45" i="137"/>
  <c r="U46" i="137"/>
  <c r="V46" i="137"/>
  <c r="W46" i="137"/>
  <c r="X46" i="137"/>
  <c r="U47" i="137"/>
  <c r="V47" i="137"/>
  <c r="W47" i="137"/>
  <c r="X47" i="137"/>
  <c r="U48" i="137"/>
  <c r="V48" i="137"/>
  <c r="W48" i="137"/>
  <c r="X48" i="137"/>
  <c r="U49" i="137"/>
  <c r="V49" i="137"/>
  <c r="W49" i="137"/>
  <c r="X49" i="137"/>
  <c r="U50" i="137"/>
  <c r="V50" i="137"/>
  <c r="W50" i="137"/>
  <c r="X50" i="137"/>
  <c r="U51" i="137"/>
  <c r="V51" i="137"/>
  <c r="W51" i="137"/>
  <c r="X51" i="137"/>
  <c r="U52" i="137"/>
  <c r="V52" i="137"/>
  <c r="W52" i="137"/>
  <c r="X52" i="137"/>
  <c r="U53" i="137"/>
  <c r="V53" i="137"/>
  <c r="W53" i="137"/>
  <c r="X53" i="137"/>
  <c r="U54" i="137"/>
  <c r="V54" i="137"/>
  <c r="W54" i="137"/>
  <c r="X54" i="137"/>
  <c r="U55" i="137"/>
  <c r="V55" i="137"/>
  <c r="W55" i="137"/>
  <c r="X55" i="137"/>
  <c r="U56" i="137"/>
  <c r="V56" i="137"/>
  <c r="W56" i="137"/>
  <c r="X56" i="137"/>
  <c r="U57" i="137"/>
  <c r="V57" i="137"/>
  <c r="W57" i="137"/>
  <c r="X57" i="137"/>
  <c r="U58" i="137"/>
  <c r="V58" i="137"/>
  <c r="W58" i="137"/>
  <c r="X58" i="137"/>
  <c r="U59" i="137"/>
  <c r="V59" i="137"/>
  <c r="W59" i="137"/>
  <c r="X59" i="137"/>
  <c r="U60" i="137"/>
  <c r="V60" i="137"/>
  <c r="W60" i="137"/>
  <c r="X60" i="137"/>
  <c r="U61" i="137"/>
  <c r="V61" i="137"/>
  <c r="W61" i="137"/>
  <c r="X61" i="137"/>
  <c r="U62" i="137"/>
  <c r="V62" i="137"/>
  <c r="W62" i="137"/>
  <c r="X62" i="137"/>
  <c r="U63" i="137"/>
  <c r="V63" i="137"/>
  <c r="W63" i="137"/>
  <c r="X63" i="137"/>
  <c r="U64" i="137"/>
  <c r="V64" i="137"/>
  <c r="W64" i="137"/>
  <c r="X64" i="137"/>
  <c r="U65" i="137"/>
  <c r="V65" i="137"/>
  <c r="W65" i="137"/>
  <c r="X65" i="137"/>
  <c r="U66" i="137"/>
  <c r="V66" i="137"/>
  <c r="W66" i="137"/>
  <c r="X66" i="137"/>
  <c r="U67" i="137"/>
  <c r="V67" i="137"/>
  <c r="W67" i="137"/>
  <c r="X67" i="137"/>
  <c r="U68" i="137"/>
  <c r="V68" i="137"/>
  <c r="W68" i="137"/>
  <c r="X68" i="137"/>
  <c r="U69" i="137"/>
  <c r="V69" i="137"/>
  <c r="W69" i="137"/>
  <c r="X69" i="137"/>
  <c r="U70" i="137"/>
  <c r="V70" i="137"/>
  <c r="W70" i="137"/>
  <c r="X70" i="137"/>
  <c r="U71" i="137"/>
  <c r="V71" i="137"/>
  <c r="W71" i="137"/>
  <c r="X71" i="137"/>
  <c r="U72" i="137"/>
  <c r="V72" i="137"/>
  <c r="W72" i="137"/>
  <c r="X72" i="137"/>
  <c r="U73" i="137"/>
  <c r="V73" i="137"/>
  <c r="W73" i="137"/>
  <c r="X73" i="137"/>
  <c r="U74" i="137"/>
  <c r="V74" i="137"/>
  <c r="W74" i="137"/>
  <c r="X74" i="137"/>
  <c r="U75" i="137"/>
  <c r="V75" i="137"/>
  <c r="W75" i="137"/>
  <c r="X75" i="137"/>
  <c r="U76" i="137"/>
  <c r="V76" i="137"/>
  <c r="W76" i="137"/>
  <c r="X76" i="137"/>
  <c r="U77" i="137"/>
  <c r="V77" i="137"/>
  <c r="W77" i="137"/>
  <c r="X77" i="137"/>
  <c r="U29" i="138"/>
  <c r="V29" i="138"/>
  <c r="W29" i="138"/>
  <c r="X29" i="138"/>
  <c r="U30" i="138"/>
  <c r="V30" i="138"/>
  <c r="W30" i="138"/>
  <c r="X30" i="138"/>
  <c r="U31" i="138"/>
  <c r="V31" i="138"/>
  <c r="W31" i="138"/>
  <c r="X31" i="138"/>
  <c r="U32" i="138"/>
  <c r="V32" i="138"/>
  <c r="W32" i="138"/>
  <c r="X32" i="138"/>
  <c r="U33" i="138"/>
  <c r="V33" i="138"/>
  <c r="W33" i="138"/>
  <c r="X33" i="138"/>
  <c r="U34" i="138"/>
  <c r="V34" i="138"/>
  <c r="W34" i="138"/>
  <c r="X34" i="138"/>
  <c r="U35" i="138"/>
  <c r="V35" i="138"/>
  <c r="W35" i="138"/>
  <c r="X35" i="138"/>
  <c r="U36" i="138"/>
  <c r="V36" i="138"/>
  <c r="W36" i="138"/>
  <c r="X36" i="138"/>
  <c r="U37" i="138"/>
  <c r="V37" i="138"/>
  <c r="W37" i="138"/>
  <c r="X37" i="138"/>
  <c r="U38" i="138"/>
  <c r="V38" i="138"/>
  <c r="W38" i="138"/>
  <c r="X38" i="138"/>
  <c r="U39" i="138"/>
  <c r="V39" i="138"/>
  <c r="W39" i="138"/>
  <c r="X39" i="138"/>
  <c r="U40" i="138"/>
  <c r="V40" i="138"/>
  <c r="W40" i="138"/>
  <c r="X40" i="138"/>
  <c r="U41" i="138"/>
  <c r="V41" i="138"/>
  <c r="W41" i="138"/>
  <c r="X41" i="138"/>
  <c r="U42" i="138"/>
  <c r="V42" i="138"/>
  <c r="W42" i="138"/>
  <c r="X42" i="138"/>
  <c r="U43" i="138"/>
  <c r="V43" i="138"/>
  <c r="W43" i="138"/>
  <c r="X43" i="138"/>
  <c r="U44" i="138"/>
  <c r="V44" i="138"/>
  <c r="W44" i="138"/>
  <c r="X44" i="138"/>
  <c r="U45" i="138"/>
  <c r="V45" i="138"/>
  <c r="W45" i="138"/>
  <c r="X45" i="138"/>
  <c r="U46" i="138"/>
  <c r="V46" i="138"/>
  <c r="W46" i="138"/>
  <c r="X46" i="138"/>
  <c r="U47" i="138"/>
  <c r="V47" i="138"/>
  <c r="W47" i="138"/>
  <c r="X47" i="138"/>
  <c r="U48" i="138"/>
  <c r="V48" i="138"/>
  <c r="W48" i="138"/>
  <c r="X48" i="138"/>
  <c r="U49" i="138"/>
  <c r="V49" i="138"/>
  <c r="W49" i="138"/>
  <c r="X49" i="138"/>
  <c r="U50" i="138"/>
  <c r="V50" i="138"/>
  <c r="W50" i="138"/>
  <c r="X50" i="138"/>
  <c r="U51" i="138"/>
  <c r="V51" i="138"/>
  <c r="W51" i="138"/>
  <c r="X51" i="138"/>
  <c r="U52" i="138"/>
  <c r="V52" i="138"/>
  <c r="W52" i="138"/>
  <c r="X52" i="138"/>
  <c r="U53" i="138"/>
  <c r="V53" i="138"/>
  <c r="W53" i="138"/>
  <c r="X53" i="138"/>
  <c r="U54" i="138"/>
  <c r="V54" i="138"/>
  <c r="W54" i="138"/>
  <c r="X54" i="138"/>
  <c r="U55" i="138"/>
  <c r="V55" i="138"/>
  <c r="W55" i="138"/>
  <c r="X55" i="138"/>
  <c r="U56" i="138"/>
  <c r="V56" i="138"/>
  <c r="W56" i="138"/>
  <c r="X56" i="138"/>
  <c r="U57" i="138"/>
  <c r="V57" i="138"/>
  <c r="W57" i="138"/>
  <c r="X57" i="138"/>
  <c r="U58" i="138"/>
  <c r="V58" i="138"/>
  <c r="W58" i="138"/>
  <c r="X58" i="138"/>
  <c r="U59" i="138"/>
  <c r="V59" i="138"/>
  <c r="W59" i="138"/>
  <c r="X59" i="138"/>
  <c r="U60" i="138"/>
  <c r="V60" i="138"/>
  <c r="W60" i="138"/>
  <c r="X60" i="138"/>
  <c r="U61" i="138"/>
  <c r="V61" i="138"/>
  <c r="W61" i="138"/>
  <c r="X61" i="138"/>
  <c r="U62" i="138"/>
  <c r="V62" i="138"/>
  <c r="W62" i="138"/>
  <c r="X62" i="138"/>
  <c r="U63" i="138"/>
  <c r="V63" i="138"/>
  <c r="W63" i="138"/>
  <c r="X63" i="138"/>
  <c r="U64" i="138"/>
  <c r="V64" i="138"/>
  <c r="W64" i="138"/>
  <c r="X64" i="138"/>
  <c r="U65" i="138"/>
  <c r="V65" i="138"/>
  <c r="W65" i="138"/>
  <c r="X65" i="138"/>
  <c r="U66" i="138"/>
  <c r="V66" i="138"/>
  <c r="W66" i="138"/>
  <c r="X66" i="138"/>
  <c r="U67" i="138"/>
  <c r="V67" i="138"/>
  <c r="W67" i="138"/>
  <c r="X67" i="138"/>
  <c r="U68" i="138"/>
  <c r="V68" i="138"/>
  <c r="W68" i="138"/>
  <c r="X68" i="138"/>
  <c r="U69" i="138"/>
  <c r="V69" i="138"/>
  <c r="W69" i="138"/>
  <c r="X69" i="138"/>
  <c r="U70" i="138"/>
  <c r="V70" i="138"/>
  <c r="W70" i="138"/>
  <c r="X70" i="138"/>
  <c r="U71" i="138"/>
  <c r="V71" i="138"/>
  <c r="W71" i="138"/>
  <c r="X71" i="138"/>
  <c r="U72" i="138"/>
  <c r="V72" i="138"/>
  <c r="W72" i="138"/>
  <c r="X72" i="138"/>
  <c r="U73" i="138"/>
  <c r="V73" i="138"/>
  <c r="W73" i="138"/>
  <c r="X73" i="138"/>
  <c r="U74" i="138"/>
  <c r="V74" i="138"/>
  <c r="W74" i="138"/>
  <c r="X74" i="138"/>
  <c r="U75" i="138"/>
  <c r="V75" i="138"/>
  <c r="W75" i="138"/>
  <c r="X75" i="138"/>
  <c r="U76" i="138"/>
  <c r="V76" i="138"/>
  <c r="W76" i="138"/>
  <c r="X76" i="138"/>
  <c r="U77" i="138"/>
  <c r="V77" i="138"/>
  <c r="W77" i="138"/>
  <c r="X77" i="138"/>
  <c r="U29" i="139"/>
  <c r="V29" i="139"/>
  <c r="W29" i="139"/>
  <c r="X29" i="139"/>
  <c r="U30" i="139"/>
  <c r="V30" i="139"/>
  <c r="W30" i="139"/>
  <c r="X30" i="139"/>
  <c r="U31" i="139"/>
  <c r="V31" i="139"/>
  <c r="W31" i="139"/>
  <c r="X31" i="139"/>
  <c r="U32" i="139"/>
  <c r="V32" i="139"/>
  <c r="W32" i="139"/>
  <c r="X32" i="139"/>
  <c r="U33" i="139"/>
  <c r="V33" i="139"/>
  <c r="W33" i="139"/>
  <c r="X33" i="139"/>
  <c r="U34" i="139"/>
  <c r="V34" i="139"/>
  <c r="W34" i="139"/>
  <c r="X34" i="139"/>
  <c r="U35" i="139"/>
  <c r="V35" i="139"/>
  <c r="W35" i="139"/>
  <c r="X35" i="139"/>
  <c r="U36" i="139"/>
  <c r="V36" i="139"/>
  <c r="W36" i="139"/>
  <c r="X36" i="139"/>
  <c r="U37" i="139"/>
  <c r="V37" i="139"/>
  <c r="W37" i="139"/>
  <c r="X37" i="139"/>
  <c r="U38" i="139"/>
  <c r="V38" i="139"/>
  <c r="W38" i="139"/>
  <c r="X38" i="139"/>
  <c r="U39" i="139"/>
  <c r="V39" i="139"/>
  <c r="W39" i="139"/>
  <c r="X39" i="139"/>
  <c r="U40" i="139"/>
  <c r="V40" i="139"/>
  <c r="W40" i="139"/>
  <c r="X40" i="139"/>
  <c r="U41" i="139"/>
  <c r="V41" i="139"/>
  <c r="W41" i="139"/>
  <c r="X41" i="139"/>
  <c r="U42" i="139"/>
  <c r="V42" i="139"/>
  <c r="W42" i="139"/>
  <c r="X42" i="139"/>
  <c r="U43" i="139"/>
  <c r="V43" i="139"/>
  <c r="W43" i="139"/>
  <c r="X43" i="139"/>
  <c r="U44" i="139"/>
  <c r="V44" i="139"/>
  <c r="W44" i="139"/>
  <c r="X44" i="139"/>
  <c r="U45" i="139"/>
  <c r="V45" i="139"/>
  <c r="W45" i="139"/>
  <c r="X45" i="139"/>
  <c r="U46" i="139"/>
  <c r="V46" i="139"/>
  <c r="W46" i="139"/>
  <c r="X46" i="139"/>
  <c r="U47" i="139"/>
  <c r="V47" i="139"/>
  <c r="W47" i="139"/>
  <c r="X47" i="139"/>
  <c r="U48" i="139"/>
  <c r="V48" i="139"/>
  <c r="W48" i="139"/>
  <c r="X48" i="139"/>
  <c r="U49" i="139"/>
  <c r="V49" i="139"/>
  <c r="W49" i="139"/>
  <c r="X49" i="139"/>
  <c r="U50" i="139"/>
  <c r="V50" i="139"/>
  <c r="W50" i="139"/>
  <c r="X50" i="139"/>
  <c r="U51" i="139"/>
  <c r="V51" i="139"/>
  <c r="W51" i="139"/>
  <c r="X51" i="139"/>
  <c r="U52" i="139"/>
  <c r="V52" i="139"/>
  <c r="W52" i="139"/>
  <c r="X52" i="139"/>
  <c r="U53" i="139"/>
  <c r="V53" i="139"/>
  <c r="W53" i="139"/>
  <c r="X53" i="139"/>
  <c r="U54" i="139"/>
  <c r="V54" i="139"/>
  <c r="W54" i="139"/>
  <c r="X54" i="139"/>
  <c r="U55" i="139"/>
  <c r="V55" i="139"/>
  <c r="W55" i="139"/>
  <c r="X55" i="139"/>
  <c r="U56" i="139"/>
  <c r="V56" i="139"/>
  <c r="W56" i="139"/>
  <c r="X56" i="139"/>
  <c r="U57" i="139"/>
  <c r="V57" i="139"/>
  <c r="W57" i="139"/>
  <c r="X57" i="139"/>
  <c r="U58" i="139"/>
  <c r="V58" i="139"/>
  <c r="W58" i="139"/>
  <c r="X58" i="139"/>
  <c r="U59" i="139"/>
  <c r="V59" i="139"/>
  <c r="W59" i="139"/>
  <c r="X59" i="139"/>
  <c r="U60" i="139"/>
  <c r="V60" i="139"/>
  <c r="W60" i="139"/>
  <c r="X60" i="139"/>
  <c r="U61" i="139"/>
  <c r="V61" i="139"/>
  <c r="W61" i="139"/>
  <c r="X61" i="139"/>
  <c r="U62" i="139"/>
  <c r="V62" i="139"/>
  <c r="W62" i="139"/>
  <c r="X62" i="139"/>
  <c r="U63" i="139"/>
  <c r="V63" i="139"/>
  <c r="W63" i="139"/>
  <c r="X63" i="139"/>
  <c r="U64" i="139"/>
  <c r="V64" i="139"/>
  <c r="W64" i="139"/>
  <c r="X64" i="139"/>
  <c r="U65" i="139"/>
  <c r="V65" i="139"/>
  <c r="W65" i="139"/>
  <c r="X65" i="139"/>
  <c r="U66" i="139"/>
  <c r="V66" i="139"/>
  <c r="W66" i="139"/>
  <c r="X66" i="139"/>
  <c r="U67" i="139"/>
  <c r="V67" i="139"/>
  <c r="W67" i="139"/>
  <c r="X67" i="139"/>
  <c r="U68" i="139"/>
  <c r="V68" i="139"/>
  <c r="W68" i="139"/>
  <c r="X68" i="139"/>
  <c r="U69" i="139"/>
  <c r="V69" i="139"/>
  <c r="W69" i="139"/>
  <c r="X69" i="139"/>
  <c r="U70" i="139"/>
  <c r="V70" i="139"/>
  <c r="W70" i="139"/>
  <c r="X70" i="139"/>
  <c r="U71" i="139"/>
  <c r="V71" i="139"/>
  <c r="W71" i="139"/>
  <c r="X71" i="139"/>
  <c r="U72" i="139"/>
  <c r="V72" i="139"/>
  <c r="W72" i="139"/>
  <c r="X72" i="139"/>
  <c r="U73" i="139"/>
  <c r="V73" i="139"/>
  <c r="W73" i="139"/>
  <c r="X73" i="139"/>
  <c r="U74" i="139"/>
  <c r="V74" i="139"/>
  <c r="W74" i="139"/>
  <c r="X74" i="139"/>
  <c r="U75" i="139"/>
  <c r="V75" i="139"/>
  <c r="W75" i="139"/>
  <c r="X75" i="139"/>
  <c r="U76" i="139"/>
  <c r="V76" i="139"/>
  <c r="W76" i="139"/>
  <c r="X76" i="139"/>
  <c r="U77" i="139"/>
  <c r="V77" i="139"/>
  <c r="W77" i="139"/>
  <c r="X77" i="139"/>
  <c r="U29" i="140"/>
  <c r="V29" i="140"/>
  <c r="W29" i="140"/>
  <c r="X29" i="140"/>
  <c r="U30" i="140"/>
  <c r="V30" i="140"/>
  <c r="W30" i="140"/>
  <c r="X30" i="140"/>
  <c r="U31" i="140"/>
  <c r="V31" i="140"/>
  <c r="W31" i="140"/>
  <c r="X31" i="140"/>
  <c r="U32" i="140"/>
  <c r="V32" i="140"/>
  <c r="W32" i="140"/>
  <c r="X32" i="140"/>
  <c r="U33" i="140"/>
  <c r="V33" i="140"/>
  <c r="W33" i="140"/>
  <c r="X33" i="140"/>
  <c r="U34" i="140"/>
  <c r="V34" i="140"/>
  <c r="W34" i="140"/>
  <c r="X34" i="140"/>
  <c r="U35" i="140"/>
  <c r="V35" i="140"/>
  <c r="W35" i="140"/>
  <c r="X35" i="140"/>
  <c r="U36" i="140"/>
  <c r="V36" i="140"/>
  <c r="W36" i="140"/>
  <c r="X36" i="140"/>
  <c r="U37" i="140"/>
  <c r="V37" i="140"/>
  <c r="W37" i="140"/>
  <c r="X37" i="140"/>
  <c r="U38" i="140"/>
  <c r="V38" i="140"/>
  <c r="W38" i="140"/>
  <c r="X38" i="140"/>
  <c r="U39" i="140"/>
  <c r="V39" i="140"/>
  <c r="W39" i="140"/>
  <c r="X39" i="140"/>
  <c r="U40" i="140"/>
  <c r="V40" i="140"/>
  <c r="W40" i="140"/>
  <c r="X40" i="140"/>
  <c r="U41" i="140"/>
  <c r="V41" i="140"/>
  <c r="W41" i="140"/>
  <c r="X41" i="140"/>
  <c r="U42" i="140"/>
  <c r="V42" i="140"/>
  <c r="W42" i="140"/>
  <c r="X42" i="140"/>
  <c r="U43" i="140"/>
  <c r="V43" i="140"/>
  <c r="W43" i="140"/>
  <c r="X43" i="140"/>
  <c r="U44" i="140"/>
  <c r="V44" i="140"/>
  <c r="W44" i="140"/>
  <c r="X44" i="140"/>
  <c r="U45" i="140"/>
  <c r="V45" i="140"/>
  <c r="W45" i="140"/>
  <c r="X45" i="140"/>
  <c r="U46" i="140"/>
  <c r="V46" i="140"/>
  <c r="W46" i="140"/>
  <c r="X46" i="140"/>
  <c r="U47" i="140"/>
  <c r="V47" i="140"/>
  <c r="W47" i="140"/>
  <c r="X47" i="140"/>
  <c r="U48" i="140"/>
  <c r="V48" i="140"/>
  <c r="W48" i="140"/>
  <c r="X48" i="140"/>
  <c r="U49" i="140"/>
  <c r="V49" i="140"/>
  <c r="W49" i="140"/>
  <c r="X49" i="140"/>
  <c r="U50" i="140"/>
  <c r="V50" i="140"/>
  <c r="W50" i="140"/>
  <c r="X50" i="140"/>
  <c r="U51" i="140"/>
  <c r="V51" i="140"/>
  <c r="W51" i="140"/>
  <c r="X51" i="140"/>
  <c r="U52" i="140"/>
  <c r="V52" i="140"/>
  <c r="W52" i="140"/>
  <c r="X52" i="140"/>
  <c r="U53" i="140"/>
  <c r="V53" i="140"/>
  <c r="W53" i="140"/>
  <c r="X53" i="140"/>
  <c r="U54" i="140"/>
  <c r="V54" i="140"/>
  <c r="W54" i="140"/>
  <c r="X54" i="140"/>
  <c r="U55" i="140"/>
  <c r="V55" i="140"/>
  <c r="W55" i="140"/>
  <c r="X55" i="140"/>
  <c r="U56" i="140"/>
  <c r="V56" i="140"/>
  <c r="W56" i="140"/>
  <c r="X56" i="140"/>
  <c r="U57" i="140"/>
  <c r="V57" i="140"/>
  <c r="W57" i="140"/>
  <c r="X57" i="140"/>
  <c r="U58" i="140"/>
  <c r="V58" i="140"/>
  <c r="W58" i="140"/>
  <c r="X58" i="140"/>
  <c r="U59" i="140"/>
  <c r="V59" i="140"/>
  <c r="W59" i="140"/>
  <c r="X59" i="140"/>
  <c r="U60" i="140"/>
  <c r="V60" i="140"/>
  <c r="W60" i="140"/>
  <c r="X60" i="140"/>
  <c r="U61" i="140"/>
  <c r="V61" i="140"/>
  <c r="W61" i="140"/>
  <c r="X61" i="140"/>
  <c r="U62" i="140"/>
  <c r="V62" i="140"/>
  <c r="W62" i="140"/>
  <c r="X62" i="140"/>
  <c r="U63" i="140"/>
  <c r="V63" i="140"/>
  <c r="W63" i="140"/>
  <c r="X63" i="140"/>
  <c r="U64" i="140"/>
  <c r="V64" i="140"/>
  <c r="W64" i="140"/>
  <c r="X64" i="140"/>
  <c r="U65" i="140"/>
  <c r="V65" i="140"/>
  <c r="W65" i="140"/>
  <c r="X65" i="140"/>
  <c r="U66" i="140"/>
  <c r="V66" i="140"/>
  <c r="W66" i="140"/>
  <c r="X66" i="140"/>
  <c r="U67" i="140"/>
  <c r="V67" i="140"/>
  <c r="W67" i="140"/>
  <c r="X67" i="140"/>
  <c r="U68" i="140"/>
  <c r="V68" i="140"/>
  <c r="W68" i="140"/>
  <c r="X68" i="140"/>
  <c r="U69" i="140"/>
  <c r="V69" i="140"/>
  <c r="W69" i="140"/>
  <c r="X69" i="140"/>
  <c r="U70" i="140"/>
  <c r="V70" i="140"/>
  <c r="W70" i="140"/>
  <c r="X70" i="140"/>
  <c r="U71" i="140"/>
  <c r="V71" i="140"/>
  <c r="W71" i="140"/>
  <c r="X71" i="140"/>
  <c r="U72" i="140"/>
  <c r="V72" i="140"/>
  <c r="W72" i="140"/>
  <c r="X72" i="140"/>
  <c r="U73" i="140"/>
  <c r="V73" i="140"/>
  <c r="W73" i="140"/>
  <c r="X73" i="140"/>
  <c r="U74" i="140"/>
  <c r="V74" i="140"/>
  <c r="W74" i="140"/>
  <c r="X74" i="140"/>
  <c r="U75" i="140"/>
  <c r="V75" i="140"/>
  <c r="W75" i="140"/>
  <c r="X75" i="140"/>
  <c r="U76" i="140"/>
  <c r="V76" i="140"/>
  <c r="W76" i="140"/>
  <c r="X76" i="140"/>
  <c r="U77" i="140"/>
  <c r="V77" i="140"/>
  <c r="W77" i="140"/>
  <c r="X77" i="140"/>
  <c r="U29" i="141"/>
  <c r="V29" i="141"/>
  <c r="W29" i="141"/>
  <c r="X29" i="141"/>
  <c r="U30" i="141"/>
  <c r="V30" i="141"/>
  <c r="W30" i="141"/>
  <c r="X30" i="141"/>
  <c r="U31" i="141"/>
  <c r="V31" i="141"/>
  <c r="W31" i="141"/>
  <c r="X31" i="141"/>
  <c r="U32" i="141"/>
  <c r="V32" i="141"/>
  <c r="W32" i="141"/>
  <c r="X32" i="141"/>
  <c r="U33" i="141"/>
  <c r="V33" i="141"/>
  <c r="W33" i="141"/>
  <c r="X33" i="141"/>
  <c r="U34" i="141"/>
  <c r="V34" i="141"/>
  <c r="W34" i="141"/>
  <c r="X34" i="141"/>
  <c r="U35" i="141"/>
  <c r="V35" i="141"/>
  <c r="W35" i="141"/>
  <c r="X35" i="141"/>
  <c r="U36" i="141"/>
  <c r="V36" i="141"/>
  <c r="W36" i="141"/>
  <c r="X36" i="141"/>
  <c r="U37" i="141"/>
  <c r="V37" i="141"/>
  <c r="W37" i="141"/>
  <c r="X37" i="141"/>
  <c r="U38" i="141"/>
  <c r="V38" i="141"/>
  <c r="W38" i="141"/>
  <c r="X38" i="141"/>
  <c r="U39" i="141"/>
  <c r="V39" i="141"/>
  <c r="W39" i="141"/>
  <c r="X39" i="141"/>
  <c r="U40" i="141"/>
  <c r="V40" i="141"/>
  <c r="W40" i="141"/>
  <c r="X40" i="141"/>
  <c r="U41" i="141"/>
  <c r="V41" i="141"/>
  <c r="W41" i="141"/>
  <c r="X41" i="141"/>
  <c r="U42" i="141"/>
  <c r="V42" i="141"/>
  <c r="W42" i="141"/>
  <c r="X42" i="141"/>
  <c r="U43" i="141"/>
  <c r="V43" i="141"/>
  <c r="W43" i="141"/>
  <c r="X43" i="141"/>
  <c r="U44" i="141"/>
  <c r="V44" i="141"/>
  <c r="W44" i="141"/>
  <c r="X44" i="141"/>
  <c r="U45" i="141"/>
  <c r="V45" i="141"/>
  <c r="W45" i="141"/>
  <c r="X45" i="141"/>
  <c r="U46" i="141"/>
  <c r="V46" i="141"/>
  <c r="W46" i="141"/>
  <c r="X46" i="141"/>
  <c r="U47" i="141"/>
  <c r="V47" i="141"/>
  <c r="W47" i="141"/>
  <c r="X47" i="141"/>
  <c r="U48" i="141"/>
  <c r="V48" i="141"/>
  <c r="W48" i="141"/>
  <c r="X48" i="141"/>
  <c r="U49" i="141"/>
  <c r="V49" i="141"/>
  <c r="W49" i="141"/>
  <c r="X49" i="141"/>
  <c r="U50" i="141"/>
  <c r="V50" i="141"/>
  <c r="W50" i="141"/>
  <c r="X50" i="141"/>
  <c r="U51" i="141"/>
  <c r="V51" i="141"/>
  <c r="W51" i="141"/>
  <c r="X51" i="141"/>
  <c r="U52" i="141"/>
  <c r="V52" i="141"/>
  <c r="W52" i="141"/>
  <c r="X52" i="141"/>
  <c r="U53" i="141"/>
  <c r="V53" i="141"/>
  <c r="W53" i="141"/>
  <c r="X53" i="141"/>
  <c r="U54" i="141"/>
  <c r="V54" i="141"/>
  <c r="W54" i="141"/>
  <c r="X54" i="141"/>
  <c r="U55" i="141"/>
  <c r="V55" i="141"/>
  <c r="W55" i="141"/>
  <c r="X55" i="141"/>
  <c r="U56" i="141"/>
  <c r="V56" i="141"/>
  <c r="W56" i="141"/>
  <c r="X56" i="141"/>
  <c r="U57" i="141"/>
  <c r="V57" i="141"/>
  <c r="W57" i="141"/>
  <c r="X57" i="141"/>
  <c r="U58" i="141"/>
  <c r="V58" i="141"/>
  <c r="W58" i="141"/>
  <c r="X58" i="141"/>
  <c r="U59" i="141"/>
  <c r="V59" i="141"/>
  <c r="W59" i="141"/>
  <c r="X59" i="141"/>
  <c r="U60" i="141"/>
  <c r="V60" i="141"/>
  <c r="W60" i="141"/>
  <c r="X60" i="141"/>
  <c r="U61" i="141"/>
  <c r="V61" i="141"/>
  <c r="W61" i="141"/>
  <c r="X61" i="141"/>
  <c r="U62" i="141"/>
  <c r="V62" i="141"/>
  <c r="W62" i="141"/>
  <c r="X62" i="141"/>
  <c r="U63" i="141"/>
  <c r="V63" i="141"/>
  <c r="W63" i="141"/>
  <c r="X63" i="141"/>
  <c r="U64" i="141"/>
  <c r="V64" i="141"/>
  <c r="W64" i="141"/>
  <c r="X64" i="141"/>
  <c r="U65" i="141"/>
  <c r="V65" i="141"/>
  <c r="W65" i="141"/>
  <c r="X65" i="141"/>
  <c r="U66" i="141"/>
  <c r="V66" i="141"/>
  <c r="W66" i="141"/>
  <c r="X66" i="141"/>
  <c r="U67" i="141"/>
  <c r="V67" i="141"/>
  <c r="W67" i="141"/>
  <c r="X67" i="141"/>
  <c r="U68" i="141"/>
  <c r="V68" i="141"/>
  <c r="W68" i="141"/>
  <c r="X68" i="141"/>
  <c r="U69" i="141"/>
  <c r="V69" i="141"/>
  <c r="W69" i="141"/>
  <c r="X69" i="141"/>
  <c r="U70" i="141"/>
  <c r="V70" i="141"/>
  <c r="W70" i="141"/>
  <c r="X70" i="141"/>
  <c r="U71" i="141"/>
  <c r="V71" i="141"/>
  <c r="W71" i="141"/>
  <c r="X71" i="141"/>
  <c r="U72" i="141"/>
  <c r="V72" i="141"/>
  <c r="W72" i="141"/>
  <c r="X72" i="141"/>
  <c r="U73" i="141"/>
  <c r="V73" i="141"/>
  <c r="W73" i="141"/>
  <c r="X73" i="141"/>
  <c r="U74" i="141"/>
  <c r="V74" i="141"/>
  <c r="W74" i="141"/>
  <c r="X74" i="141"/>
  <c r="U75" i="141"/>
  <c r="V75" i="141"/>
  <c r="W75" i="141"/>
  <c r="X75" i="141"/>
  <c r="U76" i="141"/>
  <c r="V76" i="141"/>
  <c r="W76" i="141"/>
  <c r="X76" i="141"/>
  <c r="U77" i="141"/>
  <c r="V77" i="141"/>
  <c r="W77" i="141"/>
  <c r="X77" i="141"/>
  <c r="U29" i="142"/>
  <c r="V29" i="142"/>
  <c r="W29" i="142"/>
  <c r="X29" i="142"/>
  <c r="U30" i="142"/>
  <c r="V30" i="142"/>
  <c r="W30" i="142"/>
  <c r="X30" i="142"/>
  <c r="U31" i="142"/>
  <c r="V31" i="142"/>
  <c r="W31" i="142"/>
  <c r="X31" i="142"/>
  <c r="U32" i="142"/>
  <c r="V32" i="142"/>
  <c r="W32" i="142"/>
  <c r="X32" i="142"/>
  <c r="U33" i="142"/>
  <c r="V33" i="142"/>
  <c r="W33" i="142"/>
  <c r="X33" i="142"/>
  <c r="U34" i="142"/>
  <c r="V34" i="142"/>
  <c r="W34" i="142"/>
  <c r="X34" i="142"/>
  <c r="U35" i="142"/>
  <c r="V35" i="142"/>
  <c r="W35" i="142"/>
  <c r="X35" i="142"/>
  <c r="U36" i="142"/>
  <c r="V36" i="142"/>
  <c r="W36" i="142"/>
  <c r="X36" i="142"/>
  <c r="U37" i="142"/>
  <c r="V37" i="142"/>
  <c r="W37" i="142"/>
  <c r="X37" i="142"/>
  <c r="U38" i="142"/>
  <c r="V38" i="142"/>
  <c r="W38" i="142"/>
  <c r="X38" i="142"/>
  <c r="U39" i="142"/>
  <c r="V39" i="142"/>
  <c r="W39" i="142"/>
  <c r="X39" i="142"/>
  <c r="U40" i="142"/>
  <c r="V40" i="142"/>
  <c r="W40" i="142"/>
  <c r="X40" i="142"/>
  <c r="U41" i="142"/>
  <c r="V41" i="142"/>
  <c r="W41" i="142"/>
  <c r="X41" i="142"/>
  <c r="U42" i="142"/>
  <c r="V42" i="142"/>
  <c r="W42" i="142"/>
  <c r="X42" i="142"/>
  <c r="U43" i="142"/>
  <c r="V43" i="142"/>
  <c r="W43" i="142"/>
  <c r="X43" i="142"/>
  <c r="U44" i="142"/>
  <c r="V44" i="142"/>
  <c r="W44" i="142"/>
  <c r="X44" i="142"/>
  <c r="U45" i="142"/>
  <c r="V45" i="142"/>
  <c r="W45" i="142"/>
  <c r="X45" i="142"/>
  <c r="U46" i="142"/>
  <c r="V46" i="142"/>
  <c r="W46" i="142"/>
  <c r="X46" i="142"/>
  <c r="U47" i="142"/>
  <c r="V47" i="142"/>
  <c r="W47" i="142"/>
  <c r="X47" i="142"/>
  <c r="U48" i="142"/>
  <c r="V48" i="142"/>
  <c r="W48" i="142"/>
  <c r="X48" i="142"/>
  <c r="U49" i="142"/>
  <c r="V49" i="142"/>
  <c r="W49" i="142"/>
  <c r="X49" i="142"/>
  <c r="U50" i="142"/>
  <c r="V50" i="142"/>
  <c r="W50" i="142"/>
  <c r="X50" i="142"/>
  <c r="U51" i="142"/>
  <c r="V51" i="142"/>
  <c r="W51" i="142"/>
  <c r="X51" i="142"/>
  <c r="U52" i="142"/>
  <c r="V52" i="142"/>
  <c r="W52" i="142"/>
  <c r="X52" i="142"/>
  <c r="U53" i="142"/>
  <c r="V53" i="142"/>
  <c r="W53" i="142"/>
  <c r="X53" i="142"/>
  <c r="U54" i="142"/>
  <c r="V54" i="142"/>
  <c r="W54" i="142"/>
  <c r="X54" i="142"/>
  <c r="U55" i="142"/>
  <c r="V55" i="142"/>
  <c r="W55" i="142"/>
  <c r="X55" i="142"/>
  <c r="U56" i="142"/>
  <c r="V56" i="142"/>
  <c r="W56" i="142"/>
  <c r="X56" i="142"/>
  <c r="U57" i="142"/>
  <c r="V57" i="142"/>
  <c r="W57" i="142"/>
  <c r="X57" i="142"/>
  <c r="U58" i="142"/>
  <c r="V58" i="142"/>
  <c r="W58" i="142"/>
  <c r="X58" i="142"/>
  <c r="U59" i="142"/>
  <c r="V59" i="142"/>
  <c r="W59" i="142"/>
  <c r="X59" i="142"/>
  <c r="U60" i="142"/>
  <c r="V60" i="142"/>
  <c r="W60" i="142"/>
  <c r="X60" i="142"/>
  <c r="U61" i="142"/>
  <c r="V61" i="142"/>
  <c r="W61" i="142"/>
  <c r="X61" i="142"/>
  <c r="U62" i="142"/>
  <c r="V62" i="142"/>
  <c r="W62" i="142"/>
  <c r="X62" i="142"/>
  <c r="U63" i="142"/>
  <c r="V63" i="142"/>
  <c r="W63" i="142"/>
  <c r="X63" i="142"/>
  <c r="U64" i="142"/>
  <c r="V64" i="142"/>
  <c r="W64" i="142"/>
  <c r="X64" i="142"/>
  <c r="U65" i="142"/>
  <c r="V65" i="142"/>
  <c r="W65" i="142"/>
  <c r="X65" i="142"/>
  <c r="U66" i="142"/>
  <c r="V66" i="142"/>
  <c r="W66" i="142"/>
  <c r="X66" i="142"/>
  <c r="U67" i="142"/>
  <c r="V67" i="142"/>
  <c r="W67" i="142"/>
  <c r="X67" i="142"/>
  <c r="U68" i="142"/>
  <c r="V68" i="142"/>
  <c r="W68" i="142"/>
  <c r="X68" i="142"/>
  <c r="U69" i="142"/>
  <c r="V69" i="142"/>
  <c r="W69" i="142"/>
  <c r="X69" i="142"/>
  <c r="U70" i="142"/>
  <c r="V70" i="142"/>
  <c r="W70" i="142"/>
  <c r="X70" i="142"/>
  <c r="U71" i="142"/>
  <c r="V71" i="142"/>
  <c r="W71" i="142"/>
  <c r="X71" i="142"/>
  <c r="U72" i="142"/>
  <c r="V72" i="142"/>
  <c r="W72" i="142"/>
  <c r="X72" i="142"/>
  <c r="U73" i="142"/>
  <c r="V73" i="142"/>
  <c r="W73" i="142"/>
  <c r="X73" i="142"/>
  <c r="U74" i="142"/>
  <c r="V74" i="142"/>
  <c r="W74" i="142"/>
  <c r="X74" i="142"/>
  <c r="U75" i="142"/>
  <c r="V75" i="142"/>
  <c r="W75" i="142"/>
  <c r="X75" i="142"/>
  <c r="U76" i="142"/>
  <c r="V76" i="142"/>
  <c r="W76" i="142"/>
  <c r="X76" i="142"/>
  <c r="U77" i="142"/>
  <c r="V77" i="142"/>
  <c r="W77" i="142"/>
  <c r="X77" i="142"/>
  <c r="U29" i="143"/>
  <c r="V29" i="143"/>
  <c r="W29" i="143"/>
  <c r="X29" i="143"/>
  <c r="U30" i="143"/>
  <c r="V30" i="143"/>
  <c r="W30" i="143"/>
  <c r="X30" i="143"/>
  <c r="U31" i="143"/>
  <c r="V31" i="143"/>
  <c r="W31" i="143"/>
  <c r="X31" i="143"/>
  <c r="U32" i="143"/>
  <c r="V32" i="143"/>
  <c r="W32" i="143"/>
  <c r="X32" i="143"/>
  <c r="U33" i="143"/>
  <c r="V33" i="143"/>
  <c r="W33" i="143"/>
  <c r="X33" i="143"/>
  <c r="U34" i="143"/>
  <c r="V34" i="143"/>
  <c r="W34" i="143"/>
  <c r="X34" i="143"/>
  <c r="U35" i="143"/>
  <c r="V35" i="143"/>
  <c r="W35" i="143"/>
  <c r="X35" i="143"/>
  <c r="U36" i="143"/>
  <c r="V36" i="143"/>
  <c r="W36" i="143"/>
  <c r="X36" i="143"/>
  <c r="U37" i="143"/>
  <c r="V37" i="143"/>
  <c r="W37" i="143"/>
  <c r="X37" i="143"/>
  <c r="U38" i="143"/>
  <c r="V38" i="143"/>
  <c r="W38" i="143"/>
  <c r="X38" i="143"/>
  <c r="U39" i="143"/>
  <c r="V39" i="143"/>
  <c r="W39" i="143"/>
  <c r="X39" i="143"/>
  <c r="U40" i="143"/>
  <c r="V40" i="143"/>
  <c r="W40" i="143"/>
  <c r="X40" i="143"/>
  <c r="U41" i="143"/>
  <c r="V41" i="143"/>
  <c r="W41" i="143"/>
  <c r="X41" i="143"/>
  <c r="U42" i="143"/>
  <c r="V42" i="143"/>
  <c r="W42" i="143"/>
  <c r="X42" i="143"/>
  <c r="U43" i="143"/>
  <c r="V43" i="143"/>
  <c r="W43" i="143"/>
  <c r="X43" i="143"/>
  <c r="U44" i="143"/>
  <c r="V44" i="143"/>
  <c r="W44" i="143"/>
  <c r="X44" i="143"/>
  <c r="U45" i="143"/>
  <c r="V45" i="143"/>
  <c r="W45" i="143"/>
  <c r="X45" i="143"/>
  <c r="U46" i="143"/>
  <c r="V46" i="143"/>
  <c r="W46" i="143"/>
  <c r="X46" i="143"/>
  <c r="U47" i="143"/>
  <c r="V47" i="143"/>
  <c r="W47" i="143"/>
  <c r="X47" i="143"/>
  <c r="U48" i="143"/>
  <c r="V48" i="143"/>
  <c r="W48" i="143"/>
  <c r="X48" i="143"/>
  <c r="U49" i="143"/>
  <c r="V49" i="143"/>
  <c r="W49" i="143"/>
  <c r="X49" i="143"/>
  <c r="U50" i="143"/>
  <c r="V50" i="143"/>
  <c r="W50" i="143"/>
  <c r="X50" i="143"/>
  <c r="U51" i="143"/>
  <c r="V51" i="143"/>
  <c r="W51" i="143"/>
  <c r="X51" i="143"/>
  <c r="U52" i="143"/>
  <c r="V52" i="143"/>
  <c r="W52" i="143"/>
  <c r="X52" i="143"/>
  <c r="U53" i="143"/>
  <c r="V53" i="143"/>
  <c r="W53" i="143"/>
  <c r="X53" i="143"/>
  <c r="U54" i="143"/>
  <c r="V54" i="143"/>
  <c r="W54" i="143"/>
  <c r="X54" i="143"/>
  <c r="U55" i="143"/>
  <c r="V55" i="143"/>
  <c r="W55" i="143"/>
  <c r="X55" i="143"/>
  <c r="U56" i="143"/>
  <c r="V56" i="143"/>
  <c r="W56" i="143"/>
  <c r="X56" i="143"/>
  <c r="U57" i="143"/>
  <c r="V57" i="143"/>
  <c r="W57" i="143"/>
  <c r="X57" i="143"/>
  <c r="U58" i="143"/>
  <c r="V58" i="143"/>
  <c r="W58" i="143"/>
  <c r="X58" i="143"/>
  <c r="U59" i="143"/>
  <c r="V59" i="143"/>
  <c r="W59" i="143"/>
  <c r="X59" i="143"/>
  <c r="U60" i="143"/>
  <c r="V60" i="143"/>
  <c r="W60" i="143"/>
  <c r="X60" i="143"/>
  <c r="U61" i="143"/>
  <c r="V61" i="143"/>
  <c r="W61" i="143"/>
  <c r="X61" i="143"/>
  <c r="U62" i="143"/>
  <c r="V62" i="143"/>
  <c r="W62" i="143"/>
  <c r="X62" i="143"/>
  <c r="U63" i="143"/>
  <c r="V63" i="143"/>
  <c r="W63" i="143"/>
  <c r="X63" i="143"/>
  <c r="U64" i="143"/>
  <c r="V64" i="143"/>
  <c r="W64" i="143"/>
  <c r="X64" i="143"/>
  <c r="U65" i="143"/>
  <c r="V65" i="143"/>
  <c r="W65" i="143"/>
  <c r="X65" i="143"/>
  <c r="U66" i="143"/>
  <c r="V66" i="143"/>
  <c r="W66" i="143"/>
  <c r="X66" i="143"/>
  <c r="U67" i="143"/>
  <c r="V67" i="143"/>
  <c r="W67" i="143"/>
  <c r="X67" i="143"/>
  <c r="U68" i="143"/>
  <c r="V68" i="143"/>
  <c r="W68" i="143"/>
  <c r="X68" i="143"/>
  <c r="U69" i="143"/>
  <c r="V69" i="143"/>
  <c r="W69" i="143"/>
  <c r="X69" i="143"/>
  <c r="U70" i="143"/>
  <c r="V70" i="143"/>
  <c r="W70" i="143"/>
  <c r="X70" i="143"/>
  <c r="U71" i="143"/>
  <c r="V71" i="143"/>
  <c r="W71" i="143"/>
  <c r="X71" i="143"/>
  <c r="U72" i="143"/>
  <c r="V72" i="143"/>
  <c r="W72" i="143"/>
  <c r="X72" i="143"/>
  <c r="U73" i="143"/>
  <c r="V73" i="143"/>
  <c r="W73" i="143"/>
  <c r="X73" i="143"/>
  <c r="U74" i="143"/>
  <c r="V74" i="143"/>
  <c r="W74" i="143"/>
  <c r="X74" i="143"/>
  <c r="U75" i="143"/>
  <c r="V75" i="143"/>
  <c r="W75" i="143"/>
  <c r="X75" i="143"/>
  <c r="U76" i="143"/>
  <c r="V76" i="143"/>
  <c r="W76" i="143"/>
  <c r="X76" i="143"/>
  <c r="U77" i="143"/>
  <c r="V77" i="143"/>
  <c r="W77" i="143"/>
  <c r="X77" i="143"/>
  <c r="U29" i="144"/>
  <c r="V29" i="144"/>
  <c r="W29" i="144"/>
  <c r="X29" i="144"/>
  <c r="U30" i="144"/>
  <c r="V30" i="144"/>
  <c r="W30" i="144"/>
  <c r="X30" i="144"/>
  <c r="U31" i="144"/>
  <c r="V31" i="144"/>
  <c r="W31" i="144"/>
  <c r="X31" i="144"/>
  <c r="U32" i="144"/>
  <c r="V32" i="144"/>
  <c r="W32" i="144"/>
  <c r="X32" i="144"/>
  <c r="U33" i="144"/>
  <c r="V33" i="144"/>
  <c r="W33" i="144"/>
  <c r="X33" i="144"/>
  <c r="U34" i="144"/>
  <c r="V34" i="144"/>
  <c r="W34" i="144"/>
  <c r="X34" i="144"/>
  <c r="U35" i="144"/>
  <c r="V35" i="144"/>
  <c r="W35" i="144"/>
  <c r="X35" i="144"/>
  <c r="U36" i="144"/>
  <c r="V36" i="144"/>
  <c r="W36" i="144"/>
  <c r="X36" i="144"/>
  <c r="U37" i="144"/>
  <c r="V37" i="144"/>
  <c r="W37" i="144"/>
  <c r="X37" i="144"/>
  <c r="U38" i="144"/>
  <c r="V38" i="144"/>
  <c r="W38" i="144"/>
  <c r="X38" i="144"/>
  <c r="U39" i="144"/>
  <c r="V39" i="144"/>
  <c r="W39" i="144"/>
  <c r="X39" i="144"/>
  <c r="U40" i="144"/>
  <c r="V40" i="144"/>
  <c r="W40" i="144"/>
  <c r="X40" i="144"/>
  <c r="U41" i="144"/>
  <c r="V41" i="144"/>
  <c r="W41" i="144"/>
  <c r="X41" i="144"/>
  <c r="U42" i="144"/>
  <c r="V42" i="144"/>
  <c r="W42" i="144"/>
  <c r="X42" i="144"/>
  <c r="U43" i="144"/>
  <c r="V43" i="144"/>
  <c r="W43" i="144"/>
  <c r="X43" i="144"/>
  <c r="U44" i="144"/>
  <c r="V44" i="144"/>
  <c r="W44" i="144"/>
  <c r="X44" i="144"/>
  <c r="U45" i="144"/>
  <c r="V45" i="144"/>
  <c r="W45" i="144"/>
  <c r="X45" i="144"/>
  <c r="U46" i="144"/>
  <c r="V46" i="144"/>
  <c r="W46" i="144"/>
  <c r="X46" i="144"/>
  <c r="U47" i="144"/>
  <c r="V47" i="144"/>
  <c r="W47" i="144"/>
  <c r="X47" i="144"/>
  <c r="U48" i="144"/>
  <c r="V48" i="144"/>
  <c r="W48" i="144"/>
  <c r="X48" i="144"/>
  <c r="U49" i="144"/>
  <c r="V49" i="144"/>
  <c r="W49" i="144"/>
  <c r="X49" i="144"/>
  <c r="U50" i="144"/>
  <c r="V50" i="144"/>
  <c r="W50" i="144"/>
  <c r="X50" i="144"/>
  <c r="U51" i="144"/>
  <c r="V51" i="144"/>
  <c r="W51" i="144"/>
  <c r="X51" i="144"/>
  <c r="U52" i="144"/>
  <c r="V52" i="144"/>
  <c r="W52" i="144"/>
  <c r="X52" i="144"/>
  <c r="U53" i="144"/>
  <c r="V53" i="144"/>
  <c r="W53" i="144"/>
  <c r="X53" i="144"/>
  <c r="U54" i="144"/>
  <c r="V54" i="144"/>
  <c r="W54" i="144"/>
  <c r="X54" i="144"/>
  <c r="U55" i="144"/>
  <c r="V55" i="144"/>
  <c r="W55" i="144"/>
  <c r="X55" i="144"/>
  <c r="U56" i="144"/>
  <c r="V56" i="144"/>
  <c r="W56" i="144"/>
  <c r="X56" i="144"/>
  <c r="U57" i="144"/>
  <c r="V57" i="144"/>
  <c r="W57" i="144"/>
  <c r="X57" i="144"/>
  <c r="U58" i="144"/>
  <c r="V58" i="144"/>
  <c r="W58" i="144"/>
  <c r="X58" i="144"/>
  <c r="U59" i="144"/>
  <c r="V59" i="144"/>
  <c r="W59" i="144"/>
  <c r="X59" i="144"/>
  <c r="U60" i="144"/>
  <c r="V60" i="144"/>
  <c r="W60" i="144"/>
  <c r="X60" i="144"/>
  <c r="U61" i="144"/>
  <c r="V61" i="144"/>
  <c r="W61" i="144"/>
  <c r="X61" i="144"/>
  <c r="U62" i="144"/>
  <c r="V62" i="144"/>
  <c r="W62" i="144"/>
  <c r="X62" i="144"/>
  <c r="U63" i="144"/>
  <c r="V63" i="144"/>
  <c r="W63" i="144"/>
  <c r="X63" i="144"/>
  <c r="U64" i="144"/>
  <c r="V64" i="144"/>
  <c r="W64" i="144"/>
  <c r="X64" i="144"/>
  <c r="U65" i="144"/>
  <c r="V65" i="144"/>
  <c r="W65" i="144"/>
  <c r="X65" i="144"/>
  <c r="U66" i="144"/>
  <c r="V66" i="144"/>
  <c r="W66" i="144"/>
  <c r="X66" i="144"/>
  <c r="U67" i="144"/>
  <c r="V67" i="144"/>
  <c r="W67" i="144"/>
  <c r="X67" i="144"/>
  <c r="U68" i="144"/>
  <c r="V68" i="144"/>
  <c r="W68" i="144"/>
  <c r="X68" i="144"/>
  <c r="U69" i="144"/>
  <c r="V69" i="144"/>
  <c r="W69" i="144"/>
  <c r="X69" i="144"/>
  <c r="U70" i="144"/>
  <c r="V70" i="144"/>
  <c r="W70" i="144"/>
  <c r="X70" i="144"/>
  <c r="U71" i="144"/>
  <c r="V71" i="144"/>
  <c r="W71" i="144"/>
  <c r="X71" i="144"/>
  <c r="U72" i="144"/>
  <c r="V72" i="144"/>
  <c r="W72" i="144"/>
  <c r="X72" i="144"/>
  <c r="U73" i="144"/>
  <c r="V73" i="144"/>
  <c r="W73" i="144"/>
  <c r="X73" i="144"/>
  <c r="U74" i="144"/>
  <c r="V74" i="144"/>
  <c r="W74" i="144"/>
  <c r="X74" i="144"/>
  <c r="U75" i="144"/>
  <c r="V75" i="144"/>
  <c r="W75" i="144"/>
  <c r="X75" i="144"/>
  <c r="U76" i="144"/>
  <c r="V76" i="144"/>
  <c r="W76" i="144"/>
  <c r="X76" i="144"/>
  <c r="U77" i="144"/>
  <c r="V77" i="144"/>
  <c r="W77" i="144"/>
  <c r="X77" i="144"/>
  <c r="U29" i="145"/>
  <c r="V29" i="145"/>
  <c r="W29" i="145"/>
  <c r="X29" i="145"/>
  <c r="U30" i="145"/>
  <c r="V30" i="145"/>
  <c r="W30" i="145"/>
  <c r="X30" i="145"/>
  <c r="U31" i="145"/>
  <c r="V31" i="145"/>
  <c r="W31" i="145"/>
  <c r="X31" i="145"/>
  <c r="U32" i="145"/>
  <c r="V32" i="145"/>
  <c r="W32" i="145"/>
  <c r="X32" i="145"/>
  <c r="U33" i="145"/>
  <c r="V33" i="145"/>
  <c r="W33" i="145"/>
  <c r="X33" i="145"/>
  <c r="U34" i="145"/>
  <c r="V34" i="145"/>
  <c r="W34" i="145"/>
  <c r="X34" i="145"/>
  <c r="U35" i="145"/>
  <c r="V35" i="145"/>
  <c r="W35" i="145"/>
  <c r="X35" i="145"/>
  <c r="U36" i="145"/>
  <c r="V36" i="145"/>
  <c r="W36" i="145"/>
  <c r="X36" i="145"/>
  <c r="U37" i="145"/>
  <c r="V37" i="145"/>
  <c r="W37" i="145"/>
  <c r="X37" i="145"/>
  <c r="U38" i="145"/>
  <c r="V38" i="145"/>
  <c r="W38" i="145"/>
  <c r="X38" i="145"/>
  <c r="U39" i="145"/>
  <c r="V39" i="145"/>
  <c r="W39" i="145"/>
  <c r="X39" i="145"/>
  <c r="U40" i="145"/>
  <c r="V40" i="145"/>
  <c r="W40" i="145"/>
  <c r="X40" i="145"/>
  <c r="U41" i="145"/>
  <c r="V41" i="145"/>
  <c r="W41" i="145"/>
  <c r="X41" i="145"/>
  <c r="U42" i="145"/>
  <c r="V42" i="145"/>
  <c r="W42" i="145"/>
  <c r="X42" i="145"/>
  <c r="U43" i="145"/>
  <c r="V43" i="145"/>
  <c r="W43" i="145"/>
  <c r="X43" i="145"/>
  <c r="U44" i="145"/>
  <c r="V44" i="145"/>
  <c r="W44" i="145"/>
  <c r="X44" i="145"/>
  <c r="U45" i="145"/>
  <c r="V45" i="145"/>
  <c r="W45" i="145"/>
  <c r="X45" i="145"/>
  <c r="U46" i="145"/>
  <c r="V46" i="145"/>
  <c r="W46" i="145"/>
  <c r="X46" i="145"/>
  <c r="U47" i="145"/>
  <c r="V47" i="145"/>
  <c r="W47" i="145"/>
  <c r="X47" i="145"/>
  <c r="U48" i="145"/>
  <c r="V48" i="145"/>
  <c r="W48" i="145"/>
  <c r="X48" i="145"/>
  <c r="U49" i="145"/>
  <c r="V49" i="145"/>
  <c r="W49" i="145"/>
  <c r="X49" i="145"/>
  <c r="U50" i="145"/>
  <c r="V50" i="145"/>
  <c r="W50" i="145"/>
  <c r="X50" i="145"/>
  <c r="U51" i="145"/>
  <c r="V51" i="145"/>
  <c r="W51" i="145"/>
  <c r="X51" i="145"/>
  <c r="U52" i="145"/>
  <c r="V52" i="145"/>
  <c r="W52" i="145"/>
  <c r="X52" i="145"/>
  <c r="U53" i="145"/>
  <c r="V53" i="145"/>
  <c r="W53" i="145"/>
  <c r="X53" i="145"/>
  <c r="U54" i="145"/>
  <c r="V54" i="145"/>
  <c r="W54" i="145"/>
  <c r="X54" i="145"/>
  <c r="U55" i="145"/>
  <c r="V55" i="145"/>
  <c r="W55" i="145"/>
  <c r="X55" i="145"/>
  <c r="U56" i="145"/>
  <c r="V56" i="145"/>
  <c r="W56" i="145"/>
  <c r="X56" i="145"/>
  <c r="U57" i="145"/>
  <c r="V57" i="145"/>
  <c r="W57" i="145"/>
  <c r="X57" i="145"/>
  <c r="U58" i="145"/>
  <c r="V58" i="145"/>
  <c r="W58" i="145"/>
  <c r="X58" i="145"/>
  <c r="U59" i="145"/>
  <c r="V59" i="145"/>
  <c r="W59" i="145"/>
  <c r="X59" i="145"/>
  <c r="U60" i="145"/>
  <c r="V60" i="145"/>
  <c r="W60" i="145"/>
  <c r="X60" i="145"/>
  <c r="U61" i="145"/>
  <c r="V61" i="145"/>
  <c r="W61" i="145"/>
  <c r="X61" i="145"/>
  <c r="U62" i="145"/>
  <c r="V62" i="145"/>
  <c r="W62" i="145"/>
  <c r="X62" i="145"/>
  <c r="U63" i="145"/>
  <c r="V63" i="145"/>
  <c r="W63" i="145"/>
  <c r="X63" i="145"/>
  <c r="U64" i="145"/>
  <c r="V64" i="145"/>
  <c r="W64" i="145"/>
  <c r="X64" i="145"/>
  <c r="U65" i="145"/>
  <c r="V65" i="145"/>
  <c r="W65" i="145"/>
  <c r="X65" i="145"/>
  <c r="U66" i="145"/>
  <c r="V66" i="145"/>
  <c r="W66" i="145"/>
  <c r="X66" i="145"/>
  <c r="U67" i="145"/>
  <c r="V67" i="145"/>
  <c r="W67" i="145"/>
  <c r="X67" i="145"/>
  <c r="U68" i="145"/>
  <c r="V68" i="145"/>
  <c r="W68" i="145"/>
  <c r="X68" i="145"/>
  <c r="U69" i="145"/>
  <c r="V69" i="145"/>
  <c r="W69" i="145"/>
  <c r="X69" i="145"/>
  <c r="U70" i="145"/>
  <c r="V70" i="145"/>
  <c r="W70" i="145"/>
  <c r="X70" i="145"/>
  <c r="U71" i="145"/>
  <c r="V71" i="145"/>
  <c r="W71" i="145"/>
  <c r="X71" i="145"/>
  <c r="U72" i="145"/>
  <c r="V72" i="145"/>
  <c r="W72" i="145"/>
  <c r="X72" i="145"/>
  <c r="U73" i="145"/>
  <c r="V73" i="145"/>
  <c r="W73" i="145"/>
  <c r="X73" i="145"/>
  <c r="U74" i="145"/>
  <c r="V74" i="145"/>
  <c r="W74" i="145"/>
  <c r="X74" i="145"/>
  <c r="U75" i="145"/>
  <c r="V75" i="145"/>
  <c r="W75" i="145"/>
  <c r="X75" i="145"/>
  <c r="U76" i="145"/>
  <c r="V76" i="145"/>
  <c r="W76" i="145"/>
  <c r="X76" i="145"/>
  <c r="U77" i="145"/>
  <c r="V77" i="145"/>
  <c r="W77" i="145"/>
  <c r="X77" i="145"/>
  <c r="U29" i="152"/>
  <c r="V29" i="152"/>
  <c r="W29" i="152"/>
  <c r="X29" i="152"/>
  <c r="U30" i="152"/>
  <c r="V30" i="152"/>
  <c r="W30" i="152"/>
  <c r="X30" i="152"/>
  <c r="U31" i="152"/>
  <c r="V31" i="152"/>
  <c r="W31" i="152"/>
  <c r="X31" i="152"/>
  <c r="U32" i="152"/>
  <c r="V32" i="152"/>
  <c r="W32" i="152"/>
  <c r="X32" i="152"/>
  <c r="U33" i="152"/>
  <c r="V33" i="152"/>
  <c r="W33" i="152"/>
  <c r="X33" i="152"/>
  <c r="U34" i="152"/>
  <c r="V34" i="152"/>
  <c r="W34" i="152"/>
  <c r="X34" i="152"/>
  <c r="U35" i="152"/>
  <c r="V35" i="152"/>
  <c r="W35" i="152"/>
  <c r="X35" i="152"/>
  <c r="U36" i="152"/>
  <c r="V36" i="152"/>
  <c r="W36" i="152"/>
  <c r="X36" i="152"/>
  <c r="U37" i="152"/>
  <c r="V37" i="152"/>
  <c r="W37" i="152"/>
  <c r="X37" i="152"/>
  <c r="U38" i="152"/>
  <c r="V38" i="152"/>
  <c r="W38" i="152"/>
  <c r="X38" i="152"/>
  <c r="U39" i="152"/>
  <c r="V39" i="152"/>
  <c r="W39" i="152"/>
  <c r="X39" i="152"/>
  <c r="U40" i="152"/>
  <c r="V40" i="152"/>
  <c r="W40" i="152"/>
  <c r="X40" i="152"/>
  <c r="U41" i="152"/>
  <c r="V41" i="152"/>
  <c r="W41" i="152"/>
  <c r="X41" i="152"/>
  <c r="U42" i="152"/>
  <c r="V42" i="152"/>
  <c r="W42" i="152"/>
  <c r="X42" i="152"/>
  <c r="U43" i="152"/>
  <c r="V43" i="152"/>
  <c r="W43" i="152"/>
  <c r="X43" i="152"/>
  <c r="U44" i="152"/>
  <c r="V44" i="152"/>
  <c r="W44" i="152"/>
  <c r="X44" i="152"/>
  <c r="U45" i="152"/>
  <c r="V45" i="152"/>
  <c r="W45" i="152"/>
  <c r="X45" i="152"/>
  <c r="U46" i="152"/>
  <c r="V46" i="152"/>
  <c r="W46" i="152"/>
  <c r="X46" i="152"/>
  <c r="U47" i="152"/>
  <c r="V47" i="152"/>
  <c r="W47" i="152"/>
  <c r="X47" i="152"/>
  <c r="U48" i="152"/>
  <c r="V48" i="152"/>
  <c r="W48" i="152"/>
  <c r="X48" i="152"/>
  <c r="U49" i="152"/>
  <c r="V49" i="152"/>
  <c r="W49" i="152"/>
  <c r="X49" i="152"/>
  <c r="U50" i="152"/>
  <c r="V50" i="152"/>
  <c r="W50" i="152"/>
  <c r="X50" i="152"/>
  <c r="U51" i="152"/>
  <c r="V51" i="152"/>
  <c r="W51" i="152"/>
  <c r="X51" i="152"/>
  <c r="U52" i="152"/>
  <c r="V52" i="152"/>
  <c r="W52" i="152"/>
  <c r="X52" i="152"/>
  <c r="U53" i="152"/>
  <c r="V53" i="152"/>
  <c r="W53" i="152"/>
  <c r="X53" i="152"/>
  <c r="U54" i="152"/>
  <c r="V54" i="152"/>
  <c r="W54" i="152"/>
  <c r="X54" i="152"/>
  <c r="U55" i="152"/>
  <c r="V55" i="152"/>
  <c r="W55" i="152"/>
  <c r="X55" i="152"/>
  <c r="U56" i="152"/>
  <c r="V56" i="152"/>
  <c r="W56" i="152"/>
  <c r="X56" i="152"/>
  <c r="U57" i="152"/>
  <c r="V57" i="152"/>
  <c r="W57" i="152"/>
  <c r="X57" i="152"/>
  <c r="U58" i="152"/>
  <c r="V58" i="152"/>
  <c r="W58" i="152"/>
  <c r="X58" i="152"/>
  <c r="U59" i="152"/>
  <c r="V59" i="152"/>
  <c r="W59" i="152"/>
  <c r="X59" i="152"/>
  <c r="U60" i="152"/>
  <c r="V60" i="152"/>
  <c r="W60" i="152"/>
  <c r="X60" i="152"/>
  <c r="U61" i="152"/>
  <c r="V61" i="152"/>
  <c r="W61" i="152"/>
  <c r="X61" i="152"/>
  <c r="U62" i="152"/>
  <c r="V62" i="152"/>
  <c r="W62" i="152"/>
  <c r="X62" i="152"/>
  <c r="U63" i="152"/>
  <c r="V63" i="152"/>
  <c r="W63" i="152"/>
  <c r="X63" i="152"/>
  <c r="U64" i="152"/>
  <c r="V64" i="152"/>
  <c r="W64" i="152"/>
  <c r="X64" i="152"/>
  <c r="U65" i="152"/>
  <c r="V65" i="152"/>
  <c r="W65" i="152"/>
  <c r="X65" i="152"/>
  <c r="U66" i="152"/>
  <c r="V66" i="152"/>
  <c r="W66" i="152"/>
  <c r="X66" i="152"/>
  <c r="U67" i="152"/>
  <c r="V67" i="152"/>
  <c r="W67" i="152"/>
  <c r="X67" i="152"/>
  <c r="U68" i="152"/>
  <c r="V68" i="152"/>
  <c r="W68" i="152"/>
  <c r="X68" i="152"/>
  <c r="U69" i="152"/>
  <c r="V69" i="152"/>
  <c r="W69" i="152"/>
  <c r="X69" i="152"/>
  <c r="U70" i="152"/>
  <c r="V70" i="152"/>
  <c r="W70" i="152"/>
  <c r="X70" i="152"/>
  <c r="U71" i="152"/>
  <c r="V71" i="152"/>
  <c r="W71" i="152"/>
  <c r="X71" i="152"/>
  <c r="U72" i="152"/>
  <c r="V72" i="152"/>
  <c r="W72" i="152"/>
  <c r="X72" i="152"/>
  <c r="U73" i="152"/>
  <c r="V73" i="152"/>
  <c r="W73" i="152"/>
  <c r="X73" i="152"/>
  <c r="U74" i="152"/>
  <c r="V74" i="152"/>
  <c r="W74" i="152"/>
  <c r="X74" i="152"/>
  <c r="U75" i="152"/>
  <c r="V75" i="152"/>
  <c r="W75" i="152"/>
  <c r="X75" i="152"/>
  <c r="U76" i="152"/>
  <c r="V76" i="152"/>
  <c r="W76" i="152"/>
  <c r="X76" i="152"/>
  <c r="U77" i="152"/>
  <c r="V77" i="152"/>
  <c r="W77" i="152"/>
  <c r="X77" i="152"/>
  <c r="U29" i="22"/>
  <c r="V29" i="22"/>
  <c r="W29" i="22"/>
  <c r="U30" i="22"/>
  <c r="V30" i="22"/>
  <c r="W30" i="22"/>
  <c r="U31" i="22"/>
  <c r="V31" i="22"/>
  <c r="W31" i="22"/>
  <c r="U32" i="22"/>
  <c r="V32" i="22"/>
  <c r="W32" i="22"/>
  <c r="U33" i="22"/>
  <c r="V33" i="22"/>
  <c r="W33" i="22"/>
  <c r="U34" i="22"/>
  <c r="V34" i="22"/>
  <c r="W34" i="22"/>
  <c r="U35" i="22"/>
  <c r="V35" i="22"/>
  <c r="W35" i="22"/>
  <c r="U36" i="22"/>
  <c r="V36" i="22"/>
  <c r="W36" i="22"/>
  <c r="U37" i="22"/>
  <c r="V37" i="22"/>
  <c r="W37" i="22"/>
  <c r="U38" i="22"/>
  <c r="V38" i="22"/>
  <c r="W38" i="22"/>
  <c r="U39" i="22"/>
  <c r="V39" i="22"/>
  <c r="W39" i="22"/>
  <c r="U40" i="22"/>
  <c r="V40" i="22"/>
  <c r="W40" i="22"/>
  <c r="U41" i="22"/>
  <c r="V41" i="22"/>
  <c r="W41" i="22"/>
  <c r="U42" i="22"/>
  <c r="V42" i="22"/>
  <c r="W42" i="22"/>
  <c r="U43" i="22"/>
  <c r="V43" i="22"/>
  <c r="W43" i="22"/>
  <c r="U44" i="22"/>
  <c r="V44" i="22"/>
  <c r="W44" i="22"/>
  <c r="U45" i="22"/>
  <c r="V45" i="22"/>
  <c r="W45" i="22"/>
  <c r="U46" i="22"/>
  <c r="V46" i="22"/>
  <c r="W46" i="22"/>
  <c r="U47" i="22"/>
  <c r="V47" i="22"/>
  <c r="W47" i="22"/>
  <c r="U48" i="22"/>
  <c r="V48" i="22"/>
  <c r="W48" i="22"/>
  <c r="U49" i="22"/>
  <c r="V49" i="22"/>
  <c r="W49" i="22"/>
  <c r="U50" i="22"/>
  <c r="V50" i="22"/>
  <c r="W50" i="22"/>
  <c r="U51" i="22"/>
  <c r="V51" i="22"/>
  <c r="W51" i="22"/>
  <c r="U52" i="22"/>
  <c r="V52" i="22"/>
  <c r="W52" i="22"/>
  <c r="U53" i="22"/>
  <c r="V53" i="22"/>
  <c r="W53" i="22"/>
  <c r="U54" i="22"/>
  <c r="V54" i="22"/>
  <c r="W54" i="22"/>
  <c r="U55" i="22"/>
  <c r="V55" i="22"/>
  <c r="W55" i="22"/>
  <c r="U56" i="22"/>
  <c r="V56" i="22"/>
  <c r="W56" i="22"/>
  <c r="U57" i="22"/>
  <c r="V57" i="22"/>
  <c r="W57" i="22"/>
  <c r="U58" i="22"/>
  <c r="V58" i="22"/>
  <c r="W58" i="22"/>
  <c r="U59" i="22"/>
  <c r="V59" i="22"/>
  <c r="W59" i="22"/>
  <c r="U60" i="22"/>
  <c r="V60" i="22"/>
  <c r="W60" i="22"/>
  <c r="U61" i="22"/>
  <c r="V61" i="22"/>
  <c r="W61" i="22"/>
  <c r="U62" i="22"/>
  <c r="V62" i="22"/>
  <c r="W62" i="22"/>
  <c r="U63" i="22"/>
  <c r="V63" i="22"/>
  <c r="W63" i="22"/>
  <c r="U64" i="22"/>
  <c r="V64" i="22"/>
  <c r="W64" i="22"/>
  <c r="U65" i="22"/>
  <c r="V65" i="22"/>
  <c r="W65" i="22"/>
  <c r="U66" i="22"/>
  <c r="V66" i="22"/>
  <c r="W66" i="22"/>
  <c r="U67" i="22"/>
  <c r="V67" i="22"/>
  <c r="W67" i="22"/>
  <c r="U68" i="22"/>
  <c r="V68" i="22"/>
  <c r="W68" i="22"/>
  <c r="U69" i="22"/>
  <c r="V69" i="22"/>
  <c r="W69" i="22"/>
  <c r="U70" i="22"/>
  <c r="V70" i="22"/>
  <c r="W70" i="22"/>
  <c r="U71" i="22"/>
  <c r="V71" i="22"/>
  <c r="W71" i="22"/>
  <c r="U72" i="22"/>
  <c r="V72" i="22"/>
  <c r="W72" i="22"/>
  <c r="U73" i="22"/>
  <c r="V73" i="22"/>
  <c r="W73" i="22"/>
  <c r="U74" i="22"/>
  <c r="V74" i="22"/>
  <c r="W74" i="22"/>
  <c r="U75" i="22"/>
  <c r="V75" i="22"/>
  <c r="W75" i="22"/>
  <c r="U76" i="22"/>
  <c r="V76" i="22"/>
  <c r="W76" i="22"/>
  <c r="U77" i="22"/>
  <c r="V77" i="22"/>
  <c r="W77" i="22"/>
  <c r="V28" i="88"/>
  <c r="W28" i="88"/>
  <c r="X28" i="88"/>
  <c r="V28" i="89"/>
  <c r="W28" i="89"/>
  <c r="X28" i="89"/>
  <c r="V28" i="90"/>
  <c r="W28" i="90"/>
  <c r="X28" i="90"/>
  <c r="V28" i="91"/>
  <c r="W28" i="91"/>
  <c r="X28" i="91"/>
  <c r="V28" i="92"/>
  <c r="W28" i="92"/>
  <c r="X28" i="92"/>
  <c r="V28" i="93"/>
  <c r="W28" i="93"/>
  <c r="X28" i="93"/>
  <c r="V28" i="94"/>
  <c r="W28" i="94"/>
  <c r="X28" i="94"/>
  <c r="V28" i="95"/>
  <c r="W28" i="95"/>
  <c r="X28" i="95"/>
  <c r="V28" i="96"/>
  <c r="W28" i="96"/>
  <c r="X28" i="96"/>
  <c r="V28" i="97"/>
  <c r="W28" i="97"/>
  <c r="X28" i="97"/>
  <c r="V28" i="98"/>
  <c r="W28" i="98"/>
  <c r="X28" i="98"/>
  <c r="V28" i="99"/>
  <c r="W28" i="99"/>
  <c r="X28" i="99"/>
  <c r="V28" i="100"/>
  <c r="W28" i="100"/>
  <c r="X28" i="100"/>
  <c r="V28" i="101"/>
  <c r="W28" i="101"/>
  <c r="X28" i="101"/>
  <c r="V28" i="102"/>
  <c r="W28" i="102"/>
  <c r="X28" i="102"/>
  <c r="V28" i="103"/>
  <c r="W28" i="103"/>
  <c r="X28" i="103"/>
  <c r="V28" i="104"/>
  <c r="W28" i="104"/>
  <c r="X28" i="104"/>
  <c r="V28" i="105"/>
  <c r="W28" i="105"/>
  <c r="X28" i="105"/>
  <c r="V28" i="106"/>
  <c r="W28" i="106"/>
  <c r="X28" i="106"/>
  <c r="V28" i="107"/>
  <c r="W28" i="107"/>
  <c r="X28" i="107"/>
  <c r="V28" i="108"/>
  <c r="W28" i="108"/>
  <c r="X28" i="108"/>
  <c r="V28" i="109"/>
  <c r="W28" i="109"/>
  <c r="X28" i="109"/>
  <c r="V28" i="110"/>
  <c r="W28" i="110"/>
  <c r="X28" i="110"/>
  <c r="V28" i="111"/>
  <c r="W28" i="111"/>
  <c r="X28" i="111"/>
  <c r="V28" i="112"/>
  <c r="W28" i="112"/>
  <c r="X28" i="112"/>
  <c r="V28" i="113"/>
  <c r="W28" i="113"/>
  <c r="X28" i="113"/>
  <c r="V28" i="114"/>
  <c r="W28" i="114"/>
  <c r="X28" i="114"/>
  <c r="V28" i="115"/>
  <c r="W28" i="115"/>
  <c r="X28" i="115"/>
  <c r="V28" i="116"/>
  <c r="W28" i="116"/>
  <c r="X28" i="116"/>
  <c r="V28" i="117"/>
  <c r="W28" i="117"/>
  <c r="X28" i="117"/>
  <c r="V28" i="118"/>
  <c r="W28" i="118"/>
  <c r="X28" i="118"/>
  <c r="V28" i="119"/>
  <c r="W28" i="119"/>
  <c r="X28" i="119"/>
  <c r="V28" i="120"/>
  <c r="W28" i="120"/>
  <c r="X28" i="120"/>
  <c r="V28" i="121"/>
  <c r="W28" i="121"/>
  <c r="X28" i="121"/>
  <c r="V28" i="122"/>
  <c r="W28" i="122"/>
  <c r="X28" i="122"/>
  <c r="V28" i="123"/>
  <c r="W28" i="123"/>
  <c r="X28" i="123"/>
  <c r="V28" i="124"/>
  <c r="W28" i="124"/>
  <c r="X28" i="124"/>
  <c r="V28" i="125"/>
  <c r="W28" i="125"/>
  <c r="X28" i="125"/>
  <c r="V28" i="126"/>
  <c r="W28" i="126"/>
  <c r="X28" i="126"/>
  <c r="V28" i="127"/>
  <c r="W28" i="127"/>
  <c r="X28" i="127"/>
  <c r="V28" i="128"/>
  <c r="W28" i="128"/>
  <c r="X28" i="128"/>
  <c r="V28" i="129"/>
  <c r="W28" i="129"/>
  <c r="X28" i="129"/>
  <c r="V28" i="130"/>
  <c r="W28" i="130"/>
  <c r="X28" i="130"/>
  <c r="V28" i="131"/>
  <c r="W28" i="131"/>
  <c r="X28" i="131"/>
  <c r="V28" i="132"/>
  <c r="W28" i="132"/>
  <c r="X28" i="132"/>
  <c r="V28" i="133"/>
  <c r="W28" i="133"/>
  <c r="X28" i="133"/>
  <c r="V28" i="134"/>
  <c r="W28" i="134"/>
  <c r="X28" i="134"/>
  <c r="V28" i="135"/>
  <c r="W28" i="135"/>
  <c r="X28" i="135"/>
  <c r="V28" i="136"/>
  <c r="W28" i="136"/>
  <c r="X28" i="136"/>
  <c r="V28" i="137"/>
  <c r="W28" i="137"/>
  <c r="X28" i="137"/>
  <c r="V28" i="138"/>
  <c r="W28" i="138"/>
  <c r="X28" i="138"/>
  <c r="V28" i="139"/>
  <c r="W28" i="139"/>
  <c r="X28" i="139"/>
  <c r="V28" i="140"/>
  <c r="W28" i="140"/>
  <c r="X28" i="140"/>
  <c r="V28" i="141"/>
  <c r="W28" i="141"/>
  <c r="X28" i="141"/>
  <c r="V28" i="142"/>
  <c r="W28" i="142"/>
  <c r="X28" i="142"/>
  <c r="V28" i="143"/>
  <c r="W28" i="143"/>
  <c r="X28" i="143"/>
  <c r="V28" i="144"/>
  <c r="W28" i="144"/>
  <c r="X28" i="144"/>
  <c r="V28" i="145"/>
  <c r="W28" i="145"/>
  <c r="X28" i="145"/>
  <c r="V28" i="152"/>
  <c r="W28" i="152"/>
  <c r="X28" i="152"/>
  <c r="V28" i="22"/>
  <c r="W28" i="22"/>
  <c r="X28" i="22"/>
  <c r="U28" i="88"/>
  <c r="U28" i="89"/>
  <c r="U28" i="90"/>
  <c r="U28" i="91"/>
  <c r="U28" i="92"/>
  <c r="U28" i="93"/>
  <c r="U28" i="94"/>
  <c r="U28" i="95"/>
  <c r="U28" i="96"/>
  <c r="U28" i="97"/>
  <c r="U28" i="98"/>
  <c r="U28" i="99"/>
  <c r="U28" i="100"/>
  <c r="U28" i="101"/>
  <c r="U28" i="102"/>
  <c r="U28" i="103"/>
  <c r="U28" i="104"/>
  <c r="U28" i="105"/>
  <c r="U28" i="106"/>
  <c r="U28" i="107"/>
  <c r="U28" i="108"/>
  <c r="U28" i="109"/>
  <c r="U28" i="110"/>
  <c r="U28" i="111"/>
  <c r="U28" i="112"/>
  <c r="U28" i="113"/>
  <c r="U28" i="114"/>
  <c r="U28" i="115"/>
  <c r="U28" i="116"/>
  <c r="U28" i="117"/>
  <c r="U28" i="118"/>
  <c r="U28" i="119"/>
  <c r="U28" i="120"/>
  <c r="U28" i="121"/>
  <c r="U28" i="122"/>
  <c r="U28" i="123"/>
  <c r="U28" i="124"/>
  <c r="U28" i="125"/>
  <c r="U28" i="126"/>
  <c r="U28" i="127"/>
  <c r="U28" i="128"/>
  <c r="U28" i="129"/>
  <c r="U28" i="130"/>
  <c r="U28" i="131"/>
  <c r="U28" i="132"/>
  <c r="U28" i="133"/>
  <c r="U28" i="134"/>
  <c r="U28" i="135"/>
  <c r="U28" i="136"/>
  <c r="U28" i="137"/>
  <c r="U28" i="138"/>
  <c r="U28" i="139"/>
  <c r="U28" i="140"/>
  <c r="U28" i="141"/>
  <c r="U28" i="142"/>
  <c r="U28" i="143"/>
  <c r="U28" i="144"/>
  <c r="U28" i="145"/>
  <c r="U28" i="152"/>
  <c r="U28" i="22"/>
  <c r="B3" i="17"/>
  <c r="F78" i="107" l="1"/>
  <c r="F78" i="123"/>
  <c r="F78" i="139"/>
  <c r="F78" i="135"/>
  <c r="F78" i="119"/>
  <c r="F78" i="115"/>
  <c r="F78" i="99"/>
  <c r="F78" i="143"/>
  <c r="F78" i="95"/>
  <c r="F78" i="111"/>
  <c r="F78" i="89"/>
  <c r="F78" i="131"/>
  <c r="F78" i="152"/>
  <c r="F78" i="142"/>
  <c r="F78" i="138"/>
  <c r="F78" i="130"/>
  <c r="F78" i="126"/>
  <c r="F78" i="118"/>
  <c r="F78" i="114"/>
  <c r="F78" i="110"/>
  <c r="F78" i="106"/>
  <c r="F78" i="98"/>
  <c r="F78" i="94"/>
  <c r="F78" i="141"/>
  <c r="F78" i="137"/>
  <c r="F78" i="133"/>
  <c r="F78" i="129"/>
  <c r="F78" i="125"/>
  <c r="F78" i="121"/>
  <c r="F78" i="109"/>
  <c r="F78" i="105"/>
  <c r="F78" i="144"/>
  <c r="F78" i="140"/>
  <c r="F78" i="136"/>
  <c r="F78" i="128"/>
  <c r="F78" i="124"/>
  <c r="F78" i="120"/>
  <c r="F78" i="116"/>
  <c r="F78" i="112"/>
  <c r="F78" i="104"/>
  <c r="F78" i="145"/>
  <c r="F78" i="127"/>
  <c r="F78" i="132"/>
  <c r="F78" i="96"/>
  <c r="F78" i="122"/>
  <c r="F78" i="22"/>
  <c r="F78" i="97"/>
  <c r="F78" i="93"/>
  <c r="F78" i="113"/>
  <c r="F78" i="101"/>
  <c r="F78" i="134"/>
  <c r="F78" i="108"/>
  <c r="F78" i="117"/>
  <c r="F78" i="103"/>
  <c r="F78" i="102"/>
  <c r="F78" i="100"/>
  <c r="F78" i="92"/>
  <c r="F78" i="91"/>
  <c r="F78" i="90"/>
  <c r="F78" i="88"/>
  <c r="H8" i="19"/>
  <c r="F8" i="19"/>
  <c r="F16" i="152" l="1" a="1"/>
  <c r="F17" i="152" s="1"/>
  <c r="V9" i="152" a="1"/>
  <c r="Y9" i="152" s="1"/>
  <c r="W5" i="152"/>
  <c r="V5" i="152"/>
  <c r="D3" i="152"/>
  <c r="B76" i="2" l="1"/>
  <c r="B76" i="3"/>
  <c r="X9" i="152"/>
  <c r="V9" i="152"/>
  <c r="F16" i="152"/>
  <c r="W9" i="152"/>
  <c r="D77" i="2"/>
  <c r="D76" i="3"/>
  <c r="D78" i="2"/>
  <c r="C70" i="179" l="1"/>
  <c r="C90" i="165"/>
  <c r="AC78" i="2"/>
  <c r="AG78" i="2"/>
  <c r="AK78" i="2"/>
  <c r="AO78" i="2"/>
  <c r="AS78" i="2"/>
  <c r="AW78" i="2"/>
  <c r="BA78" i="2"/>
  <c r="BE78" i="2"/>
  <c r="BI78" i="2"/>
  <c r="AI78" i="2"/>
  <c r="AU78" i="2"/>
  <c r="BK78" i="2"/>
  <c r="AD78" i="2"/>
  <c r="AH78" i="2"/>
  <c r="AL78" i="2"/>
  <c r="AP78" i="2"/>
  <c r="AT78" i="2"/>
  <c r="AX78" i="2"/>
  <c r="BF78" i="2"/>
  <c r="BJ78" i="2"/>
  <c r="AE78" i="2"/>
  <c r="AM78" i="2"/>
  <c r="AQ78" i="2"/>
  <c r="AY78" i="2"/>
  <c r="BG78" i="2"/>
  <c r="AF78" i="2"/>
  <c r="AJ78" i="2"/>
  <c r="AN78" i="2"/>
  <c r="AR78" i="2"/>
  <c r="AV78" i="2"/>
  <c r="AZ78" i="2"/>
  <c r="BD78" i="2"/>
  <c r="BH78" i="2"/>
  <c r="BL78" i="2"/>
  <c r="AG77" i="2"/>
  <c r="AH77" i="2"/>
  <c r="E78" i="2" a="1"/>
  <c r="E78" i="2" s="1"/>
  <c r="O78" i="2"/>
  <c r="R78" i="2" a="1"/>
  <c r="Y78" i="2" a="1"/>
  <c r="AA78" i="2"/>
  <c r="P78" i="2" a="1"/>
  <c r="F78" i="2" a="1"/>
  <c r="W78" i="2"/>
  <c r="X78" i="2"/>
  <c r="F16" i="145" a="1"/>
  <c r="F16" i="145" s="1"/>
  <c r="V9" i="145" a="1"/>
  <c r="X9" i="145" s="1"/>
  <c r="W5" i="145"/>
  <c r="V5" i="145"/>
  <c r="D3" i="145"/>
  <c r="F16" i="144" a="1"/>
  <c r="F16" i="144" s="1"/>
  <c r="V9" i="144" a="1"/>
  <c r="W5" i="144"/>
  <c r="V5" i="144"/>
  <c r="D3" i="144"/>
  <c r="F16" i="143" a="1"/>
  <c r="F16" i="143" s="1"/>
  <c r="V9" i="143" a="1"/>
  <c r="W9" i="143" s="1"/>
  <c r="W5" i="143"/>
  <c r="V5" i="143"/>
  <c r="D3" i="143"/>
  <c r="F16" i="142" a="1"/>
  <c r="F16" i="142" s="1"/>
  <c r="V9" i="142" a="1"/>
  <c r="W5" i="142"/>
  <c r="V5" i="142"/>
  <c r="D3" i="142"/>
  <c r="F16" i="141" a="1"/>
  <c r="F16" i="141" s="1"/>
  <c r="V9" i="141" a="1"/>
  <c r="X9" i="141" s="1"/>
  <c r="W5" i="141"/>
  <c r="V5" i="141"/>
  <c r="D3" i="141"/>
  <c r="F16" i="140" a="1"/>
  <c r="F16" i="140" s="1"/>
  <c r="V9" i="140" a="1"/>
  <c r="X9" i="140" s="1"/>
  <c r="W5" i="140"/>
  <c r="V5" i="140"/>
  <c r="D3" i="140"/>
  <c r="F16" i="139" a="1"/>
  <c r="F16" i="139" s="1"/>
  <c r="V9" i="139" a="1"/>
  <c r="X9" i="139" s="1"/>
  <c r="W5" i="139"/>
  <c r="V5" i="139"/>
  <c r="D3" i="139"/>
  <c r="F16" i="138" a="1"/>
  <c r="F16" i="138" s="1"/>
  <c r="V9" i="138" a="1"/>
  <c r="X9" i="138" s="1"/>
  <c r="W5" i="138"/>
  <c r="V5" i="138"/>
  <c r="D3" i="138"/>
  <c r="B68" i="2" s="1"/>
  <c r="F16" i="137" a="1"/>
  <c r="F16" i="137" s="1"/>
  <c r="V9" i="137" a="1"/>
  <c r="X9" i="137" s="1"/>
  <c r="W5" i="137"/>
  <c r="V5" i="137"/>
  <c r="D3" i="137"/>
  <c r="F16" i="136" a="1"/>
  <c r="F16" i="136" s="1"/>
  <c r="V9" i="136" a="1"/>
  <c r="X9" i="136" s="1"/>
  <c r="W5" i="136"/>
  <c r="V5" i="136"/>
  <c r="D3" i="136"/>
  <c r="F16" i="135" a="1"/>
  <c r="F16" i="135" s="1"/>
  <c r="V9" i="135" a="1"/>
  <c r="X9" i="135" s="1"/>
  <c r="W5" i="135"/>
  <c r="V5" i="135"/>
  <c r="D3" i="135"/>
  <c r="F16" i="134" a="1"/>
  <c r="F16" i="134" s="1"/>
  <c r="V9" i="134" a="1"/>
  <c r="X9" i="134" s="1"/>
  <c r="W5" i="134"/>
  <c r="V5" i="134"/>
  <c r="D3" i="134"/>
  <c r="F16" i="133" a="1"/>
  <c r="F16" i="133" s="1"/>
  <c r="V9" i="133" a="1"/>
  <c r="X9" i="133" s="1"/>
  <c r="W5" i="133"/>
  <c r="V5" i="133"/>
  <c r="D3" i="133"/>
  <c r="F16" i="132" a="1"/>
  <c r="F16" i="132" s="1"/>
  <c r="V9" i="132" a="1"/>
  <c r="X9" i="132" s="1"/>
  <c r="W5" i="132"/>
  <c r="V5" i="132"/>
  <c r="D3" i="132"/>
  <c r="F16" i="131" a="1"/>
  <c r="F16" i="131" s="1"/>
  <c r="V9" i="131" a="1"/>
  <c r="X9" i="131" s="1"/>
  <c r="W5" i="131"/>
  <c r="V5" i="131"/>
  <c r="D3" i="131"/>
  <c r="F16" i="130" a="1"/>
  <c r="F16" i="130" s="1"/>
  <c r="V9" i="130" a="1"/>
  <c r="X9" i="130" s="1"/>
  <c r="W5" i="130"/>
  <c r="V5" i="130"/>
  <c r="D3" i="130"/>
  <c r="F16" i="129" a="1"/>
  <c r="F16" i="129" s="1"/>
  <c r="V9" i="129" a="1"/>
  <c r="W5" i="129"/>
  <c r="V5" i="129"/>
  <c r="D3" i="129"/>
  <c r="F16" i="128" a="1"/>
  <c r="F16" i="128" s="1"/>
  <c r="V9" i="128" a="1"/>
  <c r="W9" i="128" s="1"/>
  <c r="W5" i="128"/>
  <c r="V5" i="128"/>
  <c r="D3" i="128"/>
  <c r="F16" i="127" a="1"/>
  <c r="F16" i="127" s="1"/>
  <c r="V9" i="127" a="1"/>
  <c r="W5" i="127"/>
  <c r="V5" i="127"/>
  <c r="D3" i="127"/>
  <c r="F16" i="126" a="1"/>
  <c r="F16" i="126" s="1"/>
  <c r="V9" i="126" a="1"/>
  <c r="W9" i="126" s="1"/>
  <c r="W5" i="126"/>
  <c r="V5" i="126"/>
  <c r="D3" i="126"/>
  <c r="F16" i="125" a="1"/>
  <c r="F16" i="125" s="1"/>
  <c r="V9" i="125" a="1"/>
  <c r="W5" i="125"/>
  <c r="V5" i="125"/>
  <c r="D3" i="125"/>
  <c r="F16" i="124" a="1"/>
  <c r="F16" i="124" s="1"/>
  <c r="V9" i="124" a="1"/>
  <c r="W9" i="124" s="1"/>
  <c r="W5" i="124"/>
  <c r="V5" i="124"/>
  <c r="D3" i="124"/>
  <c r="F16" i="123" a="1"/>
  <c r="F16" i="123" s="1"/>
  <c r="V9" i="123" a="1"/>
  <c r="Y9" i="123" s="1"/>
  <c r="W5" i="123"/>
  <c r="V5" i="123"/>
  <c r="D3" i="123"/>
  <c r="F16" i="122" a="1"/>
  <c r="F17" i="122" s="1"/>
  <c r="V9" i="122" a="1"/>
  <c r="Y9" i="122" s="1"/>
  <c r="W5" i="122"/>
  <c r="V5" i="122"/>
  <c r="D3" i="122"/>
  <c r="F16" i="121" a="1"/>
  <c r="F17" i="121" s="1"/>
  <c r="V9" i="121" a="1"/>
  <c r="Y9" i="121" s="1"/>
  <c r="W5" i="121"/>
  <c r="V5" i="121"/>
  <c r="D3" i="121"/>
  <c r="F16" i="120" a="1"/>
  <c r="F16" i="120" s="1"/>
  <c r="V9" i="120" a="1"/>
  <c r="Y9" i="120" s="1"/>
  <c r="W5" i="120"/>
  <c r="V5" i="120"/>
  <c r="D3" i="120"/>
  <c r="F16" i="119" a="1"/>
  <c r="F16" i="119" s="1"/>
  <c r="V9" i="119" a="1"/>
  <c r="X9" i="119" s="1"/>
  <c r="W5" i="119"/>
  <c r="V5" i="119"/>
  <c r="F16" i="118" a="1"/>
  <c r="F16" i="118" s="1"/>
  <c r="V9" i="118" a="1"/>
  <c r="X9" i="118" s="1"/>
  <c r="W5" i="118"/>
  <c r="V5" i="118"/>
  <c r="D3" i="118"/>
  <c r="F16" i="117" a="1"/>
  <c r="F16" i="117" s="1"/>
  <c r="V9" i="117" a="1"/>
  <c r="X9" i="117" s="1"/>
  <c r="W5" i="117"/>
  <c r="V5" i="117"/>
  <c r="D3" i="117"/>
  <c r="F16" i="116" a="1"/>
  <c r="F16" i="116" s="1"/>
  <c r="V9" i="116" a="1"/>
  <c r="X9" i="116" s="1"/>
  <c r="W5" i="116"/>
  <c r="V5" i="116"/>
  <c r="D3" i="116"/>
  <c r="F16" i="115" a="1"/>
  <c r="F16" i="115" s="1"/>
  <c r="V9" i="115" a="1"/>
  <c r="X9" i="115" s="1"/>
  <c r="W5" i="115"/>
  <c r="V5" i="115"/>
  <c r="D3" i="115"/>
  <c r="F16" i="114" a="1"/>
  <c r="F16" i="114" s="1"/>
  <c r="V9" i="114" a="1"/>
  <c r="W5" i="114"/>
  <c r="V5" i="114"/>
  <c r="D3" i="114"/>
  <c r="F16" i="113" a="1"/>
  <c r="F16" i="113" s="1"/>
  <c r="V9" i="113" a="1"/>
  <c r="W9" i="113" s="1"/>
  <c r="W5" i="113"/>
  <c r="V5" i="113"/>
  <c r="D3" i="113"/>
  <c r="F16" i="112" a="1"/>
  <c r="F16" i="112" s="1"/>
  <c r="V9" i="112" a="1"/>
  <c r="W5" i="112"/>
  <c r="V5" i="112"/>
  <c r="D3" i="112"/>
  <c r="F16" i="111" a="1"/>
  <c r="F16" i="111" s="1"/>
  <c r="V9" i="111" a="1"/>
  <c r="X9" i="111" s="1"/>
  <c r="W5" i="111"/>
  <c r="V5" i="111"/>
  <c r="D3" i="111"/>
  <c r="F16" i="110" a="1"/>
  <c r="F16" i="110" s="1"/>
  <c r="V9" i="110" a="1"/>
  <c r="X9" i="110" s="1"/>
  <c r="W5" i="110"/>
  <c r="V5" i="110"/>
  <c r="D3" i="110"/>
  <c r="F16" i="109" a="1"/>
  <c r="F16" i="109" s="1"/>
  <c r="V9" i="109" a="1"/>
  <c r="X9" i="109" s="1"/>
  <c r="W5" i="109"/>
  <c r="V5" i="109"/>
  <c r="D3" i="109"/>
  <c r="F16" i="108" a="1"/>
  <c r="F16" i="108" s="1"/>
  <c r="V9" i="108" a="1"/>
  <c r="X9" i="108" s="1"/>
  <c r="W5" i="108"/>
  <c r="V5" i="108"/>
  <c r="D3" i="108"/>
  <c r="F16" i="107" a="1"/>
  <c r="F16" i="107" s="1"/>
  <c r="V9" i="107" a="1"/>
  <c r="X9" i="107" s="1"/>
  <c r="W5" i="107"/>
  <c r="V5" i="107"/>
  <c r="D3" i="107"/>
  <c r="F16" i="106" a="1"/>
  <c r="F16" i="106" s="1"/>
  <c r="V9" i="106" a="1"/>
  <c r="X9" i="106" s="1"/>
  <c r="W5" i="106"/>
  <c r="V5" i="106"/>
  <c r="D3" i="106"/>
  <c r="F16" i="105" a="1"/>
  <c r="F16" i="105" s="1"/>
  <c r="V9" i="105" a="1"/>
  <c r="X9" i="105" s="1"/>
  <c r="W5" i="105"/>
  <c r="V5" i="105"/>
  <c r="D3" i="105"/>
  <c r="F16" i="104" a="1"/>
  <c r="F16" i="104" s="1"/>
  <c r="V9" i="104" a="1"/>
  <c r="X9" i="104" s="1"/>
  <c r="W5" i="104"/>
  <c r="V5" i="104"/>
  <c r="D3" i="104"/>
  <c r="F16" i="103" a="1"/>
  <c r="F16" i="103" s="1"/>
  <c r="V9" i="103" a="1"/>
  <c r="X9" i="103" s="1"/>
  <c r="W5" i="103"/>
  <c r="V5" i="103"/>
  <c r="D3" i="103"/>
  <c r="F16" i="102" a="1"/>
  <c r="F16" i="102" s="1"/>
  <c r="V9" i="102" a="1"/>
  <c r="X9" i="102" s="1"/>
  <c r="W5" i="102"/>
  <c r="V5" i="102"/>
  <c r="D3" i="102"/>
  <c r="F16" i="101" a="1"/>
  <c r="F16" i="101" s="1"/>
  <c r="V9" i="101" a="1"/>
  <c r="X9" i="101" s="1"/>
  <c r="W5" i="101"/>
  <c r="V5" i="101"/>
  <c r="D3" i="101"/>
  <c r="F16" i="100" a="1"/>
  <c r="F16" i="100" s="1"/>
  <c r="V9" i="100" a="1"/>
  <c r="X9" i="100" s="1"/>
  <c r="W5" i="100"/>
  <c r="V5" i="100"/>
  <c r="D3" i="100"/>
  <c r="F16" i="99" a="1"/>
  <c r="F16" i="99" s="1"/>
  <c r="V9" i="99" a="1"/>
  <c r="X9" i="99" s="1"/>
  <c r="W5" i="99"/>
  <c r="V5" i="99"/>
  <c r="D3" i="99"/>
  <c r="F16" i="98" a="1"/>
  <c r="F16" i="98" s="1"/>
  <c r="V9" i="98" a="1"/>
  <c r="X9" i="98" s="1"/>
  <c r="W5" i="98"/>
  <c r="V5" i="98"/>
  <c r="D3" i="98"/>
  <c r="F16" i="97" a="1"/>
  <c r="F16" i="97" s="1"/>
  <c r="V9" i="97" a="1"/>
  <c r="X9" i="97" s="1"/>
  <c r="W5" i="97"/>
  <c r="V5" i="97"/>
  <c r="D3" i="97"/>
  <c r="F16" i="96" a="1"/>
  <c r="F16" i="96" s="1"/>
  <c r="V9" i="96" a="1"/>
  <c r="X9" i="96" s="1"/>
  <c r="W5" i="96"/>
  <c r="V5" i="96"/>
  <c r="D3" i="96"/>
  <c r="F16" i="95" a="1"/>
  <c r="F16" i="95" s="1"/>
  <c r="V9" i="95" a="1"/>
  <c r="X9" i="95" s="1"/>
  <c r="W5" i="95"/>
  <c r="V5" i="95"/>
  <c r="D3" i="95"/>
  <c r="F16" i="94" a="1"/>
  <c r="F16" i="94" s="1"/>
  <c r="V9" i="94" a="1"/>
  <c r="X9" i="94" s="1"/>
  <c r="W5" i="94"/>
  <c r="V5" i="94"/>
  <c r="D3" i="94"/>
  <c r="F16" i="93" a="1"/>
  <c r="F16" i="93" s="1"/>
  <c r="V9" i="93" a="1"/>
  <c r="X9" i="93" s="1"/>
  <c r="W5" i="93"/>
  <c r="V5" i="93"/>
  <c r="D3" i="93"/>
  <c r="F16" i="92" a="1"/>
  <c r="F16" i="92" s="1"/>
  <c r="V9" i="92" a="1"/>
  <c r="X9" i="92" s="1"/>
  <c r="W5" i="92"/>
  <c r="V5" i="92"/>
  <c r="D3" i="92"/>
  <c r="F16" i="91" a="1"/>
  <c r="F16" i="91" s="1"/>
  <c r="V9" i="91" a="1"/>
  <c r="X9" i="91" s="1"/>
  <c r="W5" i="91"/>
  <c r="V5" i="91"/>
  <c r="D3" i="91"/>
  <c r="F16" i="90" a="1"/>
  <c r="F16" i="90" s="1"/>
  <c r="V9" i="90" a="1"/>
  <c r="Y9" i="90" s="1"/>
  <c r="W5" i="90"/>
  <c r="V5" i="90"/>
  <c r="D3" i="90"/>
  <c r="F16" i="89" a="1"/>
  <c r="F16" i="89" s="1"/>
  <c r="V9" i="89" a="1"/>
  <c r="X9" i="89" s="1"/>
  <c r="W5" i="89"/>
  <c r="V5" i="89"/>
  <c r="D3" i="89"/>
  <c r="F16" i="88" a="1"/>
  <c r="F16" i="88" s="1"/>
  <c r="V9" i="88" a="1"/>
  <c r="X9" i="88" s="1"/>
  <c r="W5" i="88"/>
  <c r="V5" i="88"/>
  <c r="D3" i="88"/>
  <c r="E77" i="2" a="1"/>
  <c r="R77" i="2" a="1"/>
  <c r="P77" i="2" a="1"/>
  <c r="Y77" i="2" a="1"/>
  <c r="J76" i="3"/>
  <c r="G76" i="3"/>
  <c r="A76" i="2"/>
  <c r="D76" i="2"/>
  <c r="E76" i="3"/>
  <c r="K76" i="3"/>
  <c r="W77" i="2"/>
  <c r="F76" i="3"/>
  <c r="AA77" i="2"/>
  <c r="O77" i="2"/>
  <c r="H76" i="3"/>
  <c r="A76" i="3"/>
  <c r="X77" i="2"/>
  <c r="A68" i="2"/>
  <c r="P70" i="179" l="1"/>
  <c r="AX70" i="179" s="1" a="1"/>
  <c r="AX70" i="179" s="1"/>
  <c r="BB71" i="179"/>
  <c r="B71" i="179"/>
  <c r="DG71" i="179"/>
  <c r="DE71" i="179"/>
  <c r="DH71" i="179"/>
  <c r="CY71" i="179"/>
  <c r="DA71" i="179"/>
  <c r="DC71" i="179"/>
  <c r="BA71" i="179"/>
  <c r="DD71" i="179"/>
  <c r="CZ71" i="179"/>
  <c r="DF71" i="179"/>
  <c r="DB71" i="179"/>
  <c r="DG72" i="179"/>
  <c r="DB72" i="179"/>
  <c r="BB72" i="179"/>
  <c r="DC72" i="179"/>
  <c r="CZ72" i="179"/>
  <c r="CY72" i="179"/>
  <c r="DE72" i="179"/>
  <c r="DA72" i="179"/>
  <c r="BA72" i="179"/>
  <c r="DH72" i="179"/>
  <c r="DD72" i="179"/>
  <c r="B72" i="179"/>
  <c r="DF72" i="179"/>
  <c r="C90" i="166"/>
  <c r="G90" i="165"/>
  <c r="G90" i="166" s="1"/>
  <c r="BH77" i="2"/>
  <c r="AZ77" i="2"/>
  <c r="BL77" i="2"/>
  <c r="BI77" i="2"/>
  <c r="Y78" i="2"/>
  <c r="Z78" i="2"/>
  <c r="G78" i="2"/>
  <c r="K78" i="2"/>
  <c r="H78" i="2"/>
  <c r="L78" i="2"/>
  <c r="I78" i="2"/>
  <c r="M78" i="2"/>
  <c r="F78" i="2"/>
  <c r="J78" i="2"/>
  <c r="N78" i="2"/>
  <c r="U78" i="2"/>
  <c r="R78" i="2"/>
  <c r="BC78" i="2" s="1"/>
  <c r="V78" i="2"/>
  <c r="S78" i="2"/>
  <c r="T78" i="2"/>
  <c r="P78" i="2"/>
  <c r="Q78" i="2"/>
  <c r="BB78" i="2" s="1"/>
  <c r="AF76" i="3"/>
  <c r="AE76" i="3"/>
  <c r="AH76" i="3"/>
  <c r="AI76" i="3"/>
  <c r="B75" i="3"/>
  <c r="B20" i="2"/>
  <c r="C34" i="165" s="1"/>
  <c r="B20" i="3"/>
  <c r="B24" i="2"/>
  <c r="C38" i="165" s="1"/>
  <c r="B24" i="3"/>
  <c r="B28" i="2"/>
  <c r="C42" i="165" s="1"/>
  <c r="B28" i="3"/>
  <c r="B32" i="2"/>
  <c r="C46" i="165" s="1"/>
  <c r="B32" i="3"/>
  <c r="B36" i="2"/>
  <c r="C50" i="165" s="1"/>
  <c r="B36" i="3"/>
  <c r="B40" i="2"/>
  <c r="C54" i="165" s="1"/>
  <c r="B40" i="3"/>
  <c r="B44" i="2"/>
  <c r="C58" i="165" s="1"/>
  <c r="B44" i="3"/>
  <c r="B48" i="2"/>
  <c r="C62" i="165" s="1"/>
  <c r="B48" i="3"/>
  <c r="B52" i="2"/>
  <c r="B52" i="3"/>
  <c r="B56" i="2"/>
  <c r="B56" i="3"/>
  <c r="B60" i="2"/>
  <c r="B60" i="3"/>
  <c r="B64" i="2"/>
  <c r="B64" i="3"/>
  <c r="C82" i="165"/>
  <c r="B68" i="3"/>
  <c r="B72" i="2"/>
  <c r="B72" i="3"/>
  <c r="B21" i="2"/>
  <c r="C35" i="165" s="1"/>
  <c r="B21" i="3"/>
  <c r="B25" i="2"/>
  <c r="C39" i="165" s="1"/>
  <c r="B25" i="3"/>
  <c r="B29" i="2"/>
  <c r="C43" i="165" s="1"/>
  <c r="B29" i="3"/>
  <c r="B33" i="2"/>
  <c r="C47" i="165" s="1"/>
  <c r="B33" i="3"/>
  <c r="B37" i="2"/>
  <c r="C51" i="165" s="1"/>
  <c r="B37" i="3"/>
  <c r="B41" i="2"/>
  <c r="C55" i="165" s="1"/>
  <c r="B41" i="3"/>
  <c r="B45" i="2"/>
  <c r="C59" i="165" s="1"/>
  <c r="B45" i="3"/>
  <c r="B49" i="2"/>
  <c r="C63" i="165" s="1"/>
  <c r="B49" i="3"/>
  <c r="B53" i="2"/>
  <c r="B53" i="3"/>
  <c r="B57" i="2"/>
  <c r="B57" i="3"/>
  <c r="B61" i="2"/>
  <c r="B61" i="3"/>
  <c r="B65" i="2"/>
  <c r="B65" i="3"/>
  <c r="B69" i="2"/>
  <c r="B69" i="3"/>
  <c r="B73" i="2"/>
  <c r="B73" i="3"/>
  <c r="B18" i="2"/>
  <c r="C32" i="165" s="1"/>
  <c r="B18" i="3"/>
  <c r="B22" i="2"/>
  <c r="C36" i="165" s="1"/>
  <c r="B22" i="3"/>
  <c r="B26" i="2"/>
  <c r="C40" i="165" s="1"/>
  <c r="B26" i="3"/>
  <c r="B30" i="2"/>
  <c r="C44" i="165" s="1"/>
  <c r="B30" i="3"/>
  <c r="B34" i="2"/>
  <c r="C48" i="165" s="1"/>
  <c r="B34" i="3"/>
  <c r="B38" i="2"/>
  <c r="C52" i="165" s="1"/>
  <c r="B38" i="3"/>
  <c r="B42" i="2"/>
  <c r="C56" i="165" s="1"/>
  <c r="B42" i="3"/>
  <c r="B46" i="2"/>
  <c r="C60" i="165" s="1"/>
  <c r="B46" i="3"/>
  <c r="B50" i="2"/>
  <c r="B50" i="3"/>
  <c r="B54" i="2"/>
  <c r="B54" i="3"/>
  <c r="B58" i="2"/>
  <c r="B58" i="3"/>
  <c r="B62" i="2"/>
  <c r="B62" i="3"/>
  <c r="B66" i="2"/>
  <c r="B66" i="3"/>
  <c r="B70" i="2"/>
  <c r="B70" i="3"/>
  <c r="B74" i="2"/>
  <c r="B74" i="3"/>
  <c r="B19" i="2"/>
  <c r="C33" i="165" s="1"/>
  <c r="B19" i="3"/>
  <c r="B23" i="2"/>
  <c r="C37" i="165" s="1"/>
  <c r="B23" i="3"/>
  <c r="B27" i="2"/>
  <c r="C41" i="165" s="1"/>
  <c r="B27" i="3"/>
  <c r="B31" i="2"/>
  <c r="C45" i="165" s="1"/>
  <c r="B31" i="3"/>
  <c r="B35" i="2"/>
  <c r="C49" i="165" s="1"/>
  <c r="B35" i="3"/>
  <c r="B39" i="2"/>
  <c r="C53" i="165" s="1"/>
  <c r="B39" i="3"/>
  <c r="B43" i="2"/>
  <c r="C57" i="165" s="1"/>
  <c r="B43" i="3"/>
  <c r="B47" i="2"/>
  <c r="C61" i="165" s="1"/>
  <c r="B47" i="3"/>
  <c r="B51" i="2"/>
  <c r="B51" i="3"/>
  <c r="B55" i="2"/>
  <c r="B55" i="3"/>
  <c r="B59" i="2"/>
  <c r="B59" i="3"/>
  <c r="B63" i="2"/>
  <c r="B63" i="3"/>
  <c r="B67" i="2"/>
  <c r="B67" i="3"/>
  <c r="B71" i="2"/>
  <c r="B71" i="3"/>
  <c r="F17" i="113"/>
  <c r="F17" i="143"/>
  <c r="F17" i="126"/>
  <c r="V9" i="121"/>
  <c r="F16" i="122"/>
  <c r="F17" i="111"/>
  <c r="F16" i="121"/>
  <c r="V9" i="123"/>
  <c r="F17" i="124"/>
  <c r="F17" i="128"/>
  <c r="F17" i="141"/>
  <c r="B75" i="2"/>
  <c r="X9" i="90"/>
  <c r="V9" i="90"/>
  <c r="V9" i="120"/>
  <c r="X9" i="121"/>
  <c r="V9" i="122"/>
  <c r="X9" i="123"/>
  <c r="X9" i="120"/>
  <c r="X9" i="122"/>
  <c r="X9" i="125"/>
  <c r="V9" i="125"/>
  <c r="Y9" i="125"/>
  <c r="X9" i="127"/>
  <c r="V9" i="127"/>
  <c r="Y9" i="127"/>
  <c r="X9" i="129"/>
  <c r="V9" i="129"/>
  <c r="Y9" i="129"/>
  <c r="W9" i="121"/>
  <c r="W9" i="122"/>
  <c r="W9" i="123"/>
  <c r="F17" i="123"/>
  <c r="X9" i="124"/>
  <c r="V9" i="124"/>
  <c r="Y9" i="124"/>
  <c r="W9" i="125"/>
  <c r="F17" i="125"/>
  <c r="X9" i="126"/>
  <c r="V9" i="126"/>
  <c r="Y9" i="126"/>
  <c r="W9" i="127"/>
  <c r="F17" i="127"/>
  <c r="X9" i="128"/>
  <c r="V9" i="128"/>
  <c r="Y9" i="128"/>
  <c r="W9" i="129"/>
  <c r="F17" i="129"/>
  <c r="W9" i="130"/>
  <c r="Y9" i="130"/>
  <c r="F17" i="130"/>
  <c r="W9" i="131"/>
  <c r="Y9" i="131"/>
  <c r="F17" i="131"/>
  <c r="W9" i="132"/>
  <c r="Y9" i="132"/>
  <c r="F17" i="132"/>
  <c r="W9" i="133"/>
  <c r="Y9" i="133"/>
  <c r="F17" i="133"/>
  <c r="W9" i="134"/>
  <c r="Y9" i="134"/>
  <c r="F17" i="134"/>
  <c r="W9" i="135"/>
  <c r="Y9" i="135"/>
  <c r="F17" i="135"/>
  <c r="W9" i="136"/>
  <c r="Y9" i="136"/>
  <c r="F17" i="136"/>
  <c r="W9" i="137"/>
  <c r="Y9" i="137"/>
  <c r="F17" i="137"/>
  <c r="W9" i="138"/>
  <c r="Y9" i="138"/>
  <c r="F17" i="138"/>
  <c r="W9" i="139"/>
  <c r="Y9" i="139"/>
  <c r="F17" i="139"/>
  <c r="W9" i="140"/>
  <c r="Y9" i="140"/>
  <c r="F17" i="140"/>
  <c r="W9" i="141"/>
  <c r="Y9" i="141"/>
  <c r="X9" i="142"/>
  <c r="V9" i="142"/>
  <c r="Y9" i="142"/>
  <c r="X9" i="144"/>
  <c r="V9" i="144"/>
  <c r="Y9" i="144"/>
  <c r="V9" i="130"/>
  <c r="V9" i="131"/>
  <c r="V9" i="132"/>
  <c r="V9" i="133"/>
  <c r="V9" i="134"/>
  <c r="V9" i="135"/>
  <c r="V9" i="136"/>
  <c r="V9" i="137"/>
  <c r="V9" i="138"/>
  <c r="V9" i="139"/>
  <c r="V9" i="140"/>
  <c r="V9" i="141"/>
  <c r="W9" i="142"/>
  <c r="F17" i="142"/>
  <c r="X9" i="143"/>
  <c r="V9" i="143"/>
  <c r="Y9" i="143"/>
  <c r="W9" i="144"/>
  <c r="F17" i="144"/>
  <c r="W9" i="145"/>
  <c r="Y9" i="145"/>
  <c r="F17" i="145"/>
  <c r="V9" i="145"/>
  <c r="W9" i="104"/>
  <c r="Y9" i="104"/>
  <c r="F17" i="104"/>
  <c r="W9" i="105"/>
  <c r="Y9" i="105"/>
  <c r="F17" i="105"/>
  <c r="W9" i="106"/>
  <c r="Y9" i="106"/>
  <c r="F17" i="106"/>
  <c r="W9" i="107"/>
  <c r="Y9" i="107"/>
  <c r="F17" i="107"/>
  <c r="W9" i="108"/>
  <c r="Y9" i="108"/>
  <c r="F17" i="108"/>
  <c r="W9" i="109"/>
  <c r="Y9" i="109"/>
  <c r="F17" i="109"/>
  <c r="W9" i="110"/>
  <c r="Y9" i="110"/>
  <c r="F17" i="110"/>
  <c r="W9" i="111"/>
  <c r="Y9" i="111"/>
  <c r="X9" i="112"/>
  <c r="V9" i="112"/>
  <c r="Y9" i="112"/>
  <c r="X9" i="114"/>
  <c r="V9" i="114"/>
  <c r="Y9" i="114"/>
  <c r="V9" i="104"/>
  <c r="V9" i="105"/>
  <c r="V9" i="106"/>
  <c r="V9" i="107"/>
  <c r="V9" i="108"/>
  <c r="V9" i="109"/>
  <c r="V9" i="110"/>
  <c r="V9" i="111"/>
  <c r="W9" i="112"/>
  <c r="F17" i="112"/>
  <c r="X9" i="113"/>
  <c r="V9" i="113"/>
  <c r="Y9" i="113"/>
  <c r="W9" i="114"/>
  <c r="F17" i="114"/>
  <c r="W9" i="115"/>
  <c r="Y9" i="115"/>
  <c r="F17" i="115"/>
  <c r="W9" i="116"/>
  <c r="Y9" i="116"/>
  <c r="F17" i="116"/>
  <c r="W9" i="117"/>
  <c r="Y9" i="117"/>
  <c r="F17" i="117"/>
  <c r="W9" i="118"/>
  <c r="Y9" i="118"/>
  <c r="F17" i="118"/>
  <c r="W9" i="119"/>
  <c r="Y9" i="119"/>
  <c r="F17" i="119"/>
  <c r="W9" i="120"/>
  <c r="F17" i="120"/>
  <c r="V9" i="115"/>
  <c r="V9" i="116"/>
  <c r="V9" i="117"/>
  <c r="V9" i="118"/>
  <c r="V9" i="119"/>
  <c r="W9" i="103"/>
  <c r="Y9" i="103"/>
  <c r="F17" i="103"/>
  <c r="V9" i="103"/>
  <c r="W9" i="95"/>
  <c r="Y9" i="95"/>
  <c r="F17" i="95"/>
  <c r="W9" i="96"/>
  <c r="Y9" i="96"/>
  <c r="F17" i="96"/>
  <c r="W9" i="97"/>
  <c r="Y9" i="97"/>
  <c r="F17" i="97"/>
  <c r="W9" i="98"/>
  <c r="Y9" i="98"/>
  <c r="F17" i="98"/>
  <c r="W9" i="99"/>
  <c r="Y9" i="99"/>
  <c r="F17" i="99"/>
  <c r="W9" i="100"/>
  <c r="Y9" i="100"/>
  <c r="F17" i="100"/>
  <c r="W9" i="101"/>
  <c r="Y9" i="101"/>
  <c r="F17" i="101"/>
  <c r="W9" i="102"/>
  <c r="Y9" i="102"/>
  <c r="F17" i="102"/>
  <c r="V9" i="95"/>
  <c r="V9" i="96"/>
  <c r="V9" i="97"/>
  <c r="V9" i="98"/>
  <c r="V9" i="99"/>
  <c r="V9" i="100"/>
  <c r="V9" i="101"/>
  <c r="V9" i="102"/>
  <c r="W9" i="91"/>
  <c r="Y9" i="91"/>
  <c r="F17" i="91"/>
  <c r="W9" i="92"/>
  <c r="Y9" i="92"/>
  <c r="F17" i="92"/>
  <c r="W9" i="93"/>
  <c r="Y9" i="93"/>
  <c r="F17" i="93"/>
  <c r="W9" i="94"/>
  <c r="Y9" i="94"/>
  <c r="F17" i="94"/>
  <c r="V9" i="91"/>
  <c r="V9" i="92"/>
  <c r="V9" i="93"/>
  <c r="V9" i="94"/>
  <c r="W9" i="89"/>
  <c r="Y9" i="89"/>
  <c r="F17" i="89"/>
  <c r="W9" i="90"/>
  <c r="F17" i="90"/>
  <c r="V9" i="89"/>
  <c r="W9" i="88"/>
  <c r="Y9" i="88"/>
  <c r="F17" i="88"/>
  <c r="V9" i="88"/>
  <c r="E76" i="2" a="1"/>
  <c r="Y76" i="2" a="1"/>
  <c r="D56" i="3"/>
  <c r="A27" i="3"/>
  <c r="A65" i="3"/>
  <c r="D23" i="3"/>
  <c r="F77" i="2"/>
  <c r="D32" i="3"/>
  <c r="D52" i="3"/>
  <c r="Y77" i="2"/>
  <c r="D38" i="3"/>
  <c r="D45" i="3"/>
  <c r="R77" i="2"/>
  <c r="D54" i="3"/>
  <c r="D64" i="3"/>
  <c r="D34" i="3"/>
  <c r="L77" i="2"/>
  <c r="D60" i="3"/>
  <c r="D72" i="3"/>
  <c r="K77" i="2"/>
  <c r="J77" i="2"/>
  <c r="A35" i="3"/>
  <c r="O76" i="2"/>
  <c r="E77" i="2"/>
  <c r="X76" i="2"/>
  <c r="D71" i="3"/>
  <c r="D24" i="3"/>
  <c r="D53" i="3"/>
  <c r="N77" i="2"/>
  <c r="AA76" i="2"/>
  <c r="W76" i="2"/>
  <c r="S77" i="2"/>
  <c r="D69" i="3"/>
  <c r="A43" i="3"/>
  <c r="D57" i="3"/>
  <c r="A18" i="3"/>
  <c r="A55" i="3"/>
  <c r="Q77" i="2"/>
  <c r="A33" i="3"/>
  <c r="T77" i="2"/>
  <c r="D42" i="3"/>
  <c r="T76" i="3"/>
  <c r="V77" i="2"/>
  <c r="I77" i="2"/>
  <c r="A71" i="3"/>
  <c r="A34" i="3"/>
  <c r="D49" i="3"/>
  <c r="D58" i="3"/>
  <c r="P77" i="2"/>
  <c r="M77" i="2"/>
  <c r="U77" i="2"/>
  <c r="Z77" i="2"/>
  <c r="A39" i="3"/>
  <c r="G77" i="2"/>
  <c r="D74" i="3"/>
  <c r="V76" i="3"/>
  <c r="H77" i="2"/>
  <c r="D46" i="3"/>
  <c r="D61" i="3"/>
  <c r="D47" i="3"/>
  <c r="D62" i="3"/>
  <c r="A22" i="3"/>
  <c r="D37" i="3"/>
  <c r="A41" i="3"/>
  <c r="D31" i="3"/>
  <c r="D20" i="3"/>
  <c r="D50" i="3"/>
  <c r="D21" i="3"/>
  <c r="D25" i="3"/>
  <c r="D36" i="3"/>
  <c r="D70" i="3"/>
  <c r="D26" i="3"/>
  <c r="D30" i="3"/>
  <c r="D75" i="3"/>
  <c r="A68" i="3"/>
  <c r="A28" i="3"/>
  <c r="D51" i="3"/>
  <c r="A66" i="3"/>
  <c r="D40" i="3"/>
  <c r="D63" i="3"/>
  <c r="D19" i="3"/>
  <c r="A73" i="3"/>
  <c r="D29" i="3"/>
  <c r="A59" i="3"/>
  <c r="D44" i="3"/>
  <c r="D48" i="3"/>
  <c r="A67" i="3"/>
  <c r="X50" i="3" l="1"/>
  <c r="X45" i="3"/>
  <c r="X36" i="3"/>
  <c r="X54" i="3"/>
  <c r="X49" i="3"/>
  <c r="X72" i="3"/>
  <c r="X74" i="3"/>
  <c r="X42" i="3"/>
  <c r="X69" i="3"/>
  <c r="X60" i="3"/>
  <c r="X51" i="3"/>
  <c r="X64" i="3"/>
  <c r="X71" i="3"/>
  <c r="X29" i="3"/>
  <c r="X52" i="3"/>
  <c r="X70" i="3"/>
  <c r="X56" i="3"/>
  <c r="X58" i="3"/>
  <c r="X53" i="3"/>
  <c r="X44" i="3"/>
  <c r="X30" i="3"/>
  <c r="X57" i="3"/>
  <c r="X48" i="3"/>
  <c r="X75" i="3"/>
  <c r="L50" i="3"/>
  <c r="L45" i="3"/>
  <c r="L36" i="3"/>
  <c r="L54" i="3"/>
  <c r="L49" i="3"/>
  <c r="L72" i="3"/>
  <c r="L74" i="3"/>
  <c r="L42" i="3"/>
  <c r="L69" i="3"/>
  <c r="L60" i="3"/>
  <c r="L51" i="3"/>
  <c r="L64" i="3"/>
  <c r="L71" i="3"/>
  <c r="L29" i="3"/>
  <c r="L52" i="3"/>
  <c r="L70" i="3"/>
  <c r="L56" i="3"/>
  <c r="L58" i="3"/>
  <c r="L53" i="3"/>
  <c r="L44" i="3"/>
  <c r="L30" i="3"/>
  <c r="L57" i="3"/>
  <c r="L48" i="3"/>
  <c r="L75" i="3"/>
  <c r="G50" i="3"/>
  <c r="K50" i="3"/>
  <c r="H50" i="3"/>
  <c r="F50" i="3"/>
  <c r="E50" i="3"/>
  <c r="I50" i="3"/>
  <c r="J50" i="3"/>
  <c r="F45" i="3"/>
  <c r="J45" i="3"/>
  <c r="G45" i="3"/>
  <c r="K45" i="3"/>
  <c r="H45" i="3"/>
  <c r="E45" i="3"/>
  <c r="I45" i="3"/>
  <c r="F36" i="3"/>
  <c r="J36" i="3"/>
  <c r="G36" i="3"/>
  <c r="K36" i="3"/>
  <c r="H36" i="3"/>
  <c r="I36" i="3"/>
  <c r="E36" i="3"/>
  <c r="G54" i="3"/>
  <c r="K54" i="3"/>
  <c r="H54" i="3"/>
  <c r="J54" i="3"/>
  <c r="E54" i="3"/>
  <c r="I54" i="3"/>
  <c r="F54" i="3"/>
  <c r="F49" i="3"/>
  <c r="J49" i="3"/>
  <c r="G49" i="3"/>
  <c r="K49" i="3"/>
  <c r="E49" i="3"/>
  <c r="H49" i="3"/>
  <c r="I49" i="3"/>
  <c r="H72" i="3"/>
  <c r="K72" i="3"/>
  <c r="E72" i="3"/>
  <c r="I72" i="3"/>
  <c r="F72" i="3"/>
  <c r="J72" i="3"/>
  <c r="G72" i="3"/>
  <c r="F74" i="3"/>
  <c r="J74" i="3"/>
  <c r="G74" i="3"/>
  <c r="K74" i="3"/>
  <c r="E74" i="3"/>
  <c r="H74" i="3"/>
  <c r="I74" i="3"/>
  <c r="F42" i="3"/>
  <c r="J42" i="3"/>
  <c r="G42" i="3"/>
  <c r="K42" i="3"/>
  <c r="H42" i="3"/>
  <c r="E42" i="3"/>
  <c r="I42" i="3"/>
  <c r="E69" i="3"/>
  <c r="I69" i="3"/>
  <c r="F69" i="3"/>
  <c r="J69" i="3"/>
  <c r="H69" i="3"/>
  <c r="G69" i="3"/>
  <c r="K69" i="3"/>
  <c r="E60" i="3"/>
  <c r="I60" i="3"/>
  <c r="F60" i="3"/>
  <c r="J60" i="3"/>
  <c r="H60" i="3"/>
  <c r="G60" i="3"/>
  <c r="K60" i="3"/>
  <c r="H51" i="3"/>
  <c r="E51" i="3"/>
  <c r="I51" i="3"/>
  <c r="G51" i="3"/>
  <c r="F51" i="3"/>
  <c r="J51" i="3"/>
  <c r="K51" i="3"/>
  <c r="E64" i="3"/>
  <c r="I64" i="3"/>
  <c r="G64" i="3"/>
  <c r="F64" i="3"/>
  <c r="J64" i="3"/>
  <c r="K64" i="3"/>
  <c r="H64" i="3"/>
  <c r="G71" i="3"/>
  <c r="K71" i="3"/>
  <c r="E71" i="3"/>
  <c r="F71" i="3"/>
  <c r="H71" i="3"/>
  <c r="J71" i="3"/>
  <c r="I71" i="3"/>
  <c r="F29" i="3"/>
  <c r="J29" i="3"/>
  <c r="I29" i="3"/>
  <c r="G29" i="3"/>
  <c r="K29" i="3"/>
  <c r="H29" i="3"/>
  <c r="E29" i="3"/>
  <c r="E52" i="3"/>
  <c r="I52" i="3"/>
  <c r="F52" i="3"/>
  <c r="J52" i="3"/>
  <c r="H52" i="3"/>
  <c r="G52" i="3"/>
  <c r="K52" i="3"/>
  <c r="F70" i="3"/>
  <c r="J70" i="3"/>
  <c r="I70" i="3"/>
  <c r="G70" i="3"/>
  <c r="K70" i="3"/>
  <c r="H70" i="3"/>
  <c r="E70" i="3"/>
  <c r="E56" i="3"/>
  <c r="I56" i="3"/>
  <c r="F56" i="3"/>
  <c r="J56" i="3"/>
  <c r="G56" i="3"/>
  <c r="K56" i="3"/>
  <c r="H56" i="3"/>
  <c r="G58" i="3"/>
  <c r="K58" i="3"/>
  <c r="H58" i="3"/>
  <c r="F58" i="3"/>
  <c r="E58" i="3"/>
  <c r="I58" i="3"/>
  <c r="J58" i="3"/>
  <c r="F53" i="3"/>
  <c r="J53" i="3"/>
  <c r="G53" i="3"/>
  <c r="K53" i="3"/>
  <c r="I53" i="3"/>
  <c r="H53" i="3"/>
  <c r="E53" i="3"/>
  <c r="E44" i="3"/>
  <c r="I44" i="3"/>
  <c r="F44" i="3"/>
  <c r="J44" i="3"/>
  <c r="G44" i="3"/>
  <c r="K44" i="3"/>
  <c r="H44" i="3"/>
  <c r="G30" i="3"/>
  <c r="K30" i="3"/>
  <c r="E30" i="3"/>
  <c r="H30" i="3"/>
  <c r="I30" i="3"/>
  <c r="F30" i="3"/>
  <c r="J30" i="3"/>
  <c r="F57" i="3"/>
  <c r="J57" i="3"/>
  <c r="G57" i="3"/>
  <c r="K57" i="3"/>
  <c r="E57" i="3"/>
  <c r="H57" i="3"/>
  <c r="I57" i="3"/>
  <c r="E48" i="3"/>
  <c r="I48" i="3"/>
  <c r="F48" i="3"/>
  <c r="J48" i="3"/>
  <c r="G48" i="3"/>
  <c r="K48" i="3"/>
  <c r="H48" i="3"/>
  <c r="G75" i="3"/>
  <c r="K75" i="3"/>
  <c r="I75" i="3"/>
  <c r="J75" i="3"/>
  <c r="H75" i="3"/>
  <c r="E75" i="3"/>
  <c r="F75" i="3"/>
  <c r="AZ71" i="179"/>
  <c r="AZ72" i="179"/>
  <c r="C65" i="179"/>
  <c r="AX65" i="179" s="1" a="1"/>
  <c r="AX65" i="179" s="1"/>
  <c r="C57" i="179"/>
  <c r="C41" i="179"/>
  <c r="C25" i="179"/>
  <c r="C17" i="179"/>
  <c r="C68" i="179"/>
  <c r="AX68" i="179" s="1" a="1"/>
  <c r="AX68" i="179" s="1"/>
  <c r="C52" i="179"/>
  <c r="AX52" i="179" s="1" a="1"/>
  <c r="AX52" i="179" s="1"/>
  <c r="C44" i="179"/>
  <c r="AX44" i="179" s="1" a="1"/>
  <c r="AX44" i="179" s="1"/>
  <c r="C36" i="179"/>
  <c r="AX36" i="179" s="1" a="1"/>
  <c r="AX36" i="179" s="1"/>
  <c r="C28" i="179"/>
  <c r="C20" i="179"/>
  <c r="C63" i="179"/>
  <c r="AX63" i="179" s="1" a="1"/>
  <c r="AX63" i="179" s="1"/>
  <c r="C55" i="179"/>
  <c r="C47" i="179"/>
  <c r="AX47" i="179" s="1" a="1"/>
  <c r="AX47" i="179" s="1"/>
  <c r="C39" i="179"/>
  <c r="AX39" i="179" s="1" a="1"/>
  <c r="AX39" i="179" s="1"/>
  <c r="C31" i="179"/>
  <c r="C23" i="179"/>
  <c r="AX23" i="179" s="1" a="1"/>
  <c r="AX23" i="179" s="1"/>
  <c r="C15" i="179"/>
  <c r="C54" i="179"/>
  <c r="AX54" i="179" s="1" a="1"/>
  <c r="AX54" i="179" s="1"/>
  <c r="C46" i="179"/>
  <c r="AX46" i="179" s="1" a="1"/>
  <c r="AX46" i="179" s="1"/>
  <c r="C38" i="179"/>
  <c r="AX38" i="179" s="1" a="1"/>
  <c r="AX38" i="179" s="1"/>
  <c r="C30" i="179"/>
  <c r="AX30" i="179" s="1" a="1"/>
  <c r="AX30" i="179" s="1"/>
  <c r="C14" i="179"/>
  <c r="C45" i="179"/>
  <c r="AX45" i="179" s="1" a="1"/>
  <c r="AX45" i="179" s="1"/>
  <c r="C13" i="179"/>
  <c r="C64" i="179"/>
  <c r="AX64" i="179" s="1" a="1"/>
  <c r="AX64" i="179" s="1"/>
  <c r="C56" i="179"/>
  <c r="C48" i="179"/>
  <c r="AX48" i="179" s="1" a="1"/>
  <c r="AX48" i="179" s="1"/>
  <c r="C40" i="179"/>
  <c r="C32" i="179"/>
  <c r="C24" i="179"/>
  <c r="AX24" i="179" s="1" a="1"/>
  <c r="AX24" i="179" s="1"/>
  <c r="C51" i="179"/>
  <c r="AX51" i="179" s="1" a="1"/>
  <c r="AX51" i="179" s="1"/>
  <c r="C43" i="179"/>
  <c r="AX43" i="179" s="1" a="1"/>
  <c r="AX43" i="179" s="1"/>
  <c r="C19" i="179"/>
  <c r="C66" i="179"/>
  <c r="AX66" i="179" s="1" a="1"/>
  <c r="AX66" i="179" s="1"/>
  <c r="C58" i="179"/>
  <c r="AX58" i="179" s="1" a="1"/>
  <c r="AX58" i="179" s="1"/>
  <c r="C50" i="179"/>
  <c r="AX50" i="179" s="1" a="1"/>
  <c r="AX50" i="179" s="1"/>
  <c r="C42" i="179"/>
  <c r="AX42" i="179" s="1" a="1"/>
  <c r="AX42" i="179" s="1"/>
  <c r="C34" i="179"/>
  <c r="C26" i="179"/>
  <c r="C18" i="179"/>
  <c r="C69" i="179"/>
  <c r="AX69" i="179" s="1" a="1"/>
  <c r="AX69" i="179" s="1"/>
  <c r="DE70" i="179"/>
  <c r="DD70" i="179"/>
  <c r="DG70" i="179"/>
  <c r="DB70" i="179"/>
  <c r="DH70" i="179"/>
  <c r="DC70" i="179"/>
  <c r="B70" i="179"/>
  <c r="CZ70" i="179"/>
  <c r="DF70" i="179"/>
  <c r="DA70" i="179"/>
  <c r="BA70" i="179"/>
  <c r="CY70" i="179"/>
  <c r="BB70" i="179"/>
  <c r="D90" i="166"/>
  <c r="I90" i="165"/>
  <c r="I90" i="166" s="1"/>
  <c r="M90" i="165"/>
  <c r="M90" i="166" s="1"/>
  <c r="J90" i="165"/>
  <c r="J90" i="166" s="1"/>
  <c r="O90" i="165"/>
  <c r="K90" i="165"/>
  <c r="K90" i="166" s="1"/>
  <c r="L90" i="165"/>
  <c r="L90" i="166" s="1"/>
  <c r="C57" i="166"/>
  <c r="C49" i="166"/>
  <c r="C41" i="166"/>
  <c r="C33" i="166"/>
  <c r="C60" i="166"/>
  <c r="C52" i="166"/>
  <c r="C44" i="166"/>
  <c r="C36" i="166"/>
  <c r="C63" i="166"/>
  <c r="C55" i="166"/>
  <c r="C47" i="166"/>
  <c r="C39" i="166"/>
  <c r="C62" i="166"/>
  <c r="C54" i="166"/>
  <c r="C46" i="166"/>
  <c r="C38" i="166"/>
  <c r="E90" i="166"/>
  <c r="C61" i="166"/>
  <c r="C53" i="166"/>
  <c r="C45" i="166"/>
  <c r="C37" i="166"/>
  <c r="C56" i="166"/>
  <c r="C48" i="166"/>
  <c r="C40" i="166"/>
  <c r="C32" i="166"/>
  <c r="C59" i="166"/>
  <c r="C51" i="166"/>
  <c r="C43" i="166"/>
  <c r="C35" i="166"/>
  <c r="C82" i="166"/>
  <c r="C58" i="166"/>
  <c r="C50" i="166"/>
  <c r="C42" i="166"/>
  <c r="C34" i="166"/>
  <c r="G37" i="165"/>
  <c r="G37" i="166" s="1"/>
  <c r="G55" i="165"/>
  <c r="G55" i="166" s="1"/>
  <c r="G40" i="165"/>
  <c r="G40" i="166" s="1"/>
  <c r="G54" i="165"/>
  <c r="G54" i="166" s="1"/>
  <c r="G32" i="165"/>
  <c r="G32" i="166" s="1"/>
  <c r="G42" i="165"/>
  <c r="G42" i="166" s="1"/>
  <c r="G38" i="165"/>
  <c r="G38" i="166" s="1"/>
  <c r="G53" i="165"/>
  <c r="G53" i="166" s="1"/>
  <c r="G59" i="165"/>
  <c r="G59" i="166" s="1"/>
  <c r="G33" i="165"/>
  <c r="G33" i="166" s="1"/>
  <c r="G62" i="165"/>
  <c r="G62" i="166" s="1"/>
  <c r="G58" i="165"/>
  <c r="G58" i="166" s="1"/>
  <c r="G36" i="165"/>
  <c r="G36" i="166" s="1"/>
  <c r="G50" i="165"/>
  <c r="G50" i="166" s="1"/>
  <c r="G39" i="165"/>
  <c r="G39" i="166" s="1"/>
  <c r="G61" i="165"/>
  <c r="G61" i="166" s="1"/>
  <c r="G57" i="165"/>
  <c r="G57" i="166" s="1"/>
  <c r="G34" i="165"/>
  <c r="G34" i="166" s="1"/>
  <c r="G49" i="165"/>
  <c r="G49" i="166" s="1"/>
  <c r="G56" i="165"/>
  <c r="G56" i="166" s="1"/>
  <c r="G52" i="165"/>
  <c r="G52" i="166" s="1"/>
  <c r="G63" i="165"/>
  <c r="G63" i="166" s="1"/>
  <c r="G48" i="165"/>
  <c r="G48" i="166" s="1"/>
  <c r="G44" i="165"/>
  <c r="G44" i="166" s="1"/>
  <c r="G51" i="165"/>
  <c r="G51" i="166" s="1"/>
  <c r="G47" i="165"/>
  <c r="G47" i="166" s="1"/>
  <c r="G43" i="165"/>
  <c r="G43" i="166" s="1"/>
  <c r="G46" i="165"/>
  <c r="G46" i="166" s="1"/>
  <c r="G35" i="165"/>
  <c r="G35" i="166" s="1"/>
  <c r="G82" i="165"/>
  <c r="G82" i="166" s="1"/>
  <c r="G60" i="165"/>
  <c r="G60" i="166" s="1"/>
  <c r="G45" i="165"/>
  <c r="G45" i="166" s="1"/>
  <c r="G41" i="165"/>
  <c r="G41" i="166" s="1"/>
  <c r="C84" i="165"/>
  <c r="C79" i="165"/>
  <c r="C70" i="165"/>
  <c r="C80" i="165"/>
  <c r="C75" i="165"/>
  <c r="C66" i="165"/>
  <c r="C85" i="165"/>
  <c r="C71" i="165"/>
  <c r="C81" i="165"/>
  <c r="C76" i="165"/>
  <c r="C89" i="165"/>
  <c r="C72" i="165"/>
  <c r="C67" i="165"/>
  <c r="C77" i="165"/>
  <c r="C73" i="165"/>
  <c r="C68" i="165"/>
  <c r="C86" i="165"/>
  <c r="C64" i="165"/>
  <c r="C69" i="165"/>
  <c r="C65" i="165"/>
  <c r="C87" i="165"/>
  <c r="C78" i="165"/>
  <c r="C88" i="165"/>
  <c r="C83" i="165"/>
  <c r="C74" i="165"/>
  <c r="AP77" i="2"/>
  <c r="AR77" i="2"/>
  <c r="AX77" i="2"/>
  <c r="BG77" i="2"/>
  <c r="BD77" i="2"/>
  <c r="BK77" i="2"/>
  <c r="AW77" i="2"/>
  <c r="AY77" i="2"/>
  <c r="AT77" i="2"/>
  <c r="BC77" i="2"/>
  <c r="BB77" i="2"/>
  <c r="AS77" i="2"/>
  <c r="AU77" i="2"/>
  <c r="BF77" i="2"/>
  <c r="BA77" i="2"/>
  <c r="AV77" i="2"/>
  <c r="AQ77" i="2"/>
  <c r="BE77" i="2"/>
  <c r="BJ77" i="2"/>
  <c r="V69" i="3"/>
  <c r="T69" i="3"/>
  <c r="V29" i="3"/>
  <c r="T29" i="3"/>
  <c r="T72" i="3"/>
  <c r="V72" i="3"/>
  <c r="T75" i="3"/>
  <c r="V75" i="3"/>
  <c r="V57" i="3"/>
  <c r="T57" i="3"/>
  <c r="BH76" i="2"/>
  <c r="AF57" i="3"/>
  <c r="AF72" i="3"/>
  <c r="AF75" i="3"/>
  <c r="AF69" i="3"/>
  <c r="F16" i="22" a="1"/>
  <c r="F16" i="22" s="1"/>
  <c r="V60" i="3"/>
  <c r="T60" i="3"/>
  <c r="F61" i="3"/>
  <c r="E61" i="3"/>
  <c r="F46" i="3"/>
  <c r="K61" i="3"/>
  <c r="E46" i="3"/>
  <c r="J46" i="3"/>
  <c r="H61" i="3"/>
  <c r="J61" i="3"/>
  <c r="G61" i="3"/>
  <c r="H46" i="3"/>
  <c r="K46" i="3"/>
  <c r="G46" i="3"/>
  <c r="K19" i="3"/>
  <c r="A56" i="3"/>
  <c r="G62" i="3"/>
  <c r="F20" i="3"/>
  <c r="G31" i="3"/>
  <c r="G40" i="3"/>
  <c r="A24" i="3"/>
  <c r="G24" i="3"/>
  <c r="J62" i="3"/>
  <c r="A32" i="3"/>
  <c r="G34" i="3"/>
  <c r="A19" i="3"/>
  <c r="K24" i="3"/>
  <c r="E26" i="3"/>
  <c r="J34" i="3"/>
  <c r="H20" i="3"/>
  <c r="A29" i="3"/>
  <c r="A60" i="2"/>
  <c r="E32" i="3"/>
  <c r="A42" i="3"/>
  <c r="G20" i="3"/>
  <c r="A74" i="2"/>
  <c r="F40" i="3"/>
  <c r="K26" i="3"/>
  <c r="A66" i="2"/>
  <c r="H47" i="3"/>
  <c r="D39" i="3"/>
  <c r="A63" i="2"/>
  <c r="G38" i="3"/>
  <c r="A70" i="2"/>
  <c r="J47" i="3"/>
  <c r="K63" i="3"/>
  <c r="F23" i="3"/>
  <c r="A57" i="2"/>
  <c r="A56" i="2"/>
  <c r="K31" i="3"/>
  <c r="J37" i="3"/>
  <c r="E34" i="3"/>
  <c r="A52" i="3"/>
  <c r="K23" i="3"/>
  <c r="A71" i="2"/>
  <c r="G21" i="3"/>
  <c r="G19" i="3"/>
  <c r="D35" i="3"/>
  <c r="A38" i="3"/>
  <c r="E19" i="3"/>
  <c r="F21" i="3"/>
  <c r="H26" i="3"/>
  <c r="A67" i="2"/>
  <c r="H62" i="3"/>
  <c r="A69" i="3"/>
  <c r="F32" i="3"/>
  <c r="A30" i="3"/>
  <c r="G26" i="3"/>
  <c r="K38" i="3"/>
  <c r="A58" i="2"/>
  <c r="A62" i="2"/>
  <c r="G25" i="3"/>
  <c r="K40" i="3"/>
  <c r="A64" i="2"/>
  <c r="J23" i="3"/>
  <c r="A65" i="2"/>
  <c r="A61" i="2"/>
  <c r="A44" i="3"/>
  <c r="E31" i="3"/>
  <c r="G37" i="3"/>
  <c r="J25" i="3"/>
  <c r="E20" i="3"/>
  <c r="A52" i="2"/>
  <c r="A50" i="2"/>
  <c r="A31" i="3"/>
  <c r="H25" i="3"/>
  <c r="J21" i="3"/>
  <c r="G32" i="3"/>
  <c r="H37" i="3"/>
  <c r="A73" i="2"/>
  <c r="G23" i="3"/>
  <c r="J63" i="3"/>
  <c r="K37" i="3"/>
  <c r="H32" i="3"/>
  <c r="J24" i="3"/>
  <c r="D59" i="3"/>
  <c r="A51" i="3"/>
  <c r="F38" i="3"/>
  <c r="D33" i="3"/>
  <c r="E38" i="3"/>
  <c r="E37" i="3"/>
  <c r="A75" i="2"/>
  <c r="K62" i="3"/>
  <c r="K25" i="3"/>
  <c r="A20" i="3"/>
  <c r="D67" i="3"/>
  <c r="D41" i="3"/>
  <c r="G63" i="3"/>
  <c r="J32" i="3"/>
  <c r="E25" i="3"/>
  <c r="H38" i="3"/>
  <c r="J31" i="3"/>
  <c r="E40" i="3"/>
  <c r="A60" i="3"/>
  <c r="A45" i="3"/>
  <c r="E24" i="3"/>
  <c r="G47" i="3"/>
  <c r="J19" i="3"/>
  <c r="H31" i="3"/>
  <c r="A69" i="2"/>
  <c r="A55" i="2"/>
  <c r="F63" i="3"/>
  <c r="D28" i="3"/>
  <c r="H34" i="3"/>
  <c r="D55" i="3"/>
  <c r="D65" i="3"/>
  <c r="D22" i="3"/>
  <c r="D18" i="3"/>
  <c r="D43" i="3"/>
  <c r="H23" i="3"/>
  <c r="F26" i="3"/>
  <c r="K47" i="3"/>
  <c r="A61" i="3"/>
  <c r="J26" i="3"/>
  <c r="E62" i="3"/>
  <c r="D73" i="3"/>
  <c r="A59" i="2"/>
  <c r="F24" i="3"/>
  <c r="F31" i="3"/>
  <c r="A26" i="3"/>
  <c r="E21" i="3"/>
  <c r="K34" i="3"/>
  <c r="F62" i="3"/>
  <c r="H21" i="3"/>
  <c r="A53" i="3"/>
  <c r="E63" i="3"/>
  <c r="D66" i="3"/>
  <c r="H19" i="3"/>
  <c r="F19" i="3"/>
  <c r="E23" i="3"/>
  <c r="A23" i="3"/>
  <c r="A54" i="2"/>
  <c r="F25" i="3"/>
  <c r="F47" i="3"/>
  <c r="F34" i="3"/>
  <c r="A53" i="2"/>
  <c r="A51" i="2"/>
  <c r="J38" i="3"/>
  <c r="K32" i="3"/>
  <c r="K20" i="3"/>
  <c r="F37" i="3"/>
  <c r="K21" i="3"/>
  <c r="A72" i="2"/>
  <c r="J40" i="3"/>
  <c r="A36" i="3"/>
  <c r="A47" i="3"/>
  <c r="D68" i="3"/>
  <c r="H63" i="3"/>
  <c r="J20" i="3"/>
  <c r="H40" i="3"/>
  <c r="H24" i="3"/>
  <c r="E47" i="3"/>
  <c r="D27" i="3"/>
  <c r="E28" i="3" l="1"/>
  <c r="K28" i="3"/>
  <c r="H28" i="3"/>
  <c r="I28" i="3"/>
  <c r="L28" i="3"/>
  <c r="X28" i="3"/>
  <c r="F28" i="3"/>
  <c r="J28" i="3"/>
  <c r="G28" i="3"/>
  <c r="C22" i="179"/>
  <c r="AX22" i="179" s="1" a="1"/>
  <c r="AX22" i="179" s="1"/>
  <c r="C62" i="179"/>
  <c r="C12" i="179"/>
  <c r="C33" i="179"/>
  <c r="L66" i="3"/>
  <c r="X66" i="3"/>
  <c r="H66" i="3"/>
  <c r="C60" i="179"/>
  <c r="AX60" i="179" s="1" a="1"/>
  <c r="AX60" i="179" s="1"/>
  <c r="I66" i="3"/>
  <c r="E66" i="3"/>
  <c r="G66" i="3"/>
  <c r="K66" i="3"/>
  <c r="J66" i="3"/>
  <c r="F66" i="3"/>
  <c r="L55" i="3"/>
  <c r="J55" i="3"/>
  <c r="C49" i="179"/>
  <c r="AX49" i="179" s="1" a="1"/>
  <c r="AX49" i="179" s="1"/>
  <c r="H55" i="3"/>
  <c r="G55" i="3"/>
  <c r="X55" i="3"/>
  <c r="E55" i="3"/>
  <c r="I55" i="3"/>
  <c r="K55" i="3"/>
  <c r="F55" i="3"/>
  <c r="E67" i="3"/>
  <c r="F67" i="3"/>
  <c r="H67" i="3"/>
  <c r="X67" i="3"/>
  <c r="I67" i="3"/>
  <c r="G67" i="3"/>
  <c r="C61" i="179"/>
  <c r="AX61" i="179" s="1" a="1"/>
  <c r="AX61" i="179" s="1"/>
  <c r="L67" i="3"/>
  <c r="J67" i="3"/>
  <c r="K67" i="3"/>
  <c r="X65" i="3"/>
  <c r="L65" i="3"/>
  <c r="G65" i="3"/>
  <c r="E65" i="3"/>
  <c r="K65" i="3"/>
  <c r="F65" i="3"/>
  <c r="H65" i="3"/>
  <c r="J65" i="3"/>
  <c r="I65" i="3"/>
  <c r="C59" i="179"/>
  <c r="AX59" i="179" s="1" a="1"/>
  <c r="AX59" i="179" s="1"/>
  <c r="J33" i="3"/>
  <c r="X33" i="3"/>
  <c r="L33" i="3"/>
  <c r="E33" i="3"/>
  <c r="G33" i="3"/>
  <c r="I33" i="3"/>
  <c r="H33" i="3"/>
  <c r="C27" i="179"/>
  <c r="AX27" i="179" s="1" a="1"/>
  <c r="AX27" i="179" s="1"/>
  <c r="F33" i="3"/>
  <c r="K33" i="3"/>
  <c r="L59" i="3"/>
  <c r="I59" i="3"/>
  <c r="K59" i="3"/>
  <c r="C53" i="179"/>
  <c r="AX53" i="179" s="1" a="1"/>
  <c r="AX53" i="179" s="1"/>
  <c r="G59" i="3"/>
  <c r="X59" i="3"/>
  <c r="H59" i="3"/>
  <c r="F59" i="3"/>
  <c r="E59" i="3"/>
  <c r="J59" i="3"/>
  <c r="X35" i="3"/>
  <c r="F35" i="3"/>
  <c r="G35" i="3"/>
  <c r="C29" i="179"/>
  <c r="AX29" i="179" s="1" a="1"/>
  <c r="AX29" i="179" s="1"/>
  <c r="L35" i="3"/>
  <c r="J35" i="3"/>
  <c r="E35" i="3"/>
  <c r="K35" i="3"/>
  <c r="I35" i="3"/>
  <c r="H35" i="3"/>
  <c r="X73" i="3"/>
  <c r="K73" i="3"/>
  <c r="H73" i="3"/>
  <c r="L73" i="3"/>
  <c r="F73" i="3"/>
  <c r="E73" i="3"/>
  <c r="J73" i="3"/>
  <c r="C67" i="179"/>
  <c r="AX67" i="179" s="1" a="1"/>
  <c r="AX67" i="179" s="1"/>
  <c r="I73" i="3"/>
  <c r="G73" i="3"/>
  <c r="C16" i="179"/>
  <c r="C21" i="179"/>
  <c r="J41" i="3"/>
  <c r="X41" i="3"/>
  <c r="E41" i="3"/>
  <c r="G41" i="3"/>
  <c r="L41" i="3"/>
  <c r="I41" i="3"/>
  <c r="K41" i="3"/>
  <c r="C35" i="179"/>
  <c r="AX35" i="179" s="1" a="1"/>
  <c r="AX35" i="179" s="1"/>
  <c r="F41" i="3"/>
  <c r="H41" i="3"/>
  <c r="C37" i="179"/>
  <c r="P69" i="179"/>
  <c r="P19" i="179"/>
  <c r="AX19" i="179" s="1" a="1"/>
  <c r="AX19" i="179" s="1"/>
  <c r="P24" i="179"/>
  <c r="P38" i="179"/>
  <c r="P25" i="179"/>
  <c r="AX25" i="179" s="1" a="1"/>
  <c r="AX25" i="179" s="1"/>
  <c r="P18" i="179"/>
  <c r="AX18" i="179" s="1" a="1"/>
  <c r="AX18" i="179" s="1"/>
  <c r="P50" i="179"/>
  <c r="P32" i="179"/>
  <c r="AX32" i="179" s="1" a="1"/>
  <c r="AX32" i="179" s="1"/>
  <c r="P64" i="179"/>
  <c r="P14" i="179"/>
  <c r="P46" i="179"/>
  <c r="P23" i="179"/>
  <c r="P55" i="179"/>
  <c r="AX55" i="179" s="1" a="1"/>
  <c r="AX55" i="179" s="1"/>
  <c r="P28" i="179"/>
  <c r="AX28" i="179" s="1" a="1"/>
  <c r="AX28" i="179" s="1"/>
  <c r="P65" i="179"/>
  <c r="P26" i="179"/>
  <c r="AX26" i="179" s="1" a="1"/>
  <c r="AX26" i="179" s="1"/>
  <c r="P58" i="179"/>
  <c r="P40" i="179"/>
  <c r="P13" i="179"/>
  <c r="AX13" i="179" s="1" a="1"/>
  <c r="AX13" i="179" s="1"/>
  <c r="P45" i="179"/>
  <c r="P54" i="179"/>
  <c r="P31" i="179"/>
  <c r="AX31" i="179" s="1" a="1"/>
  <c r="AX31" i="179" s="1"/>
  <c r="P63" i="179"/>
  <c r="P36" i="179"/>
  <c r="P68" i="179"/>
  <c r="P41" i="179"/>
  <c r="P34" i="179"/>
  <c r="AX34" i="179" s="1" a="1"/>
  <c r="AX34" i="179" s="1"/>
  <c r="P66" i="179"/>
  <c r="P43" i="179"/>
  <c r="P48" i="179"/>
  <c r="P30" i="179"/>
  <c r="P39" i="179"/>
  <c r="P44" i="179"/>
  <c r="P17" i="179"/>
  <c r="AX17" i="179" s="1" a="1"/>
  <c r="AX17" i="179" s="1"/>
  <c r="P42" i="179"/>
  <c r="P51" i="179"/>
  <c r="P56" i="179"/>
  <c r="AX56" i="179" s="1" a="1"/>
  <c r="AX56" i="179" s="1"/>
  <c r="P15" i="179"/>
  <c r="AX15" i="179" s="1" a="1"/>
  <c r="AX15" i="179" s="1"/>
  <c r="P47" i="179"/>
  <c r="P20" i="179"/>
  <c r="AX20" i="179" s="1" a="1"/>
  <c r="AX20" i="179" s="1"/>
  <c r="P52" i="179"/>
  <c r="P57" i="179"/>
  <c r="AX57" i="179" s="1" a="1"/>
  <c r="AX57" i="179" s="1"/>
  <c r="AZ70" i="179"/>
  <c r="H90" i="165"/>
  <c r="H90" i="166" s="1"/>
  <c r="N90" i="166"/>
  <c r="O76" i="3"/>
  <c r="O90" i="166"/>
  <c r="D90" i="161"/>
  <c r="AC90" i="161" s="1"/>
  <c r="I50" i="165"/>
  <c r="I50" i="166" s="1"/>
  <c r="M50" i="165"/>
  <c r="M50" i="166" s="1"/>
  <c r="D50" i="166"/>
  <c r="J50" i="165"/>
  <c r="J50" i="166" s="1"/>
  <c r="O50" i="165"/>
  <c r="K50" i="165"/>
  <c r="K50" i="166" s="1"/>
  <c r="L50" i="165"/>
  <c r="L50" i="166" s="1"/>
  <c r="K59" i="165"/>
  <c r="K59" i="166" s="1"/>
  <c r="D59" i="166"/>
  <c r="I59" i="165"/>
  <c r="I59" i="166" s="1"/>
  <c r="M59" i="165"/>
  <c r="M59" i="166" s="1"/>
  <c r="O59" i="165"/>
  <c r="J59" i="165"/>
  <c r="J59" i="166" s="1"/>
  <c r="L59" i="165"/>
  <c r="L59" i="166" s="1"/>
  <c r="I56" i="165"/>
  <c r="I56" i="166" s="1"/>
  <c r="M56" i="165"/>
  <c r="M56" i="166" s="1"/>
  <c r="J56" i="165"/>
  <c r="J56" i="166" s="1"/>
  <c r="O56" i="165"/>
  <c r="K56" i="165"/>
  <c r="K56" i="166" s="1"/>
  <c r="L56" i="165"/>
  <c r="L56" i="166" s="1"/>
  <c r="D56" i="166"/>
  <c r="I38" i="165"/>
  <c r="I38" i="166" s="1"/>
  <c r="M38" i="165"/>
  <c r="M38" i="166" s="1"/>
  <c r="D38" i="166"/>
  <c r="J38" i="165"/>
  <c r="J38" i="166" s="1"/>
  <c r="O38" i="165"/>
  <c r="K38" i="165"/>
  <c r="K38" i="166" s="1"/>
  <c r="L38" i="165"/>
  <c r="L38" i="166" s="1"/>
  <c r="I54" i="165"/>
  <c r="I54" i="166" s="1"/>
  <c r="M54" i="165"/>
  <c r="M54" i="166" s="1"/>
  <c r="D54" i="166"/>
  <c r="J54" i="165"/>
  <c r="J54" i="166" s="1"/>
  <c r="O54" i="165"/>
  <c r="K54" i="165"/>
  <c r="K54" i="166" s="1"/>
  <c r="L54" i="165"/>
  <c r="L54" i="166" s="1"/>
  <c r="K39" i="165"/>
  <c r="K39" i="166" s="1"/>
  <c r="L39" i="165"/>
  <c r="L39" i="166" s="1"/>
  <c r="D39" i="166"/>
  <c r="I39" i="165"/>
  <c r="I39" i="166" s="1"/>
  <c r="M39" i="165"/>
  <c r="M39" i="166" s="1"/>
  <c r="J39" i="165"/>
  <c r="J39" i="166" s="1"/>
  <c r="O39" i="165"/>
  <c r="K55" i="165"/>
  <c r="K55" i="166" s="1"/>
  <c r="L55" i="165"/>
  <c r="L55" i="166" s="1"/>
  <c r="D55" i="166"/>
  <c r="I55" i="165"/>
  <c r="I55" i="166" s="1"/>
  <c r="M55" i="165"/>
  <c r="M55" i="166" s="1"/>
  <c r="J55" i="165"/>
  <c r="J55" i="166" s="1"/>
  <c r="O55" i="165"/>
  <c r="I36" i="165"/>
  <c r="I36" i="166" s="1"/>
  <c r="M36" i="165"/>
  <c r="M36" i="166" s="1"/>
  <c r="J36" i="165"/>
  <c r="J36" i="166" s="1"/>
  <c r="O36" i="165"/>
  <c r="K36" i="165"/>
  <c r="K36" i="166" s="1"/>
  <c r="D36" i="166"/>
  <c r="L36" i="165"/>
  <c r="L36" i="166" s="1"/>
  <c r="I52" i="165"/>
  <c r="I52" i="166" s="1"/>
  <c r="M52" i="165"/>
  <c r="M52" i="166" s="1"/>
  <c r="J52" i="165"/>
  <c r="J52" i="166" s="1"/>
  <c r="O52" i="165"/>
  <c r="K52" i="165"/>
  <c r="K52" i="166" s="1"/>
  <c r="D52" i="166"/>
  <c r="L52" i="165"/>
  <c r="L52" i="166" s="1"/>
  <c r="D33" i="166"/>
  <c r="K33" i="165"/>
  <c r="K33" i="166" s="1"/>
  <c r="L33" i="165"/>
  <c r="L33" i="166" s="1"/>
  <c r="I33" i="165"/>
  <c r="I33" i="166" s="1"/>
  <c r="M33" i="165"/>
  <c r="M33" i="166" s="1"/>
  <c r="J33" i="165"/>
  <c r="J33" i="166" s="1"/>
  <c r="O33" i="165"/>
  <c r="D49" i="166"/>
  <c r="K49" i="165"/>
  <c r="K49" i="166" s="1"/>
  <c r="L49" i="165"/>
  <c r="L49" i="166" s="1"/>
  <c r="I49" i="165"/>
  <c r="I49" i="166" s="1"/>
  <c r="M49" i="165"/>
  <c r="M49" i="166" s="1"/>
  <c r="J49" i="165"/>
  <c r="J49" i="166" s="1"/>
  <c r="O49" i="165"/>
  <c r="D82" i="166"/>
  <c r="I82" i="165"/>
  <c r="I82" i="166" s="1"/>
  <c r="M82" i="165"/>
  <c r="M82" i="166" s="1"/>
  <c r="J82" i="165"/>
  <c r="J82" i="166" s="1"/>
  <c r="O82" i="165"/>
  <c r="K82" i="165"/>
  <c r="K82" i="166" s="1"/>
  <c r="L82" i="165"/>
  <c r="L82" i="166" s="1"/>
  <c r="I40" i="165"/>
  <c r="I40" i="166" s="1"/>
  <c r="M40" i="165"/>
  <c r="M40" i="166" s="1"/>
  <c r="J40" i="165"/>
  <c r="J40" i="166" s="1"/>
  <c r="O40" i="165"/>
  <c r="K40" i="165"/>
  <c r="K40" i="166" s="1"/>
  <c r="L40" i="165"/>
  <c r="L40" i="166" s="1"/>
  <c r="D40" i="166"/>
  <c r="D61" i="166"/>
  <c r="K61" i="165"/>
  <c r="K61" i="166" s="1"/>
  <c r="I61" i="165"/>
  <c r="I61" i="166" s="1"/>
  <c r="M61" i="165"/>
  <c r="M61" i="166" s="1"/>
  <c r="J61" i="165"/>
  <c r="J61" i="166" s="1"/>
  <c r="L61" i="165"/>
  <c r="L61" i="166" s="1"/>
  <c r="O61" i="165"/>
  <c r="D61" i="161" s="1"/>
  <c r="I42" i="165"/>
  <c r="I42" i="166" s="1"/>
  <c r="M42" i="165"/>
  <c r="M42" i="166" s="1"/>
  <c r="D42" i="166"/>
  <c r="J42" i="165"/>
  <c r="J42" i="166" s="1"/>
  <c r="O42" i="165"/>
  <c r="K42" i="165"/>
  <c r="K42" i="166" s="1"/>
  <c r="L42" i="165"/>
  <c r="L42" i="166" s="1"/>
  <c r="I58" i="165"/>
  <c r="I58" i="166" s="1"/>
  <c r="M58" i="165"/>
  <c r="M58" i="166" s="1"/>
  <c r="D58" i="166"/>
  <c r="K58" i="165"/>
  <c r="K58" i="166" s="1"/>
  <c r="L58" i="165"/>
  <c r="L58" i="166" s="1"/>
  <c r="O58" i="165"/>
  <c r="J58" i="165"/>
  <c r="J58" i="166" s="1"/>
  <c r="K35" i="165"/>
  <c r="K35" i="166" s="1"/>
  <c r="L35" i="165"/>
  <c r="L35" i="166" s="1"/>
  <c r="D35" i="166"/>
  <c r="I35" i="165"/>
  <c r="I35" i="166" s="1"/>
  <c r="M35" i="165"/>
  <c r="M35" i="166" s="1"/>
  <c r="J35" i="165"/>
  <c r="J35" i="166" s="1"/>
  <c r="O35" i="165"/>
  <c r="K51" i="165"/>
  <c r="K51" i="166" s="1"/>
  <c r="L51" i="165"/>
  <c r="L51" i="166" s="1"/>
  <c r="D51" i="166"/>
  <c r="I51" i="165"/>
  <c r="I51" i="166" s="1"/>
  <c r="M51" i="165"/>
  <c r="M51" i="166" s="1"/>
  <c r="J51" i="165"/>
  <c r="J51" i="166" s="1"/>
  <c r="O51" i="165"/>
  <c r="I32" i="165"/>
  <c r="I32" i="166" s="1"/>
  <c r="M32" i="165"/>
  <c r="M32" i="166" s="1"/>
  <c r="J32" i="165"/>
  <c r="J32" i="166" s="1"/>
  <c r="O32" i="165"/>
  <c r="K32" i="165"/>
  <c r="K32" i="166" s="1"/>
  <c r="L32" i="165"/>
  <c r="L32" i="166" s="1"/>
  <c r="D32" i="166"/>
  <c r="I48" i="165"/>
  <c r="I48" i="166" s="1"/>
  <c r="M48" i="165"/>
  <c r="M48" i="166" s="1"/>
  <c r="J48" i="165"/>
  <c r="J48" i="166" s="1"/>
  <c r="O48" i="165"/>
  <c r="K48" i="165"/>
  <c r="K48" i="166" s="1"/>
  <c r="L48" i="165"/>
  <c r="L48" i="166" s="1"/>
  <c r="D48" i="166"/>
  <c r="D37" i="166"/>
  <c r="K37" i="165"/>
  <c r="K37" i="166" s="1"/>
  <c r="L37" i="165"/>
  <c r="L37" i="166" s="1"/>
  <c r="I37" i="165"/>
  <c r="I37" i="166" s="1"/>
  <c r="M37" i="165"/>
  <c r="M37" i="166" s="1"/>
  <c r="O37" i="165"/>
  <c r="J37" i="165"/>
  <c r="J37" i="166" s="1"/>
  <c r="D53" i="166"/>
  <c r="K53" i="165"/>
  <c r="K53" i="166" s="1"/>
  <c r="L53" i="165"/>
  <c r="L53" i="166" s="1"/>
  <c r="I53" i="165"/>
  <c r="I53" i="166" s="1"/>
  <c r="M53" i="165"/>
  <c r="M53" i="166" s="1"/>
  <c r="O53" i="165"/>
  <c r="J53" i="165"/>
  <c r="J53" i="166" s="1"/>
  <c r="I34" i="165"/>
  <c r="I34" i="166" s="1"/>
  <c r="M34" i="165"/>
  <c r="M34" i="166" s="1"/>
  <c r="D34" i="166"/>
  <c r="J34" i="165"/>
  <c r="J34" i="166" s="1"/>
  <c r="O34" i="165"/>
  <c r="K34" i="165"/>
  <c r="K34" i="166" s="1"/>
  <c r="L34" i="165"/>
  <c r="L34" i="166" s="1"/>
  <c r="K43" i="165"/>
  <c r="K43" i="166" s="1"/>
  <c r="L43" i="165"/>
  <c r="L43" i="166" s="1"/>
  <c r="D43" i="166"/>
  <c r="I43" i="165"/>
  <c r="I43" i="166" s="1"/>
  <c r="M43" i="165"/>
  <c r="M43" i="166" s="1"/>
  <c r="J43" i="165"/>
  <c r="J43" i="166" s="1"/>
  <c r="O43" i="165"/>
  <c r="D45" i="166"/>
  <c r="K45" i="165"/>
  <c r="K45" i="166" s="1"/>
  <c r="L45" i="165"/>
  <c r="L45" i="166" s="1"/>
  <c r="I45" i="165"/>
  <c r="I45" i="166" s="1"/>
  <c r="M45" i="165"/>
  <c r="M45" i="166" s="1"/>
  <c r="O45" i="165"/>
  <c r="J45" i="165"/>
  <c r="J45" i="166" s="1"/>
  <c r="I46" i="165"/>
  <c r="I46" i="166" s="1"/>
  <c r="M46" i="165"/>
  <c r="M46" i="166" s="1"/>
  <c r="D46" i="166"/>
  <c r="J46" i="165"/>
  <c r="J46" i="166" s="1"/>
  <c r="O46" i="165"/>
  <c r="K46" i="165"/>
  <c r="K46" i="166" s="1"/>
  <c r="L46" i="165"/>
  <c r="L46" i="166" s="1"/>
  <c r="I62" i="165"/>
  <c r="I62" i="166" s="1"/>
  <c r="M62" i="165"/>
  <c r="M62" i="166" s="1"/>
  <c r="D62" i="166"/>
  <c r="K62" i="165"/>
  <c r="K62" i="166" s="1"/>
  <c r="L62" i="165"/>
  <c r="L62" i="166" s="1"/>
  <c r="O62" i="165"/>
  <c r="D62" i="161" s="1"/>
  <c r="J62" i="165"/>
  <c r="J62" i="166" s="1"/>
  <c r="K47" i="165"/>
  <c r="K47" i="166" s="1"/>
  <c r="L47" i="165"/>
  <c r="L47" i="166" s="1"/>
  <c r="D47" i="166"/>
  <c r="I47" i="165"/>
  <c r="I47" i="166" s="1"/>
  <c r="M47" i="165"/>
  <c r="M47" i="166" s="1"/>
  <c r="J47" i="165"/>
  <c r="J47" i="166" s="1"/>
  <c r="O47" i="165"/>
  <c r="K63" i="165"/>
  <c r="K63" i="166" s="1"/>
  <c r="D63" i="166"/>
  <c r="I63" i="165"/>
  <c r="I63" i="166" s="1"/>
  <c r="M63" i="165"/>
  <c r="M63" i="166" s="1"/>
  <c r="O63" i="165"/>
  <c r="D63" i="161" s="1"/>
  <c r="J63" i="165"/>
  <c r="J63" i="166" s="1"/>
  <c r="L63" i="165"/>
  <c r="L63" i="166" s="1"/>
  <c r="I44" i="165"/>
  <c r="I44" i="166" s="1"/>
  <c r="M44" i="165"/>
  <c r="M44" i="166" s="1"/>
  <c r="J44" i="165"/>
  <c r="J44" i="166" s="1"/>
  <c r="O44" i="165"/>
  <c r="K44" i="165"/>
  <c r="K44" i="166" s="1"/>
  <c r="D44" i="166"/>
  <c r="L44" i="165"/>
  <c r="L44" i="166" s="1"/>
  <c r="I60" i="165"/>
  <c r="I60" i="166" s="1"/>
  <c r="M60" i="165"/>
  <c r="M60" i="166" s="1"/>
  <c r="K60" i="165"/>
  <c r="K60" i="166" s="1"/>
  <c r="D60" i="166"/>
  <c r="J60" i="165"/>
  <c r="J60" i="166" s="1"/>
  <c r="L60" i="165"/>
  <c r="L60" i="166" s="1"/>
  <c r="O60" i="165"/>
  <c r="D60" i="161" s="1"/>
  <c r="D41" i="166"/>
  <c r="K41" i="165"/>
  <c r="K41" i="166" s="1"/>
  <c r="L41" i="165"/>
  <c r="L41" i="166" s="1"/>
  <c r="I41" i="165"/>
  <c r="I41" i="166" s="1"/>
  <c r="M41" i="165"/>
  <c r="M41" i="166" s="1"/>
  <c r="J41" i="165"/>
  <c r="J41" i="166" s="1"/>
  <c r="O41" i="165"/>
  <c r="D57" i="166"/>
  <c r="K57" i="165"/>
  <c r="K57" i="166" s="1"/>
  <c r="L57" i="165"/>
  <c r="L57" i="166" s="1"/>
  <c r="I57" i="165"/>
  <c r="I57" i="166" s="1"/>
  <c r="M57" i="165"/>
  <c r="M57" i="166" s="1"/>
  <c r="J57" i="165"/>
  <c r="J57" i="166" s="1"/>
  <c r="O57" i="165"/>
  <c r="C78" i="166"/>
  <c r="C64" i="166"/>
  <c r="C76" i="166"/>
  <c r="C79" i="166"/>
  <c r="E38" i="166"/>
  <c r="E54" i="166"/>
  <c r="E55" i="166"/>
  <c r="E52" i="166"/>
  <c r="E33" i="166"/>
  <c r="C86" i="166"/>
  <c r="C75" i="166"/>
  <c r="E42" i="166"/>
  <c r="E58" i="166"/>
  <c r="E35" i="166"/>
  <c r="E51" i="166"/>
  <c r="E32" i="166"/>
  <c r="E48" i="166"/>
  <c r="E37" i="166"/>
  <c r="E53" i="166"/>
  <c r="C83" i="166"/>
  <c r="C65" i="166"/>
  <c r="C68" i="166"/>
  <c r="C72" i="166"/>
  <c r="C71" i="166"/>
  <c r="C80" i="166"/>
  <c r="E46" i="166"/>
  <c r="E62" i="166"/>
  <c r="E47" i="166"/>
  <c r="E63" i="166"/>
  <c r="E44" i="166"/>
  <c r="E60" i="166"/>
  <c r="E41" i="166"/>
  <c r="E57" i="166"/>
  <c r="C77" i="166"/>
  <c r="C66" i="166"/>
  <c r="E39" i="166"/>
  <c r="E36" i="166"/>
  <c r="E49" i="166"/>
  <c r="C74" i="166"/>
  <c r="C87" i="166"/>
  <c r="C67" i="166"/>
  <c r="C81" i="166"/>
  <c r="C84" i="166"/>
  <c r="C88" i="166"/>
  <c r="C69" i="166"/>
  <c r="C73" i="166"/>
  <c r="C89" i="166"/>
  <c r="C85" i="166"/>
  <c r="C70" i="166"/>
  <c r="E34" i="166"/>
  <c r="E50" i="166"/>
  <c r="E82" i="166"/>
  <c r="E43" i="166"/>
  <c r="E59" i="166"/>
  <c r="E40" i="166"/>
  <c r="E56" i="166"/>
  <c r="E45" i="166"/>
  <c r="E61" i="166"/>
  <c r="G70" i="165"/>
  <c r="G70" i="166" s="1"/>
  <c r="G88" i="165"/>
  <c r="G88" i="166" s="1"/>
  <c r="G87" i="165"/>
  <c r="G87" i="166" s="1"/>
  <c r="G65" i="165"/>
  <c r="G65" i="166" s="1"/>
  <c r="G66" i="165"/>
  <c r="G66" i="166" s="1"/>
  <c r="G75" i="165"/>
  <c r="G75" i="166" s="1"/>
  <c r="G79" i="165"/>
  <c r="G79" i="166" s="1"/>
  <c r="G84" i="165"/>
  <c r="G84" i="166" s="1"/>
  <c r="G78" i="165"/>
  <c r="G78" i="166" s="1"/>
  <c r="G80" i="165"/>
  <c r="G80" i="166" s="1"/>
  <c r="G74" i="165"/>
  <c r="G74" i="166" s="1"/>
  <c r="G83" i="165"/>
  <c r="G83" i="166" s="1"/>
  <c r="G69" i="165"/>
  <c r="G69" i="166" s="1"/>
  <c r="G64" i="165"/>
  <c r="G64" i="166" s="1"/>
  <c r="G86" i="165"/>
  <c r="G86" i="166" s="1"/>
  <c r="G68" i="165"/>
  <c r="G68" i="166" s="1"/>
  <c r="G73" i="165"/>
  <c r="G73" i="166" s="1"/>
  <c r="G77" i="165"/>
  <c r="G77" i="166" s="1"/>
  <c r="G67" i="165"/>
  <c r="G67" i="166" s="1"/>
  <c r="G72" i="165"/>
  <c r="G72" i="166" s="1"/>
  <c r="G89" i="165"/>
  <c r="G89" i="166" s="1"/>
  <c r="G76" i="165"/>
  <c r="G76" i="166" s="1"/>
  <c r="G81" i="165"/>
  <c r="G81" i="166" s="1"/>
  <c r="G71" i="165"/>
  <c r="G71" i="166" s="1"/>
  <c r="G85" i="165"/>
  <c r="G85" i="166" s="1"/>
  <c r="AF54" i="3"/>
  <c r="AE54" i="3"/>
  <c r="AF45" i="3"/>
  <c r="AE53" i="3"/>
  <c r="AF53" i="3"/>
  <c r="AF50" i="3"/>
  <c r="AE50" i="3"/>
  <c r="AF42" i="3"/>
  <c r="AG77" i="3"/>
  <c r="AA77" i="3" s="1"/>
  <c r="X77" i="3" s="1"/>
  <c r="V36" i="3"/>
  <c r="AF36" i="3"/>
  <c r="T36" i="3"/>
  <c r="AF60" i="3"/>
  <c r="AL60" i="3"/>
  <c r="AM60" i="3"/>
  <c r="AE60" i="3"/>
  <c r="AF48" i="3"/>
  <c r="AF29" i="3"/>
  <c r="M29" i="3"/>
  <c r="AF46" i="3"/>
  <c r="AF20" i="3"/>
  <c r="AF49" i="3"/>
  <c r="AE69" i="3"/>
  <c r="AE20" i="3"/>
  <c r="AE75" i="3"/>
  <c r="AE42" i="3"/>
  <c r="AE49" i="3"/>
  <c r="AE72" i="3"/>
  <c r="M75" i="3"/>
  <c r="AH75" i="3"/>
  <c r="AI75" i="3"/>
  <c r="AI72" i="3"/>
  <c r="AH72" i="3"/>
  <c r="M72" i="3"/>
  <c r="M69" i="3"/>
  <c r="AI69" i="3"/>
  <c r="AH69" i="3"/>
  <c r="M53" i="3"/>
  <c r="M45" i="3"/>
  <c r="AI29" i="3"/>
  <c r="AH60" i="3"/>
  <c r="F17" i="22"/>
  <c r="B8" i="19"/>
  <c r="D8" i="19"/>
  <c r="T48" i="3"/>
  <c r="V48" i="3"/>
  <c r="T50" i="3"/>
  <c r="V42" i="3"/>
  <c r="V50" i="3"/>
  <c r="T42" i="3"/>
  <c r="V49" i="3"/>
  <c r="T54" i="3"/>
  <c r="T49" i="3"/>
  <c r="V54" i="3"/>
  <c r="V53" i="3"/>
  <c r="T53" i="3"/>
  <c r="V45" i="3"/>
  <c r="T45" i="3"/>
  <c r="V46" i="3"/>
  <c r="T46" i="3"/>
  <c r="V20" i="3"/>
  <c r="J68" i="3"/>
  <c r="H22" i="3"/>
  <c r="F39" i="3"/>
  <c r="J27" i="3"/>
  <c r="K22" i="3"/>
  <c r="F18" i="3"/>
  <c r="G18" i="3"/>
  <c r="K68" i="3"/>
  <c r="H68" i="3"/>
  <c r="F68" i="3"/>
  <c r="F27" i="3"/>
  <c r="J43" i="3"/>
  <c r="F43" i="3"/>
  <c r="J22" i="3"/>
  <c r="J18" i="3"/>
  <c r="E43" i="3"/>
  <c r="E22" i="3"/>
  <c r="H27" i="3"/>
  <c r="E68" i="3"/>
  <c r="E27" i="3"/>
  <c r="F22" i="3"/>
  <c r="H43" i="3"/>
  <c r="K43" i="3"/>
  <c r="T20" i="3"/>
  <c r="G22" i="3"/>
  <c r="J39" i="3"/>
  <c r="K18" i="3"/>
  <c r="G43" i="3"/>
  <c r="H18" i="3"/>
  <c r="G39" i="3"/>
  <c r="E39" i="3"/>
  <c r="H39" i="3"/>
  <c r="G68" i="3"/>
  <c r="E18" i="3"/>
  <c r="K27" i="3"/>
  <c r="G27" i="3"/>
  <c r="K39" i="3"/>
  <c r="P22" i="179" l="1"/>
  <c r="P12" i="179"/>
  <c r="AX12" i="179" s="1" a="1"/>
  <c r="AX12" i="179" s="1"/>
  <c r="P62" i="179"/>
  <c r="AX62" i="179" s="1" a="1"/>
  <c r="AX62" i="179" s="1"/>
  <c r="P33" i="179"/>
  <c r="AX33" i="179" s="1" a="1"/>
  <c r="AX33" i="179" s="1"/>
  <c r="P60" i="179"/>
  <c r="P49" i="179"/>
  <c r="P61" i="179"/>
  <c r="P59" i="179"/>
  <c r="P27" i="179"/>
  <c r="P53" i="179"/>
  <c r="P67" i="179"/>
  <c r="P21" i="179"/>
  <c r="AX21" i="179" s="1" a="1"/>
  <c r="AX21" i="179" s="1"/>
  <c r="P35" i="179"/>
  <c r="P16" i="179"/>
  <c r="AX16" i="179" s="1" a="1"/>
  <c r="AX16" i="179" s="1"/>
  <c r="P37" i="179"/>
  <c r="P29" i="179"/>
  <c r="AO77" i="3"/>
  <c r="L77" i="3"/>
  <c r="H50" i="165"/>
  <c r="H50" i="166" s="1"/>
  <c r="H55" i="165"/>
  <c r="H55" i="166" s="1"/>
  <c r="H38" i="165"/>
  <c r="H38" i="166" s="1"/>
  <c r="E90" i="174"/>
  <c r="AG90" i="174" s="1"/>
  <c r="F76" i="14"/>
  <c r="N45" i="166"/>
  <c r="O31" i="3"/>
  <c r="N40" i="166"/>
  <c r="O26" i="3"/>
  <c r="N49" i="166"/>
  <c r="O35" i="3"/>
  <c r="N57" i="166"/>
  <c r="O43" i="3"/>
  <c r="N60" i="166"/>
  <c r="O46" i="3"/>
  <c r="N63" i="166"/>
  <c r="O49" i="3"/>
  <c r="N62" i="166"/>
  <c r="O48" i="3"/>
  <c r="N37" i="166"/>
  <c r="O23" i="3"/>
  <c r="N32" i="166"/>
  <c r="O18" i="3"/>
  <c r="N42" i="166"/>
  <c r="O28" i="3"/>
  <c r="E42" i="174" s="1"/>
  <c r="AG42" i="174" s="1"/>
  <c r="N43" i="166"/>
  <c r="O29" i="3"/>
  <c r="N50" i="166"/>
  <c r="O36" i="3"/>
  <c r="N39" i="166"/>
  <c r="O25" i="3"/>
  <c r="E39" i="174" s="1"/>
  <c r="AG39" i="174" s="1"/>
  <c r="N35" i="166"/>
  <c r="O21" i="3"/>
  <c r="N33" i="166"/>
  <c r="O19" i="3"/>
  <c r="N61" i="166"/>
  <c r="O47" i="3"/>
  <c r="N56" i="166"/>
  <c r="O42" i="3"/>
  <c r="N82" i="166"/>
  <c r="O68" i="3"/>
  <c r="N41" i="166"/>
  <c r="O27" i="3"/>
  <c r="N44" i="166"/>
  <c r="O30" i="3"/>
  <c r="N47" i="166"/>
  <c r="O33" i="3"/>
  <c r="N46" i="166"/>
  <c r="O32" i="3"/>
  <c r="N53" i="166"/>
  <c r="O39" i="3"/>
  <c r="N48" i="166"/>
  <c r="O34" i="3"/>
  <c r="N51" i="166"/>
  <c r="O37" i="3"/>
  <c r="N58" i="166"/>
  <c r="O44" i="3"/>
  <c r="N52" i="166"/>
  <c r="O38" i="3"/>
  <c r="N55" i="166"/>
  <c r="O41" i="3"/>
  <c r="N38" i="166"/>
  <c r="O24" i="3"/>
  <c r="N59" i="166"/>
  <c r="O45" i="3"/>
  <c r="N34" i="166"/>
  <c r="O20" i="3"/>
  <c r="N36" i="166"/>
  <c r="O22" i="3"/>
  <c r="N54" i="166"/>
  <c r="O40" i="3"/>
  <c r="H82" i="165"/>
  <c r="H82" i="166" s="1"/>
  <c r="H53" i="165"/>
  <c r="H53" i="166" s="1"/>
  <c r="O82" i="166"/>
  <c r="D82" i="161"/>
  <c r="AC82" i="161" s="1"/>
  <c r="H56" i="165"/>
  <c r="H56" i="166" s="1"/>
  <c r="O52" i="166"/>
  <c r="D52" i="161"/>
  <c r="AC52" i="161" s="1"/>
  <c r="O59" i="166"/>
  <c r="D59" i="161"/>
  <c r="AC59" i="161" s="1"/>
  <c r="O41" i="166"/>
  <c r="D41" i="161"/>
  <c r="AC41" i="161" s="1"/>
  <c r="O62" i="166"/>
  <c r="AC62" i="161"/>
  <c r="O43" i="166"/>
  <c r="D43" i="161"/>
  <c r="AC43" i="161" s="1"/>
  <c r="O57" i="166"/>
  <c r="D57" i="161"/>
  <c r="AC57" i="161" s="1"/>
  <c r="O44" i="166"/>
  <c r="D44" i="161"/>
  <c r="AC44" i="161" s="1"/>
  <c r="O47" i="166"/>
  <c r="D47" i="161"/>
  <c r="AC47" i="161" s="1"/>
  <c r="O46" i="166"/>
  <c r="D46" i="161"/>
  <c r="AC46" i="161" s="1"/>
  <c r="O40" i="166"/>
  <c r="D40" i="161"/>
  <c r="AC40" i="161" s="1"/>
  <c r="O34" i="166"/>
  <c r="D34" i="161"/>
  <c r="AC34" i="161" s="1"/>
  <c r="O35" i="166"/>
  <c r="D35" i="161"/>
  <c r="AC35" i="161" s="1"/>
  <c r="O58" i="166"/>
  <c r="D58" i="161"/>
  <c r="AC58" i="161" s="1"/>
  <c r="O42" i="166"/>
  <c r="D42" i="161"/>
  <c r="AC42" i="161" s="1"/>
  <c r="O45" i="166"/>
  <c r="D45" i="161"/>
  <c r="AC45" i="161" s="1"/>
  <c r="O37" i="166"/>
  <c r="D37" i="161"/>
  <c r="AC37" i="161" s="1"/>
  <c r="O51" i="166"/>
  <c r="D51" i="161"/>
  <c r="AC51" i="161" s="1"/>
  <c r="O61" i="166"/>
  <c r="AC61" i="161"/>
  <c r="O39" i="166"/>
  <c r="D39" i="161"/>
  <c r="AC39" i="161" s="1"/>
  <c r="O38" i="166"/>
  <c r="D38" i="161"/>
  <c r="AC38" i="161" s="1"/>
  <c r="O56" i="166"/>
  <c r="D56" i="161"/>
  <c r="AC56" i="161" s="1"/>
  <c r="O60" i="166"/>
  <c r="AC60" i="161"/>
  <c r="O63" i="166"/>
  <c r="AC63" i="161"/>
  <c r="O53" i="166"/>
  <c r="D53" i="161"/>
  <c r="AC53" i="161" s="1"/>
  <c r="O48" i="166"/>
  <c r="D48" i="161"/>
  <c r="AC48" i="161" s="1"/>
  <c r="O49" i="166"/>
  <c r="D49" i="161"/>
  <c r="AC49" i="161" s="1"/>
  <c r="O36" i="166"/>
  <c r="D36" i="161"/>
  <c r="AC36" i="161" s="1"/>
  <c r="O55" i="166"/>
  <c r="D55" i="161"/>
  <c r="AC55" i="161" s="1"/>
  <c r="O54" i="166"/>
  <c r="D54" i="161"/>
  <c r="AC54" i="161" s="1"/>
  <c r="O50" i="166"/>
  <c r="D50" i="161"/>
  <c r="AC50" i="161" s="1"/>
  <c r="H40" i="165"/>
  <c r="H40" i="166" s="1"/>
  <c r="H46" i="165"/>
  <c r="H46" i="166" s="1"/>
  <c r="H33" i="165"/>
  <c r="H33" i="166" s="1"/>
  <c r="O32" i="166"/>
  <c r="D32" i="161"/>
  <c r="AC32" i="161" s="1"/>
  <c r="O33" i="166"/>
  <c r="D33" i="161"/>
  <c r="AC33" i="161" s="1"/>
  <c r="H32" i="165"/>
  <c r="H32" i="166" s="1"/>
  <c r="H54" i="165"/>
  <c r="H54" i="166" s="1"/>
  <c r="H59" i="165"/>
  <c r="H59" i="166" s="1"/>
  <c r="H49" i="165"/>
  <c r="H49" i="166" s="1"/>
  <c r="H41" i="165"/>
  <c r="H41" i="166" s="1"/>
  <c r="H42" i="165"/>
  <c r="H42" i="166" s="1"/>
  <c r="H39" i="165"/>
  <c r="H39" i="166" s="1"/>
  <c r="H44" i="165"/>
  <c r="H44" i="166" s="1"/>
  <c r="H51" i="165"/>
  <c r="H51" i="166" s="1"/>
  <c r="H57" i="165"/>
  <c r="H57" i="166" s="1"/>
  <c r="H45" i="165"/>
  <c r="H45" i="166" s="1"/>
  <c r="H43" i="165"/>
  <c r="H43" i="166" s="1"/>
  <c r="H62" i="165"/>
  <c r="H62" i="166" s="1"/>
  <c r="H48" i="165"/>
  <c r="H48" i="166" s="1"/>
  <c r="H58" i="165"/>
  <c r="H58" i="166" s="1"/>
  <c r="H61" i="165"/>
  <c r="H61" i="166" s="1"/>
  <c r="H34" i="165"/>
  <c r="H34" i="166" s="1"/>
  <c r="H36" i="165"/>
  <c r="H36" i="166" s="1"/>
  <c r="H60" i="165"/>
  <c r="H60" i="166" s="1"/>
  <c r="H47" i="165"/>
  <c r="H47" i="166" s="1"/>
  <c r="H37" i="165"/>
  <c r="H37" i="166" s="1"/>
  <c r="H35" i="165"/>
  <c r="H35" i="166" s="1"/>
  <c r="H52" i="165"/>
  <c r="H52" i="166" s="1"/>
  <c r="D89" i="166"/>
  <c r="K89" i="165"/>
  <c r="K89" i="166" s="1"/>
  <c r="L89" i="165"/>
  <c r="L89" i="166" s="1"/>
  <c r="I89" i="165"/>
  <c r="I89" i="166" s="1"/>
  <c r="M89" i="165"/>
  <c r="M89" i="166" s="1"/>
  <c r="J89" i="165"/>
  <c r="J89" i="166" s="1"/>
  <c r="O89" i="165"/>
  <c r="I84" i="165"/>
  <c r="I84" i="166" s="1"/>
  <c r="M84" i="165"/>
  <c r="M84" i="166" s="1"/>
  <c r="J84" i="165"/>
  <c r="J84" i="166" s="1"/>
  <c r="O84" i="165"/>
  <c r="D84" i="166"/>
  <c r="K84" i="165"/>
  <c r="K84" i="166" s="1"/>
  <c r="L84" i="165"/>
  <c r="L84" i="166" s="1"/>
  <c r="D71" i="166"/>
  <c r="K71" i="165"/>
  <c r="K71" i="166" s="1"/>
  <c r="L71" i="165"/>
  <c r="L71" i="166" s="1"/>
  <c r="I71" i="165"/>
  <c r="I71" i="166" s="1"/>
  <c r="M71" i="165"/>
  <c r="M71" i="166" s="1"/>
  <c r="J71" i="165"/>
  <c r="J71" i="166" s="1"/>
  <c r="O71" i="165"/>
  <c r="D71" i="161" s="1"/>
  <c r="D83" i="166"/>
  <c r="K83" i="165"/>
  <c r="K83" i="166" s="1"/>
  <c r="L83" i="165"/>
  <c r="L83" i="166" s="1"/>
  <c r="I83" i="165"/>
  <c r="I83" i="166" s="1"/>
  <c r="M83" i="165"/>
  <c r="M83" i="166" s="1"/>
  <c r="J83" i="165"/>
  <c r="J83" i="166" s="1"/>
  <c r="O83" i="165"/>
  <c r="D85" i="166"/>
  <c r="K85" i="165"/>
  <c r="K85" i="166" s="1"/>
  <c r="L85" i="165"/>
  <c r="L85" i="166" s="1"/>
  <c r="I85" i="165"/>
  <c r="I85" i="166" s="1"/>
  <c r="M85" i="165"/>
  <c r="M85" i="166" s="1"/>
  <c r="J85" i="165"/>
  <c r="J85" i="166" s="1"/>
  <c r="O85" i="165"/>
  <c r="D73" i="166"/>
  <c r="K73" i="165"/>
  <c r="K73" i="166" s="1"/>
  <c r="L73" i="165"/>
  <c r="L73" i="166" s="1"/>
  <c r="I73" i="165"/>
  <c r="I73" i="166" s="1"/>
  <c r="M73" i="165"/>
  <c r="M73" i="166" s="1"/>
  <c r="J73" i="165"/>
  <c r="J73" i="166" s="1"/>
  <c r="O73" i="165"/>
  <c r="D73" i="161" s="1"/>
  <c r="I88" i="165"/>
  <c r="I88" i="166" s="1"/>
  <c r="M88" i="165"/>
  <c r="M88" i="166" s="1"/>
  <c r="D88" i="166"/>
  <c r="J88" i="165"/>
  <c r="J88" i="166" s="1"/>
  <c r="O88" i="165"/>
  <c r="K88" i="165"/>
  <c r="K88" i="166" s="1"/>
  <c r="L88" i="165"/>
  <c r="L88" i="166" s="1"/>
  <c r="D81" i="166"/>
  <c r="K81" i="165"/>
  <c r="K81" i="166" s="1"/>
  <c r="L81" i="165"/>
  <c r="L81" i="166" s="1"/>
  <c r="I81" i="165"/>
  <c r="I81" i="166" s="1"/>
  <c r="M81" i="165"/>
  <c r="M81" i="166" s="1"/>
  <c r="J81" i="165"/>
  <c r="J81" i="166" s="1"/>
  <c r="O81" i="165"/>
  <c r="D87" i="166"/>
  <c r="K87" i="165"/>
  <c r="K87" i="166" s="1"/>
  <c r="L87" i="165"/>
  <c r="L87" i="166" s="1"/>
  <c r="I87" i="165"/>
  <c r="I87" i="166" s="1"/>
  <c r="M87" i="165"/>
  <c r="M87" i="166" s="1"/>
  <c r="J87" i="165"/>
  <c r="J87" i="166" s="1"/>
  <c r="O87" i="165"/>
  <c r="D79" i="166"/>
  <c r="K79" i="165"/>
  <c r="K79" i="166" s="1"/>
  <c r="L79" i="165"/>
  <c r="L79" i="166" s="1"/>
  <c r="I79" i="165"/>
  <c r="I79" i="166" s="1"/>
  <c r="M79" i="165"/>
  <c r="M79" i="166" s="1"/>
  <c r="J79" i="165"/>
  <c r="J79" i="166" s="1"/>
  <c r="O79" i="165"/>
  <c r="I64" i="165"/>
  <c r="I64" i="166" s="1"/>
  <c r="M64" i="165"/>
  <c r="M64" i="166" s="1"/>
  <c r="K64" i="165"/>
  <c r="K64" i="166" s="1"/>
  <c r="J64" i="165"/>
  <c r="J64" i="166" s="1"/>
  <c r="L64" i="165"/>
  <c r="L64" i="166" s="1"/>
  <c r="D64" i="166"/>
  <c r="O64" i="165"/>
  <c r="D64" i="161" s="1"/>
  <c r="D70" i="166"/>
  <c r="I70" i="165"/>
  <c r="I70" i="166" s="1"/>
  <c r="M70" i="165"/>
  <c r="M70" i="166" s="1"/>
  <c r="J70" i="165"/>
  <c r="J70" i="166" s="1"/>
  <c r="O70" i="165"/>
  <c r="D70" i="161" s="1"/>
  <c r="K70" i="165"/>
  <c r="K70" i="166" s="1"/>
  <c r="L70" i="165"/>
  <c r="L70" i="166" s="1"/>
  <c r="D69" i="166"/>
  <c r="K69" i="165"/>
  <c r="K69" i="166" s="1"/>
  <c r="L69" i="165"/>
  <c r="L69" i="166" s="1"/>
  <c r="I69" i="165"/>
  <c r="I69" i="166" s="1"/>
  <c r="M69" i="165"/>
  <c r="M69" i="166" s="1"/>
  <c r="J69" i="165"/>
  <c r="J69" i="166" s="1"/>
  <c r="O69" i="165"/>
  <c r="D69" i="161" s="1"/>
  <c r="K67" i="165"/>
  <c r="K67" i="166" s="1"/>
  <c r="D67" i="166"/>
  <c r="I67" i="165"/>
  <c r="I67" i="166" s="1"/>
  <c r="M67" i="165"/>
  <c r="M67" i="166" s="1"/>
  <c r="O67" i="165"/>
  <c r="D67" i="161" s="1"/>
  <c r="J67" i="165"/>
  <c r="J67" i="166" s="1"/>
  <c r="L67" i="165"/>
  <c r="L67" i="166" s="1"/>
  <c r="D77" i="166"/>
  <c r="K77" i="165"/>
  <c r="K77" i="166" s="1"/>
  <c r="L77" i="165"/>
  <c r="L77" i="166" s="1"/>
  <c r="I77" i="165"/>
  <c r="I77" i="166" s="1"/>
  <c r="M77" i="165"/>
  <c r="M77" i="166" s="1"/>
  <c r="J77" i="165"/>
  <c r="J77" i="166" s="1"/>
  <c r="O77" i="165"/>
  <c r="K68" i="165"/>
  <c r="K68" i="166" s="1"/>
  <c r="M68" i="165"/>
  <c r="M68" i="166" s="1"/>
  <c r="I68" i="165"/>
  <c r="I68" i="166" s="1"/>
  <c r="O68" i="165"/>
  <c r="D68" i="161" s="1"/>
  <c r="D68" i="166"/>
  <c r="J68" i="165"/>
  <c r="J68" i="166" s="1"/>
  <c r="L68" i="165"/>
  <c r="L68" i="166" s="1"/>
  <c r="D86" i="166"/>
  <c r="I86" i="165"/>
  <c r="I86" i="166" s="1"/>
  <c r="M86" i="165"/>
  <c r="M86" i="166" s="1"/>
  <c r="J86" i="165"/>
  <c r="J86" i="166" s="1"/>
  <c r="O86" i="165"/>
  <c r="K86" i="165"/>
  <c r="K86" i="166" s="1"/>
  <c r="L86" i="165"/>
  <c r="L86" i="166" s="1"/>
  <c r="I66" i="165"/>
  <c r="I66" i="166" s="1"/>
  <c r="M66" i="165"/>
  <c r="M66" i="166" s="1"/>
  <c r="D66" i="166"/>
  <c r="K66" i="165"/>
  <c r="K66" i="166" s="1"/>
  <c r="L66" i="165"/>
  <c r="L66" i="166" s="1"/>
  <c r="O66" i="165"/>
  <c r="D66" i="161" s="1"/>
  <c r="J66" i="165"/>
  <c r="J66" i="166" s="1"/>
  <c r="H63" i="165"/>
  <c r="H63" i="166" s="1"/>
  <c r="I80" i="165"/>
  <c r="I80" i="166" s="1"/>
  <c r="M80" i="165"/>
  <c r="M80" i="166" s="1"/>
  <c r="J80" i="165"/>
  <c r="J80" i="166" s="1"/>
  <c r="O80" i="165"/>
  <c r="K80" i="165"/>
  <c r="K80" i="166" s="1"/>
  <c r="D80" i="166"/>
  <c r="L80" i="165"/>
  <c r="L80" i="166" s="1"/>
  <c r="I72" i="165"/>
  <c r="I72" i="166" s="1"/>
  <c r="M72" i="165"/>
  <c r="M72" i="166" s="1"/>
  <c r="D72" i="166"/>
  <c r="J72" i="165"/>
  <c r="J72" i="166" s="1"/>
  <c r="O72" i="165"/>
  <c r="D72" i="161" s="1"/>
  <c r="K72" i="165"/>
  <c r="K72" i="166" s="1"/>
  <c r="L72" i="165"/>
  <c r="L72" i="166" s="1"/>
  <c r="D65" i="166"/>
  <c r="K65" i="165"/>
  <c r="K65" i="166" s="1"/>
  <c r="I65" i="165"/>
  <c r="I65" i="166" s="1"/>
  <c r="M65" i="165"/>
  <c r="M65" i="166" s="1"/>
  <c r="J65" i="165"/>
  <c r="J65" i="166" s="1"/>
  <c r="L65" i="165"/>
  <c r="L65" i="166" s="1"/>
  <c r="O65" i="165"/>
  <c r="D65" i="161" s="1"/>
  <c r="D75" i="166"/>
  <c r="K75" i="165"/>
  <c r="K75" i="166" s="1"/>
  <c r="L75" i="165"/>
  <c r="L75" i="166" s="1"/>
  <c r="I75" i="165"/>
  <c r="I75" i="166" s="1"/>
  <c r="M75" i="165"/>
  <c r="M75" i="166" s="1"/>
  <c r="J75" i="165"/>
  <c r="J75" i="166" s="1"/>
  <c r="O75" i="165"/>
  <c r="D74" i="166"/>
  <c r="I74" i="165"/>
  <c r="I74" i="166" s="1"/>
  <c r="M74" i="165"/>
  <c r="M74" i="166" s="1"/>
  <c r="J74" i="165"/>
  <c r="J74" i="166" s="1"/>
  <c r="O74" i="165"/>
  <c r="D74" i="161" s="1"/>
  <c r="K74" i="165"/>
  <c r="K74" i="166" s="1"/>
  <c r="L74" i="165"/>
  <c r="L74" i="166" s="1"/>
  <c r="D76" i="166"/>
  <c r="I76" i="165"/>
  <c r="I76" i="166" s="1"/>
  <c r="M76" i="165"/>
  <c r="M76" i="166" s="1"/>
  <c r="J76" i="165"/>
  <c r="J76" i="166" s="1"/>
  <c r="O76" i="165"/>
  <c r="K76" i="165"/>
  <c r="K76" i="166" s="1"/>
  <c r="L76" i="165"/>
  <c r="L76" i="166" s="1"/>
  <c r="D78" i="166"/>
  <c r="I78" i="165"/>
  <c r="I78" i="166" s="1"/>
  <c r="M78" i="165"/>
  <c r="M78" i="166" s="1"/>
  <c r="J78" i="165"/>
  <c r="J78" i="166" s="1"/>
  <c r="O78" i="165"/>
  <c r="K78" i="165"/>
  <c r="K78" i="166" s="1"/>
  <c r="L78" i="165"/>
  <c r="L78" i="166" s="1"/>
  <c r="E75" i="166"/>
  <c r="E77" i="166"/>
  <c r="E71" i="166"/>
  <c r="E68" i="166"/>
  <c r="E83" i="166"/>
  <c r="E86" i="166"/>
  <c r="E85" i="166"/>
  <c r="E73" i="166"/>
  <c r="E88" i="166"/>
  <c r="E81" i="166"/>
  <c r="E87" i="166"/>
  <c r="E79" i="166"/>
  <c r="E64" i="166"/>
  <c r="E66" i="166"/>
  <c r="E80" i="166"/>
  <c r="E72" i="166"/>
  <c r="E65" i="166"/>
  <c r="E70" i="166"/>
  <c r="E89" i="166"/>
  <c r="E69" i="166"/>
  <c r="E84" i="166"/>
  <c r="E67" i="166"/>
  <c r="E74" i="166"/>
  <c r="E76" i="166"/>
  <c r="E78" i="166"/>
  <c r="AM54" i="3"/>
  <c r="AL54" i="3"/>
  <c r="AM53" i="3"/>
  <c r="AL53" i="3"/>
  <c r="AM50" i="3"/>
  <c r="AL50" i="3"/>
  <c r="C77" i="4"/>
  <c r="AI74" i="3"/>
  <c r="AH70" i="3"/>
  <c r="AE58" i="3"/>
  <c r="M74" i="3"/>
  <c r="AH58" i="3"/>
  <c r="AE56" i="3"/>
  <c r="AF74" i="3"/>
  <c r="AF25" i="3"/>
  <c r="AF70" i="3"/>
  <c r="AH74" i="3"/>
  <c r="AF28" i="3"/>
  <c r="M70" i="3"/>
  <c r="AF64" i="3"/>
  <c r="AF58" i="3"/>
  <c r="AE64" i="3"/>
  <c r="AI70" i="3"/>
  <c r="AF56" i="3"/>
  <c r="AE74" i="3"/>
  <c r="AE70" i="3"/>
  <c r="AH48" i="3"/>
  <c r="AH50" i="3"/>
  <c r="AH53" i="3"/>
  <c r="AH56" i="3"/>
  <c r="AH57" i="3"/>
  <c r="AI60" i="3"/>
  <c r="AH29" i="3"/>
  <c r="AI64" i="3"/>
  <c r="AI36" i="3"/>
  <c r="AI57" i="3"/>
  <c r="AH54" i="3"/>
  <c r="AH49" i="3"/>
  <c r="AI46" i="3"/>
  <c r="AH46" i="3"/>
  <c r="AH42" i="3"/>
  <c r="AI56" i="3"/>
  <c r="AI28" i="3"/>
  <c r="AI58" i="3"/>
  <c r="AI53" i="3"/>
  <c r="AH25" i="3"/>
  <c r="AH64" i="3"/>
  <c r="AH28" i="3"/>
  <c r="AH20" i="3"/>
  <c r="AI42" i="3"/>
  <c r="AI48" i="3"/>
  <c r="AI20" i="3"/>
  <c r="AH45" i="3"/>
  <c r="AI50" i="3"/>
  <c r="AI49" i="3"/>
  <c r="AI45" i="3"/>
  <c r="AI54" i="3"/>
  <c r="AI25" i="3"/>
  <c r="T58" i="3"/>
  <c r="V56" i="3"/>
  <c r="T74" i="3"/>
  <c r="V58" i="3"/>
  <c r="T56" i="3"/>
  <c r="V74" i="3"/>
  <c r="T70" i="3"/>
  <c r="V70" i="3"/>
  <c r="V64" i="3"/>
  <c r="T64" i="3"/>
  <c r="V28" i="3"/>
  <c r="T28" i="3"/>
  <c r="V25" i="3"/>
  <c r="T25" i="3"/>
  <c r="H83" i="165" l="1"/>
  <c r="H83" i="166" s="1"/>
  <c r="F28" i="14"/>
  <c r="H76" i="165"/>
  <c r="H76" i="166" s="1"/>
  <c r="N76" i="166"/>
  <c r="O62" i="3"/>
  <c r="N67" i="166"/>
  <c r="O53" i="3"/>
  <c r="N69" i="166"/>
  <c r="O55" i="3"/>
  <c r="N70" i="166"/>
  <c r="O56" i="3"/>
  <c r="N72" i="166"/>
  <c r="O58" i="3"/>
  <c r="N66" i="166"/>
  <c r="O52" i="3"/>
  <c r="N79" i="166"/>
  <c r="O65" i="3"/>
  <c r="N81" i="166"/>
  <c r="O67" i="3"/>
  <c r="N73" i="166"/>
  <c r="O59" i="3"/>
  <c r="N86" i="166"/>
  <c r="O72" i="3"/>
  <c r="N71" i="166"/>
  <c r="O57" i="3"/>
  <c r="N75" i="166"/>
  <c r="O61" i="3"/>
  <c r="F29" i="14"/>
  <c r="E43" i="174"/>
  <c r="AG43" i="174" s="1"/>
  <c r="E62" i="174"/>
  <c r="AG62" i="174" s="1"/>
  <c r="F48" i="14"/>
  <c r="N78" i="166"/>
  <c r="O64" i="3"/>
  <c r="N68" i="166"/>
  <c r="O54" i="3"/>
  <c r="N77" i="166"/>
  <c r="O63" i="3"/>
  <c r="N74" i="166"/>
  <c r="O60" i="3"/>
  <c r="N84" i="166"/>
  <c r="O70" i="3"/>
  <c r="N89" i="166"/>
  <c r="O75" i="3"/>
  <c r="N65" i="166"/>
  <c r="O51" i="3"/>
  <c r="N80" i="166"/>
  <c r="O66" i="3"/>
  <c r="N64" i="166"/>
  <c r="O50" i="3"/>
  <c r="N88" i="166"/>
  <c r="O74" i="3"/>
  <c r="N85" i="166"/>
  <c r="O71" i="3"/>
  <c r="F45" i="14"/>
  <c r="E59" i="174"/>
  <c r="AG59" i="174" s="1"/>
  <c r="N87" i="166"/>
  <c r="O73" i="3"/>
  <c r="N83" i="166"/>
  <c r="O69" i="3"/>
  <c r="O80" i="166"/>
  <c r="D80" i="161"/>
  <c r="AC80" i="161" s="1"/>
  <c r="O85" i="166"/>
  <c r="D85" i="161"/>
  <c r="AC85" i="161" s="1"/>
  <c r="O84" i="166"/>
  <c r="D84" i="161"/>
  <c r="AC84" i="161" s="1"/>
  <c r="O79" i="166"/>
  <c r="D79" i="161"/>
  <c r="AC79" i="161" s="1"/>
  <c r="O86" i="166"/>
  <c r="D86" i="161"/>
  <c r="AC86" i="161" s="1"/>
  <c r="O77" i="166"/>
  <c r="D77" i="161"/>
  <c r="AC77" i="161" s="1"/>
  <c r="O76" i="166"/>
  <c r="D76" i="161"/>
  <c r="AC76" i="161" s="1"/>
  <c r="O75" i="166"/>
  <c r="D75" i="161"/>
  <c r="AC75" i="161" s="1"/>
  <c r="O87" i="166"/>
  <c r="D87" i="161"/>
  <c r="AC87" i="161" s="1"/>
  <c r="O88" i="166"/>
  <c r="D88" i="161"/>
  <c r="AC88" i="161" s="1"/>
  <c r="O89" i="166"/>
  <c r="D89" i="161"/>
  <c r="AC89" i="161" s="1"/>
  <c r="O78" i="166"/>
  <c r="D78" i="161"/>
  <c r="AC78" i="161" s="1"/>
  <c r="O81" i="166"/>
  <c r="D81" i="161"/>
  <c r="AC81" i="161" s="1"/>
  <c r="O83" i="166"/>
  <c r="D83" i="161"/>
  <c r="AC83" i="161" s="1"/>
  <c r="O70" i="166"/>
  <c r="AC70" i="161"/>
  <c r="O66" i="166"/>
  <c r="AC66" i="161"/>
  <c r="O68" i="166"/>
  <c r="AC68" i="161"/>
  <c r="O64" i="166"/>
  <c r="AC64" i="161"/>
  <c r="O71" i="166"/>
  <c r="AC71" i="161"/>
  <c r="O73" i="166"/>
  <c r="AC73" i="161"/>
  <c r="O74" i="166"/>
  <c r="AC74" i="161"/>
  <c r="O65" i="166"/>
  <c r="AC65" i="161"/>
  <c r="O67" i="166"/>
  <c r="AC67" i="161"/>
  <c r="O72" i="166"/>
  <c r="AC72" i="161"/>
  <c r="O69" i="166"/>
  <c r="AC69" i="161"/>
  <c r="H72" i="165"/>
  <c r="H72" i="166" s="1"/>
  <c r="H84" i="165"/>
  <c r="H84" i="166" s="1"/>
  <c r="H73" i="165"/>
  <c r="H73" i="166" s="1"/>
  <c r="H78" i="165"/>
  <c r="H78" i="166" s="1"/>
  <c r="H65" i="165"/>
  <c r="H65" i="166" s="1"/>
  <c r="H66" i="165"/>
  <c r="H66" i="166" s="1"/>
  <c r="H70" i="165"/>
  <c r="H70" i="166" s="1"/>
  <c r="H81" i="165"/>
  <c r="H81" i="166" s="1"/>
  <c r="H85" i="165"/>
  <c r="H85" i="166" s="1"/>
  <c r="H89" i="165"/>
  <c r="H89" i="166" s="1"/>
  <c r="H79" i="165"/>
  <c r="H79" i="166" s="1"/>
  <c r="H87" i="165"/>
  <c r="H87" i="166" s="1"/>
  <c r="H68" i="165"/>
  <c r="H68" i="166" s="1"/>
  <c r="H74" i="165"/>
  <c r="H74" i="166" s="1"/>
  <c r="H69" i="165"/>
  <c r="H69" i="166" s="1"/>
  <c r="H64" i="165"/>
  <c r="H64" i="166" s="1"/>
  <c r="H86" i="165"/>
  <c r="H86" i="166" s="1"/>
  <c r="H88" i="165"/>
  <c r="H88" i="166" s="1"/>
  <c r="H75" i="165"/>
  <c r="H75" i="166" s="1"/>
  <c r="H77" i="165"/>
  <c r="H77" i="166" s="1"/>
  <c r="H67" i="165"/>
  <c r="H67" i="166" s="1"/>
  <c r="H80" i="165"/>
  <c r="H80" i="166" s="1"/>
  <c r="H71" i="165"/>
  <c r="H71" i="166" s="1"/>
  <c r="C77" i="16"/>
  <c r="D77" i="4"/>
  <c r="E77" i="4" s="1"/>
  <c r="F77" i="4" s="1"/>
  <c r="G77" i="4" s="1"/>
  <c r="H77" i="4" s="1"/>
  <c r="I77" i="4" s="1"/>
  <c r="J77" i="4" s="1"/>
  <c r="L77" i="4" s="1"/>
  <c r="AM58" i="3"/>
  <c r="AL58" i="3"/>
  <c r="AM64" i="3"/>
  <c r="AL64" i="3"/>
  <c r="AM56" i="3"/>
  <c r="AL56" i="3"/>
  <c r="F13" i="20"/>
  <c r="N13" i="19"/>
  <c r="V9" i="22" a="1"/>
  <c r="V9" i="22" s="1"/>
  <c r="E83" i="174" l="1"/>
  <c r="AG83" i="174" s="1"/>
  <c r="F69" i="14"/>
  <c r="E88" i="174"/>
  <c r="AG88" i="174" s="1"/>
  <c r="F74" i="14"/>
  <c r="E89" i="174"/>
  <c r="AG89" i="174" s="1"/>
  <c r="F75" i="14"/>
  <c r="E86" i="174"/>
  <c r="AG86" i="174" s="1"/>
  <c r="F72" i="14"/>
  <c r="E67" i="174"/>
  <c r="AG67" i="174" s="1"/>
  <c r="F53" i="14"/>
  <c r="F70" i="14"/>
  <c r="E84" i="174"/>
  <c r="AG84" i="174" s="1"/>
  <c r="E78" i="174"/>
  <c r="AG78" i="174" s="1"/>
  <c r="F64" i="14"/>
  <c r="C77" i="17"/>
  <c r="D77" i="17" s="1"/>
  <c r="K77" i="4"/>
  <c r="M77" i="4" s="1"/>
  <c r="D77" i="16"/>
  <c r="E77" i="16" s="1"/>
  <c r="Y9" i="22"/>
  <c r="W9" i="22"/>
  <c r="X9" i="22"/>
  <c r="C77" i="19" l="1"/>
  <c r="B18" i="17"/>
  <c r="B19" i="17"/>
  <c r="B20" i="17"/>
  <c r="B21" i="17"/>
  <c r="B22" i="17"/>
  <c r="B23" i="17"/>
  <c r="B24" i="17"/>
  <c r="B25" i="17"/>
  <c r="B26" i="17"/>
  <c r="B27" i="17"/>
  <c r="B28" i="17"/>
  <c r="B29" i="17"/>
  <c r="B30" i="17"/>
  <c r="B31" i="17"/>
  <c r="B32" i="17"/>
  <c r="B33" i="17"/>
  <c r="B34" i="17"/>
  <c r="B35" i="17"/>
  <c r="B36" i="17"/>
  <c r="B37" i="17"/>
  <c r="B38" i="17"/>
  <c r="B39" i="17"/>
  <c r="B40" i="17"/>
  <c r="B41" i="17"/>
  <c r="B42" i="17"/>
  <c r="B43" i="17"/>
  <c r="B44" i="17"/>
  <c r="B45" i="17"/>
  <c r="B46" i="17"/>
  <c r="B47" i="17"/>
  <c r="B48" i="17"/>
  <c r="B49" i="17"/>
  <c r="B50" i="17"/>
  <c r="B51" i="17"/>
  <c r="B52" i="17"/>
  <c r="B53" i="17"/>
  <c r="B54" i="17"/>
  <c r="B55" i="17"/>
  <c r="B56" i="17"/>
  <c r="B57" i="17"/>
  <c r="B58" i="17"/>
  <c r="B59" i="17"/>
  <c r="B60" i="17"/>
  <c r="B61" i="17"/>
  <c r="B62" i="17"/>
  <c r="B63" i="17"/>
  <c r="B64" i="17"/>
  <c r="B65" i="17"/>
  <c r="B66" i="17"/>
  <c r="B67" i="17"/>
  <c r="B68" i="17"/>
  <c r="B69" i="17"/>
  <c r="B70" i="17"/>
  <c r="B71" i="17"/>
  <c r="B72" i="17"/>
  <c r="B73" i="17"/>
  <c r="B74" i="17"/>
  <c r="B75" i="17"/>
  <c r="B76" i="17"/>
  <c r="D3" i="22"/>
  <c r="C77" i="20" l="1"/>
  <c r="D77" i="19"/>
  <c r="H77" i="19" s="1"/>
  <c r="E77" i="19"/>
  <c r="F77" i="19"/>
  <c r="I77" i="19"/>
  <c r="G77" i="19"/>
  <c r="B17" i="3"/>
  <c r="AH36" i="3"/>
  <c r="C77" i="21" l="1"/>
  <c r="C77" i="177" s="1"/>
  <c r="D77" i="20"/>
  <c r="E77" i="20" s="1"/>
  <c r="F77" i="20" s="1"/>
  <c r="B3" i="16"/>
  <c r="D3" i="16"/>
  <c r="D2" i="16"/>
  <c r="B2" i="16"/>
  <c r="AT16" i="2"/>
  <c r="H16" i="4" s="1"/>
  <c r="AS16" i="2"/>
  <c r="G16" i="4" s="1"/>
  <c r="AR16" i="2"/>
  <c r="F16" i="4" s="1"/>
  <c r="B10" i="4"/>
  <c r="D10" i="4"/>
  <c r="W5" i="22"/>
  <c r="V5" i="22"/>
  <c r="B17" i="2"/>
  <c r="C77" i="154" l="1"/>
  <c r="C77" i="7"/>
  <c r="D77" i="21"/>
  <c r="E77" i="21" s="1"/>
  <c r="M3" i="175"/>
  <c r="M3" i="176"/>
  <c r="M3" i="135"/>
  <c r="M3" i="152"/>
  <c r="M3" i="88"/>
  <c r="M3" i="102"/>
  <c r="M3" i="118"/>
  <c r="M3" i="134"/>
  <c r="M3" i="91"/>
  <c r="M3" i="107"/>
  <c r="M3" i="127"/>
  <c r="M3" i="92"/>
  <c r="M3" i="108"/>
  <c r="M3" i="124"/>
  <c r="M3" i="140"/>
  <c r="M3" i="101"/>
  <c r="M3" i="121"/>
  <c r="M3" i="137"/>
  <c r="M3" i="90"/>
  <c r="M3" i="106"/>
  <c r="M3" i="122"/>
  <c r="M3" i="138"/>
  <c r="M3" i="95"/>
  <c r="M3" i="115"/>
  <c r="M3" i="131"/>
  <c r="M3" i="96"/>
  <c r="M3" i="112"/>
  <c r="M3" i="128"/>
  <c r="M3" i="144"/>
  <c r="M3" i="105"/>
  <c r="M3" i="125"/>
  <c r="M3" i="141"/>
  <c r="M3" i="94"/>
  <c r="M3" i="110"/>
  <c r="M3" i="126"/>
  <c r="M3" i="142"/>
  <c r="M3" i="99"/>
  <c r="M3" i="119"/>
  <c r="M3" i="139"/>
  <c r="M3" i="100"/>
  <c r="M3" i="116"/>
  <c r="M3" i="132"/>
  <c r="M3" i="93"/>
  <c r="M3" i="109"/>
  <c r="M3" i="129"/>
  <c r="M3" i="145"/>
  <c r="M3" i="98"/>
  <c r="M3" i="114"/>
  <c r="M3" i="130"/>
  <c r="M3" i="89"/>
  <c r="M3" i="103"/>
  <c r="M3" i="123"/>
  <c r="M3" i="143"/>
  <c r="M3" i="104"/>
  <c r="M3" i="120"/>
  <c r="M3" i="136"/>
  <c r="M3" i="97"/>
  <c r="M3" i="113"/>
  <c r="M3" i="133"/>
  <c r="M3" i="22"/>
  <c r="M3" i="117"/>
  <c r="M3" i="111"/>
  <c r="C31" i="165"/>
  <c r="BJ16" i="2"/>
  <c r="BK16" i="2"/>
  <c r="B15" i="154"/>
  <c r="C15" i="154"/>
  <c r="B17" i="154"/>
  <c r="B18" i="154"/>
  <c r="B19" i="154"/>
  <c r="B20" i="154"/>
  <c r="B21" i="154"/>
  <c r="B22" i="154"/>
  <c r="B23" i="154"/>
  <c r="B24" i="154"/>
  <c r="B25" i="154"/>
  <c r="B26" i="154"/>
  <c r="B27" i="154"/>
  <c r="B28" i="154"/>
  <c r="B29" i="154"/>
  <c r="B30" i="154"/>
  <c r="B31" i="154"/>
  <c r="B32" i="154"/>
  <c r="B33" i="154"/>
  <c r="B34" i="154"/>
  <c r="B35" i="154"/>
  <c r="B36" i="154"/>
  <c r="B37" i="154"/>
  <c r="B38" i="154"/>
  <c r="B39" i="154"/>
  <c r="B40" i="154"/>
  <c r="B41" i="154"/>
  <c r="B42" i="154"/>
  <c r="B43" i="154"/>
  <c r="B44" i="154"/>
  <c r="B45" i="154"/>
  <c r="B46" i="154"/>
  <c r="B47" i="154"/>
  <c r="B48" i="154"/>
  <c r="B49" i="154"/>
  <c r="B50" i="154"/>
  <c r="B51" i="154"/>
  <c r="B52" i="154"/>
  <c r="B53" i="154"/>
  <c r="B54" i="154"/>
  <c r="B55" i="154"/>
  <c r="B56" i="154"/>
  <c r="B57" i="154"/>
  <c r="B58" i="154"/>
  <c r="B59" i="154"/>
  <c r="B60" i="154"/>
  <c r="B61" i="154"/>
  <c r="B62" i="154"/>
  <c r="B63" i="154"/>
  <c r="B64" i="154"/>
  <c r="B65" i="154"/>
  <c r="B66" i="154"/>
  <c r="B67" i="154"/>
  <c r="B68" i="154"/>
  <c r="B69" i="154"/>
  <c r="B70" i="154"/>
  <c r="B71" i="154"/>
  <c r="B72" i="154"/>
  <c r="B73" i="154"/>
  <c r="B74" i="154"/>
  <c r="B75" i="154"/>
  <c r="B76" i="154"/>
  <c r="C31" i="166" l="1"/>
  <c r="G31" i="165"/>
  <c r="G31" i="166" s="1"/>
  <c r="C91" i="174"/>
  <c r="F77" i="21"/>
  <c r="D77" i="154"/>
  <c r="E77" i="154" s="1"/>
  <c r="F77" i="154" s="1"/>
  <c r="B5" i="20"/>
  <c r="D5" i="20"/>
  <c r="B4" i="20"/>
  <c r="D4" i="20"/>
  <c r="D3" i="20"/>
  <c r="B3" i="20"/>
  <c r="B2" i="20"/>
  <c r="BI15" i="2"/>
  <c r="B76" i="20"/>
  <c r="B75" i="20"/>
  <c r="B74" i="20"/>
  <c r="B73" i="20"/>
  <c r="B72" i="20"/>
  <c r="B71" i="20"/>
  <c r="B70" i="20"/>
  <c r="B69" i="20"/>
  <c r="B68" i="20"/>
  <c r="B67" i="20"/>
  <c r="B66" i="20"/>
  <c r="B65" i="20"/>
  <c r="B64" i="20"/>
  <c r="B63" i="20"/>
  <c r="B62" i="20"/>
  <c r="B61" i="20"/>
  <c r="B60" i="20"/>
  <c r="B59" i="20"/>
  <c r="B58" i="20"/>
  <c r="B57" i="20"/>
  <c r="B56" i="20"/>
  <c r="B55" i="20"/>
  <c r="B54" i="20"/>
  <c r="B53" i="20"/>
  <c r="B52" i="20"/>
  <c r="B51" i="20"/>
  <c r="B50" i="20"/>
  <c r="B49" i="20"/>
  <c r="B48" i="20"/>
  <c r="B47" i="20"/>
  <c r="B46" i="20"/>
  <c r="B45" i="20"/>
  <c r="B44" i="20"/>
  <c r="B43" i="20"/>
  <c r="B42" i="20"/>
  <c r="B41" i="20"/>
  <c r="B40" i="20"/>
  <c r="B39" i="20"/>
  <c r="B38" i="20"/>
  <c r="B37" i="20"/>
  <c r="B36" i="20"/>
  <c r="B35" i="20"/>
  <c r="B34" i="20"/>
  <c r="B33" i="20"/>
  <c r="B32" i="20"/>
  <c r="B31" i="20"/>
  <c r="B30" i="20"/>
  <c r="B29" i="20"/>
  <c r="B28" i="20"/>
  <c r="B27" i="20"/>
  <c r="B26" i="20"/>
  <c r="B25" i="20"/>
  <c r="B24" i="20"/>
  <c r="B23" i="20"/>
  <c r="B22" i="20"/>
  <c r="B21" i="20"/>
  <c r="B20" i="20"/>
  <c r="B19" i="20"/>
  <c r="B18" i="20"/>
  <c r="B17" i="20"/>
  <c r="C15" i="20"/>
  <c r="B15" i="20"/>
  <c r="F16" i="19"/>
  <c r="G16" i="19"/>
  <c r="E16" i="19"/>
  <c r="L3" i="19"/>
  <c r="O3" i="19"/>
  <c r="L4" i="19"/>
  <c r="O4" i="19"/>
  <c r="L5" i="19"/>
  <c r="O5" i="19"/>
  <c r="O2" i="19"/>
  <c r="L2" i="19"/>
  <c r="F4" i="19"/>
  <c r="H4" i="19"/>
  <c r="F5" i="19"/>
  <c r="H5" i="19"/>
  <c r="F6" i="19"/>
  <c r="H6" i="19"/>
  <c r="H3" i="19"/>
  <c r="F3" i="19"/>
  <c r="H2" i="19"/>
  <c r="F2" i="19"/>
  <c r="B4" i="19"/>
  <c r="D4" i="19"/>
  <c r="B5" i="19"/>
  <c r="D5" i="19"/>
  <c r="D3" i="19"/>
  <c r="B3" i="19"/>
  <c r="D2" i="19"/>
  <c r="B2" i="19"/>
  <c r="AL16" i="2" a="1"/>
  <c r="AL16" i="2" s="1"/>
  <c r="AL77" i="2" s="1"/>
  <c r="BC15" i="2"/>
  <c r="B76" i="19"/>
  <c r="B75" i="19"/>
  <c r="B74" i="19"/>
  <c r="B73" i="19"/>
  <c r="B72" i="19"/>
  <c r="B71" i="19"/>
  <c r="B70" i="19"/>
  <c r="B69" i="19"/>
  <c r="B68" i="19"/>
  <c r="B67" i="19"/>
  <c r="B66" i="19"/>
  <c r="B65" i="19"/>
  <c r="B64" i="19"/>
  <c r="B63" i="19"/>
  <c r="B62" i="19"/>
  <c r="B61" i="19"/>
  <c r="B60" i="19"/>
  <c r="B59" i="19"/>
  <c r="B58" i="19"/>
  <c r="B57" i="19"/>
  <c r="B56" i="19"/>
  <c r="B55" i="19"/>
  <c r="B54" i="19"/>
  <c r="B53" i="19"/>
  <c r="B52" i="19"/>
  <c r="B51" i="19"/>
  <c r="B50" i="19"/>
  <c r="B49" i="19"/>
  <c r="B48" i="19"/>
  <c r="B47" i="19"/>
  <c r="B46" i="19"/>
  <c r="B45" i="19"/>
  <c r="B44" i="19"/>
  <c r="B43" i="19"/>
  <c r="B42" i="19"/>
  <c r="B41" i="19"/>
  <c r="B40" i="19"/>
  <c r="B39" i="19"/>
  <c r="B38" i="19"/>
  <c r="B37" i="19"/>
  <c r="B36" i="19"/>
  <c r="B35" i="19"/>
  <c r="B34" i="19"/>
  <c r="B33" i="19"/>
  <c r="B32" i="19"/>
  <c r="B31" i="19"/>
  <c r="B30" i="19"/>
  <c r="B29" i="19"/>
  <c r="B28" i="19"/>
  <c r="B27" i="19"/>
  <c r="B26" i="19"/>
  <c r="B25" i="19"/>
  <c r="B24" i="19"/>
  <c r="B23" i="19"/>
  <c r="B22" i="19"/>
  <c r="B21" i="19"/>
  <c r="B20" i="19"/>
  <c r="B19" i="19"/>
  <c r="B18" i="19"/>
  <c r="B17" i="19"/>
  <c r="C15" i="19"/>
  <c r="B15" i="19"/>
  <c r="B9" i="17"/>
  <c r="D9" i="17"/>
  <c r="B10" i="17"/>
  <c r="D10" i="17"/>
  <c r="B11" i="17"/>
  <c r="D11" i="17"/>
  <c r="D8" i="17"/>
  <c r="B8" i="17"/>
  <c r="AI16" i="2" a="1"/>
  <c r="AI16" i="2" s="1"/>
  <c r="AI77" i="2" s="1"/>
  <c r="D2" i="17"/>
  <c r="D3" i="17"/>
  <c r="D4" i="17"/>
  <c r="D5" i="17"/>
  <c r="B4" i="17"/>
  <c r="B5" i="17"/>
  <c r="B2" i="17"/>
  <c r="BA16" i="2"/>
  <c r="BB16" i="2"/>
  <c r="BC16" i="2"/>
  <c r="BD16" i="2"/>
  <c r="BE16" i="2"/>
  <c r="BF16" i="2"/>
  <c r="BG16" i="2"/>
  <c r="BI16" i="2"/>
  <c r="D16" i="20" s="1"/>
  <c r="AZ16" i="2"/>
  <c r="E80" i="174"/>
  <c r="V66" i="3"/>
  <c r="T66" i="3"/>
  <c r="J31" i="165" l="1"/>
  <c r="J31" i="166" s="1"/>
  <c r="K31" i="165"/>
  <c r="K31" i="166" s="1"/>
  <c r="O31" i="165"/>
  <c r="L31" i="165"/>
  <c r="L31" i="166" s="1"/>
  <c r="I31" i="165"/>
  <c r="I31" i="166" s="1"/>
  <c r="D31" i="166"/>
  <c r="M31" i="165"/>
  <c r="M31" i="166" s="1"/>
  <c r="E31" i="166"/>
  <c r="O17" i="3"/>
  <c r="AE91" i="174"/>
  <c r="C77" i="14"/>
  <c r="AD91" i="174"/>
  <c r="B91" i="174"/>
  <c r="G77" i="154"/>
  <c r="E77" i="17"/>
  <c r="F77" i="17" s="1"/>
  <c r="G77" i="17" s="1"/>
  <c r="H77" i="17" s="1"/>
  <c r="J77" i="19"/>
  <c r="K77" i="19"/>
  <c r="AH66" i="3"/>
  <c r="AE66" i="3"/>
  <c r="AI66" i="3"/>
  <c r="M66" i="3"/>
  <c r="F66" i="14"/>
  <c r="AG80" i="174"/>
  <c r="AF66" i="3"/>
  <c r="AO16" i="2"/>
  <c r="AO77" i="2" s="1"/>
  <c r="AM16" i="2"/>
  <c r="AM77" i="2" s="1"/>
  <c r="AN16" i="2"/>
  <c r="AN77" i="2" s="1"/>
  <c r="AJ16" i="2"/>
  <c r="AJ77" i="2" s="1"/>
  <c r="AK16" i="2"/>
  <c r="AK77" i="2" s="1"/>
  <c r="D8" i="4"/>
  <c r="D9" i="4"/>
  <c r="B9" i="4"/>
  <c r="D3" i="4"/>
  <c r="D4" i="4"/>
  <c r="D5" i="4"/>
  <c r="D6" i="4"/>
  <c r="D7" i="4"/>
  <c r="B4" i="4"/>
  <c r="B5" i="4"/>
  <c r="B6" i="4"/>
  <c r="B7" i="4"/>
  <c r="B8" i="4"/>
  <c r="B3" i="4"/>
  <c r="B2" i="4"/>
  <c r="AQ16" i="2"/>
  <c r="E16" i="4" s="1"/>
  <c r="I16" i="4"/>
  <c r="M16" i="4"/>
  <c r="AP15" i="2"/>
  <c r="O31" i="166" l="1"/>
  <c r="D31" i="161"/>
  <c r="H31" i="165"/>
  <c r="H31" i="166" s="1"/>
  <c r="N31" i="166"/>
  <c r="N131" i="165"/>
  <c r="J77" i="7"/>
  <c r="J77" i="177" s="1"/>
  <c r="I77" i="17"/>
  <c r="N77" i="4"/>
  <c r="B17" i="4"/>
  <c r="D131" i="161" l="1"/>
  <c r="AC31" i="161"/>
  <c r="C91" i="161"/>
  <c r="B91" i="161" s="1"/>
  <c r="O77" i="4"/>
  <c r="B15" i="4"/>
  <c r="C15" i="4"/>
  <c r="B17" i="17"/>
  <c r="C15" i="17"/>
  <c r="B15" i="17"/>
  <c r="B76" i="16"/>
  <c r="B75" i="16"/>
  <c r="B74" i="16"/>
  <c r="B73" i="16"/>
  <c r="B72" i="16"/>
  <c r="B71" i="16"/>
  <c r="B70" i="16"/>
  <c r="B69" i="16"/>
  <c r="B68" i="16"/>
  <c r="B67" i="16"/>
  <c r="B66" i="16"/>
  <c r="B65" i="16"/>
  <c r="B64" i="16"/>
  <c r="B63" i="16"/>
  <c r="B62" i="16"/>
  <c r="B61" i="16"/>
  <c r="B60" i="16"/>
  <c r="B59" i="16"/>
  <c r="B58" i="16"/>
  <c r="B57" i="16"/>
  <c r="B56" i="16"/>
  <c r="B55" i="16"/>
  <c r="B54" i="16"/>
  <c r="B53" i="16"/>
  <c r="B52" i="16"/>
  <c r="B51" i="16"/>
  <c r="B50" i="16"/>
  <c r="B49" i="16"/>
  <c r="B48" i="16"/>
  <c r="B47" i="16"/>
  <c r="B46" i="16"/>
  <c r="B45" i="16"/>
  <c r="B44" i="16"/>
  <c r="B43" i="16"/>
  <c r="B42" i="16"/>
  <c r="B41" i="16"/>
  <c r="B40" i="16"/>
  <c r="B39" i="16"/>
  <c r="B38" i="16"/>
  <c r="B37" i="16"/>
  <c r="B36" i="16"/>
  <c r="B35" i="16"/>
  <c r="B34" i="16"/>
  <c r="B33" i="16"/>
  <c r="B32" i="16"/>
  <c r="B31" i="16"/>
  <c r="B30" i="16"/>
  <c r="B29" i="16"/>
  <c r="B28" i="16"/>
  <c r="B27" i="16"/>
  <c r="B26" i="16"/>
  <c r="B25" i="16"/>
  <c r="B24" i="16"/>
  <c r="B23" i="16"/>
  <c r="B22" i="16"/>
  <c r="B21" i="16"/>
  <c r="B20" i="16"/>
  <c r="B19" i="16"/>
  <c r="B18" i="16"/>
  <c r="B17" i="16"/>
  <c r="C15" i="16"/>
  <c r="B15" i="16"/>
  <c r="AP16" i="2"/>
  <c r="C91" i="170" l="1"/>
  <c r="C91" i="171" s="1"/>
  <c r="D16" i="4"/>
  <c r="K91" i="170" l="1"/>
  <c r="B91" i="170"/>
  <c r="J91" i="170"/>
  <c r="C91" i="164"/>
  <c r="B91" i="171"/>
  <c r="J91" i="171"/>
  <c r="I91" i="171"/>
  <c r="F16" i="15"/>
  <c r="G16" i="15"/>
  <c r="H14" i="15"/>
  <c r="I14" i="15" s="1"/>
  <c r="J14" i="15" s="1"/>
  <c r="K14" i="15" s="1"/>
  <c r="L14" i="15" s="1"/>
  <c r="M14" i="15" s="1"/>
  <c r="N14" i="15" s="1"/>
  <c r="O14" i="15" s="1"/>
  <c r="P14" i="15" s="1"/>
  <c r="Q14" i="15" s="1"/>
  <c r="R14" i="15" s="1"/>
  <c r="H9" i="15"/>
  <c r="B8" i="15"/>
  <c r="H8" i="15" s="1"/>
  <c r="C8" i="15"/>
  <c r="I8" i="15" s="1"/>
  <c r="C7" i="15"/>
  <c r="B7" i="15"/>
  <c r="H7" i="15" s="1"/>
  <c r="B76" i="15"/>
  <c r="B75" i="15"/>
  <c r="B74" i="15"/>
  <c r="B73" i="15"/>
  <c r="B72" i="15"/>
  <c r="B71" i="15"/>
  <c r="B70" i="15"/>
  <c r="B69" i="15"/>
  <c r="B68" i="15"/>
  <c r="B67" i="15"/>
  <c r="B66" i="15"/>
  <c r="B65" i="15"/>
  <c r="B64" i="15"/>
  <c r="B63" i="15"/>
  <c r="B62" i="15"/>
  <c r="B61" i="15"/>
  <c r="B60" i="15"/>
  <c r="B59" i="15"/>
  <c r="B58" i="15"/>
  <c r="B57" i="15"/>
  <c r="B56" i="15"/>
  <c r="B55" i="15"/>
  <c r="B54" i="15"/>
  <c r="B53" i="15"/>
  <c r="B52" i="15"/>
  <c r="B51" i="15"/>
  <c r="B50" i="15"/>
  <c r="B49" i="15"/>
  <c r="B48" i="15"/>
  <c r="B47" i="15"/>
  <c r="B46" i="15"/>
  <c r="B45" i="15"/>
  <c r="B44" i="15"/>
  <c r="B43" i="15"/>
  <c r="B42" i="15"/>
  <c r="B41" i="15"/>
  <c r="B40" i="15"/>
  <c r="B39" i="15"/>
  <c r="B38" i="15"/>
  <c r="B37" i="15"/>
  <c r="B36" i="15"/>
  <c r="B35" i="15"/>
  <c r="B34" i="15"/>
  <c r="B33" i="15"/>
  <c r="B32" i="15"/>
  <c r="B31" i="15"/>
  <c r="B30" i="15"/>
  <c r="B29" i="15"/>
  <c r="B28" i="15"/>
  <c r="B27" i="15"/>
  <c r="B26" i="15"/>
  <c r="B25" i="15"/>
  <c r="B24" i="15"/>
  <c r="B23" i="15"/>
  <c r="B22" i="15"/>
  <c r="B21" i="15"/>
  <c r="B20" i="15"/>
  <c r="B19" i="15"/>
  <c r="B18" i="15"/>
  <c r="B17" i="15"/>
  <c r="C15" i="15"/>
  <c r="B15" i="15"/>
  <c r="C3" i="15"/>
  <c r="B3" i="15"/>
  <c r="C2" i="15"/>
  <c r="B2" i="15"/>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C15" i="14"/>
  <c r="B15" i="14"/>
  <c r="C3" i="14"/>
  <c r="B3" i="14"/>
  <c r="C2" i="14"/>
  <c r="B2" i="14"/>
  <c r="D14" i="3"/>
  <c r="C14" i="3"/>
  <c r="C2" i="7"/>
  <c r="C3" i="7"/>
  <c r="N78" i="7" s="1"/>
  <c r="B3" i="7"/>
  <c r="B2" i="7"/>
  <c r="Y15"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B76" i="7"/>
  <c r="B75" i="7"/>
  <c r="B74" i="7"/>
  <c r="B73" i="7"/>
  <c r="B72" i="7"/>
  <c r="B71" i="7"/>
  <c r="B70" i="7"/>
  <c r="B69" i="7"/>
  <c r="B68" i="7"/>
  <c r="B67" i="7"/>
  <c r="B66" i="7"/>
  <c r="B65" i="7"/>
  <c r="B64" i="7"/>
  <c r="B63" i="7"/>
  <c r="B62" i="7"/>
  <c r="B61" i="7"/>
  <c r="B60" i="7"/>
  <c r="B59" i="7"/>
  <c r="B58" i="7"/>
  <c r="B57" i="7"/>
  <c r="B56" i="7"/>
  <c r="B55" i="7"/>
  <c r="B54" i="7"/>
  <c r="B53" i="7"/>
  <c r="B52" i="7"/>
  <c r="B51" i="7"/>
  <c r="B50" i="7"/>
  <c r="B49" i="7"/>
  <c r="B48" i="7"/>
  <c r="B47" i="7"/>
  <c r="B46" i="7"/>
  <c r="B45" i="7"/>
  <c r="B44" i="7"/>
  <c r="B43" i="7"/>
  <c r="B42" i="7"/>
  <c r="B41" i="7"/>
  <c r="B40" i="7"/>
  <c r="B39" i="7"/>
  <c r="B38" i="7"/>
  <c r="B37" i="7"/>
  <c r="B36" i="7"/>
  <c r="B35" i="7"/>
  <c r="B34" i="7"/>
  <c r="B33" i="7"/>
  <c r="B32" i="7"/>
  <c r="B31" i="7"/>
  <c r="B30" i="7"/>
  <c r="B29" i="7"/>
  <c r="B28" i="7"/>
  <c r="B27" i="7"/>
  <c r="B26" i="7"/>
  <c r="B25" i="7"/>
  <c r="B24" i="7"/>
  <c r="B23" i="7"/>
  <c r="B22" i="7"/>
  <c r="B21" i="7"/>
  <c r="B20" i="7"/>
  <c r="B19" i="7"/>
  <c r="B18" i="7"/>
  <c r="B17" i="7"/>
  <c r="C15" i="7"/>
  <c r="B15" i="7"/>
  <c r="B76" i="4"/>
  <c r="B75" i="4"/>
  <c r="B74" i="4"/>
  <c r="B73" i="4"/>
  <c r="B72" i="4"/>
  <c r="B71" i="4"/>
  <c r="B70" i="4"/>
  <c r="B69" i="4"/>
  <c r="B68" i="4"/>
  <c r="B67" i="4"/>
  <c r="B66" i="4"/>
  <c r="B65" i="4"/>
  <c r="B64" i="4"/>
  <c r="B63" i="4"/>
  <c r="B62" i="4"/>
  <c r="B61" i="4"/>
  <c r="B60" i="4"/>
  <c r="B59" i="4"/>
  <c r="B58" i="4"/>
  <c r="B57" i="4"/>
  <c r="B56" i="4"/>
  <c r="B55" i="4"/>
  <c r="B54" i="4"/>
  <c r="B53" i="4"/>
  <c r="B52" i="4"/>
  <c r="B51" i="4"/>
  <c r="B50" i="4"/>
  <c r="B49" i="4"/>
  <c r="B48" i="4"/>
  <c r="B47" i="4"/>
  <c r="B46" i="4"/>
  <c r="B45" i="4"/>
  <c r="B44" i="4"/>
  <c r="B43" i="4"/>
  <c r="B42" i="4"/>
  <c r="B41" i="4"/>
  <c r="B40" i="4"/>
  <c r="B39" i="4"/>
  <c r="B38" i="4"/>
  <c r="B37" i="4"/>
  <c r="B36" i="4"/>
  <c r="B35" i="4"/>
  <c r="B34" i="4"/>
  <c r="B33" i="4"/>
  <c r="B32" i="4"/>
  <c r="B31" i="4"/>
  <c r="B30" i="4"/>
  <c r="B29" i="4"/>
  <c r="B28" i="4"/>
  <c r="B27" i="4"/>
  <c r="B26" i="4"/>
  <c r="B25" i="4"/>
  <c r="B24" i="4"/>
  <c r="B23" i="4"/>
  <c r="B22" i="4"/>
  <c r="B21" i="4"/>
  <c r="B20" i="4"/>
  <c r="B19" i="4"/>
  <c r="B18" i="4"/>
  <c r="AC16" i="2" a="1"/>
  <c r="AC16" i="2" s="1"/>
  <c r="AC77" i="2" s="1"/>
  <c r="L91" i="170" l="1"/>
  <c r="K91" i="171"/>
  <c r="D91" i="164"/>
  <c r="B91" i="164"/>
  <c r="B17" i="156"/>
  <c r="B21" i="156"/>
  <c r="B25" i="156"/>
  <c r="B29" i="156"/>
  <c r="B33" i="156"/>
  <c r="B37" i="156"/>
  <c r="B41" i="156"/>
  <c r="B45" i="156"/>
  <c r="B49" i="156"/>
  <c r="B53" i="156"/>
  <c r="B57" i="156"/>
  <c r="B61" i="156"/>
  <c r="B65" i="156"/>
  <c r="B69" i="156"/>
  <c r="B73" i="156"/>
  <c r="B18" i="156"/>
  <c r="B26" i="156"/>
  <c r="B34" i="156"/>
  <c r="B42" i="156"/>
  <c r="B46" i="156"/>
  <c r="B50" i="156"/>
  <c r="B58" i="156"/>
  <c r="B62" i="156"/>
  <c r="B66" i="156"/>
  <c r="B70" i="156"/>
  <c r="B74" i="156"/>
  <c r="B15" i="156"/>
  <c r="B19" i="156"/>
  <c r="B23" i="156"/>
  <c r="B27" i="156"/>
  <c r="B31" i="156"/>
  <c r="B35" i="156"/>
  <c r="B39" i="156"/>
  <c r="B43" i="156"/>
  <c r="B47" i="156"/>
  <c r="B51" i="156"/>
  <c r="B55" i="156"/>
  <c r="B59" i="156"/>
  <c r="B63" i="156"/>
  <c r="B67" i="156"/>
  <c r="B71" i="156"/>
  <c r="B75" i="156"/>
  <c r="B22" i="156"/>
  <c r="B30" i="156"/>
  <c r="B38" i="156"/>
  <c r="B54" i="156"/>
  <c r="C15" i="156"/>
  <c r="B20" i="156"/>
  <c r="B24" i="156"/>
  <c r="B28" i="156"/>
  <c r="B32" i="156"/>
  <c r="B36" i="156"/>
  <c r="B40" i="156"/>
  <c r="B44" i="156"/>
  <c r="B48" i="156"/>
  <c r="B52" i="156"/>
  <c r="B56" i="156"/>
  <c r="B60" i="156"/>
  <c r="B64" i="156"/>
  <c r="B68" i="156"/>
  <c r="B72" i="156"/>
  <c r="B76" i="156"/>
  <c r="AN69" i="3"/>
  <c r="AN61" i="3"/>
  <c r="AN57" i="3"/>
  <c r="AN53" i="3"/>
  <c r="AN49" i="3"/>
  <c r="AN45" i="3"/>
  <c r="AN37" i="3"/>
  <c r="AN29" i="3"/>
  <c r="AN25" i="3"/>
  <c r="AN21" i="3"/>
  <c r="AN76" i="3"/>
  <c r="AN72" i="3"/>
  <c r="AN68" i="3"/>
  <c r="AN64" i="3"/>
  <c r="AN60" i="3"/>
  <c r="AN56" i="3"/>
  <c r="AN52" i="3"/>
  <c r="AN48" i="3"/>
  <c r="AN40" i="3"/>
  <c r="AN36" i="3"/>
  <c r="AN28" i="3"/>
  <c r="AN20" i="3"/>
  <c r="AN75" i="3"/>
  <c r="AN63" i="3"/>
  <c r="AN31" i="3"/>
  <c r="AN23" i="3"/>
  <c r="AN74" i="3"/>
  <c r="AN70" i="3"/>
  <c r="AN66" i="3"/>
  <c r="AN62" i="3"/>
  <c r="AN58" i="3"/>
  <c r="AN54" i="3"/>
  <c r="AN50" i="3"/>
  <c r="AN46" i="3"/>
  <c r="AN42" i="3"/>
  <c r="AN34" i="3"/>
  <c r="AN26" i="3"/>
  <c r="AN18" i="3"/>
  <c r="AB70" i="3"/>
  <c r="AB69" i="3"/>
  <c r="AB72" i="3"/>
  <c r="AB75" i="3"/>
  <c r="AB74" i="3"/>
  <c r="AB66" i="3"/>
  <c r="E16" i="15"/>
  <c r="AD42" i="3"/>
  <c r="AD40" i="3"/>
  <c r="AD34" i="3"/>
  <c r="AD26" i="3"/>
  <c r="AD18" i="3"/>
  <c r="AC75" i="3"/>
  <c r="AC69" i="3"/>
  <c r="AC61" i="3"/>
  <c r="AC57" i="3"/>
  <c r="AC53" i="3"/>
  <c r="AC49" i="3"/>
  <c r="AC45" i="3"/>
  <c r="AC37" i="3"/>
  <c r="AC23" i="3"/>
  <c r="AC21" i="3"/>
  <c r="Q16" i="15"/>
  <c r="O16" i="15"/>
  <c r="M16" i="15"/>
  <c r="K16" i="15"/>
  <c r="I16" i="15"/>
  <c r="P16" i="15"/>
  <c r="N16" i="15"/>
  <c r="L16" i="15"/>
  <c r="J16" i="15"/>
  <c r="H16" i="15"/>
  <c r="S14" i="15"/>
  <c r="I9" i="15"/>
  <c r="AC76" i="3"/>
  <c r="AC74" i="3"/>
  <c r="AC72" i="3"/>
  <c r="AC70" i="3"/>
  <c r="AC68" i="3"/>
  <c r="AC66" i="3"/>
  <c r="AC64" i="3"/>
  <c r="AC62" i="3"/>
  <c r="AC60" i="3"/>
  <c r="AC58" i="3"/>
  <c r="AC56" i="3"/>
  <c r="AC54" i="3"/>
  <c r="AC52" i="3"/>
  <c r="AC50" i="3"/>
  <c r="AC48" i="3"/>
  <c r="AC46" i="3"/>
  <c r="AC42" i="3"/>
  <c r="AC40" i="3"/>
  <c r="AC36" i="3"/>
  <c r="AC34" i="3"/>
  <c r="AC28" i="3"/>
  <c r="AC26" i="3"/>
  <c r="AC20" i="3"/>
  <c r="AC18" i="3"/>
  <c r="AD75" i="3"/>
  <c r="AD69" i="3"/>
  <c r="AD63" i="3"/>
  <c r="AD61" i="3"/>
  <c r="AD57" i="3"/>
  <c r="AD53" i="3"/>
  <c r="AD49" i="3"/>
  <c r="AD45" i="3"/>
  <c r="AD37" i="3"/>
  <c r="AD31" i="3"/>
  <c r="AD29" i="3"/>
  <c r="AD25" i="3"/>
  <c r="AD23" i="3"/>
  <c r="AD21" i="3"/>
  <c r="AC63" i="3"/>
  <c r="AC31" i="3"/>
  <c r="AC29" i="3"/>
  <c r="AC25" i="3"/>
  <c r="AD76" i="3"/>
  <c r="AD74" i="3"/>
  <c r="AD72" i="3"/>
  <c r="AD70" i="3"/>
  <c r="AD68" i="3"/>
  <c r="AD66" i="3"/>
  <c r="AD64" i="3"/>
  <c r="AD62" i="3"/>
  <c r="AD60" i="3"/>
  <c r="AD58" i="3"/>
  <c r="AD56" i="3"/>
  <c r="AD54" i="3"/>
  <c r="AD52" i="3"/>
  <c r="AD50" i="3"/>
  <c r="AD48" i="3"/>
  <c r="AD46" i="3"/>
  <c r="AD36" i="3"/>
  <c r="AD28" i="3"/>
  <c r="AD20" i="3"/>
  <c r="Y69" i="3"/>
  <c r="Y61" i="3"/>
  <c r="Y57" i="3"/>
  <c r="Y53" i="3"/>
  <c r="Y49" i="3"/>
  <c r="Y45" i="3"/>
  <c r="Y37" i="3"/>
  <c r="Y29" i="3"/>
  <c r="Y25" i="3"/>
  <c r="Y23" i="3"/>
  <c r="Z75" i="3"/>
  <c r="Z69" i="3"/>
  <c r="Z63" i="3"/>
  <c r="Z61" i="3"/>
  <c r="Z57" i="3"/>
  <c r="Z53" i="3"/>
  <c r="Z37" i="3"/>
  <c r="Z23" i="3"/>
  <c r="Z21" i="3"/>
  <c r="Y76" i="3"/>
  <c r="Y74" i="3"/>
  <c r="Y72" i="3"/>
  <c r="Y70" i="3"/>
  <c r="Y68" i="3"/>
  <c r="Y66" i="3"/>
  <c r="Y64" i="3"/>
  <c r="Y62" i="3"/>
  <c r="Y60" i="3"/>
  <c r="Y58" i="3"/>
  <c r="Y56" i="3"/>
  <c r="Y54" i="3"/>
  <c r="Y52" i="3"/>
  <c r="Y50" i="3"/>
  <c r="Y48" i="3"/>
  <c r="Y46" i="3"/>
  <c r="Y42" i="3"/>
  <c r="Y40" i="3"/>
  <c r="Y36" i="3"/>
  <c r="Y34" i="3"/>
  <c r="Y28" i="3"/>
  <c r="Y26" i="3"/>
  <c r="Y20" i="3"/>
  <c r="Y18" i="3"/>
  <c r="Z76" i="3"/>
  <c r="Z74" i="3"/>
  <c r="Z72" i="3"/>
  <c r="Z70" i="3"/>
  <c r="Z68" i="3"/>
  <c r="Z66" i="3"/>
  <c r="Z64" i="3"/>
  <c r="Z62" i="3"/>
  <c r="Z60" i="3"/>
  <c r="Z58" i="3"/>
  <c r="Z56" i="3"/>
  <c r="Z54" i="3"/>
  <c r="Z52" i="3"/>
  <c r="Z50" i="3"/>
  <c r="Z48" i="3"/>
  <c r="Z46" i="3"/>
  <c r="Z42" i="3"/>
  <c r="Z40" i="3"/>
  <c r="Z36" i="3"/>
  <c r="Z34" i="3"/>
  <c r="Z28" i="3"/>
  <c r="Z26" i="3"/>
  <c r="Z20" i="3"/>
  <c r="Z18" i="3"/>
  <c r="Y75" i="3"/>
  <c r="Y63" i="3"/>
  <c r="Y31" i="3"/>
  <c r="Y21" i="3"/>
  <c r="Z49" i="3"/>
  <c r="Z45" i="3"/>
  <c r="Z31" i="3"/>
  <c r="Z29" i="3"/>
  <c r="Z25" i="3"/>
  <c r="AF16" i="2"/>
  <c r="AF77" i="2" s="1"/>
  <c r="AD16" i="2"/>
  <c r="AD77" i="2" s="1"/>
  <c r="AE16" i="2"/>
  <c r="AE77" i="2" s="1"/>
  <c r="P69" i="3"/>
  <c r="R69" i="3"/>
  <c r="P72" i="3"/>
  <c r="P75" i="3"/>
  <c r="R75" i="3"/>
  <c r="R72" i="3"/>
  <c r="P74" i="3"/>
  <c r="R74" i="3"/>
  <c r="P70" i="3"/>
  <c r="R70" i="3"/>
  <c r="E66" i="174"/>
  <c r="AF52" i="3" l="1"/>
  <c r="AI52" i="3"/>
  <c r="AG66" i="174"/>
  <c r="F52" i="14"/>
  <c r="AH52" i="3"/>
  <c r="AJ70" i="3"/>
  <c r="AK70" i="3" s="1"/>
  <c r="AJ72" i="3"/>
  <c r="AK72" i="3" s="1"/>
  <c r="AJ74" i="3"/>
  <c r="AK74" i="3" s="1"/>
  <c r="AJ69" i="3"/>
  <c r="AK69" i="3" s="1"/>
  <c r="AJ75" i="3"/>
  <c r="AK75" i="3" s="1"/>
  <c r="T14" i="15"/>
  <c r="U14" i="15" s="1"/>
  <c r="R16" i="15"/>
  <c r="S16" i="15"/>
  <c r="T52" i="3"/>
  <c r="V52" i="3"/>
  <c r="AM72" i="3" l="1"/>
  <c r="AL76" i="3"/>
  <c r="AL74" i="3"/>
  <c r="AL75" i="3"/>
  <c r="AL70" i="3"/>
  <c r="AL72" i="3"/>
  <c r="AL69" i="3"/>
  <c r="AM74" i="3"/>
  <c r="AM76" i="3"/>
  <c r="AM70" i="3"/>
  <c r="AM75" i="3"/>
  <c r="AM69" i="3"/>
  <c r="AG72" i="3"/>
  <c r="AA72" i="3" s="1"/>
  <c r="BL76" i="2"/>
  <c r="AZ76" i="2"/>
  <c r="BI76" i="2"/>
  <c r="AN76" i="2"/>
  <c r="AI76" i="2"/>
  <c r="AH76" i="2"/>
  <c r="AO76" i="2"/>
  <c r="AL76" i="2"/>
  <c r="AJ76" i="2"/>
  <c r="AM76" i="2"/>
  <c r="AK76" i="2"/>
  <c r="AG76" i="2"/>
  <c r="AC76" i="2"/>
  <c r="V14" i="15"/>
  <c r="W14" i="15" s="1"/>
  <c r="T16" i="15"/>
  <c r="U16" i="15"/>
  <c r="R76" i="2" a="1"/>
  <c r="P76" i="2" a="1"/>
  <c r="C72" i="4" l="1"/>
  <c r="P72" i="4" s="1"/>
  <c r="AG75" i="3"/>
  <c r="AA75" i="3" s="1"/>
  <c r="AG74" i="3"/>
  <c r="AA74" i="3" s="1"/>
  <c r="AG70" i="3"/>
  <c r="AA70" i="3" s="1"/>
  <c r="AG69" i="3"/>
  <c r="AA69" i="3" s="1"/>
  <c r="AG66" i="3"/>
  <c r="AA66" i="3" s="1"/>
  <c r="X14" i="15"/>
  <c r="Y14" i="15" s="1"/>
  <c r="V16" i="15"/>
  <c r="W16" i="15"/>
  <c r="AO72" i="3" l="1"/>
  <c r="C69" i="4"/>
  <c r="C75" i="4"/>
  <c r="C72" i="16"/>
  <c r="F72" i="16" s="1"/>
  <c r="D72" i="4"/>
  <c r="E72" i="4" s="1"/>
  <c r="F72" i="4" s="1"/>
  <c r="G72" i="4" s="1"/>
  <c r="H72" i="4" s="1"/>
  <c r="I72" i="4" s="1"/>
  <c r="Z14" i="15"/>
  <c r="AA14" i="15" s="1"/>
  <c r="X16" i="15"/>
  <c r="Y16" i="15"/>
  <c r="D75" i="4" l="1"/>
  <c r="E75" i="4" s="1"/>
  <c r="F75" i="4" s="1"/>
  <c r="G75" i="4" s="1"/>
  <c r="H75" i="4" s="1"/>
  <c r="I75" i="4" s="1"/>
  <c r="K75" i="4" s="1"/>
  <c r="M75" i="4" s="1"/>
  <c r="P75" i="4"/>
  <c r="D69" i="4"/>
  <c r="E69" i="4" s="1"/>
  <c r="F69" i="4" s="1"/>
  <c r="G69" i="4" s="1"/>
  <c r="H69" i="4" s="1"/>
  <c r="I69" i="4" s="1"/>
  <c r="K69" i="4" s="1"/>
  <c r="M69" i="4" s="1"/>
  <c r="P69" i="4"/>
  <c r="C69" i="16"/>
  <c r="AO69" i="3"/>
  <c r="C75" i="16"/>
  <c r="C66" i="4"/>
  <c r="AO66" i="3"/>
  <c r="C74" i="4"/>
  <c r="AO74" i="3"/>
  <c r="C70" i="4"/>
  <c r="P70" i="4" s="1"/>
  <c r="AO70" i="3"/>
  <c r="AO75" i="3"/>
  <c r="J72" i="4"/>
  <c r="K72" i="4"/>
  <c r="M72" i="4" s="1"/>
  <c r="C72" i="17"/>
  <c r="J72" i="17" s="1"/>
  <c r="D72" i="16"/>
  <c r="E72" i="16" s="1"/>
  <c r="AB14" i="15"/>
  <c r="AC14" i="15" s="1"/>
  <c r="Z16" i="15"/>
  <c r="AA16" i="15"/>
  <c r="J75" i="4" l="1"/>
  <c r="L75" i="4" s="1"/>
  <c r="N75" i="4" s="1"/>
  <c r="C69" i="17"/>
  <c r="D69" i="17" s="1"/>
  <c r="E69" i="17" s="1"/>
  <c r="F69" i="16"/>
  <c r="D75" i="16"/>
  <c r="E75" i="16" s="1"/>
  <c r="F75" i="16"/>
  <c r="D74" i="4"/>
  <c r="E74" i="4" s="1"/>
  <c r="F74" i="4" s="1"/>
  <c r="G74" i="4" s="1"/>
  <c r="H74" i="4" s="1"/>
  <c r="I74" i="4" s="1"/>
  <c r="J74" i="4" s="1"/>
  <c r="L74" i="4" s="1"/>
  <c r="P74" i="4"/>
  <c r="J69" i="4"/>
  <c r="L69" i="4" s="1"/>
  <c r="N69" i="4" s="1"/>
  <c r="D66" i="4"/>
  <c r="E66" i="4" s="1"/>
  <c r="F66" i="4" s="1"/>
  <c r="G66" i="4" s="1"/>
  <c r="H66" i="4" s="1"/>
  <c r="I66" i="4" s="1"/>
  <c r="J66" i="4" s="1"/>
  <c r="P66" i="4"/>
  <c r="C66" i="16"/>
  <c r="C74" i="16"/>
  <c r="D69" i="16"/>
  <c r="E69" i="16" s="1"/>
  <c r="C75" i="17"/>
  <c r="D70" i="4"/>
  <c r="E70" i="4" s="1"/>
  <c r="F70" i="4" s="1"/>
  <c r="G70" i="4" s="1"/>
  <c r="H70" i="4" s="1"/>
  <c r="I70" i="4" s="1"/>
  <c r="C70" i="16"/>
  <c r="F70" i="16" s="1"/>
  <c r="L72" i="4"/>
  <c r="N72" i="4" s="1"/>
  <c r="C72" i="19"/>
  <c r="D72" i="17"/>
  <c r="E72" i="17" s="1"/>
  <c r="AD14" i="15"/>
  <c r="AE14" i="15" s="1"/>
  <c r="AB16" i="15"/>
  <c r="AC16" i="15"/>
  <c r="A21" i="2"/>
  <c r="A50" i="3"/>
  <c r="D38" i="2"/>
  <c r="A27" i="2"/>
  <c r="A18" i="2"/>
  <c r="A32" i="2"/>
  <c r="A30" i="2"/>
  <c r="D17" i="3"/>
  <c r="A45" i="2"/>
  <c r="D20" i="2"/>
  <c r="D69" i="2"/>
  <c r="A43" i="2"/>
  <c r="A57" i="3"/>
  <c r="A19" i="2"/>
  <c r="Y76" i="2"/>
  <c r="A72" i="3"/>
  <c r="A74" i="3"/>
  <c r="A46" i="3"/>
  <c r="P76" i="3"/>
  <c r="D42" i="2"/>
  <c r="D44" i="2"/>
  <c r="D57" i="2"/>
  <c r="V76" i="2"/>
  <c r="A17" i="2"/>
  <c r="P76" i="2"/>
  <c r="Z76" i="2"/>
  <c r="D71" i="2"/>
  <c r="R68" i="3"/>
  <c r="D61" i="2"/>
  <c r="N76" i="2"/>
  <c r="D29" i="2"/>
  <c r="A49" i="3"/>
  <c r="D45" i="2"/>
  <c r="A26" i="2"/>
  <c r="A29" i="2"/>
  <c r="I76" i="2"/>
  <c r="A44" i="2"/>
  <c r="D53" i="2"/>
  <c r="A48" i="2"/>
  <c r="A37" i="2"/>
  <c r="A31" i="2"/>
  <c r="A33" i="2"/>
  <c r="D59" i="2"/>
  <c r="A63" i="3"/>
  <c r="D33" i="2"/>
  <c r="D47" i="2"/>
  <c r="D55" i="2"/>
  <c r="A36" i="2"/>
  <c r="U76" i="2"/>
  <c r="D30" i="2"/>
  <c r="R76" i="2"/>
  <c r="D66" i="2"/>
  <c r="A23" i="2"/>
  <c r="A35" i="2"/>
  <c r="M76" i="2"/>
  <c r="D34" i="2"/>
  <c r="D51" i="2"/>
  <c r="D63" i="2"/>
  <c r="P68" i="3"/>
  <c r="T76" i="2"/>
  <c r="D52" i="2"/>
  <c r="A25" i="2"/>
  <c r="A40" i="2"/>
  <c r="Q76" i="2"/>
  <c r="A37" i="3"/>
  <c r="G76" i="2"/>
  <c r="D41" i="2"/>
  <c r="D37" i="2"/>
  <c r="F76" i="2"/>
  <c r="A17" i="3"/>
  <c r="D19" i="2"/>
  <c r="D39" i="2"/>
  <c r="S76" i="2"/>
  <c r="A64" i="3"/>
  <c r="A25" i="3"/>
  <c r="D28" i="2"/>
  <c r="H76" i="2"/>
  <c r="D31" i="2"/>
  <c r="D60" i="2"/>
  <c r="A41" i="2"/>
  <c r="A20" i="2"/>
  <c r="A21" i="3"/>
  <c r="A46" i="2"/>
  <c r="D74" i="2"/>
  <c r="A62" i="3"/>
  <c r="A42" i="2"/>
  <c r="A47" i="2"/>
  <c r="E76" i="2"/>
  <c r="D56" i="2"/>
  <c r="A22" i="2"/>
  <c r="D17" i="2"/>
  <c r="D35" i="2"/>
  <c r="R76" i="3"/>
  <c r="A54" i="3"/>
  <c r="D54" i="2"/>
  <c r="D67" i="2"/>
  <c r="D36" i="2"/>
  <c r="D24" i="2"/>
  <c r="A39" i="2"/>
  <c r="D70" i="2"/>
  <c r="A40" i="3"/>
  <c r="D73" i="2"/>
  <c r="D50" i="2"/>
  <c r="A38" i="2"/>
  <c r="A24" i="2"/>
  <c r="D49" i="2"/>
  <c r="D26" i="2"/>
  <c r="A48" i="3"/>
  <c r="D21" i="2"/>
  <c r="A49" i="2"/>
  <c r="D27" i="2"/>
  <c r="A75" i="3"/>
  <c r="D46" i="2"/>
  <c r="D23" i="2"/>
  <c r="D43" i="2"/>
  <c r="A58" i="3"/>
  <c r="D18" i="2"/>
  <c r="A70" i="3"/>
  <c r="D64" i="2"/>
  <c r="D68" i="2"/>
  <c r="D22" i="2"/>
  <c r="D58" i="2"/>
  <c r="D48" i="2"/>
  <c r="A34" i="2"/>
  <c r="L76" i="2"/>
  <c r="D32" i="2"/>
  <c r="J76" i="2"/>
  <c r="D40" i="2"/>
  <c r="K76" i="2"/>
  <c r="D25" i="2"/>
  <c r="D75" i="2"/>
  <c r="A28" i="2"/>
  <c r="D62" i="2"/>
  <c r="D65" i="2"/>
  <c r="D72" i="2"/>
  <c r="C11" i="179" l="1"/>
  <c r="AO65" i="2"/>
  <c r="AI65" i="2"/>
  <c r="AM65" i="2"/>
  <c r="AH65" i="2"/>
  <c r="AK65" i="2"/>
  <c r="AL65" i="2"/>
  <c r="R65" i="2" a="1"/>
  <c r="AN65" i="2"/>
  <c r="AG65" i="2"/>
  <c r="O65" i="2"/>
  <c r="X65" i="2"/>
  <c r="W65" i="2"/>
  <c r="AJ65" i="2"/>
  <c r="AC65" i="2"/>
  <c r="Y65" i="2" a="1"/>
  <c r="BH65" i="2"/>
  <c r="AA65" i="2"/>
  <c r="P65" i="2" a="1"/>
  <c r="E65" i="2" a="1"/>
  <c r="AY76" i="2"/>
  <c r="AD32" i="3"/>
  <c r="Z32" i="3"/>
  <c r="Y32" i="3"/>
  <c r="AN32" i="3"/>
  <c r="AC32" i="3"/>
  <c r="AF55" i="3"/>
  <c r="T55" i="3"/>
  <c r="AL55" i="3" s="1"/>
  <c r="AE55" i="3"/>
  <c r="V55" i="3"/>
  <c r="AM55" i="3" s="1"/>
  <c r="Z55" i="3"/>
  <c r="AN55" i="3"/>
  <c r="AC55" i="3"/>
  <c r="AH55" i="3"/>
  <c r="Y55" i="3"/>
  <c r="AD55" i="3"/>
  <c r="AI55" i="3"/>
  <c r="O35" i="2"/>
  <c r="R35" i="2" a="1"/>
  <c r="E35" i="2" a="1"/>
  <c r="Y35" i="2" a="1"/>
  <c r="P35" i="2" a="1"/>
  <c r="E42" i="2" a="1"/>
  <c r="Y42" i="2" a="1"/>
  <c r="R42" i="2" a="1"/>
  <c r="P42" i="2" a="1"/>
  <c r="O42" i="2"/>
  <c r="Z24" i="3"/>
  <c r="AN24" i="3"/>
  <c r="AD24" i="3"/>
  <c r="AC24" i="3"/>
  <c r="Y24" i="3"/>
  <c r="AT76" i="2"/>
  <c r="Y48" i="2" a="1"/>
  <c r="P48" i="2" a="1"/>
  <c r="R48" i="2" a="1"/>
  <c r="E48" i="2" a="1"/>
  <c r="O48" i="2"/>
  <c r="AI33" i="3"/>
  <c r="AH33" i="3"/>
  <c r="AN33" i="3"/>
  <c r="AC33" i="3"/>
  <c r="Z33" i="3"/>
  <c r="AD33" i="3"/>
  <c r="V33" i="3"/>
  <c r="AF33" i="3"/>
  <c r="T33" i="3"/>
  <c r="Y33" i="3"/>
  <c r="Z27" i="3"/>
  <c r="AC27" i="3"/>
  <c r="AN27" i="3"/>
  <c r="Y27" i="3"/>
  <c r="AD27" i="3"/>
  <c r="AE68" i="3"/>
  <c r="AF18" i="3"/>
  <c r="AD35" i="3"/>
  <c r="AC35" i="3"/>
  <c r="T35" i="3"/>
  <c r="AI35" i="3"/>
  <c r="AF35" i="3"/>
  <c r="AH35" i="3"/>
  <c r="AN35" i="3"/>
  <c r="V35" i="3"/>
  <c r="Y35" i="3"/>
  <c r="Z35" i="3"/>
  <c r="AH26" i="3"/>
  <c r="AN74" i="2"/>
  <c r="AR74" i="2"/>
  <c r="BL74" i="2"/>
  <c r="AU74" i="2"/>
  <c r="AG74" i="2"/>
  <c r="O74" i="2"/>
  <c r="BK74" i="2"/>
  <c r="AY74" i="2"/>
  <c r="AH74" i="2"/>
  <c r="X74" i="2"/>
  <c r="AJ74" i="2"/>
  <c r="R74" i="2" a="1"/>
  <c r="U74" i="2" s="1"/>
  <c r="AA74" i="2"/>
  <c r="W74" i="2"/>
  <c r="AK74" i="2"/>
  <c r="BF74" i="2"/>
  <c r="AT74" i="2"/>
  <c r="AX74" i="2"/>
  <c r="AZ74" i="2"/>
  <c r="AM74" i="2"/>
  <c r="AQ74" i="2"/>
  <c r="AC74" i="2"/>
  <c r="AW74" i="2"/>
  <c r="AS74" i="2"/>
  <c r="BE74" i="2"/>
  <c r="BI74" i="2"/>
  <c r="Y74" i="2" a="1"/>
  <c r="Z74" i="2" s="1"/>
  <c r="BA74" i="2"/>
  <c r="AV74" i="2"/>
  <c r="BG74" i="2"/>
  <c r="BH74" i="2"/>
  <c r="AI74" i="2"/>
  <c r="AO74" i="2"/>
  <c r="AP74" i="2"/>
  <c r="E74" i="2" a="1"/>
  <c r="G74" i="2" s="1"/>
  <c r="BD74" i="2"/>
  <c r="AL74" i="2"/>
  <c r="P74" i="2" a="1"/>
  <c r="P74" i="2" s="1"/>
  <c r="BJ74" i="2"/>
  <c r="AE31" i="3"/>
  <c r="AI34" i="3"/>
  <c r="AF23" i="3"/>
  <c r="Y43" i="3"/>
  <c r="AN43" i="3"/>
  <c r="AD43" i="3"/>
  <c r="AC43" i="3"/>
  <c r="Z43" i="3"/>
  <c r="AF62" i="3"/>
  <c r="AJ68" i="3"/>
  <c r="AK68" i="3" s="1"/>
  <c r="AC22" i="3"/>
  <c r="Y22" i="3"/>
  <c r="Z22" i="3"/>
  <c r="AD22" i="3"/>
  <c r="AN22" i="3"/>
  <c r="AW76" i="2"/>
  <c r="O60" i="2"/>
  <c r="Y60" i="2" a="1"/>
  <c r="E60" i="2" a="1"/>
  <c r="R60" i="2" a="1"/>
  <c r="P60" i="2" a="1"/>
  <c r="Y33" i="2" a="1"/>
  <c r="O33" i="2"/>
  <c r="E33" i="2" a="1"/>
  <c r="P33" i="2" a="1"/>
  <c r="R33" i="2" a="1"/>
  <c r="AP76" i="2"/>
  <c r="BD70" i="2"/>
  <c r="AJ70" i="2"/>
  <c r="Y70" i="2" a="1"/>
  <c r="Z70" i="2" s="1"/>
  <c r="BH70" i="2"/>
  <c r="AZ70" i="2"/>
  <c r="X70" i="2"/>
  <c r="BG70" i="2"/>
  <c r="AI70" i="2"/>
  <c r="AW70" i="2"/>
  <c r="R70" i="2" a="1"/>
  <c r="R70" i="2" s="1"/>
  <c r="BC70" i="2" s="1"/>
  <c r="AC70" i="2"/>
  <c r="AX70" i="2"/>
  <c r="W70" i="2"/>
  <c r="BJ70" i="2"/>
  <c r="AV70" i="2"/>
  <c r="AO70" i="2"/>
  <c r="AS70" i="2"/>
  <c r="BL70" i="2"/>
  <c r="BK70" i="2"/>
  <c r="AM70" i="2"/>
  <c r="BE70" i="2"/>
  <c r="AQ70" i="2"/>
  <c r="AA70" i="2"/>
  <c r="AY70" i="2"/>
  <c r="AH70" i="2"/>
  <c r="BA70" i="2"/>
  <c r="AL70" i="2"/>
  <c r="AG70" i="2"/>
  <c r="BF70" i="2"/>
  <c r="BI70" i="2"/>
  <c r="AU70" i="2"/>
  <c r="O70" i="2"/>
  <c r="AK70" i="2"/>
  <c r="AT70" i="2"/>
  <c r="AN70" i="2"/>
  <c r="AP70" i="2"/>
  <c r="AR70" i="2"/>
  <c r="E70" i="2" a="1"/>
  <c r="K70" i="2" s="1"/>
  <c r="P70" i="2" a="1"/>
  <c r="P70" i="2" s="1"/>
  <c r="BK76" i="2"/>
  <c r="BD76" i="2"/>
  <c r="F18" i="14"/>
  <c r="E32" i="174"/>
  <c r="AG32" i="174" s="1"/>
  <c r="AU76" i="2"/>
  <c r="AI21" i="3"/>
  <c r="AI40" i="3"/>
  <c r="AF31" i="3"/>
  <c r="Y73" i="2" a="1"/>
  <c r="Y73" i="2" s="1"/>
  <c r="BH73" i="2"/>
  <c r="BG73" i="2"/>
  <c r="X73" i="2"/>
  <c r="E73" i="2" a="1"/>
  <c r="I73" i="2" s="1"/>
  <c r="R73" i="2" a="1"/>
  <c r="V73" i="2" s="1"/>
  <c r="AI73" i="2"/>
  <c r="BI73" i="2"/>
  <c r="BA73" i="2"/>
  <c r="AN73" i="2"/>
  <c r="AK73" i="2"/>
  <c r="O73" i="2"/>
  <c r="BD73" i="2"/>
  <c r="AM73" i="2"/>
  <c r="AV73" i="2"/>
  <c r="AU73" i="2"/>
  <c r="AP73" i="2"/>
  <c r="AC73" i="2"/>
  <c r="AR73" i="2"/>
  <c r="W73" i="2"/>
  <c r="AA73" i="2"/>
  <c r="AS73" i="2"/>
  <c r="AQ73" i="2"/>
  <c r="P73" i="2" a="1"/>
  <c r="Q73" i="2" s="1"/>
  <c r="BB73" i="2" s="1"/>
  <c r="AX73" i="2"/>
  <c r="BK73" i="2"/>
  <c r="AH73" i="2"/>
  <c r="BL73" i="2"/>
  <c r="AY73" i="2"/>
  <c r="AW73" i="2"/>
  <c r="BF73" i="2"/>
  <c r="AL73" i="2"/>
  <c r="AZ73" i="2"/>
  <c r="AO73" i="2"/>
  <c r="AG73" i="2"/>
  <c r="BE73" i="2"/>
  <c r="AJ73" i="2"/>
  <c r="BJ73" i="2"/>
  <c r="AT73" i="2"/>
  <c r="AF37" i="3"/>
  <c r="AH34" i="3"/>
  <c r="AI37" i="3"/>
  <c r="AH31" i="3"/>
  <c r="AF61" i="3"/>
  <c r="AH21" i="3"/>
  <c r="E8" i="137"/>
  <c r="C8" i="152"/>
  <c r="E8" i="140"/>
  <c r="E8" i="141"/>
  <c r="C8" i="140"/>
  <c r="C8" i="143"/>
  <c r="C8" i="136"/>
  <c r="C8" i="137"/>
  <c r="E8" i="143"/>
  <c r="C8" i="138"/>
  <c r="C8" i="142"/>
  <c r="E8" i="115"/>
  <c r="C8" i="144"/>
  <c r="E8" i="176"/>
  <c r="E8" i="129"/>
  <c r="C8" i="141"/>
  <c r="E8" i="99"/>
  <c r="C8" i="176"/>
  <c r="E8" i="142"/>
  <c r="E8" i="136"/>
  <c r="E8" i="139"/>
  <c r="E8" i="145"/>
  <c r="C8" i="145"/>
  <c r="E8" i="144"/>
  <c r="C8" i="139"/>
  <c r="C8" i="175"/>
  <c r="E8" i="123"/>
  <c r="BE76" i="2"/>
  <c r="R41" i="2" a="1"/>
  <c r="O41" i="2"/>
  <c r="Y41" i="2" a="1"/>
  <c r="P41" i="2" a="1"/>
  <c r="E41" i="2" a="1"/>
  <c r="R56" i="2" a="1"/>
  <c r="P56" i="2" a="1"/>
  <c r="O56" i="2"/>
  <c r="E56" i="2" a="1"/>
  <c r="Y56" i="2" a="1"/>
  <c r="R59" i="2" a="1"/>
  <c r="E59" i="2" a="1"/>
  <c r="O59" i="2"/>
  <c r="P59" i="2" a="1"/>
  <c r="Y59" i="2" a="1"/>
  <c r="AI62" i="3"/>
  <c r="AH23" i="3"/>
  <c r="AN65" i="3"/>
  <c r="T65" i="3"/>
  <c r="AF65" i="3"/>
  <c r="Z65" i="3"/>
  <c r="AC65" i="3"/>
  <c r="AH65" i="3"/>
  <c r="AI65" i="3"/>
  <c r="AE65" i="3"/>
  <c r="V65" i="3"/>
  <c r="AD65" i="3"/>
  <c r="Y65" i="3"/>
  <c r="AQ76" i="2"/>
  <c r="AI61" i="3"/>
  <c r="X72" i="2"/>
  <c r="AS72" i="2"/>
  <c r="AL72" i="2"/>
  <c r="AH72" i="2"/>
  <c r="AT72" i="2"/>
  <c r="AO72" i="2"/>
  <c r="R72" i="2" a="1"/>
  <c r="T72" i="2" s="1"/>
  <c r="AK72" i="2"/>
  <c r="AJ72" i="2"/>
  <c r="BH72" i="2"/>
  <c r="BF72" i="2"/>
  <c r="AM72" i="2"/>
  <c r="BL72" i="2"/>
  <c r="AG72" i="2"/>
  <c r="AR72" i="2"/>
  <c r="P72" i="2" a="1"/>
  <c r="P72" i="2" s="1"/>
  <c r="BG72" i="2"/>
  <c r="BD72" i="2"/>
  <c r="AV72" i="2"/>
  <c r="AA72" i="2"/>
  <c r="BA72" i="2"/>
  <c r="AX72" i="2"/>
  <c r="BI72" i="2"/>
  <c r="Y72" i="2" a="1"/>
  <c r="Z72" i="2" s="1"/>
  <c r="AZ72" i="2"/>
  <c r="AP72" i="2"/>
  <c r="AI72" i="2"/>
  <c r="E72" i="2" a="1"/>
  <c r="H72" i="2" s="1"/>
  <c r="AN72" i="2"/>
  <c r="AC72" i="2"/>
  <c r="AY72" i="2"/>
  <c r="W72" i="2"/>
  <c r="BJ72" i="2"/>
  <c r="BK72" i="2"/>
  <c r="AU72" i="2"/>
  <c r="O72" i="2"/>
  <c r="AW72" i="2"/>
  <c r="AQ72" i="2"/>
  <c r="BE72" i="2"/>
  <c r="AI23" i="3"/>
  <c r="AD67" i="3"/>
  <c r="AG67" i="3"/>
  <c r="C67" i="4"/>
  <c r="P67" i="4" s="1"/>
  <c r="AE67" i="3"/>
  <c r="V67" i="3"/>
  <c r="AM67" i="3" s="1"/>
  <c r="R67" i="3"/>
  <c r="AJ67" i="3"/>
  <c r="AC67" i="3"/>
  <c r="M67" i="3"/>
  <c r="AH67" i="3"/>
  <c r="E81" i="174"/>
  <c r="AG81" i="174" s="1"/>
  <c r="AN67" i="3"/>
  <c r="T67" i="3"/>
  <c r="AL67" i="3" s="1"/>
  <c r="Z67" i="3"/>
  <c r="AI67" i="3"/>
  <c r="P67" i="3"/>
  <c r="AB67" i="3"/>
  <c r="AF67" i="3"/>
  <c r="Y67" i="3"/>
  <c r="AI68" i="3"/>
  <c r="AN63" i="2"/>
  <c r="AM63" i="2"/>
  <c r="AK63" i="2"/>
  <c r="AJ63" i="2"/>
  <c r="AL63" i="2"/>
  <c r="AG63" i="2"/>
  <c r="AH63" i="2"/>
  <c r="AO63" i="2"/>
  <c r="AI63" i="2"/>
  <c r="AC63" i="2"/>
  <c r="AX76" i="2"/>
  <c r="AN41" i="3"/>
  <c r="Y41" i="3"/>
  <c r="Z41" i="3"/>
  <c r="T41" i="3"/>
  <c r="AC41" i="3"/>
  <c r="AD41" i="3"/>
  <c r="P36" i="2" a="1"/>
  <c r="E36" i="2" a="1"/>
  <c r="R36" i="2" a="1"/>
  <c r="O36" i="2"/>
  <c r="Y36" i="2" a="1"/>
  <c r="AS71" i="2"/>
  <c r="AN71" i="2"/>
  <c r="AW71" i="2"/>
  <c r="O71" i="2"/>
  <c r="BK71" i="2"/>
  <c r="BE71" i="2"/>
  <c r="AI71" i="2"/>
  <c r="AZ71" i="2"/>
  <c r="AK71" i="2"/>
  <c r="R71" i="2" a="1"/>
  <c r="S71" i="2" s="1"/>
  <c r="AG71" i="2"/>
  <c r="BL71" i="2"/>
  <c r="AV71" i="2"/>
  <c r="AP71" i="2"/>
  <c r="E71" i="2" a="1"/>
  <c r="E71" i="2" s="1"/>
  <c r="AT71" i="2"/>
  <c r="AQ71" i="2"/>
  <c r="BA71" i="2"/>
  <c r="W71" i="2"/>
  <c r="AJ71" i="2"/>
  <c r="AR71" i="2"/>
  <c r="AL71" i="2"/>
  <c r="BF71" i="2"/>
  <c r="AC71" i="2"/>
  <c r="AY71" i="2"/>
  <c r="AA71" i="2"/>
  <c r="X71" i="2"/>
  <c r="BG71" i="2"/>
  <c r="Y71" i="2" a="1"/>
  <c r="Y71" i="2" s="1"/>
  <c r="P71" i="2" a="1"/>
  <c r="Q71" i="2" s="1"/>
  <c r="BB71" i="2" s="1"/>
  <c r="BI71" i="2"/>
  <c r="BH71" i="2"/>
  <c r="BJ71" i="2"/>
  <c r="AM71" i="2"/>
  <c r="BD71" i="2"/>
  <c r="AH71" i="2"/>
  <c r="AO71" i="2"/>
  <c r="AX71" i="2"/>
  <c r="AU71" i="2"/>
  <c r="BB76" i="2"/>
  <c r="O55" i="2"/>
  <c r="P55" i="2" a="1"/>
  <c r="Y55" i="2" a="1"/>
  <c r="E55" i="2" a="1"/>
  <c r="R55" i="2" a="1"/>
  <c r="Y30" i="2" a="1"/>
  <c r="R30" i="2" a="1"/>
  <c r="P30" i="2" a="1"/>
  <c r="O30" i="2"/>
  <c r="E30" i="2" a="1"/>
  <c r="AI71" i="3"/>
  <c r="AN71" i="3"/>
  <c r="R71" i="3"/>
  <c r="C71" i="4"/>
  <c r="P71" i="4" s="1"/>
  <c r="AE71" i="3"/>
  <c r="AG71" i="3"/>
  <c r="Y71" i="3"/>
  <c r="AJ71" i="3"/>
  <c r="P71" i="3"/>
  <c r="AC71" i="3"/>
  <c r="E85" i="174"/>
  <c r="AG85" i="174" s="1"/>
  <c r="T71" i="3"/>
  <c r="AL71" i="3" s="1"/>
  <c r="AD71" i="3"/>
  <c r="AH71" i="3"/>
  <c r="AF71" i="3"/>
  <c r="Z71" i="3"/>
  <c r="V71" i="3"/>
  <c r="AM71" i="3" s="1"/>
  <c r="M71" i="3"/>
  <c r="AB71" i="3"/>
  <c r="BA76" i="2"/>
  <c r="AJ76" i="3"/>
  <c r="AK76" i="3" s="1"/>
  <c r="AS76" i="2"/>
  <c r="AH68" i="3"/>
  <c r="R52" i="2" a="1"/>
  <c r="P52" i="2" a="1"/>
  <c r="O52" i="2"/>
  <c r="Y52" i="2" a="1"/>
  <c r="E52" i="2" a="1"/>
  <c r="AI63" i="3"/>
  <c r="AV76" i="2"/>
  <c r="R58" i="2" a="1"/>
  <c r="O58" i="2"/>
  <c r="P58" i="2" a="1"/>
  <c r="Y58" i="2" a="1"/>
  <c r="E58" i="2" a="1"/>
  <c r="AF26" i="3"/>
  <c r="Y38" i="3"/>
  <c r="Z38" i="3"/>
  <c r="AC38" i="3"/>
  <c r="AD38" i="3"/>
  <c r="AN38" i="3"/>
  <c r="AH40" i="3"/>
  <c r="BG76" i="2"/>
  <c r="AO64" i="2"/>
  <c r="AI64" i="2"/>
  <c r="AH64" i="2"/>
  <c r="AC64" i="2"/>
  <c r="E64" i="2" a="1"/>
  <c r="Y64" i="2" a="1"/>
  <c r="AM64" i="2"/>
  <c r="AL64" i="2"/>
  <c r="P64" i="2" a="1"/>
  <c r="AJ64" i="2"/>
  <c r="AN64" i="2"/>
  <c r="O64" i="2"/>
  <c r="AK64" i="2"/>
  <c r="AG64" i="2"/>
  <c r="R64" i="2" a="1"/>
  <c r="AI31" i="3"/>
  <c r="AE37" i="3"/>
  <c r="AH62" i="3"/>
  <c r="AF68" i="3"/>
  <c r="Y50" i="2" a="1"/>
  <c r="E50" i="2" a="1"/>
  <c r="P50" i="2" a="1"/>
  <c r="O50" i="2"/>
  <c r="R50" i="2" a="1"/>
  <c r="AH63" i="3"/>
  <c r="AN44" i="3"/>
  <c r="Y44" i="3"/>
  <c r="Z44" i="3"/>
  <c r="AD44" i="3"/>
  <c r="V44" i="3"/>
  <c r="AC44" i="3"/>
  <c r="F44" i="14"/>
  <c r="AH18" i="3"/>
  <c r="AI18" i="3"/>
  <c r="AE61" i="3"/>
  <c r="AE23" i="3"/>
  <c r="AM68" i="2"/>
  <c r="AN68" i="2"/>
  <c r="AJ68" i="2"/>
  <c r="AI68" i="2"/>
  <c r="AK68" i="2"/>
  <c r="AO68" i="2"/>
  <c r="AH68" i="2"/>
  <c r="AL68" i="2"/>
  <c r="AC68" i="2"/>
  <c r="AG68" i="2"/>
  <c r="Z51" i="3"/>
  <c r="AC51" i="3"/>
  <c r="AN51" i="3"/>
  <c r="V51" i="3"/>
  <c r="AM51" i="3" s="1"/>
  <c r="Y51" i="3"/>
  <c r="AD51" i="3"/>
  <c r="F63" i="14"/>
  <c r="E77" i="174"/>
  <c r="AG77" i="174" s="1"/>
  <c r="W67" i="2"/>
  <c r="AH67" i="2"/>
  <c r="AI67" i="2"/>
  <c r="R67" i="2" a="1"/>
  <c r="E67" i="2" a="1"/>
  <c r="I67" i="2" s="1"/>
  <c r="AU67" i="2"/>
  <c r="X67" i="2"/>
  <c r="AW67" i="2"/>
  <c r="AP67" i="2"/>
  <c r="AM67" i="2"/>
  <c r="AL67" i="2"/>
  <c r="AQ67" i="2"/>
  <c r="AY67" i="2"/>
  <c r="O67" i="2"/>
  <c r="AO67" i="2"/>
  <c r="P67" i="2" a="1"/>
  <c r="AJ67" i="2"/>
  <c r="BK67" i="2"/>
  <c r="AC67" i="2"/>
  <c r="BI67" i="2"/>
  <c r="BJ67" i="2"/>
  <c r="AT67" i="2"/>
  <c r="AV67" i="2"/>
  <c r="AS67" i="2"/>
  <c r="AG67" i="2"/>
  <c r="AX67" i="2"/>
  <c r="BH67" i="2"/>
  <c r="Y67" i="2" a="1"/>
  <c r="Z67" i="2" s="1"/>
  <c r="AN67" i="2"/>
  <c r="AA67" i="2"/>
  <c r="BL67" i="2"/>
  <c r="AK67" i="2"/>
  <c r="AR67" i="2"/>
  <c r="AF40" i="3"/>
  <c r="AF34" i="3"/>
  <c r="AH30" i="3"/>
  <c r="AC30" i="3"/>
  <c r="AN30" i="3"/>
  <c r="Y30" i="3"/>
  <c r="V30" i="3"/>
  <c r="AI30" i="3"/>
  <c r="AF30" i="3"/>
  <c r="T30" i="3"/>
  <c r="Z30" i="3"/>
  <c r="AD30" i="3"/>
  <c r="Y39" i="3"/>
  <c r="Z39" i="3"/>
  <c r="AD39" i="3"/>
  <c r="AN39" i="3"/>
  <c r="AC39" i="3"/>
  <c r="O44" i="2"/>
  <c r="Y44" i="2" a="1"/>
  <c r="E44" i="2" a="1"/>
  <c r="P44" i="2" a="1"/>
  <c r="R44" i="2" a="1"/>
  <c r="Y69" i="2" a="1"/>
  <c r="Y69" i="2" s="1"/>
  <c r="AP69" i="2"/>
  <c r="AC69" i="2"/>
  <c r="BF69" i="2"/>
  <c r="BA69" i="2"/>
  <c r="AM69" i="2"/>
  <c r="AX69" i="2"/>
  <c r="AI69" i="2"/>
  <c r="AQ69" i="2"/>
  <c r="AT69" i="2"/>
  <c r="AO69" i="2"/>
  <c r="AJ69" i="2"/>
  <c r="BI69" i="2"/>
  <c r="BK69" i="2"/>
  <c r="BH69" i="2"/>
  <c r="BD69" i="2"/>
  <c r="BE69" i="2"/>
  <c r="BG69" i="2"/>
  <c r="AU69" i="2"/>
  <c r="AG69" i="2"/>
  <c r="BJ69" i="2"/>
  <c r="O69" i="2"/>
  <c r="P69" i="2" a="1"/>
  <c r="P69" i="2" s="1"/>
  <c r="AH69" i="2"/>
  <c r="AY69" i="2"/>
  <c r="AW69" i="2"/>
  <c r="AN69" i="2"/>
  <c r="AS69" i="2"/>
  <c r="R69" i="2" a="1"/>
  <c r="T69" i="2" s="1"/>
  <c r="E69" i="2" a="1"/>
  <c r="K69" i="2" s="1"/>
  <c r="W69" i="2"/>
  <c r="AA69" i="2"/>
  <c r="AZ69" i="2"/>
  <c r="AL69" i="2"/>
  <c r="X69" i="2"/>
  <c r="AR69" i="2"/>
  <c r="BL69" i="2"/>
  <c r="AV69" i="2"/>
  <c r="AK69" i="2"/>
  <c r="E29" i="2" a="1"/>
  <c r="R29" i="2" a="1"/>
  <c r="Y29" i="2" a="1"/>
  <c r="O29" i="2"/>
  <c r="P29" i="2" a="1"/>
  <c r="AF21" i="3"/>
  <c r="R51" i="2" a="1"/>
  <c r="P51" i="2" a="1"/>
  <c r="Y51" i="2" a="1"/>
  <c r="E51" i="2" a="1"/>
  <c r="O51" i="2"/>
  <c r="AN19" i="3"/>
  <c r="Z19" i="3"/>
  <c r="Y19" i="3"/>
  <c r="AD19" i="3"/>
  <c r="AC19" i="3"/>
  <c r="BJ76" i="2"/>
  <c r="Y57" i="2" a="1"/>
  <c r="R57" i="2" a="1"/>
  <c r="P57" i="2" a="1"/>
  <c r="E57" i="2" a="1"/>
  <c r="O57" i="2"/>
  <c r="AR76" i="2"/>
  <c r="E82" i="174"/>
  <c r="AG82" i="174" s="1"/>
  <c r="F68" i="14"/>
  <c r="AN75" i="2"/>
  <c r="AW75" i="2"/>
  <c r="AS75" i="2"/>
  <c r="O75" i="2"/>
  <c r="BD75" i="2"/>
  <c r="AJ75" i="2"/>
  <c r="AH75" i="2"/>
  <c r="AP75" i="2"/>
  <c r="P75" i="2" a="1"/>
  <c r="Q75" i="2" s="1"/>
  <c r="BB75" i="2" s="1"/>
  <c r="R75" i="2" a="1"/>
  <c r="V75" i="2" s="1"/>
  <c r="BH75" i="2"/>
  <c r="BI75" i="2"/>
  <c r="BG75" i="2"/>
  <c r="AQ75" i="2"/>
  <c r="AZ75" i="2"/>
  <c r="X75" i="2"/>
  <c r="BF75" i="2"/>
  <c r="BA75" i="2"/>
  <c r="AL75" i="2"/>
  <c r="AG75" i="2"/>
  <c r="AK75" i="2"/>
  <c r="AX75" i="2"/>
  <c r="AT75" i="2"/>
  <c r="AV75" i="2"/>
  <c r="AI75" i="2"/>
  <c r="AU75" i="2"/>
  <c r="BL75" i="2"/>
  <c r="AR75" i="2"/>
  <c r="AM75" i="2"/>
  <c r="E75" i="2" a="1"/>
  <c r="K75" i="2" s="1"/>
  <c r="AA75" i="2"/>
  <c r="BK75" i="2"/>
  <c r="AC75" i="2"/>
  <c r="BJ75" i="2"/>
  <c r="W75" i="2"/>
  <c r="AY75" i="2"/>
  <c r="Y75" i="2" a="1"/>
  <c r="Z75" i="2" s="1"/>
  <c r="AO75" i="2"/>
  <c r="BE75" i="2"/>
  <c r="Z47" i="3"/>
  <c r="AD47" i="3"/>
  <c r="Y47" i="3"/>
  <c r="AN47" i="3"/>
  <c r="AC47" i="3"/>
  <c r="AF63" i="3"/>
  <c r="AH61" i="3"/>
  <c r="AI26" i="3"/>
  <c r="AY66" i="2"/>
  <c r="AI66" i="2"/>
  <c r="AR66" i="2"/>
  <c r="AW66" i="2"/>
  <c r="AG66" i="2"/>
  <c r="AC66" i="2"/>
  <c r="BH66" i="2"/>
  <c r="AK66" i="2"/>
  <c r="AN66" i="2"/>
  <c r="BK66" i="2"/>
  <c r="AT66" i="2"/>
  <c r="W66" i="2"/>
  <c r="BJ66" i="2"/>
  <c r="X66" i="2"/>
  <c r="R66" i="2" a="1"/>
  <c r="AV66" i="2"/>
  <c r="Y66" i="2" a="1"/>
  <c r="Z66" i="2" s="1"/>
  <c r="AJ66" i="2"/>
  <c r="BI66" i="2"/>
  <c r="O66" i="2"/>
  <c r="P66" i="2" a="1"/>
  <c r="BL66" i="2"/>
  <c r="AH66" i="2"/>
  <c r="AM66" i="2"/>
  <c r="AS66" i="2"/>
  <c r="AA66" i="2"/>
  <c r="AL66" i="2"/>
  <c r="AQ66" i="2"/>
  <c r="AU66" i="2"/>
  <c r="AO66" i="2"/>
  <c r="AX66" i="2"/>
  <c r="E66" i="2" a="1"/>
  <c r="E66" i="2" s="1"/>
  <c r="AP66" i="2"/>
  <c r="BF76" i="2"/>
  <c r="Y59" i="3"/>
  <c r="Z59" i="3"/>
  <c r="AE59" i="3"/>
  <c r="T59" i="3"/>
  <c r="AL59" i="3" s="1"/>
  <c r="AH59" i="3"/>
  <c r="AD59" i="3"/>
  <c r="M59" i="3"/>
  <c r="AN59" i="3"/>
  <c r="E73" i="174"/>
  <c r="AG73" i="174" s="1"/>
  <c r="V59" i="3"/>
  <c r="AM59" i="3" s="1"/>
  <c r="AC59" i="3"/>
  <c r="AF59" i="3"/>
  <c r="AI59" i="3"/>
  <c r="AG73" i="3"/>
  <c r="R73" i="3"/>
  <c r="T73" i="3"/>
  <c r="AL73" i="3" s="1"/>
  <c r="F73" i="14"/>
  <c r="C73" i="4"/>
  <c r="P73" i="4" s="1"/>
  <c r="Z73" i="3"/>
  <c r="Y73" i="3"/>
  <c r="M73" i="3"/>
  <c r="AD73" i="3"/>
  <c r="P73" i="3"/>
  <c r="AH73" i="3"/>
  <c r="AB73" i="3"/>
  <c r="AJ73" i="3"/>
  <c r="AF73" i="3"/>
  <c r="AN73" i="3"/>
  <c r="AC73" i="3"/>
  <c r="AI73" i="3"/>
  <c r="AE73" i="3"/>
  <c r="V73" i="3"/>
  <c r="AM73" i="3" s="1"/>
  <c r="BC76" i="2"/>
  <c r="AH37" i="3"/>
  <c r="M44" i="3"/>
  <c r="E8" i="114" s="1"/>
  <c r="AF47" i="3"/>
  <c r="AH51" i="3"/>
  <c r="AI47" i="3"/>
  <c r="AE41" i="3"/>
  <c r="AE51" i="3"/>
  <c r="AI44" i="3"/>
  <c r="AH47" i="3"/>
  <c r="AH41" i="3"/>
  <c r="AF51" i="3"/>
  <c r="AF41" i="3"/>
  <c r="AI41" i="3"/>
  <c r="AI51" i="3"/>
  <c r="AH44" i="3"/>
  <c r="AF44" i="3"/>
  <c r="AE47" i="3"/>
  <c r="K66" i="4"/>
  <c r="M66" i="4" s="1"/>
  <c r="G72" i="19"/>
  <c r="O72" i="19"/>
  <c r="C69" i="19"/>
  <c r="D69" i="19" s="1"/>
  <c r="H69" i="19" s="1"/>
  <c r="J69" i="17"/>
  <c r="D75" i="17"/>
  <c r="E75" i="17" s="1"/>
  <c r="F75" i="17" s="1"/>
  <c r="G75" i="17" s="1"/>
  <c r="H75" i="17" s="1"/>
  <c r="I75" i="17" s="1"/>
  <c r="J75" i="17"/>
  <c r="K74" i="4"/>
  <c r="M74" i="4" s="1"/>
  <c r="D74" i="16"/>
  <c r="E74" i="16" s="1"/>
  <c r="F74" i="16"/>
  <c r="C66" i="17"/>
  <c r="J66" i="17" s="1"/>
  <c r="F66" i="16"/>
  <c r="N74" i="4"/>
  <c r="C75" i="19"/>
  <c r="O75" i="19" s="1"/>
  <c r="C74" i="17"/>
  <c r="J74" i="17" s="1"/>
  <c r="C70" i="17"/>
  <c r="J70" i="17" s="1"/>
  <c r="D70" i="16"/>
  <c r="E70" i="16" s="1"/>
  <c r="K70" i="4"/>
  <c r="M70" i="4" s="1"/>
  <c r="J70" i="4"/>
  <c r="L70" i="4" s="1"/>
  <c r="F72" i="17"/>
  <c r="G72" i="17" s="1"/>
  <c r="H72" i="17" s="1"/>
  <c r="I72" i="17" s="1"/>
  <c r="F69" i="17"/>
  <c r="G69" i="17" s="1"/>
  <c r="H69" i="17" s="1"/>
  <c r="I69" i="17" s="1"/>
  <c r="O75" i="4"/>
  <c r="O72" i="4"/>
  <c r="O69" i="4"/>
  <c r="D72" i="19"/>
  <c r="H72" i="19" s="1"/>
  <c r="C72" i="20"/>
  <c r="G72" i="20" s="1"/>
  <c r="F72" i="19"/>
  <c r="E72" i="19"/>
  <c r="J72" i="19" s="1"/>
  <c r="I72" i="19"/>
  <c r="L66" i="4"/>
  <c r="N66" i="4" s="1"/>
  <c r="AF14" i="15"/>
  <c r="AG14" i="15" s="1"/>
  <c r="AD16" i="15"/>
  <c r="AE16" i="15"/>
  <c r="T51" i="3"/>
  <c r="V41" i="3"/>
  <c r="T44" i="3"/>
  <c r="E49" i="2" a="1"/>
  <c r="R49" i="2" a="1"/>
  <c r="R54" i="2" a="1"/>
  <c r="Y49" i="2" a="1"/>
  <c r="E54" i="2" a="1"/>
  <c r="O54" i="2"/>
  <c r="Y54" i="2" a="1"/>
  <c r="O49" i="2"/>
  <c r="P54" i="2" a="1"/>
  <c r="P49" i="2" a="1"/>
  <c r="Y45" i="2" a="1"/>
  <c r="R28" i="2" a="1"/>
  <c r="E28" i="2" a="1"/>
  <c r="Y53" i="2" a="1"/>
  <c r="R53" i="2" a="1"/>
  <c r="R45" i="2" a="1"/>
  <c r="P53" i="2" a="1"/>
  <c r="O28" i="2"/>
  <c r="E45" i="2" a="1"/>
  <c r="O53" i="2"/>
  <c r="Y28" i="2" a="1"/>
  <c r="E53" i="2" a="1"/>
  <c r="P45" i="2" a="1"/>
  <c r="P28" i="2" a="1"/>
  <c r="O45" i="2"/>
  <c r="R31" i="2" a="1"/>
  <c r="P26" i="2" a="1"/>
  <c r="R37" i="2" a="1"/>
  <c r="Y32" i="2" a="1"/>
  <c r="R43" i="2" a="1"/>
  <c r="P23" i="2" a="1"/>
  <c r="R27" i="2" a="1"/>
  <c r="Y17" i="2" a="1"/>
  <c r="Y31" i="2" a="1"/>
  <c r="R63" i="2" a="1"/>
  <c r="E31" i="2" a="1"/>
  <c r="E19" i="2" a="1"/>
  <c r="P24" i="2" a="1"/>
  <c r="Y68" i="2" a="1"/>
  <c r="Y62" i="2" a="1"/>
  <c r="Y40" i="2" a="1"/>
  <c r="R62" i="2" a="1"/>
  <c r="E68" i="2" a="1"/>
  <c r="E22" i="2" a="1"/>
  <c r="Y39" i="2" a="1"/>
  <c r="R24" i="2" a="1"/>
  <c r="R34" i="2" a="1"/>
  <c r="Y18" i="2" a="1"/>
  <c r="Y19" i="2" a="1"/>
  <c r="E34" i="2" a="1"/>
  <c r="R40" i="2" a="1"/>
  <c r="P39" i="2" a="1"/>
  <c r="P34" i="2" a="1"/>
  <c r="E63" i="2" a="1"/>
  <c r="E25" i="2" a="1"/>
  <c r="E40" i="2" a="1"/>
  <c r="R32" i="2" a="1"/>
  <c r="R39" i="2" a="1"/>
  <c r="R19" i="2" a="1"/>
  <c r="Y37" i="2" a="1"/>
  <c r="R26" i="2" a="1"/>
  <c r="E17" i="2" a="1"/>
  <c r="E32" i="2" a="1"/>
  <c r="Y61" i="2" a="1"/>
  <c r="P61" i="2" a="1"/>
  <c r="Y34" i="2" a="1"/>
  <c r="R61" i="2" a="1"/>
  <c r="R23" i="2" a="1"/>
  <c r="E43" i="2" a="1"/>
  <c r="P25" i="2" a="1"/>
  <c r="P31" i="2" a="1"/>
  <c r="E21" i="2" a="1"/>
  <c r="P19" i="2" a="1"/>
  <c r="E38" i="2" a="1"/>
  <c r="P37" i="2" a="1"/>
  <c r="R25" i="2" a="1"/>
  <c r="Y27" i="2" a="1"/>
  <c r="P43" i="2" a="1"/>
  <c r="E37" i="2" a="1"/>
  <c r="R22" i="2" a="1"/>
  <c r="P68" i="2" a="1"/>
  <c r="P22" i="2" a="1"/>
  <c r="R21" i="2" a="1"/>
  <c r="Y22" i="2" a="1"/>
  <c r="P40" i="2" a="1"/>
  <c r="P63" i="2" a="1"/>
  <c r="Y63" i="2" a="1"/>
  <c r="E39" i="2" a="1"/>
  <c r="Y43" i="2" a="1"/>
  <c r="Y21" i="2" a="1"/>
  <c r="P38" i="2" a="1"/>
  <c r="E26" i="2" a="1"/>
  <c r="Y25" i="2" a="1"/>
  <c r="Y24" i="2" a="1"/>
  <c r="E23" i="2" a="1"/>
  <c r="Y26" i="2" a="1"/>
  <c r="E27" i="2" a="1"/>
  <c r="E62" i="2" a="1"/>
  <c r="E61" i="2" a="1"/>
  <c r="E24" i="2" a="1"/>
  <c r="R68" i="2" a="1"/>
  <c r="P62" i="2" a="1"/>
  <c r="R38" i="2" a="1"/>
  <c r="P18" i="2" a="1"/>
  <c r="E18" i="2" a="1"/>
  <c r="P32" i="2" a="1"/>
  <c r="P27" i="2" a="1"/>
  <c r="Y23" i="2" a="1"/>
  <c r="Y38" i="2" a="1"/>
  <c r="R18" i="2" a="1"/>
  <c r="P21" i="2" a="1"/>
  <c r="P20" i="2" a="1"/>
  <c r="R20" i="2" a="1"/>
  <c r="Y20" i="2" a="1"/>
  <c r="E20" i="2" a="1"/>
  <c r="R46" i="2" a="1"/>
  <c r="E46" i="2" a="1"/>
  <c r="Y46" i="2" a="1"/>
  <c r="P46" i="2" a="1"/>
  <c r="O46" i="2"/>
  <c r="T61" i="3"/>
  <c r="V61" i="3"/>
  <c r="O61" i="2"/>
  <c r="P47" i="2" a="1"/>
  <c r="Y47" i="2" a="1"/>
  <c r="R47" i="2" a="1"/>
  <c r="E47" i="2" a="1"/>
  <c r="F17" i="3"/>
  <c r="T47" i="3"/>
  <c r="V26" i="3"/>
  <c r="T21" i="3"/>
  <c r="T18" i="3"/>
  <c r="O21" i="2"/>
  <c r="O19" i="2"/>
  <c r="G17" i="3"/>
  <c r="O62" i="2"/>
  <c r="V62" i="3"/>
  <c r="O20" i="2"/>
  <c r="V18" i="3"/>
  <c r="AA68" i="2"/>
  <c r="T63" i="3"/>
  <c r="V34" i="3"/>
  <c r="V63" i="3"/>
  <c r="O68" i="2"/>
  <c r="V21" i="3"/>
  <c r="T31" i="3"/>
  <c r="T68" i="3"/>
  <c r="J17" i="3"/>
  <c r="O23" i="2"/>
  <c r="V68" i="3"/>
  <c r="T34" i="3"/>
  <c r="O47" i="2"/>
  <c r="O25" i="2"/>
  <c r="T62" i="3"/>
  <c r="O37" i="2"/>
  <c r="O18" i="2"/>
  <c r="X68" i="2"/>
  <c r="O43" i="2"/>
  <c r="H17" i="3"/>
  <c r="O24" i="2"/>
  <c r="V47" i="3"/>
  <c r="O17" i="2"/>
  <c r="O31" i="2"/>
  <c r="T23" i="3"/>
  <c r="O34" i="2"/>
  <c r="T37" i="3"/>
  <c r="O39" i="2"/>
  <c r="E17" i="3"/>
  <c r="K17" i="3"/>
  <c r="O40" i="2"/>
  <c r="V31" i="3"/>
  <c r="V40" i="3"/>
  <c r="W68" i="2"/>
  <c r="V37" i="3"/>
  <c r="O32" i="2"/>
  <c r="O38" i="2"/>
  <c r="T40" i="3"/>
  <c r="T26" i="3"/>
  <c r="V23" i="3"/>
  <c r="O27" i="2"/>
  <c r="O26" i="2"/>
  <c r="O22" i="2"/>
  <c r="O63" i="2"/>
  <c r="AL47" i="3" l="1"/>
  <c r="AM47" i="3"/>
  <c r="R74" i="2"/>
  <c r="BC74" i="2" s="1"/>
  <c r="P11" i="179"/>
  <c r="AX11" i="179" s="1" a="1"/>
  <c r="AX11" i="179" s="1"/>
  <c r="I76" i="3"/>
  <c r="AG76" i="3" s="1"/>
  <c r="AA76" i="3" s="1"/>
  <c r="X76" i="3" s="1"/>
  <c r="CZ61" i="179"/>
  <c r="DC61" i="179"/>
  <c r="DE61" i="179"/>
  <c r="BB61" i="179"/>
  <c r="CY61" i="179"/>
  <c r="B61" i="179"/>
  <c r="DA61" i="179"/>
  <c r="DF61" i="179"/>
  <c r="DG61" i="179"/>
  <c r="BA61" i="179"/>
  <c r="DD61" i="179"/>
  <c r="DH61" i="179"/>
  <c r="DB61" i="179"/>
  <c r="DE37" i="179"/>
  <c r="DH37" i="179"/>
  <c r="DC37" i="179"/>
  <c r="DF37" i="179"/>
  <c r="DA37" i="179"/>
  <c r="DD37" i="179"/>
  <c r="BA37" i="179"/>
  <c r="BB37" i="179"/>
  <c r="B37" i="179"/>
  <c r="CZ37" i="179"/>
  <c r="CY37" i="179"/>
  <c r="DG37" i="179"/>
  <c r="DB37" i="179"/>
  <c r="CY12" i="179"/>
  <c r="DH12" i="179"/>
  <c r="DB12" i="179"/>
  <c r="DG12" i="179"/>
  <c r="B12" i="179"/>
  <c r="BB12" i="179"/>
  <c r="DE12" i="179"/>
  <c r="DC12" i="179"/>
  <c r="BA12" i="179"/>
  <c r="DA12" i="179"/>
  <c r="DD12" i="179"/>
  <c r="DF12" i="179"/>
  <c r="CZ12" i="179"/>
  <c r="DC14" i="179"/>
  <c r="CY14" i="179"/>
  <c r="B14" i="179"/>
  <c r="DD14" i="179"/>
  <c r="DF14" i="179"/>
  <c r="DG14" i="179"/>
  <c r="DA14" i="179"/>
  <c r="CZ14" i="179"/>
  <c r="BA14" i="179"/>
  <c r="DB14" i="179"/>
  <c r="DE14" i="179"/>
  <c r="BB14" i="179"/>
  <c r="DH14" i="179"/>
  <c r="DC64" i="179"/>
  <c r="CZ64" i="179"/>
  <c r="CY64" i="179"/>
  <c r="B64" i="179"/>
  <c r="DE64" i="179"/>
  <c r="DH64" i="179"/>
  <c r="DG64" i="179"/>
  <c r="DB64" i="179"/>
  <c r="BB64" i="179"/>
  <c r="BA64" i="179"/>
  <c r="DA64" i="179"/>
  <c r="DD64" i="179"/>
  <c r="DF64" i="179"/>
  <c r="DF41" i="179"/>
  <c r="DA41" i="179"/>
  <c r="DD41" i="179"/>
  <c r="DC41" i="179"/>
  <c r="BB41" i="179"/>
  <c r="B41" i="179"/>
  <c r="DE41" i="179"/>
  <c r="DB41" i="179"/>
  <c r="CZ41" i="179"/>
  <c r="CY41" i="179"/>
  <c r="BA41" i="179"/>
  <c r="DH41" i="179"/>
  <c r="DG41" i="179"/>
  <c r="DD47" i="179"/>
  <c r="DG47" i="179"/>
  <c r="DB47" i="179"/>
  <c r="BB47" i="179"/>
  <c r="DF47" i="179"/>
  <c r="CZ47" i="179"/>
  <c r="CY47" i="179"/>
  <c r="DC47" i="179"/>
  <c r="BA47" i="179"/>
  <c r="DA47" i="179"/>
  <c r="B47" i="179"/>
  <c r="DH47" i="179"/>
  <c r="DE47" i="179"/>
  <c r="CY56" i="179"/>
  <c r="B56" i="179"/>
  <c r="DE56" i="179"/>
  <c r="DH56" i="179"/>
  <c r="BA56" i="179"/>
  <c r="DF56" i="179"/>
  <c r="DA56" i="179"/>
  <c r="DD56" i="179"/>
  <c r="BB56" i="179"/>
  <c r="DB56" i="179"/>
  <c r="CZ56" i="179"/>
  <c r="DG56" i="179"/>
  <c r="DC56" i="179"/>
  <c r="CY52" i="179"/>
  <c r="B52" i="179"/>
  <c r="DE52" i="179"/>
  <c r="DH52" i="179"/>
  <c r="BA52" i="179"/>
  <c r="DF52" i="179"/>
  <c r="DA52" i="179"/>
  <c r="DD52" i="179"/>
  <c r="DC52" i="179"/>
  <c r="CZ52" i="179"/>
  <c r="DG52" i="179"/>
  <c r="BB52" i="179"/>
  <c r="DB52" i="179"/>
  <c r="DE59" i="179"/>
  <c r="DH59" i="179"/>
  <c r="CY59" i="179"/>
  <c r="DF59" i="179"/>
  <c r="DA59" i="179"/>
  <c r="DD59" i="179"/>
  <c r="DC59" i="179"/>
  <c r="DB59" i="179"/>
  <c r="CZ59" i="179"/>
  <c r="BB59" i="179"/>
  <c r="DG59" i="179"/>
  <c r="BA59" i="179"/>
  <c r="B59" i="179"/>
  <c r="DB29" i="179"/>
  <c r="CZ29" i="179"/>
  <c r="BB29" i="179"/>
  <c r="DE29" i="179"/>
  <c r="B29" i="179"/>
  <c r="DH29" i="179"/>
  <c r="DA29" i="179"/>
  <c r="DF29" i="179"/>
  <c r="BA29" i="179"/>
  <c r="DD29" i="179"/>
  <c r="DG29" i="179"/>
  <c r="CY29" i="179"/>
  <c r="DC29" i="179"/>
  <c r="BA28" i="179"/>
  <c r="DF28" i="179"/>
  <c r="DH28" i="179"/>
  <c r="DE28" i="179"/>
  <c r="DG28" i="179"/>
  <c r="CZ28" i="179"/>
  <c r="DB28" i="179"/>
  <c r="DC28" i="179"/>
  <c r="DD28" i="179"/>
  <c r="CY28" i="179"/>
  <c r="B28" i="179"/>
  <c r="BB28" i="179"/>
  <c r="DA28" i="179"/>
  <c r="DD31" i="179"/>
  <c r="DF31" i="179"/>
  <c r="CY31" i="179"/>
  <c r="CZ31" i="179"/>
  <c r="DB31" i="179"/>
  <c r="DA31" i="179"/>
  <c r="BA31" i="179"/>
  <c r="BB31" i="179"/>
  <c r="B31" i="179"/>
  <c r="DE31" i="179"/>
  <c r="DH31" i="179"/>
  <c r="DC31" i="179"/>
  <c r="DG31" i="179"/>
  <c r="DA50" i="179"/>
  <c r="DD50" i="179"/>
  <c r="DG50" i="179"/>
  <c r="CZ50" i="179"/>
  <c r="DC50" i="179"/>
  <c r="DB50" i="179"/>
  <c r="CY50" i="179"/>
  <c r="DH50" i="179"/>
  <c r="BA50" i="179"/>
  <c r="B50" i="179"/>
  <c r="DE50" i="179"/>
  <c r="DF50" i="179"/>
  <c r="BB50" i="179"/>
  <c r="BB36" i="179"/>
  <c r="CY36" i="179"/>
  <c r="B36" i="179"/>
  <c r="DH36" i="179"/>
  <c r="DG36" i="179"/>
  <c r="DE36" i="179"/>
  <c r="DC36" i="179"/>
  <c r="CZ36" i="179"/>
  <c r="DB36" i="179"/>
  <c r="DD36" i="179"/>
  <c r="DF36" i="179"/>
  <c r="DA36" i="179"/>
  <c r="BA36" i="179"/>
  <c r="CY68" i="179"/>
  <c r="B68" i="179"/>
  <c r="DE68" i="179"/>
  <c r="DH68" i="179"/>
  <c r="BA68" i="179"/>
  <c r="DF68" i="179"/>
  <c r="DA68" i="179"/>
  <c r="DD68" i="179"/>
  <c r="DB68" i="179"/>
  <c r="BB68" i="179"/>
  <c r="CZ68" i="179"/>
  <c r="DG68" i="179"/>
  <c r="DC68" i="179"/>
  <c r="DE54" i="179"/>
  <c r="DH54" i="179"/>
  <c r="BA54" i="179"/>
  <c r="DF54" i="179"/>
  <c r="DA54" i="179"/>
  <c r="DD54" i="179"/>
  <c r="DG54" i="179"/>
  <c r="DB54" i="179"/>
  <c r="CZ54" i="179"/>
  <c r="BB54" i="179"/>
  <c r="B54" i="179"/>
  <c r="DC54" i="179"/>
  <c r="CY54" i="179"/>
  <c r="CZ40" i="179"/>
  <c r="DC40" i="179"/>
  <c r="DE40" i="179"/>
  <c r="DF40" i="179"/>
  <c r="DA40" i="179"/>
  <c r="DG40" i="179"/>
  <c r="DB40" i="179"/>
  <c r="BB40" i="179"/>
  <c r="CY40" i="179"/>
  <c r="B40" i="179"/>
  <c r="DH40" i="179"/>
  <c r="BA40" i="179"/>
  <c r="DD40" i="179"/>
  <c r="DF13" i="179"/>
  <c r="DD13" i="179"/>
  <c r="DC13" i="179"/>
  <c r="DG13" i="179"/>
  <c r="B13" i="179"/>
  <c r="DE13" i="179"/>
  <c r="CZ13" i="179"/>
  <c r="BA13" i="179"/>
  <c r="BB13" i="179"/>
  <c r="DB13" i="179"/>
  <c r="DH13" i="179"/>
  <c r="CY13" i="179"/>
  <c r="DA13" i="179"/>
  <c r="BB67" i="179"/>
  <c r="B67" i="179"/>
  <c r="DG67" i="179"/>
  <c r="DE67" i="179"/>
  <c r="DH67" i="179"/>
  <c r="CY67" i="179"/>
  <c r="DA67" i="179"/>
  <c r="DC67" i="179"/>
  <c r="BA67" i="179"/>
  <c r="DD67" i="179"/>
  <c r="CZ67" i="179"/>
  <c r="DF67" i="179"/>
  <c r="DB67" i="179"/>
  <c r="DB25" i="179"/>
  <c r="CZ25" i="179"/>
  <c r="B25" i="179"/>
  <c r="DH25" i="179"/>
  <c r="DC25" i="179"/>
  <c r="DG25" i="179"/>
  <c r="DD25" i="179"/>
  <c r="CY25" i="179"/>
  <c r="DF25" i="179"/>
  <c r="BA25" i="179"/>
  <c r="DA25" i="179"/>
  <c r="BB25" i="179"/>
  <c r="DE25" i="179"/>
  <c r="DC22" i="179"/>
  <c r="DF22" i="179"/>
  <c r="CY22" i="179"/>
  <c r="B22" i="179"/>
  <c r="DH22" i="179"/>
  <c r="BB22" i="179"/>
  <c r="DG22" i="179"/>
  <c r="DB22" i="179"/>
  <c r="BA22" i="179"/>
  <c r="CZ22" i="179"/>
  <c r="DE22" i="179"/>
  <c r="DA22" i="179"/>
  <c r="DD22" i="179"/>
  <c r="BA46" i="179"/>
  <c r="DD46" i="179"/>
  <c r="DF46" i="179"/>
  <c r="BB46" i="179"/>
  <c r="B46" i="179"/>
  <c r="DG46" i="179"/>
  <c r="DA46" i="179"/>
  <c r="DE46" i="179"/>
  <c r="DC46" i="179"/>
  <c r="DH46" i="179"/>
  <c r="CZ46" i="179"/>
  <c r="CY46" i="179"/>
  <c r="DB46" i="179"/>
  <c r="BA16" i="179"/>
  <c r="DF16" i="179"/>
  <c r="BB16" i="179"/>
  <c r="DE16" i="179"/>
  <c r="DG16" i="179"/>
  <c r="CZ16" i="179"/>
  <c r="DC16" i="179"/>
  <c r="DD16" i="179"/>
  <c r="CY16" i="179"/>
  <c r="B16" i="179"/>
  <c r="DB16" i="179"/>
  <c r="DH16" i="179"/>
  <c r="DA16" i="179"/>
  <c r="DH21" i="179"/>
  <c r="B21" i="179"/>
  <c r="DF21" i="179"/>
  <c r="CZ21" i="179"/>
  <c r="DE21" i="179"/>
  <c r="DG21" i="179"/>
  <c r="CY21" i="179"/>
  <c r="DD21" i="179"/>
  <c r="DA21" i="179"/>
  <c r="BB21" i="179"/>
  <c r="DC21" i="179"/>
  <c r="BA21" i="179"/>
  <c r="DB21" i="179"/>
  <c r="DG38" i="179"/>
  <c r="DB38" i="179"/>
  <c r="DC38" i="179"/>
  <c r="DH38" i="179"/>
  <c r="B38" i="179"/>
  <c r="CZ38" i="179"/>
  <c r="DE38" i="179"/>
  <c r="CY38" i="179"/>
  <c r="DA38" i="179"/>
  <c r="BA38" i="179"/>
  <c r="BB38" i="179"/>
  <c r="DF38" i="179"/>
  <c r="DD38" i="179"/>
  <c r="DH43" i="179"/>
  <c r="BA43" i="179"/>
  <c r="DF43" i="179"/>
  <c r="DE43" i="179"/>
  <c r="CZ43" i="179"/>
  <c r="DD43" i="179"/>
  <c r="DG43" i="179"/>
  <c r="DB43" i="179"/>
  <c r="DA43" i="179"/>
  <c r="DC43" i="179"/>
  <c r="B43" i="179"/>
  <c r="BB43" i="179"/>
  <c r="CY43" i="179"/>
  <c r="CZ44" i="179"/>
  <c r="DC44" i="179"/>
  <c r="DH44" i="179"/>
  <c r="BA44" i="179"/>
  <c r="BB44" i="179"/>
  <c r="CY44" i="179"/>
  <c r="B44" i="179"/>
  <c r="DE44" i="179"/>
  <c r="DF44" i="179"/>
  <c r="DA44" i="179"/>
  <c r="DB44" i="179"/>
  <c r="DD44" i="179"/>
  <c r="DG44" i="179"/>
  <c r="DD65" i="179"/>
  <c r="DG65" i="179"/>
  <c r="DB65" i="179"/>
  <c r="CZ65" i="179"/>
  <c r="DC65" i="179"/>
  <c r="DE65" i="179"/>
  <c r="DH65" i="179"/>
  <c r="BA65" i="179"/>
  <c r="BB65" i="179"/>
  <c r="B65" i="179"/>
  <c r="DF65" i="179"/>
  <c r="DA65" i="179"/>
  <c r="CY65" i="179"/>
  <c r="CZ23" i="179"/>
  <c r="DB23" i="179"/>
  <c r="DA23" i="179"/>
  <c r="B23" i="179"/>
  <c r="BB23" i="179"/>
  <c r="BA23" i="179"/>
  <c r="DH23" i="179"/>
  <c r="DG23" i="179"/>
  <c r="DC23" i="179"/>
  <c r="DD23" i="179"/>
  <c r="CY23" i="179"/>
  <c r="DE23" i="179"/>
  <c r="DF23" i="179"/>
  <c r="DG26" i="179"/>
  <c r="DA26" i="179"/>
  <c r="BB26" i="179"/>
  <c r="DH26" i="179"/>
  <c r="DC26" i="179"/>
  <c r="CZ26" i="179"/>
  <c r="DE26" i="179"/>
  <c r="CY26" i="179"/>
  <c r="DB26" i="179"/>
  <c r="DD26" i="179"/>
  <c r="BA26" i="179"/>
  <c r="B26" i="179"/>
  <c r="DF26" i="179"/>
  <c r="DE32" i="179"/>
  <c r="DH32" i="179"/>
  <c r="BA32" i="179"/>
  <c r="DF32" i="179"/>
  <c r="BB32" i="179"/>
  <c r="DG32" i="179"/>
  <c r="DB32" i="179"/>
  <c r="DA32" i="179"/>
  <c r="DC32" i="179"/>
  <c r="B32" i="179"/>
  <c r="DD32" i="179"/>
  <c r="CZ32" i="179"/>
  <c r="CY32" i="179"/>
  <c r="BB33" i="179"/>
  <c r="DG33" i="179"/>
  <c r="B33" i="179"/>
  <c r="DE33" i="179"/>
  <c r="DH33" i="179"/>
  <c r="CY33" i="179"/>
  <c r="DF33" i="179"/>
  <c r="DD33" i="179"/>
  <c r="DC33" i="179"/>
  <c r="DB33" i="179"/>
  <c r="CZ33" i="179"/>
  <c r="BA33" i="179"/>
  <c r="DA33" i="179"/>
  <c r="BB58" i="179"/>
  <c r="CY58" i="179"/>
  <c r="B58" i="179"/>
  <c r="DE58" i="179"/>
  <c r="DH58" i="179"/>
  <c r="BA58" i="179"/>
  <c r="DF58" i="179"/>
  <c r="DA58" i="179"/>
  <c r="DG58" i="179"/>
  <c r="DB58" i="179"/>
  <c r="DC58" i="179"/>
  <c r="DD58" i="179"/>
  <c r="CZ58" i="179"/>
  <c r="DF45" i="179"/>
  <c r="DD45" i="179"/>
  <c r="DA45" i="179"/>
  <c r="CY45" i="179"/>
  <c r="DB45" i="179"/>
  <c r="DG45" i="179"/>
  <c r="DE45" i="179"/>
  <c r="BA45" i="179"/>
  <c r="DH45" i="179"/>
  <c r="CZ45" i="179"/>
  <c r="B45" i="179"/>
  <c r="DC45" i="179"/>
  <c r="BB45" i="179"/>
  <c r="DC34" i="179"/>
  <c r="CY34" i="179"/>
  <c r="B34" i="179"/>
  <c r="DE34" i="179"/>
  <c r="CZ34" i="179"/>
  <c r="DH34" i="179"/>
  <c r="BA34" i="179"/>
  <c r="DA34" i="179"/>
  <c r="DD34" i="179"/>
  <c r="DG34" i="179"/>
  <c r="BB34" i="179"/>
  <c r="DF34" i="179"/>
  <c r="DB34" i="179"/>
  <c r="CZ15" i="179"/>
  <c r="DB15" i="179"/>
  <c r="DA15" i="179"/>
  <c r="B15" i="179"/>
  <c r="BB15" i="179"/>
  <c r="BA15" i="179"/>
  <c r="DD15" i="179"/>
  <c r="CY15" i="179"/>
  <c r="DF15" i="179"/>
  <c r="DC15" i="179"/>
  <c r="DG15" i="179"/>
  <c r="DE15" i="179"/>
  <c r="DH15" i="179"/>
  <c r="DD19" i="179"/>
  <c r="DF19" i="179"/>
  <c r="CY19" i="179"/>
  <c r="DE19" i="179"/>
  <c r="DC19" i="179"/>
  <c r="CZ19" i="179"/>
  <c r="DB19" i="179"/>
  <c r="BA19" i="179"/>
  <c r="DH19" i="179"/>
  <c r="B19" i="179"/>
  <c r="BB19" i="179"/>
  <c r="DG19" i="179"/>
  <c r="DA19" i="179"/>
  <c r="DE51" i="179"/>
  <c r="DH51" i="179"/>
  <c r="CY51" i="179"/>
  <c r="DF51" i="179"/>
  <c r="DA51" i="179"/>
  <c r="DD51" i="179"/>
  <c r="DC51" i="179"/>
  <c r="DB51" i="179"/>
  <c r="CZ51" i="179"/>
  <c r="DG51" i="179"/>
  <c r="BB51" i="179"/>
  <c r="BA51" i="179"/>
  <c r="B51" i="179"/>
  <c r="BB35" i="179"/>
  <c r="CY35" i="179"/>
  <c r="B35" i="179"/>
  <c r="DE35" i="179"/>
  <c r="DH35" i="179"/>
  <c r="BA35" i="179"/>
  <c r="DF35" i="179"/>
  <c r="DA35" i="179"/>
  <c r="CZ35" i="179"/>
  <c r="DG35" i="179"/>
  <c r="DB35" i="179"/>
  <c r="DC35" i="179"/>
  <c r="DD35" i="179"/>
  <c r="DB55" i="179"/>
  <c r="CZ55" i="179"/>
  <c r="BA55" i="179"/>
  <c r="BB55" i="179"/>
  <c r="B55" i="179"/>
  <c r="DG55" i="179"/>
  <c r="DA55" i="179"/>
  <c r="DC55" i="179"/>
  <c r="DH55" i="179"/>
  <c r="CY55" i="179"/>
  <c r="DE55" i="179"/>
  <c r="DD55" i="179"/>
  <c r="DF55" i="179"/>
  <c r="DG18" i="179"/>
  <c r="DA18" i="179"/>
  <c r="BB18" i="179"/>
  <c r="CZ18" i="179"/>
  <c r="DC18" i="179"/>
  <c r="DF18" i="179"/>
  <c r="BA18" i="179"/>
  <c r="DB18" i="179"/>
  <c r="B18" i="179"/>
  <c r="DD18" i="179"/>
  <c r="DH18" i="179"/>
  <c r="CY18" i="179"/>
  <c r="DE18" i="179"/>
  <c r="DH69" i="179"/>
  <c r="BA69" i="179"/>
  <c r="DF69" i="179"/>
  <c r="DD69" i="179"/>
  <c r="DG69" i="179"/>
  <c r="DB69" i="179"/>
  <c r="BB69" i="179"/>
  <c r="B69" i="179"/>
  <c r="DC69" i="179"/>
  <c r="DA69" i="179"/>
  <c r="CZ69" i="179"/>
  <c r="DE69" i="179"/>
  <c r="CY69" i="179"/>
  <c r="DE20" i="179"/>
  <c r="DA20" i="179"/>
  <c r="DC20" i="179"/>
  <c r="DD20" i="179"/>
  <c r="DB20" i="179"/>
  <c r="BA20" i="179"/>
  <c r="CZ20" i="179"/>
  <c r="DH20" i="179"/>
  <c r="DG20" i="179"/>
  <c r="BB20" i="179"/>
  <c r="CY20" i="179"/>
  <c r="B20" i="179"/>
  <c r="DF20" i="179"/>
  <c r="DH53" i="179"/>
  <c r="BA53" i="179"/>
  <c r="DF53" i="179"/>
  <c r="DD53" i="179"/>
  <c r="DG53" i="179"/>
  <c r="DB53" i="179"/>
  <c r="DC53" i="179"/>
  <c r="CY53" i="179"/>
  <c r="DA53" i="179"/>
  <c r="CZ53" i="179"/>
  <c r="DE53" i="179"/>
  <c r="BB53" i="179"/>
  <c r="B53" i="179"/>
  <c r="DG60" i="179"/>
  <c r="DB60" i="179"/>
  <c r="BB60" i="179"/>
  <c r="DC60" i="179"/>
  <c r="CZ60" i="179"/>
  <c r="B60" i="179"/>
  <c r="DH60" i="179"/>
  <c r="DF60" i="179"/>
  <c r="DD60" i="179"/>
  <c r="CY60" i="179"/>
  <c r="BA60" i="179"/>
  <c r="DE60" i="179"/>
  <c r="DA60" i="179"/>
  <c r="CZ57" i="179"/>
  <c r="DC57" i="179"/>
  <c r="DE57" i="179"/>
  <c r="DH57" i="179"/>
  <c r="DG57" i="179"/>
  <c r="B57" i="179"/>
  <c r="DD57" i="179"/>
  <c r="CY57" i="179"/>
  <c r="DF57" i="179"/>
  <c r="BB57" i="179"/>
  <c r="DB57" i="179"/>
  <c r="DA57" i="179"/>
  <c r="BA57" i="179"/>
  <c r="BB62" i="179"/>
  <c r="CY62" i="179"/>
  <c r="B62" i="179"/>
  <c r="DE62" i="179"/>
  <c r="DH62" i="179"/>
  <c r="BA62" i="179"/>
  <c r="DF62" i="179"/>
  <c r="DA62" i="179"/>
  <c r="DG62" i="179"/>
  <c r="DB62" i="179"/>
  <c r="DC62" i="179"/>
  <c r="DD62" i="179"/>
  <c r="CZ62" i="179"/>
  <c r="CZ39" i="179"/>
  <c r="DC39" i="179"/>
  <c r="BB39" i="179"/>
  <c r="CY39" i="179"/>
  <c r="B39" i="179"/>
  <c r="DG39" i="179"/>
  <c r="DB39" i="179"/>
  <c r="DH39" i="179"/>
  <c r="BA39" i="179"/>
  <c r="DE39" i="179"/>
  <c r="DF39" i="179"/>
  <c r="DD39" i="179"/>
  <c r="DA39" i="179"/>
  <c r="DA66" i="179"/>
  <c r="DD66" i="179"/>
  <c r="DG66" i="179"/>
  <c r="CZ66" i="179"/>
  <c r="DC66" i="179"/>
  <c r="DB66" i="179"/>
  <c r="BB66" i="179"/>
  <c r="B66" i="179"/>
  <c r="BA66" i="179"/>
  <c r="DH66" i="179"/>
  <c r="DF66" i="179"/>
  <c r="DE66" i="179"/>
  <c r="CY66" i="179"/>
  <c r="DD49" i="179"/>
  <c r="DG49" i="179"/>
  <c r="DB49" i="179"/>
  <c r="BB49" i="179"/>
  <c r="B49" i="179"/>
  <c r="DF49" i="179"/>
  <c r="CZ49" i="179"/>
  <c r="DC49" i="179"/>
  <c r="DE49" i="179"/>
  <c r="CY49" i="179"/>
  <c r="DA49" i="179"/>
  <c r="DH49" i="179"/>
  <c r="BA49" i="179"/>
  <c r="BA30" i="179"/>
  <c r="DE30" i="179"/>
  <c r="DB30" i="179"/>
  <c r="CZ30" i="179"/>
  <c r="DG30" i="179"/>
  <c r="DA30" i="179"/>
  <c r="BB30" i="179"/>
  <c r="B30" i="179"/>
  <c r="DH30" i="179"/>
  <c r="DC30" i="179"/>
  <c r="DF30" i="179"/>
  <c r="CY30" i="179"/>
  <c r="DD30" i="179"/>
  <c r="DC42" i="179"/>
  <c r="BB42" i="179"/>
  <c r="DF42" i="179"/>
  <c r="DG42" i="179"/>
  <c r="DB42" i="179"/>
  <c r="DD42" i="179"/>
  <c r="CY42" i="179"/>
  <c r="B42" i="179"/>
  <c r="DE42" i="179"/>
  <c r="CZ42" i="179"/>
  <c r="DH42" i="179"/>
  <c r="BA42" i="179"/>
  <c r="DA42" i="179"/>
  <c r="CY24" i="179"/>
  <c r="B24" i="179"/>
  <c r="DH24" i="179"/>
  <c r="CZ24" i="179"/>
  <c r="BA24" i="179"/>
  <c r="DF24" i="179"/>
  <c r="DB24" i="179"/>
  <c r="DE24" i="179"/>
  <c r="BB24" i="179"/>
  <c r="DA24" i="179"/>
  <c r="DD24" i="179"/>
  <c r="DG24" i="179"/>
  <c r="DC24" i="179"/>
  <c r="DH17" i="179"/>
  <c r="DA17" i="179"/>
  <c r="DG17" i="179"/>
  <c r="DF17" i="179"/>
  <c r="DD17" i="179"/>
  <c r="DC17" i="179"/>
  <c r="BA17" i="179"/>
  <c r="CY17" i="179"/>
  <c r="CZ17" i="179"/>
  <c r="BB17" i="179"/>
  <c r="B17" i="179"/>
  <c r="DB17" i="179"/>
  <c r="DE17" i="179"/>
  <c r="DH27" i="179"/>
  <c r="DG27" i="179"/>
  <c r="DE27" i="179"/>
  <c r="DC27" i="179"/>
  <c r="DD27" i="179"/>
  <c r="DF27" i="179"/>
  <c r="CY27" i="179"/>
  <c r="B27" i="179"/>
  <c r="CZ27" i="179"/>
  <c r="BB27" i="179"/>
  <c r="DB27" i="179"/>
  <c r="BA27" i="179"/>
  <c r="DA27" i="179"/>
  <c r="DC48" i="179"/>
  <c r="CZ48" i="179"/>
  <c r="DF48" i="179"/>
  <c r="DD48" i="179"/>
  <c r="CY48" i="179"/>
  <c r="B48" i="179"/>
  <c r="DE48" i="179"/>
  <c r="DH48" i="179"/>
  <c r="BA48" i="179"/>
  <c r="DA48" i="179"/>
  <c r="DB48" i="179"/>
  <c r="DG48" i="179"/>
  <c r="BB48" i="179"/>
  <c r="DF63" i="179"/>
  <c r="DA63" i="179"/>
  <c r="DD63" i="179"/>
  <c r="DC63" i="179"/>
  <c r="DB63" i="179"/>
  <c r="CZ63" i="179"/>
  <c r="BA63" i="179"/>
  <c r="DH63" i="179"/>
  <c r="CY63" i="179"/>
  <c r="BB63" i="179"/>
  <c r="DG63" i="179"/>
  <c r="B63" i="179"/>
  <c r="DE63" i="179"/>
  <c r="DF11" i="179"/>
  <c r="DA11" i="179"/>
  <c r="DD11" i="179"/>
  <c r="B11" i="179"/>
  <c r="CY11" i="179"/>
  <c r="CZ11" i="179"/>
  <c r="BA11" i="179"/>
  <c r="BB11" i="179"/>
  <c r="DG11" i="179"/>
  <c r="DH11" i="179"/>
  <c r="DC11" i="179"/>
  <c r="DB11" i="179"/>
  <c r="DE11" i="179"/>
  <c r="AE17" i="3"/>
  <c r="E31" i="174"/>
  <c r="Z73" i="2"/>
  <c r="M73" i="2"/>
  <c r="I74" i="2"/>
  <c r="AL61" i="3"/>
  <c r="S73" i="2"/>
  <c r="AM61" i="3"/>
  <c r="AL68" i="3"/>
  <c r="K74" i="2"/>
  <c r="E74" i="2"/>
  <c r="R73" i="2"/>
  <c r="BC73" i="2" s="1"/>
  <c r="L74" i="2"/>
  <c r="F74" i="2"/>
  <c r="AO71" i="3"/>
  <c r="M74" i="2"/>
  <c r="T73" i="2"/>
  <c r="H74" i="2"/>
  <c r="N74" i="2"/>
  <c r="Y74" i="2"/>
  <c r="U73" i="2"/>
  <c r="J74" i="2"/>
  <c r="H73" i="2"/>
  <c r="S74" i="2"/>
  <c r="F70" i="2"/>
  <c r="AK67" i="3"/>
  <c r="AM68" i="3"/>
  <c r="K71" i="2"/>
  <c r="N69" i="2"/>
  <c r="N70" i="2"/>
  <c r="E75" i="2"/>
  <c r="I72" i="2"/>
  <c r="AO67" i="3"/>
  <c r="L70" i="2"/>
  <c r="E70" i="2"/>
  <c r="P75" i="2"/>
  <c r="C73" i="16"/>
  <c r="F73" i="16" s="1"/>
  <c r="E73" i="2"/>
  <c r="L73" i="2"/>
  <c r="L69" i="2"/>
  <c r="J72" i="2"/>
  <c r="Q74" i="2"/>
  <c r="BB74" i="2" s="1"/>
  <c r="K73" i="2"/>
  <c r="N73" i="2"/>
  <c r="J69" i="2"/>
  <c r="V72" i="2"/>
  <c r="F73" i="2"/>
  <c r="J73" i="2"/>
  <c r="G73" i="2"/>
  <c r="H70" i="2"/>
  <c r="S70" i="2"/>
  <c r="I75" i="2"/>
  <c r="M70" i="2"/>
  <c r="N71" i="2"/>
  <c r="I69" i="2"/>
  <c r="G71" i="2"/>
  <c r="M71" i="2"/>
  <c r="U72" i="2"/>
  <c r="S72" i="2"/>
  <c r="Y66" i="2"/>
  <c r="AA67" i="3"/>
  <c r="N71" i="4"/>
  <c r="O71" i="4" s="1"/>
  <c r="Y67" i="2"/>
  <c r="Y75" i="2"/>
  <c r="H69" i="2"/>
  <c r="M69" i="2"/>
  <c r="J71" i="2"/>
  <c r="H71" i="2"/>
  <c r="R72" i="2"/>
  <c r="BC72" i="2" s="1"/>
  <c r="E69" i="2"/>
  <c r="D71" i="4"/>
  <c r="E71" i="4" s="1"/>
  <c r="F71" i="4" s="1"/>
  <c r="G71" i="4" s="1"/>
  <c r="H71" i="4" s="1"/>
  <c r="I71" i="4" s="1"/>
  <c r="K71" i="4" s="1"/>
  <c r="M71" i="4" s="1"/>
  <c r="I71" i="2"/>
  <c r="C71" i="16"/>
  <c r="F71" i="16" s="1"/>
  <c r="G69" i="2"/>
  <c r="F69" i="2"/>
  <c r="L71" i="2"/>
  <c r="F71" i="2"/>
  <c r="F67" i="14"/>
  <c r="F71" i="14"/>
  <c r="E58" i="174"/>
  <c r="AG58" i="174" s="1"/>
  <c r="L72" i="2"/>
  <c r="D67" i="4"/>
  <c r="E67" i="4" s="1"/>
  <c r="F67" i="4" s="1"/>
  <c r="G67" i="4" s="1"/>
  <c r="H67" i="4" s="1"/>
  <c r="I67" i="4" s="1"/>
  <c r="K67" i="4" s="1"/>
  <c r="M67" i="4" s="1"/>
  <c r="E72" i="2"/>
  <c r="K67" i="2"/>
  <c r="AK73" i="3"/>
  <c r="AK71" i="3"/>
  <c r="T71" i="2"/>
  <c r="E87" i="174"/>
  <c r="AG87" i="174" s="1"/>
  <c r="J66" i="2"/>
  <c r="E67" i="2"/>
  <c r="AA71" i="3"/>
  <c r="R71" i="2"/>
  <c r="BC71" i="2" s="1"/>
  <c r="Y70" i="2"/>
  <c r="H66" i="2"/>
  <c r="L66" i="2"/>
  <c r="Q70" i="2"/>
  <c r="BB70" i="2" s="1"/>
  <c r="Z69" i="2"/>
  <c r="V71" i="2"/>
  <c r="G66" i="2"/>
  <c r="G70" i="2"/>
  <c r="N67" i="4"/>
  <c r="O67" i="4" s="1"/>
  <c r="N67" i="2"/>
  <c r="L67" i="2"/>
  <c r="U70" i="2"/>
  <c r="I70" i="2"/>
  <c r="V70" i="2"/>
  <c r="V74" i="2"/>
  <c r="Y72" i="2"/>
  <c r="K72" i="2"/>
  <c r="N66" i="2"/>
  <c r="P73" i="2"/>
  <c r="S69" i="2"/>
  <c r="T70" i="2"/>
  <c r="U69" i="2"/>
  <c r="C67" i="16"/>
  <c r="F67" i="16" s="1"/>
  <c r="Z71" i="2"/>
  <c r="J70" i="2"/>
  <c r="T74" i="2"/>
  <c r="L75" i="2"/>
  <c r="F59" i="14"/>
  <c r="D73" i="4"/>
  <c r="E73" i="4" s="1"/>
  <c r="F73" i="4" s="1"/>
  <c r="G73" i="4" s="1"/>
  <c r="H73" i="4" s="1"/>
  <c r="I73" i="4" s="1"/>
  <c r="K73" i="4" s="1"/>
  <c r="M73" i="4" s="1"/>
  <c r="AO73" i="3"/>
  <c r="G67" i="2"/>
  <c r="N75" i="2"/>
  <c r="F67" i="2"/>
  <c r="N72" i="2"/>
  <c r="F72" i="2"/>
  <c r="K66" i="2"/>
  <c r="I66" i="2"/>
  <c r="F66" i="2"/>
  <c r="V69" i="2"/>
  <c r="M67" i="2"/>
  <c r="R69" i="2"/>
  <c r="BC69" i="2" s="1"/>
  <c r="F75" i="2"/>
  <c r="Q69" i="2"/>
  <c r="BB69" i="2" s="1"/>
  <c r="R75" i="2"/>
  <c r="BC75" i="2" s="1"/>
  <c r="U71" i="2"/>
  <c r="G75" i="2"/>
  <c r="Q72" i="2"/>
  <c r="BB72" i="2" s="1"/>
  <c r="M72" i="2"/>
  <c r="G72" i="2"/>
  <c r="M66" i="2"/>
  <c r="H67" i="2"/>
  <c r="P71" i="2"/>
  <c r="J67" i="2"/>
  <c r="H75" i="2"/>
  <c r="T75" i="2"/>
  <c r="S75" i="2"/>
  <c r="AA73" i="3"/>
  <c r="AF39" i="3"/>
  <c r="AH39" i="3"/>
  <c r="AI38" i="3"/>
  <c r="F38" i="14"/>
  <c r="E52" i="174"/>
  <c r="AG52" i="174" s="1"/>
  <c r="AF17" i="3"/>
  <c r="AF22" i="3"/>
  <c r="AI43" i="3"/>
  <c r="AF27" i="3"/>
  <c r="E38" i="174"/>
  <c r="AG38" i="174" s="1"/>
  <c r="F24" i="14"/>
  <c r="AI24" i="3"/>
  <c r="AF32" i="3"/>
  <c r="AH19" i="3"/>
  <c r="AI39" i="3"/>
  <c r="BL68" i="2"/>
  <c r="AH38" i="3"/>
  <c r="E36" i="174"/>
  <c r="AG36" i="174" s="1"/>
  <c r="F22" i="14"/>
  <c r="AI27" i="3"/>
  <c r="AI32" i="3"/>
  <c r="AH32" i="3"/>
  <c r="BH68" i="2"/>
  <c r="AE43" i="3"/>
  <c r="AH24" i="3"/>
  <c r="AF19" i="3"/>
  <c r="AI19" i="3"/>
  <c r="F39" i="14"/>
  <c r="E53" i="174"/>
  <c r="AG53" i="174" s="1"/>
  <c r="BI68" i="2"/>
  <c r="AZ68" i="2"/>
  <c r="AF38" i="3"/>
  <c r="AI22" i="3"/>
  <c r="AH22" i="3"/>
  <c r="AF43" i="3"/>
  <c r="AH43" i="3"/>
  <c r="AH27" i="3"/>
  <c r="AF24" i="3"/>
  <c r="J75" i="2"/>
  <c r="M75" i="2"/>
  <c r="U75" i="2"/>
  <c r="AL51" i="3"/>
  <c r="C66" i="19"/>
  <c r="O66" i="19" s="1"/>
  <c r="C69" i="20"/>
  <c r="D69" i="20" s="1"/>
  <c r="E69" i="20" s="1"/>
  <c r="I69" i="19"/>
  <c r="E69" i="19"/>
  <c r="J69" i="19" s="1"/>
  <c r="G69" i="19"/>
  <c r="O69" i="19"/>
  <c r="F69" i="19"/>
  <c r="E75" i="19"/>
  <c r="J75" i="19" s="1"/>
  <c r="G75" i="19"/>
  <c r="O74" i="4"/>
  <c r="I75" i="19"/>
  <c r="C75" i="20"/>
  <c r="F75" i="19"/>
  <c r="D75" i="19"/>
  <c r="H75" i="19" s="1"/>
  <c r="D74" i="17"/>
  <c r="E74" i="17" s="1"/>
  <c r="F74" i="17" s="1"/>
  <c r="C74" i="19"/>
  <c r="N70" i="4"/>
  <c r="O70" i="4" s="1"/>
  <c r="D70" i="17"/>
  <c r="E70" i="17" s="1"/>
  <c r="F70" i="17" s="1"/>
  <c r="G70" i="17" s="1"/>
  <c r="H70" i="17" s="1"/>
  <c r="I70" i="17" s="1"/>
  <c r="C70" i="19"/>
  <c r="M75" i="19" a="1"/>
  <c r="M75" i="19" s="1"/>
  <c r="N75" i="19" s="1"/>
  <c r="M72" i="19" a="1"/>
  <c r="M72" i="19" s="1"/>
  <c r="N72" i="19" s="1"/>
  <c r="M69" i="19" a="1"/>
  <c r="M69" i="19" s="1"/>
  <c r="N69" i="19" s="1"/>
  <c r="C72" i="21"/>
  <c r="D72" i="20"/>
  <c r="E72" i="20" s="1"/>
  <c r="O66" i="4"/>
  <c r="K72" i="19"/>
  <c r="K69" i="19"/>
  <c r="K75" i="19"/>
  <c r="AH14" i="15"/>
  <c r="AI14" i="15" s="1"/>
  <c r="AF16" i="15"/>
  <c r="AG16" i="15"/>
  <c r="E68" i="2"/>
  <c r="U68" i="2"/>
  <c r="Q68" i="2"/>
  <c r="R68" i="2"/>
  <c r="I68" i="2"/>
  <c r="V39" i="3"/>
  <c r="T38" i="3"/>
  <c r="J68" i="2"/>
  <c r="T19" i="3"/>
  <c r="P68" i="2"/>
  <c r="V19" i="3"/>
  <c r="K68" i="2"/>
  <c r="L68" i="2"/>
  <c r="T32" i="3"/>
  <c r="V68" i="2"/>
  <c r="T22" i="3"/>
  <c r="V43" i="3"/>
  <c r="N68" i="2"/>
  <c r="F68" i="2"/>
  <c r="Y68" i="2"/>
  <c r="T24" i="3"/>
  <c r="Z68" i="2"/>
  <c r="H68" i="2"/>
  <c r="T39" i="3"/>
  <c r="T43" i="3"/>
  <c r="M68" i="2"/>
  <c r="T27" i="3"/>
  <c r="V32" i="3"/>
  <c r="S68" i="2"/>
  <c r="T68" i="2"/>
  <c r="G68" i="2"/>
  <c r="V27" i="3"/>
  <c r="V24" i="3"/>
  <c r="V38" i="3"/>
  <c r="V22" i="3"/>
  <c r="C76" i="4" l="1"/>
  <c r="D76" i="4" s="1"/>
  <c r="E76" i="4" s="1"/>
  <c r="F76" i="4" s="1"/>
  <c r="G76" i="4" s="1"/>
  <c r="H76" i="4" s="1"/>
  <c r="I76" i="4" s="1"/>
  <c r="J76" i="4" s="1"/>
  <c r="L76" i="4" s="1"/>
  <c r="L76" i="3"/>
  <c r="AZ44" i="179"/>
  <c r="AZ46" i="179"/>
  <c r="AZ40" i="179"/>
  <c r="AX40" i="179" s="1" a="1"/>
  <c r="AX40" i="179" s="1"/>
  <c r="AZ16" i="179"/>
  <c r="AZ64" i="179"/>
  <c r="AZ62" i="179"/>
  <c r="AZ25" i="179"/>
  <c r="AZ48" i="179"/>
  <c r="AZ20" i="179"/>
  <c r="AZ55" i="179"/>
  <c r="AZ51" i="179"/>
  <c r="AZ58" i="179"/>
  <c r="AZ33" i="179"/>
  <c r="AZ41" i="179"/>
  <c r="AX41" i="179" s="1" a="1"/>
  <c r="AX41" i="179" s="1"/>
  <c r="AZ14" i="179"/>
  <c r="AX14" i="179" s="1" a="1"/>
  <c r="AX14" i="179" s="1"/>
  <c r="AZ45" i="179"/>
  <c r="AZ26" i="179"/>
  <c r="AZ37" i="179"/>
  <c r="AX37" i="179" s="1" a="1"/>
  <c r="AX37" i="179" s="1"/>
  <c r="AZ42" i="179"/>
  <c r="AZ53" i="179"/>
  <c r="AZ35" i="179"/>
  <c r="AZ22" i="179"/>
  <c r="AZ30" i="179"/>
  <c r="AZ56" i="179"/>
  <c r="AZ12" i="179"/>
  <c r="AZ63" i="179"/>
  <c r="AZ23" i="179"/>
  <c r="AZ54" i="179"/>
  <c r="AZ49" i="179"/>
  <c r="AZ39" i="179"/>
  <c r="AZ60" i="179"/>
  <c r="AZ69" i="179"/>
  <c r="AZ18" i="179"/>
  <c r="AZ65" i="179"/>
  <c r="AZ34" i="179"/>
  <c r="AZ31" i="179"/>
  <c r="AZ28" i="179"/>
  <c r="AZ27" i="179"/>
  <c r="AZ24" i="179"/>
  <c r="AZ19" i="179"/>
  <c r="AZ32" i="179"/>
  <c r="AZ43" i="179"/>
  <c r="AZ38" i="179"/>
  <c r="AZ59" i="179"/>
  <c r="AZ47" i="179"/>
  <c r="AZ66" i="179"/>
  <c r="AZ68" i="179"/>
  <c r="AZ21" i="179"/>
  <c r="AZ67" i="179"/>
  <c r="AZ50" i="179"/>
  <c r="AZ52" i="179"/>
  <c r="AZ57" i="179"/>
  <c r="AZ17" i="179"/>
  <c r="AZ15" i="179"/>
  <c r="AZ13" i="179"/>
  <c r="AZ29" i="179"/>
  <c r="AZ61" i="179"/>
  <c r="AZ36" i="179"/>
  <c r="D73" i="16"/>
  <c r="E73" i="16" s="1"/>
  <c r="C71" i="17"/>
  <c r="J71" i="17" s="1"/>
  <c r="C73" i="17"/>
  <c r="J73" i="17" s="1"/>
  <c r="D71" i="16"/>
  <c r="E71" i="16" s="1"/>
  <c r="AO76" i="3"/>
  <c r="J71" i="4"/>
  <c r="L71" i="4" s="1"/>
  <c r="C67" i="17"/>
  <c r="J67" i="17" s="1"/>
  <c r="J67" i="4"/>
  <c r="L67" i="4" s="1"/>
  <c r="J73" i="4"/>
  <c r="L73" i="4" s="1"/>
  <c r="N73" i="4" s="1"/>
  <c r="O73" i="4" s="1"/>
  <c r="AR68" i="2"/>
  <c r="AV68" i="2"/>
  <c r="AP68" i="2"/>
  <c r="BJ68" i="2"/>
  <c r="BE68" i="2"/>
  <c r="AX68" i="2"/>
  <c r="AT68" i="2"/>
  <c r="AU68" i="2"/>
  <c r="BG68" i="2"/>
  <c r="BD68" i="2"/>
  <c r="BA68" i="2"/>
  <c r="AS68" i="2"/>
  <c r="AY68" i="2"/>
  <c r="BF68" i="2"/>
  <c r="BB68" i="2"/>
  <c r="AW68" i="2"/>
  <c r="AQ68" i="2"/>
  <c r="BK68" i="2"/>
  <c r="BC68" i="2"/>
  <c r="H72" i="21"/>
  <c r="C72" i="177"/>
  <c r="K72" i="177" s="1"/>
  <c r="I66" i="19"/>
  <c r="C66" i="20"/>
  <c r="G66" i="20" s="1"/>
  <c r="C75" i="21"/>
  <c r="G75" i="20"/>
  <c r="C69" i="21"/>
  <c r="G69" i="20"/>
  <c r="G70" i="19"/>
  <c r="O70" i="19"/>
  <c r="G74" i="19"/>
  <c r="O74" i="19"/>
  <c r="C72" i="154"/>
  <c r="D75" i="20"/>
  <c r="E75" i="20" s="1"/>
  <c r="F75" i="20" s="1"/>
  <c r="G74" i="17"/>
  <c r="H74" i="17" s="1"/>
  <c r="C74" i="20"/>
  <c r="D74" i="19"/>
  <c r="H74" i="19" s="1"/>
  <c r="I74" i="19"/>
  <c r="E74" i="19"/>
  <c r="J74" i="19" s="1"/>
  <c r="F74" i="19"/>
  <c r="K74" i="19" s="1"/>
  <c r="D70" i="19"/>
  <c r="H70" i="19" s="1"/>
  <c r="C70" i="20"/>
  <c r="G70" i="20" s="1"/>
  <c r="E70" i="19"/>
  <c r="J70" i="19" s="1"/>
  <c r="F70" i="19"/>
  <c r="K70" i="19" s="1"/>
  <c r="I70" i="19"/>
  <c r="F72" i="20"/>
  <c r="F69" i="20"/>
  <c r="C72" i="7"/>
  <c r="D72" i="21"/>
  <c r="E72" i="21" s="1"/>
  <c r="AJ14" i="15"/>
  <c r="AK14" i="15" s="1"/>
  <c r="AH16" i="15"/>
  <c r="AI16" i="15"/>
  <c r="K76" i="4" l="1"/>
  <c r="M76" i="4" s="1"/>
  <c r="C76" i="16"/>
  <c r="C76" i="17" s="1"/>
  <c r="C76" i="19" s="1"/>
  <c r="C76" i="20" s="1"/>
  <c r="D76" i="20" s="1"/>
  <c r="E76" i="20" s="1"/>
  <c r="F76" i="20" s="1"/>
  <c r="I68" i="3"/>
  <c r="AG68" i="3" s="1"/>
  <c r="AA68" i="3" s="1"/>
  <c r="X68" i="3" s="1"/>
  <c r="D73" i="17"/>
  <c r="E73" i="17" s="1"/>
  <c r="F73" i="17" s="1"/>
  <c r="G73" i="17" s="1"/>
  <c r="H73" i="17" s="1"/>
  <c r="I73" i="17" s="1"/>
  <c r="C67" i="19"/>
  <c r="O67" i="19" s="1"/>
  <c r="D71" i="17"/>
  <c r="E71" i="17" s="1"/>
  <c r="F71" i="17" s="1"/>
  <c r="G71" i="17" s="1"/>
  <c r="H71" i="17" s="1"/>
  <c r="I71" i="17" s="1"/>
  <c r="C71" i="19"/>
  <c r="C71" i="20" s="1"/>
  <c r="G71" i="20" s="1"/>
  <c r="C73" i="19"/>
  <c r="G73" i="19" s="1"/>
  <c r="M72" i="177"/>
  <c r="K72" i="7"/>
  <c r="M72" i="7"/>
  <c r="H69" i="21"/>
  <c r="C69" i="177"/>
  <c r="K69" i="177" s="1"/>
  <c r="H75" i="21"/>
  <c r="C75" i="177"/>
  <c r="K75" i="177" s="1"/>
  <c r="D66" i="20"/>
  <c r="E66" i="20" s="1"/>
  <c r="F66" i="20" s="1"/>
  <c r="C66" i="21"/>
  <c r="F75" i="21"/>
  <c r="G75" i="21" s="1"/>
  <c r="D75" i="21"/>
  <c r="E75" i="21" s="1"/>
  <c r="C75" i="154"/>
  <c r="D75" i="154" s="1"/>
  <c r="C75" i="7"/>
  <c r="F69" i="21"/>
  <c r="G69" i="21" s="1"/>
  <c r="C86" i="174"/>
  <c r="D72" i="154"/>
  <c r="G72" i="154"/>
  <c r="D74" i="20"/>
  <c r="G74" i="20"/>
  <c r="C69" i="154"/>
  <c r="C69" i="7"/>
  <c r="D69" i="21"/>
  <c r="E69" i="21" s="1"/>
  <c r="M74" i="19" a="1"/>
  <c r="M74" i="19" s="1"/>
  <c r="I74" i="17"/>
  <c r="C74" i="21"/>
  <c r="E74" i="20"/>
  <c r="F74" i="20" s="1"/>
  <c r="M70" i="19" a="1"/>
  <c r="M70" i="19" s="1"/>
  <c r="N70" i="19" s="1"/>
  <c r="D70" i="20"/>
  <c r="E70" i="20" s="1"/>
  <c r="F70" i="20" s="1"/>
  <c r="C70" i="21"/>
  <c r="F72" i="21"/>
  <c r="G72" i="21" s="1"/>
  <c r="C8" i="135"/>
  <c r="AL14" i="15"/>
  <c r="AM14" i="15" s="1"/>
  <c r="AJ16" i="15"/>
  <c r="AK16" i="15"/>
  <c r="G76" i="19" l="1"/>
  <c r="N76" i="4"/>
  <c r="O76" i="4" s="1"/>
  <c r="E76" i="19"/>
  <c r="J76" i="19" s="1"/>
  <c r="C76" i="21"/>
  <c r="C76" i="177" s="1"/>
  <c r="D76" i="16"/>
  <c r="E76" i="16" s="1"/>
  <c r="F76" i="19"/>
  <c r="K76" i="19" s="1"/>
  <c r="D76" i="19"/>
  <c r="H76" i="19" s="1"/>
  <c r="D76" i="17"/>
  <c r="E76" i="17" s="1"/>
  <c r="F76" i="17" s="1"/>
  <c r="G76" i="17" s="1"/>
  <c r="H76" i="17" s="1"/>
  <c r="I76" i="17" s="1"/>
  <c r="I76" i="19"/>
  <c r="C68" i="4"/>
  <c r="C68" i="16" s="1"/>
  <c r="D68" i="16" s="1"/>
  <c r="E68" i="16" s="1"/>
  <c r="L68" i="3"/>
  <c r="C72" i="14"/>
  <c r="F73" i="19"/>
  <c r="K73" i="19"/>
  <c r="C67" i="20"/>
  <c r="C67" i="21" s="1"/>
  <c r="H67" i="21" s="1"/>
  <c r="E73" i="19"/>
  <c r="J73" i="19" s="1"/>
  <c r="I67" i="19"/>
  <c r="D73" i="19"/>
  <c r="H73" i="19" s="1"/>
  <c r="G67" i="19"/>
  <c r="M71" i="19" a="1"/>
  <c r="M71" i="19" s="1"/>
  <c r="N71" i="19" s="1"/>
  <c r="D71" i="19"/>
  <c r="H71" i="19" s="1"/>
  <c r="F71" i="19"/>
  <c r="K71" i="19" s="1"/>
  <c r="O71" i="19"/>
  <c r="G71" i="19"/>
  <c r="C71" i="21"/>
  <c r="C71" i="177" s="1"/>
  <c r="K71" i="177" s="1"/>
  <c r="D71" i="20"/>
  <c r="E71" i="20" s="1"/>
  <c r="F71" i="20" s="1"/>
  <c r="I71" i="19"/>
  <c r="E71" i="19"/>
  <c r="J71" i="19" s="1"/>
  <c r="O73" i="19"/>
  <c r="C73" i="20"/>
  <c r="G73" i="20" s="1"/>
  <c r="I73" i="19"/>
  <c r="M73" i="19" a="1"/>
  <c r="M73" i="19" s="1"/>
  <c r="N73" i="19" s="1"/>
  <c r="D86" i="174"/>
  <c r="M75" i="177"/>
  <c r="M69" i="177"/>
  <c r="K75" i="7"/>
  <c r="M75" i="7"/>
  <c r="K69" i="7"/>
  <c r="M69" i="7"/>
  <c r="H70" i="21"/>
  <c r="C70" i="177"/>
  <c r="K70" i="177" s="1"/>
  <c r="H74" i="21"/>
  <c r="C74" i="177"/>
  <c r="K74" i="177" s="1"/>
  <c r="H66" i="21"/>
  <c r="C66" i="177"/>
  <c r="K66" i="177" s="1"/>
  <c r="N72" i="177"/>
  <c r="C66" i="154"/>
  <c r="D66" i="154" s="1"/>
  <c r="C66" i="7"/>
  <c r="D66" i="21"/>
  <c r="E66" i="21" s="1"/>
  <c r="G75" i="154"/>
  <c r="C89" i="174"/>
  <c r="Y86" i="174"/>
  <c r="G86" i="174"/>
  <c r="Z86" i="174"/>
  <c r="E72" i="14" s="1"/>
  <c r="AI86" i="174"/>
  <c r="H86" i="174"/>
  <c r="AE86" i="174"/>
  <c r="B86" i="174"/>
  <c r="AD86" i="174"/>
  <c r="C83" i="174"/>
  <c r="D69" i="154"/>
  <c r="G69" i="154"/>
  <c r="E75" i="156"/>
  <c r="E72" i="156"/>
  <c r="N74" i="19"/>
  <c r="D74" i="21"/>
  <c r="E74" i="21" s="1"/>
  <c r="C74" i="7"/>
  <c r="C74" i="154"/>
  <c r="C70" i="154"/>
  <c r="C70" i="7"/>
  <c r="D70" i="21"/>
  <c r="E73" i="156"/>
  <c r="E69" i="156"/>
  <c r="E67" i="156"/>
  <c r="F66" i="21"/>
  <c r="G66" i="21" s="1"/>
  <c r="AN14" i="15"/>
  <c r="AO14" i="15" s="1"/>
  <c r="AL16" i="15"/>
  <c r="AM16" i="15"/>
  <c r="C76" i="7" l="1"/>
  <c r="C90" i="174" s="1"/>
  <c r="M76" i="19" a="1"/>
  <c r="M76" i="19" s="1"/>
  <c r="N76" i="19" s="1"/>
  <c r="C76" i="154"/>
  <c r="D76" i="154" s="1"/>
  <c r="C68" i="17"/>
  <c r="C68" i="19" s="1"/>
  <c r="E68" i="19" s="1"/>
  <c r="J68" i="19" s="1"/>
  <c r="D76" i="21"/>
  <c r="E76" i="21" s="1"/>
  <c r="AO68" i="3"/>
  <c r="D68" i="4"/>
  <c r="E68" i="4" s="1"/>
  <c r="F68" i="4" s="1"/>
  <c r="G68" i="4" s="1"/>
  <c r="H68" i="4" s="1"/>
  <c r="I68" i="4" s="1"/>
  <c r="J68" i="4" s="1"/>
  <c r="L68" i="4" s="1"/>
  <c r="AI83" i="174"/>
  <c r="C69" i="14"/>
  <c r="C75" i="14"/>
  <c r="C67" i="177"/>
  <c r="K67" i="177" s="1"/>
  <c r="C67" i="7"/>
  <c r="K67" i="7" s="1"/>
  <c r="G67" i="20"/>
  <c r="C67" i="154"/>
  <c r="D67" i="154" s="1"/>
  <c r="F67" i="21"/>
  <c r="G67" i="21" s="1"/>
  <c r="H71" i="21"/>
  <c r="M71" i="177"/>
  <c r="N71" i="177" s="1"/>
  <c r="D67" i="21"/>
  <c r="E67" i="21" s="1"/>
  <c r="D67" i="20"/>
  <c r="E67" i="20" s="1"/>
  <c r="F67" i="20" s="1"/>
  <c r="C71" i="7"/>
  <c r="K71" i="7" s="1"/>
  <c r="C73" i="21"/>
  <c r="C73" i="7" s="1"/>
  <c r="K73" i="7" s="1"/>
  <c r="D73" i="20"/>
  <c r="E73" i="20" s="1"/>
  <c r="F73" i="20" s="1"/>
  <c r="D71" i="21"/>
  <c r="E71" i="21" s="1"/>
  <c r="F71" i="21"/>
  <c r="G71" i="21" s="1"/>
  <c r="C71" i="154"/>
  <c r="G71" i="154" s="1"/>
  <c r="D83" i="174"/>
  <c r="D89" i="174"/>
  <c r="M74" i="177"/>
  <c r="M70" i="177"/>
  <c r="M66" i="177"/>
  <c r="K70" i="7"/>
  <c r="M70" i="7"/>
  <c r="K66" i="7"/>
  <c r="M66" i="7"/>
  <c r="K74" i="7"/>
  <c r="M74" i="7"/>
  <c r="N75" i="177"/>
  <c r="N69" i="177"/>
  <c r="G66" i="154"/>
  <c r="C80" i="174"/>
  <c r="Y89" i="174"/>
  <c r="AD89" i="174"/>
  <c r="G89" i="174"/>
  <c r="AE89" i="174"/>
  <c r="H89" i="174"/>
  <c r="Z89" i="174"/>
  <c r="E75" i="14" s="1"/>
  <c r="B89" i="174"/>
  <c r="AI89" i="174"/>
  <c r="Z83" i="174"/>
  <c r="E69" i="14" s="1"/>
  <c r="Y83" i="174"/>
  <c r="B83" i="174"/>
  <c r="H83" i="174"/>
  <c r="G83" i="174"/>
  <c r="AE83" i="174"/>
  <c r="AD83" i="174"/>
  <c r="C88" i="174"/>
  <c r="D70" i="154"/>
  <c r="G70" i="154"/>
  <c r="D74" i="154"/>
  <c r="G74" i="154"/>
  <c r="C84" i="174"/>
  <c r="F74" i="21"/>
  <c r="G74" i="21" s="1"/>
  <c r="E70" i="21"/>
  <c r="F70" i="21" s="1"/>
  <c r="G70" i="21" s="1"/>
  <c r="C72" i="15"/>
  <c r="AP14" i="15"/>
  <c r="AQ14" i="15" s="1"/>
  <c r="AN16" i="15"/>
  <c r="AO16" i="15"/>
  <c r="G68" i="19" l="1"/>
  <c r="D68" i="17"/>
  <c r="E68" i="17" s="1"/>
  <c r="F68" i="17" s="1"/>
  <c r="G68" i="17" s="1"/>
  <c r="H68" i="17" s="1"/>
  <c r="I68" i="17" s="1"/>
  <c r="I68" i="19"/>
  <c r="F76" i="21"/>
  <c r="F68" i="19"/>
  <c r="K68" i="19" s="1"/>
  <c r="D68" i="19"/>
  <c r="H68" i="19" s="1"/>
  <c r="K68" i="4"/>
  <c r="M68" i="4" s="1"/>
  <c r="C68" i="20"/>
  <c r="C68" i="21" s="1"/>
  <c r="C68" i="177" s="1"/>
  <c r="C75" i="15"/>
  <c r="C74" i="14"/>
  <c r="C76" i="14"/>
  <c r="C70" i="14"/>
  <c r="C66" i="14"/>
  <c r="M67" i="177"/>
  <c r="D81" i="174" s="1"/>
  <c r="M67" i="7"/>
  <c r="C73" i="154"/>
  <c r="G73" i="154" s="1"/>
  <c r="C81" i="174"/>
  <c r="M73" i="7"/>
  <c r="F73" i="21"/>
  <c r="G73" i="21" s="1"/>
  <c r="D85" i="174"/>
  <c r="C87" i="174"/>
  <c r="G67" i="154"/>
  <c r="D73" i="21"/>
  <c r="E73" i="21" s="1"/>
  <c r="C73" i="177"/>
  <c r="K73" i="177" s="1"/>
  <c r="H73" i="21"/>
  <c r="D71" i="154"/>
  <c r="C85" i="174"/>
  <c r="M71" i="7"/>
  <c r="D88" i="174"/>
  <c r="D84" i="174"/>
  <c r="D80" i="174"/>
  <c r="N74" i="177"/>
  <c r="N66" i="177"/>
  <c r="N70" i="177"/>
  <c r="G80" i="174"/>
  <c r="C89" i="161"/>
  <c r="B89" i="161" s="1"/>
  <c r="B80" i="174"/>
  <c r="AD80" i="174"/>
  <c r="AE80" i="174"/>
  <c r="C69" i="15"/>
  <c r="C69" i="156" s="1"/>
  <c r="H88" i="174"/>
  <c r="AE88" i="174"/>
  <c r="B88" i="174"/>
  <c r="G88" i="174"/>
  <c r="AD88" i="174"/>
  <c r="Z88" i="174"/>
  <c r="E74" i="14" s="1"/>
  <c r="Y88" i="174"/>
  <c r="AI88" i="174"/>
  <c r="C70" i="15"/>
  <c r="E70" i="15" s="1"/>
  <c r="E70" i="156"/>
  <c r="E76" i="156"/>
  <c r="AI84" i="174"/>
  <c r="G84" i="174"/>
  <c r="AE84" i="174"/>
  <c r="AD84" i="174"/>
  <c r="H84" i="174"/>
  <c r="Y84" i="174"/>
  <c r="Z84" i="174"/>
  <c r="E70" i="14" s="1"/>
  <c r="B84" i="174"/>
  <c r="AE90" i="174"/>
  <c r="B90" i="174"/>
  <c r="AD90" i="174"/>
  <c r="E74" i="156"/>
  <c r="C86" i="161"/>
  <c r="C74" i="15"/>
  <c r="E71" i="156"/>
  <c r="E68" i="156"/>
  <c r="E66" i="156"/>
  <c r="C66" i="15"/>
  <c r="C75" i="156"/>
  <c r="C72" i="156"/>
  <c r="E72" i="15"/>
  <c r="E75" i="15"/>
  <c r="AR14" i="15"/>
  <c r="AS14" i="15" s="1"/>
  <c r="AP16" i="15"/>
  <c r="AQ16" i="15"/>
  <c r="N68" i="4" l="1"/>
  <c r="O68" i="4" s="1"/>
  <c r="D68" i="21"/>
  <c r="E68" i="21" s="1"/>
  <c r="F68" i="21" s="1"/>
  <c r="C68" i="7"/>
  <c r="C82" i="174" s="1"/>
  <c r="C68" i="14" s="1"/>
  <c r="C82" i="161" s="1"/>
  <c r="D68" i="20"/>
  <c r="E68" i="20" s="1"/>
  <c r="F68" i="20" s="1"/>
  <c r="C68" i="154"/>
  <c r="D68" i="154" s="1"/>
  <c r="M68" i="19" a="1"/>
  <c r="M68" i="19" s="1"/>
  <c r="N68" i="19" s="1"/>
  <c r="C67" i="14"/>
  <c r="C71" i="14"/>
  <c r="C73" i="14"/>
  <c r="N67" i="177"/>
  <c r="B87" i="174"/>
  <c r="Y81" i="174"/>
  <c r="AD81" i="174"/>
  <c r="AE87" i="174"/>
  <c r="G85" i="174"/>
  <c r="Y87" i="174"/>
  <c r="B81" i="174"/>
  <c r="AI81" i="174"/>
  <c r="Z81" i="174"/>
  <c r="E67" i="14" s="1"/>
  <c r="H81" i="174"/>
  <c r="AE81" i="174"/>
  <c r="G81" i="174"/>
  <c r="D73" i="154"/>
  <c r="H87" i="174"/>
  <c r="G87" i="174"/>
  <c r="AI87" i="174"/>
  <c r="AD87" i="174"/>
  <c r="Z87" i="174"/>
  <c r="E73" i="14" s="1"/>
  <c r="Z85" i="174"/>
  <c r="E71" i="14" s="1"/>
  <c r="M73" i="177"/>
  <c r="D87" i="174" s="1"/>
  <c r="AI85" i="174"/>
  <c r="Y85" i="174"/>
  <c r="AD85" i="174"/>
  <c r="B85" i="174"/>
  <c r="H85" i="174"/>
  <c r="AE85" i="174"/>
  <c r="C89" i="170"/>
  <c r="F89" i="170" s="1"/>
  <c r="Q89" i="165" s="1"/>
  <c r="Q89" i="166" s="1"/>
  <c r="C83" i="161"/>
  <c r="C83" i="170" s="1"/>
  <c r="J83" i="170" s="1"/>
  <c r="E69" i="15"/>
  <c r="C70" i="156"/>
  <c r="C90" i="161"/>
  <c r="C90" i="170" s="1"/>
  <c r="C76" i="15"/>
  <c r="E76" i="15" s="1"/>
  <c r="C84" i="161"/>
  <c r="C84" i="170" s="1"/>
  <c r="C86" i="170"/>
  <c r="C88" i="161"/>
  <c r="C88" i="170" s="1"/>
  <c r="B86" i="161"/>
  <c r="C80" i="161"/>
  <c r="C66" i="156"/>
  <c r="C74" i="156"/>
  <c r="E74" i="15"/>
  <c r="D67" i="16"/>
  <c r="E67" i="16" s="1"/>
  <c r="AZ67" i="2"/>
  <c r="AZ66" i="2"/>
  <c r="D66" i="16"/>
  <c r="E66" i="16" s="1"/>
  <c r="E66" i="15"/>
  <c r="AT14" i="15"/>
  <c r="AU14" i="15" s="1"/>
  <c r="AR16" i="15"/>
  <c r="AS16" i="15"/>
  <c r="B82" i="174" l="1"/>
  <c r="AD82" i="174"/>
  <c r="AE82" i="174"/>
  <c r="C71" i="15"/>
  <c r="E71" i="15" s="1"/>
  <c r="C73" i="15"/>
  <c r="E73" i="15" s="1"/>
  <c r="C68" i="15"/>
  <c r="C68" i="156" s="1"/>
  <c r="C67" i="15"/>
  <c r="E67" i="15" s="1"/>
  <c r="C87" i="161"/>
  <c r="B87" i="161" s="1"/>
  <c r="C81" i="161"/>
  <c r="C81" i="170" s="1"/>
  <c r="H81" i="170" s="1"/>
  <c r="D81" i="171" s="1"/>
  <c r="C73" i="156"/>
  <c r="C71" i="156"/>
  <c r="N73" i="177"/>
  <c r="C85" i="161"/>
  <c r="C85" i="170" s="1"/>
  <c r="B83" i="170"/>
  <c r="C89" i="171"/>
  <c r="J89" i="171" s="1"/>
  <c r="J89" i="170"/>
  <c r="L89" i="170"/>
  <c r="K89" i="170"/>
  <c r="M89" i="170"/>
  <c r="H89" i="170"/>
  <c r="D89" i="171" s="1"/>
  <c r="G89" i="170"/>
  <c r="B89" i="170"/>
  <c r="C83" i="171"/>
  <c r="C83" i="164" s="1"/>
  <c r="E83" i="164" s="1"/>
  <c r="L83" i="170"/>
  <c r="H83" i="170"/>
  <c r="D83" i="171" s="1"/>
  <c r="F83" i="170"/>
  <c r="Q83" i="165" s="1"/>
  <c r="Q83" i="166" s="1"/>
  <c r="K83" i="170"/>
  <c r="G83" i="170"/>
  <c r="B83" i="161"/>
  <c r="M83" i="170"/>
  <c r="C76" i="156"/>
  <c r="B90" i="161"/>
  <c r="B84" i="161"/>
  <c r="F86" i="170"/>
  <c r="Q86" i="165" s="1"/>
  <c r="Q86" i="166" s="1"/>
  <c r="J86" i="170"/>
  <c r="K86" i="170"/>
  <c r="B86" i="170"/>
  <c r="G86" i="170"/>
  <c r="L86" i="170"/>
  <c r="H86" i="170"/>
  <c r="M86" i="170"/>
  <c r="C86" i="171"/>
  <c r="C88" i="171"/>
  <c r="F88" i="170"/>
  <c r="Q88" i="165" s="1"/>
  <c r="Q88" i="166" s="1"/>
  <c r="K88" i="170"/>
  <c r="G88" i="170"/>
  <c r="L88" i="170"/>
  <c r="H88" i="170"/>
  <c r="B88" i="170"/>
  <c r="M88" i="170"/>
  <c r="J88" i="170"/>
  <c r="B80" i="161"/>
  <c r="C80" i="170"/>
  <c r="C90" i="171"/>
  <c r="K90" i="170"/>
  <c r="B90" i="170"/>
  <c r="J90" i="170"/>
  <c r="K84" i="170"/>
  <c r="C84" i="171"/>
  <c r="B84" i="170"/>
  <c r="J84" i="170"/>
  <c r="C82" i="170"/>
  <c r="G74" i="14"/>
  <c r="B88" i="161"/>
  <c r="B82" i="161"/>
  <c r="F74" i="156"/>
  <c r="M67" i="19" a="1"/>
  <c r="M67" i="19" s="1"/>
  <c r="N67" i="19" s="1"/>
  <c r="AV14" i="15"/>
  <c r="AW14" i="15" s="1"/>
  <c r="AT16" i="15"/>
  <c r="AU16" i="15"/>
  <c r="C67" i="156" l="1"/>
  <c r="E68" i="15"/>
  <c r="C87" i="170"/>
  <c r="C87" i="171" s="1"/>
  <c r="B87" i="171" s="1"/>
  <c r="L81" i="170"/>
  <c r="J81" i="170"/>
  <c r="G67" i="14"/>
  <c r="Z81" i="161"/>
  <c r="S81" i="161"/>
  <c r="G81" i="170"/>
  <c r="T81" i="161"/>
  <c r="U81" i="161" s="1"/>
  <c r="D81" i="170" s="1"/>
  <c r="Q81" i="161"/>
  <c r="J81" i="161"/>
  <c r="F81" i="161"/>
  <c r="M81" i="161"/>
  <c r="F81" i="170"/>
  <c r="Q81" i="165" s="1"/>
  <c r="Q81" i="166" s="1"/>
  <c r="B81" i="170"/>
  <c r="N81" i="161"/>
  <c r="C81" i="171"/>
  <c r="L81" i="171" s="1"/>
  <c r="M81" i="170"/>
  <c r="H81" i="161"/>
  <c r="K81" i="170"/>
  <c r="G81" i="161"/>
  <c r="K81" i="161"/>
  <c r="B81" i="161"/>
  <c r="P81" i="161"/>
  <c r="B85" i="161"/>
  <c r="C89" i="164"/>
  <c r="E89" i="164" s="1"/>
  <c r="F89" i="171"/>
  <c r="K89" i="171"/>
  <c r="G89" i="171"/>
  <c r="G89" i="164" s="1"/>
  <c r="I89" i="171"/>
  <c r="B89" i="171"/>
  <c r="L89" i="171"/>
  <c r="L83" i="171"/>
  <c r="I83" i="171"/>
  <c r="F83" i="171"/>
  <c r="J83" i="171"/>
  <c r="G83" i="171"/>
  <c r="G83" i="164" s="1"/>
  <c r="B83" i="171"/>
  <c r="K83" i="171"/>
  <c r="B83" i="164"/>
  <c r="L84" i="170"/>
  <c r="L90" i="170"/>
  <c r="D83" i="164"/>
  <c r="C90" i="164"/>
  <c r="B90" i="164" s="1"/>
  <c r="J90" i="171"/>
  <c r="I90" i="171"/>
  <c r="B90" i="171"/>
  <c r="C80" i="171"/>
  <c r="B80" i="170"/>
  <c r="K80" i="170"/>
  <c r="J80" i="170"/>
  <c r="D86" i="171"/>
  <c r="D88" i="171"/>
  <c r="C82" i="171"/>
  <c r="K82" i="170"/>
  <c r="B82" i="170"/>
  <c r="J82" i="170"/>
  <c r="K88" i="171"/>
  <c r="C88" i="164"/>
  <c r="E88" i="164" s="1"/>
  <c r="G88" i="171"/>
  <c r="L88" i="171"/>
  <c r="F88" i="171"/>
  <c r="B88" i="171"/>
  <c r="I88" i="171"/>
  <c r="J88" i="171"/>
  <c r="C86" i="164"/>
  <c r="E86" i="164" s="1"/>
  <c r="K86" i="171"/>
  <c r="B86" i="171"/>
  <c r="L86" i="171"/>
  <c r="F86" i="171"/>
  <c r="I86" i="171"/>
  <c r="J86" i="171"/>
  <c r="G86" i="171"/>
  <c r="C85" i="171"/>
  <c r="K85" i="170"/>
  <c r="H85" i="170"/>
  <c r="L85" i="170"/>
  <c r="F85" i="170"/>
  <c r="Q85" i="165" s="1"/>
  <c r="Q85" i="166" s="1"/>
  <c r="G85" i="170"/>
  <c r="J85" i="170"/>
  <c r="M85" i="170"/>
  <c r="B85" i="170"/>
  <c r="C84" i="164"/>
  <c r="I84" i="171"/>
  <c r="J84" i="171"/>
  <c r="B84" i="171"/>
  <c r="B89" i="165"/>
  <c r="B89" i="166" s="1"/>
  <c r="B81" i="165"/>
  <c r="B81" i="166" s="1"/>
  <c r="B87" i="165"/>
  <c r="B87" i="166" s="1"/>
  <c r="B90" i="165"/>
  <c r="B90" i="166" s="1"/>
  <c r="B83" i="165"/>
  <c r="B83" i="166" s="1"/>
  <c r="C8" i="134"/>
  <c r="AX14" i="15"/>
  <c r="AY14" i="15" s="1"/>
  <c r="AV16" i="15"/>
  <c r="AW16" i="15"/>
  <c r="R90" i="165" l="1"/>
  <c r="R90" i="166" s="1"/>
  <c r="R87" i="165"/>
  <c r="R87" i="166" s="1"/>
  <c r="R81" i="165"/>
  <c r="R81" i="166" s="1"/>
  <c r="R89" i="165"/>
  <c r="R89" i="166" s="1"/>
  <c r="R83" i="165"/>
  <c r="R83" i="166" s="1"/>
  <c r="G87" i="171"/>
  <c r="G87" i="164" s="1"/>
  <c r="L87" i="171"/>
  <c r="K87" i="170"/>
  <c r="B87" i="170"/>
  <c r="J87" i="171"/>
  <c r="H87" i="170"/>
  <c r="D87" i="171" s="1"/>
  <c r="F87" i="170"/>
  <c r="Q87" i="165" s="1"/>
  <c r="Q87" i="166" s="1"/>
  <c r="M87" i="170"/>
  <c r="J87" i="170"/>
  <c r="C87" i="164"/>
  <c r="E87" i="164" s="1"/>
  <c r="K87" i="171"/>
  <c r="L87" i="170"/>
  <c r="G87" i="170"/>
  <c r="F87" i="171"/>
  <c r="I87" i="171"/>
  <c r="I81" i="161"/>
  <c r="L81" i="161" s="1"/>
  <c r="K81" i="171"/>
  <c r="B81" i="171"/>
  <c r="G81" i="171"/>
  <c r="C81" i="164"/>
  <c r="E81" i="164" s="1"/>
  <c r="J81" i="171"/>
  <c r="F81" i="171"/>
  <c r="I81" i="171"/>
  <c r="D89" i="164"/>
  <c r="B89" i="164"/>
  <c r="S89" i="165"/>
  <c r="S89" i="166" s="1"/>
  <c r="S83" i="165"/>
  <c r="S83" i="166" s="1"/>
  <c r="K90" i="171"/>
  <c r="K84" i="171"/>
  <c r="L82" i="170"/>
  <c r="L80" i="170"/>
  <c r="D86" i="164"/>
  <c r="B84" i="164"/>
  <c r="D84" i="164"/>
  <c r="B86" i="164"/>
  <c r="D85" i="171"/>
  <c r="G86" i="164"/>
  <c r="S86" i="165"/>
  <c r="S86" i="166" s="1"/>
  <c r="C82" i="164"/>
  <c r="B82" i="171"/>
  <c r="I82" i="171"/>
  <c r="J82" i="171"/>
  <c r="S88" i="165"/>
  <c r="S88" i="166" s="1"/>
  <c r="G88" i="164"/>
  <c r="C85" i="164"/>
  <c r="E85" i="164" s="1"/>
  <c r="K85" i="171"/>
  <c r="L85" i="171"/>
  <c r="F85" i="171"/>
  <c r="I85" i="171"/>
  <c r="G85" i="171"/>
  <c r="J85" i="171"/>
  <c r="B85" i="171"/>
  <c r="C80" i="164"/>
  <c r="B80" i="171"/>
  <c r="I80" i="171"/>
  <c r="J80" i="171"/>
  <c r="D90" i="164"/>
  <c r="B84" i="165"/>
  <c r="B84" i="166" s="1"/>
  <c r="AX83" i="166"/>
  <c r="AX87" i="166"/>
  <c r="AX89" i="166"/>
  <c r="AA81" i="166"/>
  <c r="AX81" i="166"/>
  <c r="AX90" i="166"/>
  <c r="B86" i="165"/>
  <c r="B86" i="166" s="1"/>
  <c r="AZ14" i="15"/>
  <c r="BA14" i="15" s="1"/>
  <c r="AX16" i="15"/>
  <c r="AY16" i="15"/>
  <c r="P86" i="165" l="1"/>
  <c r="P86" i="166" s="1"/>
  <c r="P83" i="165"/>
  <c r="P83" i="166" s="1"/>
  <c r="R84" i="165"/>
  <c r="R84" i="166" s="1"/>
  <c r="P89" i="165"/>
  <c r="P89" i="166" s="1"/>
  <c r="P88" i="165"/>
  <c r="P88" i="166" s="1"/>
  <c r="R86" i="165"/>
  <c r="R86" i="166" s="1"/>
  <c r="S87" i="165"/>
  <c r="S87" i="166" s="1"/>
  <c r="B87" i="164"/>
  <c r="D87" i="164"/>
  <c r="O81" i="161"/>
  <c r="R81" i="161" s="1"/>
  <c r="V81" i="164"/>
  <c r="W81" i="164" s="1"/>
  <c r="T81" i="165" s="1"/>
  <c r="T81" i="166" s="1"/>
  <c r="L81" i="164"/>
  <c r="O81" i="164"/>
  <c r="F81" i="164"/>
  <c r="X81" i="164" s="1"/>
  <c r="S81" i="164"/>
  <c r="H81" i="164"/>
  <c r="R81" i="164"/>
  <c r="U81" i="164"/>
  <c r="B81" i="164"/>
  <c r="J81" i="164"/>
  <c r="G81" i="164"/>
  <c r="S81" i="165"/>
  <c r="S81" i="166" s="1"/>
  <c r="I81" i="164"/>
  <c r="D81" i="164"/>
  <c r="M81" i="164"/>
  <c r="P81" i="164"/>
  <c r="K80" i="171"/>
  <c r="K82" i="171"/>
  <c r="D80" i="164"/>
  <c r="B80" i="164"/>
  <c r="D82" i="164"/>
  <c r="B82" i="164"/>
  <c r="D85" i="164"/>
  <c r="S85" i="165"/>
  <c r="S85" i="166" s="1"/>
  <c r="G85" i="164"/>
  <c r="X81" i="166"/>
  <c r="Z81" i="166" s="1"/>
  <c r="B85" i="164"/>
  <c r="B88" i="164"/>
  <c r="D88" i="164"/>
  <c r="AX86" i="166"/>
  <c r="AX84" i="166"/>
  <c r="B80" i="165"/>
  <c r="B80" i="166" s="1"/>
  <c r="B85" i="165"/>
  <c r="B85" i="166" s="1"/>
  <c r="B82" i="165"/>
  <c r="B82" i="166" s="1"/>
  <c r="BB14" i="15"/>
  <c r="BC14" i="15" s="1"/>
  <c r="AZ16" i="15"/>
  <c r="BA16" i="15"/>
  <c r="Z25" i="2"/>
  <c r="W25" i="2"/>
  <c r="Y25" i="2"/>
  <c r="X25" i="2"/>
  <c r="AA25" i="2"/>
  <c r="P87" i="165" l="1"/>
  <c r="P87" i="166" s="1"/>
  <c r="P85" i="165"/>
  <c r="P85" i="166" s="1"/>
  <c r="R80" i="165"/>
  <c r="R80" i="166" s="1"/>
  <c r="R82" i="165"/>
  <c r="R82" i="166" s="1"/>
  <c r="P81" i="165"/>
  <c r="P81" i="166" s="1"/>
  <c r="R85" i="165"/>
  <c r="R85" i="166" s="1"/>
  <c r="K81" i="164"/>
  <c r="N81" i="164" s="1"/>
  <c r="Q81" i="164" s="1"/>
  <c r="T81" i="164" s="1"/>
  <c r="B88" i="165"/>
  <c r="B88" i="166" s="1"/>
  <c r="AX80" i="166"/>
  <c r="AX85" i="166"/>
  <c r="AX82" i="166"/>
  <c r="AX88" i="166"/>
  <c r="AE25" i="3"/>
  <c r="F25" i="14"/>
  <c r="BH25" i="2"/>
  <c r="BD14" i="15"/>
  <c r="BE14" i="15" s="1"/>
  <c r="BB16" i="15"/>
  <c r="BC16" i="15"/>
  <c r="R88" i="165" l="1"/>
  <c r="R88" i="166" s="1"/>
  <c r="BF14" i="15"/>
  <c r="BG14" i="15" s="1"/>
  <c r="BD16" i="15"/>
  <c r="BE16" i="15"/>
  <c r="BH14" i="15" l="1"/>
  <c r="BI14" i="15" s="1"/>
  <c r="BF16" i="15"/>
  <c r="BG16" i="15"/>
  <c r="BJ14" i="15" l="1"/>
  <c r="BK14" i="15" s="1"/>
  <c r="BH16" i="15"/>
  <c r="BI16" i="15"/>
  <c r="BL14" i="15" l="1"/>
  <c r="BM14" i="15" s="1"/>
  <c r="BJ16" i="15"/>
  <c r="BK16" i="15"/>
  <c r="BL16" i="15" l="1"/>
  <c r="BM16" i="15"/>
  <c r="AD63" i="2" l="1"/>
  <c r="AE63" i="2"/>
  <c r="AF63" i="2"/>
  <c r="AD64" i="2"/>
  <c r="AE64" i="2"/>
  <c r="AF64" i="2"/>
  <c r="AD65" i="2"/>
  <c r="AE65" i="2"/>
  <c r="AF65" i="2"/>
  <c r="AD66" i="2"/>
  <c r="AE66" i="2"/>
  <c r="AF66" i="2"/>
  <c r="AD67" i="2"/>
  <c r="AE67" i="2"/>
  <c r="AF67" i="2"/>
  <c r="AD68" i="2"/>
  <c r="AE68" i="2"/>
  <c r="AF68" i="2"/>
  <c r="AD69" i="2"/>
  <c r="AE69" i="2"/>
  <c r="AF69" i="2"/>
  <c r="AD70" i="2"/>
  <c r="AE70" i="2"/>
  <c r="AF70" i="2"/>
  <c r="AD71" i="2"/>
  <c r="AE71" i="2"/>
  <c r="AF71" i="2"/>
  <c r="AD72" i="2"/>
  <c r="AE72" i="2"/>
  <c r="AF72" i="2"/>
  <c r="AD73" i="2"/>
  <c r="AE73" i="2"/>
  <c r="AF73" i="2"/>
  <c r="AD74" i="2"/>
  <c r="AE74" i="2"/>
  <c r="AF74" i="2"/>
  <c r="AD75" i="2"/>
  <c r="AE75" i="2"/>
  <c r="AF75" i="2"/>
  <c r="AD76" i="2"/>
  <c r="AE76" i="2"/>
  <c r="AF76" i="2"/>
  <c r="AN17" i="3" l="1"/>
  <c r="AC17" i="3"/>
  <c r="Z17" i="3"/>
  <c r="AD17" i="3"/>
  <c r="Y17" i="3"/>
  <c r="R17" i="2" a="1"/>
  <c r="P17" i="2" a="1"/>
  <c r="BL65" i="2" l="1"/>
  <c r="BI65" i="2"/>
  <c r="F69" i="15" l="1"/>
  <c r="F68" i="15"/>
  <c r="F76" i="15"/>
  <c r="F71" i="15"/>
  <c r="F70" i="15"/>
  <c r="F67" i="15"/>
  <c r="F74" i="15"/>
  <c r="F72" i="15"/>
  <c r="F66" i="15"/>
  <c r="F73" i="15"/>
  <c r="F75" i="15"/>
  <c r="H75" i="15" l="1"/>
  <c r="H73" i="15"/>
  <c r="H66" i="15"/>
  <c r="H72" i="15"/>
  <c r="H74" i="15"/>
  <c r="H67" i="15"/>
  <c r="H70" i="15"/>
  <c r="H71" i="15"/>
  <c r="H76" i="15"/>
  <c r="H68" i="15"/>
  <c r="H69" i="15"/>
  <c r="J69" i="15" l="1"/>
  <c r="J68" i="15"/>
  <c r="J76" i="15"/>
  <c r="J71" i="15"/>
  <c r="J70" i="15"/>
  <c r="J67" i="15"/>
  <c r="J74" i="15"/>
  <c r="J72" i="15"/>
  <c r="J66" i="15"/>
  <c r="J73" i="15"/>
  <c r="J75" i="15"/>
  <c r="L75" i="15" l="1"/>
  <c r="L73" i="15"/>
  <c r="L66" i="15"/>
  <c r="L72" i="15"/>
  <c r="L74" i="15"/>
  <c r="L67" i="15"/>
  <c r="L70" i="15"/>
  <c r="L71" i="15"/>
  <c r="L76" i="15"/>
  <c r="L68" i="15"/>
  <c r="L69" i="15"/>
  <c r="N69" i="15" l="1"/>
  <c r="N68" i="15"/>
  <c r="N76" i="15"/>
  <c r="N71" i="15"/>
  <c r="N70" i="15"/>
  <c r="N67" i="15"/>
  <c r="N74" i="15"/>
  <c r="N72" i="15"/>
  <c r="N66" i="15"/>
  <c r="N73" i="15"/>
  <c r="N75" i="15"/>
  <c r="P75" i="15" l="1"/>
  <c r="P73" i="15"/>
  <c r="P66" i="15"/>
  <c r="P72" i="15"/>
  <c r="P74" i="15"/>
  <c r="P67" i="15"/>
  <c r="P70" i="15"/>
  <c r="P71" i="15"/>
  <c r="P76" i="15"/>
  <c r="P68" i="15"/>
  <c r="P69" i="15"/>
  <c r="R69" i="15" l="1"/>
  <c r="R68" i="15"/>
  <c r="R76" i="15"/>
  <c r="R71" i="15"/>
  <c r="R70" i="15"/>
  <c r="R67" i="15"/>
  <c r="R74" i="15"/>
  <c r="R72" i="15"/>
  <c r="R66" i="15"/>
  <c r="R73" i="15"/>
  <c r="R75" i="15"/>
  <c r="T75" i="15" l="1"/>
  <c r="T73" i="15"/>
  <c r="T66" i="15"/>
  <c r="T72" i="15"/>
  <c r="T74" i="15"/>
  <c r="T67" i="15"/>
  <c r="T70" i="15"/>
  <c r="T71" i="15"/>
  <c r="T76" i="15"/>
  <c r="T68" i="15"/>
  <c r="T69" i="15"/>
  <c r="C8" i="133" l="1"/>
  <c r="V69" i="15"/>
  <c r="V68" i="15"/>
  <c r="V76" i="15"/>
  <c r="V71" i="15"/>
  <c r="V70" i="15"/>
  <c r="V67" i="15"/>
  <c r="V74" i="15"/>
  <c r="V72" i="15"/>
  <c r="V66" i="15"/>
  <c r="V73" i="15"/>
  <c r="V75" i="15"/>
  <c r="Y59" i="2"/>
  <c r="Z59" i="2"/>
  <c r="X59" i="2"/>
  <c r="AA59" i="2"/>
  <c r="W55" i="2"/>
  <c r="AA55" i="2"/>
  <c r="X55" i="2"/>
  <c r="Z55" i="2"/>
  <c r="Y55" i="2"/>
  <c r="W59" i="2"/>
  <c r="Z65" i="2"/>
  <c r="I65" i="2"/>
  <c r="Y36" i="2"/>
  <c r="X36" i="2"/>
  <c r="M65" i="2"/>
  <c r="G65" i="2"/>
  <c r="W57" i="2"/>
  <c r="F65" i="2"/>
  <c r="AA57" i="2"/>
  <c r="R65" i="3"/>
  <c r="X57" i="2"/>
  <c r="K65" i="2"/>
  <c r="L65" i="2"/>
  <c r="Z36" i="2"/>
  <c r="AA35" i="2"/>
  <c r="Y35" i="2"/>
  <c r="E65" i="2"/>
  <c r="Z35" i="2"/>
  <c r="X35" i="2"/>
  <c r="W36" i="2"/>
  <c r="W35" i="2"/>
  <c r="Z57" i="2"/>
  <c r="N65" i="2"/>
  <c r="Y57" i="2"/>
  <c r="J65" i="2"/>
  <c r="Y65" i="2"/>
  <c r="P65" i="3"/>
  <c r="AA36" i="2"/>
  <c r="H65" i="2"/>
  <c r="Z29" i="2"/>
  <c r="W29" i="2"/>
  <c r="Y29" i="2"/>
  <c r="X29" i="2"/>
  <c r="AA29" i="2"/>
  <c r="X60" i="2"/>
  <c r="Z60" i="2"/>
  <c r="Y60" i="2"/>
  <c r="W60" i="2"/>
  <c r="AA60" i="2"/>
  <c r="Y58" i="2"/>
  <c r="Y56" i="2"/>
  <c r="W58" i="2"/>
  <c r="X56" i="2"/>
  <c r="R67" i="2"/>
  <c r="W56" i="2"/>
  <c r="X58" i="2"/>
  <c r="Z58" i="2"/>
  <c r="AA56" i="2"/>
  <c r="U67" i="2"/>
  <c r="S67" i="2"/>
  <c r="AA58" i="2"/>
  <c r="T67" i="2"/>
  <c r="Q67" i="2"/>
  <c r="V67" i="2"/>
  <c r="Z56" i="2"/>
  <c r="P67" i="2"/>
  <c r="P66" i="3"/>
  <c r="V66" i="2"/>
  <c r="S66" i="2"/>
  <c r="R66" i="2"/>
  <c r="R66" i="3"/>
  <c r="U66" i="2"/>
  <c r="P66" i="2"/>
  <c r="Q66" i="2"/>
  <c r="T66" i="2"/>
  <c r="Z48" i="2"/>
  <c r="X48" i="2"/>
  <c r="W48" i="2"/>
  <c r="AA48" i="2"/>
  <c r="Y48" i="2"/>
  <c r="X64" i="2"/>
  <c r="Z64" i="2"/>
  <c r="F64" i="2"/>
  <c r="E64" i="2"/>
  <c r="W64" i="2"/>
  <c r="N64" i="2"/>
  <c r="M64" i="2"/>
  <c r="L64" i="2"/>
  <c r="G64" i="2"/>
  <c r="K64" i="2"/>
  <c r="J64" i="2"/>
  <c r="H64" i="2"/>
  <c r="I64" i="2"/>
  <c r="Y64" i="2"/>
  <c r="AA64" i="2"/>
  <c r="Z42" i="2"/>
  <c r="Y42" i="2"/>
  <c r="X42" i="2"/>
  <c r="Z51" i="2"/>
  <c r="X51" i="2"/>
  <c r="Y50" i="2"/>
  <c r="X50" i="2"/>
  <c r="X41" i="2"/>
  <c r="AA41" i="2"/>
  <c r="AA51" i="2"/>
  <c r="W44" i="2"/>
  <c r="W41" i="2"/>
  <c r="Z41" i="2"/>
  <c r="AA50" i="2"/>
  <c r="W42" i="2"/>
  <c r="Z50" i="2"/>
  <c r="Y41" i="2"/>
  <c r="X44" i="2"/>
  <c r="W50" i="2"/>
  <c r="Y44" i="2"/>
  <c r="W51" i="2"/>
  <c r="AA44" i="2"/>
  <c r="Z44" i="2"/>
  <c r="AA42" i="2"/>
  <c r="Y51" i="2"/>
  <c r="Y54" i="2"/>
  <c r="Z49" i="2"/>
  <c r="W49" i="2"/>
  <c r="AA49" i="2"/>
  <c r="W54" i="2"/>
  <c r="X54" i="2"/>
  <c r="Z54" i="2"/>
  <c r="Y49" i="2"/>
  <c r="X49" i="2"/>
  <c r="AA54" i="2"/>
  <c r="X53" i="2"/>
  <c r="W53" i="2"/>
  <c r="AA53" i="2"/>
  <c r="Z53" i="2"/>
  <c r="Y53" i="2"/>
  <c r="Z45" i="2"/>
  <c r="AA45" i="2"/>
  <c r="X45" i="2"/>
  <c r="Y45" i="2"/>
  <c r="W45" i="2"/>
  <c r="AA46" i="2"/>
  <c r="W46" i="2"/>
  <c r="Z46" i="2"/>
  <c r="Y46" i="2"/>
  <c r="X46" i="2"/>
  <c r="Z20" i="2"/>
  <c r="Y47" i="2"/>
  <c r="Z47" i="2"/>
  <c r="W47" i="2"/>
  <c r="AA20" i="2"/>
  <c r="AA47" i="2"/>
  <c r="W20" i="2"/>
  <c r="Y20" i="2"/>
  <c r="X20" i="2"/>
  <c r="X47" i="2"/>
  <c r="E68" i="174" l="1"/>
  <c r="AG68" i="174" s="1"/>
  <c r="E72" i="174"/>
  <c r="AG72" i="174" s="1"/>
  <c r="E70" i="174"/>
  <c r="AG70" i="174" s="1"/>
  <c r="E56" i="174"/>
  <c r="AG56" i="174" s="1"/>
  <c r="E71" i="174"/>
  <c r="AG71" i="174" s="1"/>
  <c r="E55" i="174"/>
  <c r="AG55" i="174" s="1"/>
  <c r="E49" i="174"/>
  <c r="AG49" i="174" s="1"/>
  <c r="E34" i="174"/>
  <c r="AG34" i="174" s="1"/>
  <c r="E60" i="174"/>
  <c r="AG60" i="174" s="1"/>
  <c r="E61" i="174"/>
  <c r="AG61" i="174" s="1"/>
  <c r="E69" i="174"/>
  <c r="AG69" i="174" s="1"/>
  <c r="E74" i="174"/>
  <c r="AG74" i="174" s="1"/>
  <c r="E50" i="174"/>
  <c r="AG50" i="174" s="1"/>
  <c r="E63" i="174"/>
  <c r="AG63" i="174" s="1"/>
  <c r="E79" i="174"/>
  <c r="AG79" i="174" s="1"/>
  <c r="E64" i="174"/>
  <c r="AG64" i="174" s="1"/>
  <c r="E65" i="174"/>
  <c r="AG65" i="174" s="1"/>
  <c r="AE24" i="3"/>
  <c r="AE46" i="3"/>
  <c r="AE29" i="3"/>
  <c r="AE45" i="3"/>
  <c r="AE28" i="3"/>
  <c r="AE63" i="3"/>
  <c r="AE32" i="3"/>
  <c r="AE33" i="3"/>
  <c r="AE18" i="3"/>
  <c r="AE21" i="3"/>
  <c r="AE22" i="3"/>
  <c r="AE40" i="3"/>
  <c r="AE57" i="3"/>
  <c r="AE19" i="3"/>
  <c r="AE34" i="3"/>
  <c r="AE39" i="3"/>
  <c r="AE44" i="3"/>
  <c r="AE26" i="3"/>
  <c r="AE27" i="3"/>
  <c r="AE30" i="3"/>
  <c r="AE52" i="3"/>
  <c r="AE36" i="3"/>
  <c r="AE62" i="3"/>
  <c r="AE38" i="3"/>
  <c r="AE48" i="3"/>
  <c r="AE35" i="3"/>
  <c r="BH51" i="2"/>
  <c r="AS64" i="2"/>
  <c r="BH64" i="2"/>
  <c r="AQ65" i="2"/>
  <c r="F41" i="14"/>
  <c r="M41" i="3"/>
  <c r="E8" i="111" s="1"/>
  <c r="M42" i="3"/>
  <c r="E8" i="112" s="1"/>
  <c r="F42" i="14"/>
  <c r="BH53" i="2"/>
  <c r="M57" i="3"/>
  <c r="E8" i="127" s="1"/>
  <c r="F57" i="14"/>
  <c r="BH50" i="2"/>
  <c r="F36" i="14"/>
  <c r="M36" i="3"/>
  <c r="E8" i="106" s="1"/>
  <c r="BB66" i="2"/>
  <c r="BH59" i="2"/>
  <c r="BH56" i="2"/>
  <c r="AP65" i="2"/>
  <c r="BH60" i="2"/>
  <c r="AQ64" i="2"/>
  <c r="AT64" i="2"/>
  <c r="BK64" i="2"/>
  <c r="BJ64" i="2"/>
  <c r="AU65" i="2"/>
  <c r="M50" i="3"/>
  <c r="E8" i="120" s="1"/>
  <c r="F50" i="14"/>
  <c r="BH47" i="2"/>
  <c r="AR64" i="2"/>
  <c r="M65" i="3"/>
  <c r="F65" i="14"/>
  <c r="BH35" i="2"/>
  <c r="BC67" i="2"/>
  <c r="E67" i="19" s="1"/>
  <c r="J67" i="19" s="1"/>
  <c r="BH55" i="2"/>
  <c r="BL64" i="2"/>
  <c r="BE66" i="2"/>
  <c r="G66" i="19" s="1"/>
  <c r="BH42" i="2"/>
  <c r="F56" i="14"/>
  <c r="M56" i="3"/>
  <c r="E8" i="126" s="1"/>
  <c r="BE67" i="2"/>
  <c r="BH41" i="2"/>
  <c r="F46" i="14"/>
  <c r="M46" i="3"/>
  <c r="E8" i="116" s="1"/>
  <c r="BH20" i="2"/>
  <c r="BH44" i="2"/>
  <c r="BH36" i="2"/>
  <c r="BC66" i="2"/>
  <c r="E66" i="19" s="1"/>
  <c r="J66" i="19" s="1"/>
  <c r="F49" i="14"/>
  <c r="M49" i="3"/>
  <c r="E8" i="119" s="1"/>
  <c r="AX64" i="2"/>
  <c r="BA67" i="2"/>
  <c r="D67" i="17" s="1"/>
  <c r="E67" i="17" s="1"/>
  <c r="AJ66" i="3"/>
  <c r="M47" i="3"/>
  <c r="E8" i="117" s="1"/>
  <c r="F47" i="14"/>
  <c r="BI64" i="2"/>
  <c r="AW65" i="2"/>
  <c r="F51" i="14"/>
  <c r="M51" i="3"/>
  <c r="E8" i="121" s="1"/>
  <c r="BH29" i="2"/>
  <c r="BH58" i="2"/>
  <c r="BF66" i="2"/>
  <c r="BG67" i="2"/>
  <c r="D67" i="19" s="1"/>
  <c r="H67" i="19" s="1"/>
  <c r="M20" i="3"/>
  <c r="E8" i="90" s="1"/>
  <c r="F20" i="14"/>
  <c r="AX65" i="2"/>
  <c r="M55" i="3"/>
  <c r="E8" i="125" s="1"/>
  <c r="F55" i="14"/>
  <c r="AP64" i="2"/>
  <c r="AY65" i="2"/>
  <c r="BA66" i="2"/>
  <c r="D66" i="17" s="1"/>
  <c r="E66" i="17" s="1"/>
  <c r="BB67" i="2"/>
  <c r="BH45" i="2"/>
  <c r="AS65" i="2"/>
  <c r="BD66" i="2"/>
  <c r="F66" i="19" s="1"/>
  <c r="K66" i="19" s="1"/>
  <c r="BH48" i="2"/>
  <c r="BJ65" i="2"/>
  <c r="AT65" i="2"/>
  <c r="BH54" i="2"/>
  <c r="AW64" i="2"/>
  <c r="BK65" i="2"/>
  <c r="F60" i="14"/>
  <c r="M60" i="3"/>
  <c r="E8" i="130" s="1"/>
  <c r="AR65" i="2"/>
  <c r="BH46" i="2"/>
  <c r="BH49" i="2"/>
  <c r="M35" i="3"/>
  <c r="E8" i="105" s="1"/>
  <c r="F35" i="14"/>
  <c r="M54" i="3"/>
  <c r="E8" i="124" s="1"/>
  <c r="F54" i="14"/>
  <c r="BF67" i="2"/>
  <c r="BH57" i="2"/>
  <c r="M58" i="3"/>
  <c r="E8" i="128" s="1"/>
  <c r="F58" i="14"/>
  <c r="AU64" i="2"/>
  <c r="AY64" i="2"/>
  <c r="BD67" i="2"/>
  <c r="F67" i="19" s="1"/>
  <c r="K67" i="19" s="1"/>
  <c r="AV64" i="2"/>
  <c r="BG66" i="2"/>
  <c r="D66" i="19" s="1"/>
  <c r="M66" i="19" s="1" a="1"/>
  <c r="M66" i="19" s="1"/>
  <c r="N66" i="19" s="1"/>
  <c r="AJ65" i="3"/>
  <c r="AK65" i="3" s="1"/>
  <c r="AV65" i="2"/>
  <c r="X75" i="15"/>
  <c r="X73" i="15"/>
  <c r="X66" i="15"/>
  <c r="X72" i="15"/>
  <c r="X74" i="15"/>
  <c r="X67" i="15"/>
  <c r="X70" i="15"/>
  <c r="X71" i="15"/>
  <c r="X76" i="15"/>
  <c r="X68" i="15"/>
  <c r="X69" i="15"/>
  <c r="Y52" i="2"/>
  <c r="X52" i="2"/>
  <c r="Z52" i="2"/>
  <c r="W52" i="2"/>
  <c r="AA52" i="2"/>
  <c r="E44" i="174"/>
  <c r="Y30" i="2"/>
  <c r="E47" i="174"/>
  <c r="AA30" i="2"/>
  <c r="Z30" i="2"/>
  <c r="Z33" i="2"/>
  <c r="Y33" i="2"/>
  <c r="W30" i="2"/>
  <c r="X30" i="2"/>
  <c r="X33" i="2"/>
  <c r="AA33" i="2"/>
  <c r="W33" i="2"/>
  <c r="Y28" i="2"/>
  <c r="AA28" i="2"/>
  <c r="Z28" i="2"/>
  <c r="X28" i="2"/>
  <c r="W28" i="2"/>
  <c r="Y61" i="2"/>
  <c r="X61" i="2"/>
  <c r="Z61" i="2"/>
  <c r="W61" i="2"/>
  <c r="AA61" i="2"/>
  <c r="Y38" i="2"/>
  <c r="W31" i="2"/>
  <c r="Z43" i="2"/>
  <c r="Z40" i="2"/>
  <c r="AA22" i="2"/>
  <c r="Y17" i="2"/>
  <c r="X17" i="2"/>
  <c r="W24" i="2"/>
  <c r="X34" i="2"/>
  <c r="Y26" i="2"/>
  <c r="X37" i="2"/>
  <c r="W40" i="2"/>
  <c r="X24" i="2"/>
  <c r="Y31" i="2"/>
  <c r="AA40" i="2"/>
  <c r="X18" i="2"/>
  <c r="Z19" i="2"/>
  <c r="Y23" i="2"/>
  <c r="AA39" i="2"/>
  <c r="Y62" i="2"/>
  <c r="X43" i="2"/>
  <c r="Z37" i="2"/>
  <c r="AA37" i="2"/>
  <c r="Y43" i="2"/>
  <c r="Z21" i="2"/>
  <c r="Z62" i="2"/>
  <c r="X31" i="2"/>
  <c r="W17" i="2"/>
  <c r="X40" i="2"/>
  <c r="Z34" i="2"/>
  <c r="AA27" i="2"/>
  <c r="W43" i="2"/>
  <c r="X21" i="2"/>
  <c r="AA43" i="2"/>
  <c r="Z17" i="2"/>
  <c r="Y22" i="2"/>
  <c r="Y21" i="2"/>
  <c r="Z22" i="2"/>
  <c r="W19" i="2"/>
  <c r="AA23" i="2"/>
  <c r="Y63" i="2"/>
  <c r="X22" i="2"/>
  <c r="AA62" i="2"/>
  <c r="W27" i="2"/>
  <c r="W38" i="2"/>
  <c r="Z38" i="2"/>
  <c r="X62" i="2"/>
  <c r="Z32" i="2"/>
  <c r="AA32" i="2"/>
  <c r="Z24" i="2"/>
  <c r="Y32" i="2"/>
  <c r="W34" i="2"/>
  <c r="AA24" i="2"/>
  <c r="W62" i="2"/>
  <c r="X39" i="2"/>
  <c r="W37" i="2"/>
  <c r="W21" i="2"/>
  <c r="Y34" i="2"/>
  <c r="W23" i="2"/>
  <c r="Z26" i="2"/>
  <c r="Y18" i="2"/>
  <c r="Y37" i="2"/>
  <c r="Y19" i="2"/>
  <c r="W22" i="2"/>
  <c r="Y24" i="2"/>
  <c r="Z27" i="2"/>
  <c r="W32" i="2"/>
  <c r="Z18" i="2"/>
  <c r="AA31" i="2"/>
  <c r="Y40" i="2"/>
  <c r="Y27" i="2"/>
  <c r="AA63" i="2"/>
  <c r="X19" i="2"/>
  <c r="X32" i="2"/>
  <c r="Z23" i="2"/>
  <c r="AA18" i="2"/>
  <c r="AA38" i="2"/>
  <c r="AA34" i="2"/>
  <c r="W63" i="2"/>
  <c r="AA19" i="2"/>
  <c r="Z31" i="2"/>
  <c r="X27" i="2"/>
  <c r="W39" i="2"/>
  <c r="W18" i="2"/>
  <c r="X63" i="2"/>
  <c r="X23" i="2"/>
  <c r="AA26" i="2"/>
  <c r="AA21" i="2"/>
  <c r="Y39" i="2"/>
  <c r="W26" i="2"/>
  <c r="Z39" i="2"/>
  <c r="AA17" i="2"/>
  <c r="X26" i="2"/>
  <c r="Z63" i="2"/>
  <c r="X38" i="2"/>
  <c r="AG31" i="174" l="1"/>
  <c r="E37" i="174"/>
  <c r="AG37" i="174" s="1"/>
  <c r="E45" i="174"/>
  <c r="AG45" i="174" s="1"/>
  <c r="E40" i="174"/>
  <c r="AG40" i="174" s="1"/>
  <c r="E51" i="174"/>
  <c r="AG51" i="174" s="1"/>
  <c r="E75" i="174"/>
  <c r="AG75" i="174" s="1"/>
  <c r="E76" i="174"/>
  <c r="AG76" i="174" s="1"/>
  <c r="E57" i="174"/>
  <c r="AG57" i="174" s="1"/>
  <c r="E35" i="174"/>
  <c r="AG35" i="174" s="1"/>
  <c r="E46" i="174"/>
  <c r="AG46" i="174" s="1"/>
  <c r="E41" i="174"/>
  <c r="AG41" i="174" s="1"/>
  <c r="E33" i="174"/>
  <c r="AG33" i="174" s="1"/>
  <c r="E54" i="174"/>
  <c r="AG54" i="174" s="1"/>
  <c r="E48" i="174"/>
  <c r="AG48" i="174" s="1"/>
  <c r="F40" i="14"/>
  <c r="BH39" i="2"/>
  <c r="BH43" i="2"/>
  <c r="BH33" i="2"/>
  <c r="BH22" i="2"/>
  <c r="BH24" i="2"/>
  <c r="BH63" i="2"/>
  <c r="BJ63" i="2"/>
  <c r="F32" i="14"/>
  <c r="BH26" i="2"/>
  <c r="BH40" i="2"/>
  <c r="BK63" i="2"/>
  <c r="F31" i="14"/>
  <c r="F62" i="14"/>
  <c r="BH52" i="2"/>
  <c r="AH17" i="3"/>
  <c r="BH61" i="2"/>
  <c r="F23" i="14"/>
  <c r="BL63" i="2"/>
  <c r="F61" i="14"/>
  <c r="BH27" i="2"/>
  <c r="BH30" i="2"/>
  <c r="AI17" i="3"/>
  <c r="C8" i="22"/>
  <c r="BH34" i="2"/>
  <c r="BH62" i="2"/>
  <c r="F17" i="14"/>
  <c r="BH18" i="2"/>
  <c r="F21" i="14"/>
  <c r="BH23" i="2"/>
  <c r="BH28" i="2"/>
  <c r="F30" i="14"/>
  <c r="AG44" i="174"/>
  <c r="BI63" i="2"/>
  <c r="F37" i="14"/>
  <c r="BH38" i="2"/>
  <c r="BH21" i="2"/>
  <c r="F43" i="14"/>
  <c r="BH32" i="2"/>
  <c r="F26" i="14"/>
  <c r="AG47" i="174"/>
  <c r="F33" i="14"/>
  <c r="BH31" i="2"/>
  <c r="F27" i="14"/>
  <c r="BH37" i="2"/>
  <c r="BH17" i="2"/>
  <c r="F34" i="14"/>
  <c r="F19" i="14"/>
  <c r="BH19" i="2"/>
  <c r="F66" i="17"/>
  <c r="G66" i="17" s="1"/>
  <c r="H66" i="17" s="1"/>
  <c r="I66" i="17" s="1"/>
  <c r="AL66" i="3"/>
  <c r="G67" i="17"/>
  <c r="H67" i="17" s="1"/>
  <c r="I67" i="17" s="1"/>
  <c r="F67" i="17"/>
  <c r="AL65" i="3"/>
  <c r="AM65" i="3"/>
  <c r="AM66" i="3"/>
  <c r="H66" i="19"/>
  <c r="AG65" i="3"/>
  <c r="AA65" i="3" s="1"/>
  <c r="AG64" i="3"/>
  <c r="AA64" i="3" s="1"/>
  <c r="AK66" i="3"/>
  <c r="AB65" i="3"/>
  <c r="E8" i="135"/>
  <c r="Z69" i="15"/>
  <c r="Z68" i="15"/>
  <c r="Z76" i="15"/>
  <c r="Z71" i="15"/>
  <c r="Z70" i="15"/>
  <c r="Z67" i="15"/>
  <c r="Z74" i="15"/>
  <c r="Z72" i="15"/>
  <c r="Z66" i="15"/>
  <c r="Z73" i="15"/>
  <c r="Z75" i="15"/>
  <c r="F79" i="14" l="1"/>
  <c r="AO64" i="3"/>
  <c r="C65" i="4"/>
  <c r="P65" i="4" s="1"/>
  <c r="AB75" i="15"/>
  <c r="AB73" i="15"/>
  <c r="AB66" i="15"/>
  <c r="AB72" i="15"/>
  <c r="AB74" i="15"/>
  <c r="AB67" i="15"/>
  <c r="AB70" i="15"/>
  <c r="AB71" i="15"/>
  <c r="AB76" i="15"/>
  <c r="AB68" i="15"/>
  <c r="AB69" i="15"/>
  <c r="AO65" i="3" l="1"/>
  <c r="C64" i="4"/>
  <c r="N65" i="4"/>
  <c r="O65" i="4" s="1"/>
  <c r="D65" i="4"/>
  <c r="E65" i="4" s="1"/>
  <c r="F65" i="4" s="1"/>
  <c r="G65" i="4" s="1"/>
  <c r="H65" i="4" s="1"/>
  <c r="I65" i="4" s="1"/>
  <c r="C65" i="16"/>
  <c r="AD69" i="15"/>
  <c r="AD68" i="15"/>
  <c r="AD76" i="15"/>
  <c r="AD71" i="15"/>
  <c r="AD70" i="15"/>
  <c r="AD67" i="15"/>
  <c r="AD74" i="15"/>
  <c r="AD72" i="15"/>
  <c r="AD66" i="15"/>
  <c r="AD73" i="15"/>
  <c r="AD75" i="15"/>
  <c r="C65" i="17" l="1"/>
  <c r="F65" i="16"/>
  <c r="D64" i="4"/>
  <c r="E64" i="4" s="1"/>
  <c r="F64" i="4" s="1"/>
  <c r="G64" i="4" s="1"/>
  <c r="H64" i="4" s="1"/>
  <c r="I64" i="4" s="1"/>
  <c r="J64" i="4" s="1"/>
  <c r="L64" i="4" s="1"/>
  <c r="P64" i="4"/>
  <c r="C64" i="16"/>
  <c r="K65" i="4"/>
  <c r="M65" i="4" s="1"/>
  <c r="J65" i="4"/>
  <c r="L65" i="4" s="1"/>
  <c r="AF75" i="15"/>
  <c r="AF73" i="15"/>
  <c r="AF66" i="15"/>
  <c r="AF72" i="15"/>
  <c r="AF74" i="15"/>
  <c r="AF67" i="15"/>
  <c r="AF70" i="15"/>
  <c r="AF71" i="15"/>
  <c r="AF76" i="15"/>
  <c r="AF68" i="15"/>
  <c r="AF69" i="15"/>
  <c r="C65" i="19" l="1"/>
  <c r="O65" i="19" s="1"/>
  <c r="J65" i="17"/>
  <c r="C64" i="17"/>
  <c r="F64" i="16"/>
  <c r="K64" i="4"/>
  <c r="M64" i="4" s="1"/>
  <c r="N64" i="4"/>
  <c r="O64" i="4" s="1"/>
  <c r="AH69" i="15"/>
  <c r="AH68" i="15"/>
  <c r="AH76" i="15"/>
  <c r="AH71" i="15"/>
  <c r="AH70" i="15"/>
  <c r="AH67" i="15"/>
  <c r="AH74" i="15"/>
  <c r="AH72" i="15"/>
  <c r="AH66" i="15"/>
  <c r="AH73" i="15"/>
  <c r="AH75" i="15"/>
  <c r="G65" i="19" l="1"/>
  <c r="C65" i="20"/>
  <c r="G65" i="20" s="1"/>
  <c r="I65" i="19"/>
  <c r="C64" i="19"/>
  <c r="O64" i="19" s="1"/>
  <c r="J64" i="17"/>
  <c r="AJ75" i="15"/>
  <c r="AJ73" i="15"/>
  <c r="AJ66" i="15"/>
  <c r="AJ72" i="15"/>
  <c r="AJ74" i="15"/>
  <c r="AJ67" i="15"/>
  <c r="AJ70" i="15"/>
  <c r="AJ71" i="15"/>
  <c r="AJ76" i="15"/>
  <c r="AJ68" i="15"/>
  <c r="AJ69" i="15"/>
  <c r="I64" i="19" l="1"/>
  <c r="C64" i="20"/>
  <c r="G64" i="20" s="1"/>
  <c r="D65" i="20"/>
  <c r="E65" i="20" s="1"/>
  <c r="F65" i="20" s="1"/>
  <c r="C65" i="21"/>
  <c r="AB59" i="3"/>
  <c r="AB53" i="3"/>
  <c r="AB41" i="3"/>
  <c r="AB29" i="3"/>
  <c r="AB54" i="3"/>
  <c r="AB46" i="3"/>
  <c r="AB60" i="3"/>
  <c r="AB44" i="3"/>
  <c r="AB49" i="3"/>
  <c r="AB45" i="3"/>
  <c r="AB55" i="3"/>
  <c r="AB35" i="3"/>
  <c r="AB42" i="3"/>
  <c r="AB50" i="3"/>
  <c r="AB51" i="3"/>
  <c r="AB57" i="3"/>
  <c r="AB58" i="3"/>
  <c r="AB47" i="3"/>
  <c r="AB56" i="3"/>
  <c r="AB36" i="3"/>
  <c r="AL69" i="15"/>
  <c r="AL68" i="15"/>
  <c r="AL76" i="15"/>
  <c r="AL71" i="15"/>
  <c r="AL70" i="15"/>
  <c r="AL67" i="15"/>
  <c r="AL74" i="15"/>
  <c r="AL72" i="15"/>
  <c r="AL66" i="15"/>
  <c r="AL73" i="15"/>
  <c r="AL75" i="15"/>
  <c r="H65" i="21" l="1"/>
  <c r="C65" i="177"/>
  <c r="K65" i="177" s="1"/>
  <c r="F65" i="21"/>
  <c r="G65" i="21" s="1"/>
  <c r="C65" i="154"/>
  <c r="D65" i="21"/>
  <c r="E65" i="21" s="1"/>
  <c r="C65" i="7"/>
  <c r="C64" i="21"/>
  <c r="D64" i="20"/>
  <c r="E64" i="20" s="1"/>
  <c r="F64" i="20" s="1"/>
  <c r="E64" i="156"/>
  <c r="E65" i="156"/>
  <c r="D65" i="16"/>
  <c r="E65" i="16" s="1"/>
  <c r="D64" i="16"/>
  <c r="E64" i="16" s="1"/>
  <c r="AN75" i="15"/>
  <c r="AN73" i="15"/>
  <c r="AN66" i="15"/>
  <c r="AN72" i="15"/>
  <c r="AN74" i="15"/>
  <c r="AN67" i="15"/>
  <c r="AN70" i="15"/>
  <c r="AN71" i="15"/>
  <c r="AN76" i="15"/>
  <c r="AN68" i="15"/>
  <c r="AN69" i="15"/>
  <c r="M65" i="177" l="1"/>
  <c r="K65" i="7"/>
  <c r="M65" i="7"/>
  <c r="H64" i="21"/>
  <c r="C64" i="177"/>
  <c r="K64" i="177" s="1"/>
  <c r="C79" i="174"/>
  <c r="D65" i="154"/>
  <c r="G65" i="154"/>
  <c r="D64" i="21"/>
  <c r="E64" i="21" s="1"/>
  <c r="C64" i="154"/>
  <c r="C64" i="7"/>
  <c r="F64" i="21"/>
  <c r="G64" i="21" s="1"/>
  <c r="M65" i="19" a="1"/>
  <c r="M65" i="19" s="1"/>
  <c r="AP69" i="15"/>
  <c r="AP68" i="15"/>
  <c r="AP76" i="15"/>
  <c r="AP71" i="15"/>
  <c r="AP70" i="15"/>
  <c r="AP67" i="15"/>
  <c r="AP74" i="15"/>
  <c r="AP72" i="15"/>
  <c r="AP66" i="15"/>
  <c r="AP73" i="15"/>
  <c r="AP75" i="15"/>
  <c r="G79" i="174" l="1"/>
  <c r="C65" i="14"/>
  <c r="D79" i="174"/>
  <c r="M64" i="177"/>
  <c r="K64" i="7"/>
  <c r="M64" i="7"/>
  <c r="N65" i="177"/>
  <c r="B79" i="174"/>
  <c r="Y79" i="174"/>
  <c r="AD79" i="174"/>
  <c r="AE79" i="174"/>
  <c r="AI79" i="174"/>
  <c r="Z79" i="174"/>
  <c r="E65" i="14" s="1"/>
  <c r="C78" i="174"/>
  <c r="H79" i="174"/>
  <c r="D64" i="154"/>
  <c r="G64" i="154"/>
  <c r="N65" i="19"/>
  <c r="AR75" i="15"/>
  <c r="AR73" i="15"/>
  <c r="AR66" i="15"/>
  <c r="AR72" i="15"/>
  <c r="AR74" i="15"/>
  <c r="AR67" i="15"/>
  <c r="AR70" i="15"/>
  <c r="AR71" i="15"/>
  <c r="AR76" i="15"/>
  <c r="AR68" i="15"/>
  <c r="AR69" i="15"/>
  <c r="AD78" i="174" l="1"/>
  <c r="C64" i="14"/>
  <c r="D78" i="174"/>
  <c r="N64" i="177"/>
  <c r="AE78" i="174"/>
  <c r="B78" i="174"/>
  <c r="C65" i="15"/>
  <c r="C65" i="156" s="1"/>
  <c r="AT69" i="15"/>
  <c r="AT68" i="15"/>
  <c r="AT76" i="15"/>
  <c r="AT71" i="15"/>
  <c r="AT70" i="15"/>
  <c r="AT67" i="15"/>
  <c r="AT74" i="15"/>
  <c r="AT72" i="15"/>
  <c r="AT66" i="15"/>
  <c r="AT73" i="15"/>
  <c r="AT75" i="15"/>
  <c r="C78" i="161" l="1"/>
  <c r="B78" i="161" s="1"/>
  <c r="C64" i="15"/>
  <c r="C64" i="156" s="1"/>
  <c r="AV75" i="15"/>
  <c r="AV73" i="15"/>
  <c r="AV66" i="15"/>
  <c r="AV72" i="15"/>
  <c r="AV74" i="15"/>
  <c r="AV67" i="15"/>
  <c r="AV70" i="15"/>
  <c r="AV71" i="15"/>
  <c r="AV76" i="15"/>
  <c r="AV68" i="15"/>
  <c r="AV69" i="15"/>
  <c r="C78" i="170" l="1"/>
  <c r="L78" i="170" s="1"/>
  <c r="C79" i="161"/>
  <c r="G65" i="14"/>
  <c r="B78" i="165"/>
  <c r="B78" i="166" s="1"/>
  <c r="AX69" i="15"/>
  <c r="AX68" i="15"/>
  <c r="AX76" i="15"/>
  <c r="AX71" i="15"/>
  <c r="AX70" i="15"/>
  <c r="AX67" i="15"/>
  <c r="AX74" i="15"/>
  <c r="AX72" i="15"/>
  <c r="AX66" i="15"/>
  <c r="AX73" i="15"/>
  <c r="AX75" i="15"/>
  <c r="R78" i="165" l="1"/>
  <c r="R78" i="166" s="1"/>
  <c r="J78" i="170"/>
  <c r="K78" i="170"/>
  <c r="B78" i="170"/>
  <c r="C78" i="171"/>
  <c r="J78" i="171" s="1"/>
  <c r="C79" i="170"/>
  <c r="S79" i="161"/>
  <c r="T79" i="161"/>
  <c r="U79" i="161" s="1"/>
  <c r="D79" i="170" s="1"/>
  <c r="N79" i="161"/>
  <c r="Z79" i="161"/>
  <c r="K79" i="161"/>
  <c r="F79" i="161"/>
  <c r="Q79" i="161"/>
  <c r="P79" i="161"/>
  <c r="M79" i="161"/>
  <c r="B79" i="161"/>
  <c r="J79" i="161"/>
  <c r="G79" i="161"/>
  <c r="H79" i="161"/>
  <c r="B79" i="165"/>
  <c r="B79" i="166" s="1"/>
  <c r="AA79" i="166"/>
  <c r="AX79" i="166"/>
  <c r="AZ75" i="15"/>
  <c r="AZ73" i="15"/>
  <c r="AZ66" i="15"/>
  <c r="AZ72" i="15"/>
  <c r="AZ74" i="15"/>
  <c r="AZ67" i="15"/>
  <c r="AZ70" i="15"/>
  <c r="AZ71" i="15"/>
  <c r="AZ76" i="15"/>
  <c r="AZ68" i="15"/>
  <c r="AZ69" i="15"/>
  <c r="B78" i="171" l="1"/>
  <c r="C78" i="164"/>
  <c r="B78" i="164" s="1"/>
  <c r="K78" i="171"/>
  <c r="I78" i="171"/>
  <c r="I79" i="161"/>
  <c r="L79" i="161" s="1"/>
  <c r="O79" i="161" s="1"/>
  <c r="R79" i="161" s="1"/>
  <c r="F79" i="170"/>
  <c r="Q79" i="165" s="1"/>
  <c r="Q79" i="166" s="1"/>
  <c r="B79" i="170"/>
  <c r="L79" i="170"/>
  <c r="H79" i="170"/>
  <c r="D79" i="171" s="1"/>
  <c r="C79" i="171"/>
  <c r="M79" i="170"/>
  <c r="J79" i="170"/>
  <c r="G79" i="170"/>
  <c r="K79" i="170"/>
  <c r="R79" i="165"/>
  <c r="R79" i="166" s="1"/>
  <c r="X79" i="166"/>
  <c r="Z79" i="166" s="1"/>
  <c r="AX78" i="166"/>
  <c r="BB69" i="15"/>
  <c r="BB68" i="15"/>
  <c r="BB76" i="15"/>
  <c r="BB71" i="15"/>
  <c r="BB70" i="15"/>
  <c r="BB67" i="15"/>
  <c r="BB74" i="15"/>
  <c r="BB72" i="15"/>
  <c r="BB66" i="15"/>
  <c r="BB73" i="15"/>
  <c r="BB75" i="15"/>
  <c r="D78" i="164" l="1"/>
  <c r="F79" i="171"/>
  <c r="G79" i="171"/>
  <c r="B79" i="171"/>
  <c r="C79" i="164"/>
  <c r="K79" i="171"/>
  <c r="I79" i="171"/>
  <c r="L79" i="171"/>
  <c r="J79" i="171"/>
  <c r="BD75" i="15"/>
  <c r="BD73" i="15"/>
  <c r="BD66" i="15"/>
  <c r="BD72" i="15"/>
  <c r="BD74" i="15"/>
  <c r="BD67" i="15"/>
  <c r="BD70" i="15"/>
  <c r="BD71" i="15"/>
  <c r="BD76" i="15"/>
  <c r="BD68" i="15"/>
  <c r="BD69" i="15"/>
  <c r="E79" i="164" l="1"/>
  <c r="V79" i="164"/>
  <c r="W79" i="164" s="1"/>
  <c r="T79" i="165" s="1"/>
  <c r="T79" i="166" s="1"/>
  <c r="M79" i="164"/>
  <c r="B79" i="164"/>
  <c r="L79" i="164"/>
  <c r="I79" i="164"/>
  <c r="S79" i="164"/>
  <c r="P79" i="164"/>
  <c r="F79" i="164"/>
  <c r="X79" i="164" s="1"/>
  <c r="R79" i="164"/>
  <c r="D79" i="164"/>
  <c r="U79" i="164"/>
  <c r="J79" i="164"/>
  <c r="H79" i="164"/>
  <c r="O79" i="164"/>
  <c r="S79" i="165"/>
  <c r="S79" i="166" s="1"/>
  <c r="G79" i="164"/>
  <c r="BF69" i="15"/>
  <c r="BF68" i="15"/>
  <c r="BF76" i="15"/>
  <c r="BF71" i="15"/>
  <c r="BF70" i="15"/>
  <c r="BF67" i="15"/>
  <c r="BF74" i="15"/>
  <c r="BF72" i="15"/>
  <c r="BF66" i="15"/>
  <c r="BF73" i="15"/>
  <c r="BF75" i="15"/>
  <c r="P79" i="165" l="1"/>
  <c r="P79" i="166" s="1"/>
  <c r="K79" i="164"/>
  <c r="N79" i="164" s="1"/>
  <c r="Q79" i="164" s="1"/>
  <c r="T79" i="164" s="1"/>
  <c r="BH75" i="15"/>
  <c r="BH73" i="15"/>
  <c r="BH66" i="15"/>
  <c r="BH72" i="15"/>
  <c r="BH74" i="15"/>
  <c r="BH67" i="15"/>
  <c r="BH70" i="15"/>
  <c r="BH71" i="15"/>
  <c r="BH76" i="15"/>
  <c r="BH68" i="15"/>
  <c r="BH69" i="15"/>
  <c r="BJ69" i="15" l="1"/>
  <c r="BJ68" i="15"/>
  <c r="BJ76" i="15"/>
  <c r="BJ71" i="15"/>
  <c r="BJ70" i="15"/>
  <c r="BJ67" i="15"/>
  <c r="BJ74" i="15"/>
  <c r="BJ72" i="15"/>
  <c r="BJ66" i="15"/>
  <c r="BJ73" i="15"/>
  <c r="BJ75" i="15"/>
  <c r="BL75" i="15" l="1"/>
  <c r="BL73" i="15"/>
  <c r="BL66" i="15"/>
  <c r="BL72" i="15"/>
  <c r="BL74" i="15"/>
  <c r="BL67" i="15"/>
  <c r="BL70" i="15"/>
  <c r="BL71" i="15"/>
  <c r="BL76" i="15"/>
  <c r="BL68" i="15"/>
  <c r="BL69" i="15"/>
  <c r="E68" i="154" l="1"/>
  <c r="E64" i="154"/>
  <c r="F64" i="154" s="1"/>
  <c r="E67" i="154"/>
  <c r="F67" i="154" s="1"/>
  <c r="E72" i="154"/>
  <c r="F72" i="154" s="1"/>
  <c r="E70" i="154"/>
  <c r="F70" i="154" s="1"/>
  <c r="E74" i="154"/>
  <c r="F74" i="154" s="1"/>
  <c r="E71" i="154"/>
  <c r="F71" i="154" s="1"/>
  <c r="E66" i="154"/>
  <c r="F66" i="154" s="1"/>
  <c r="E75" i="154"/>
  <c r="F75" i="154" s="1"/>
  <c r="E76" i="154"/>
  <c r="E65" i="154"/>
  <c r="F65" i="154" s="1"/>
  <c r="E73" i="154"/>
  <c r="F73" i="154" s="1"/>
  <c r="E69" i="154"/>
  <c r="F69" i="154" s="1"/>
  <c r="F76" i="154" l="1"/>
  <c r="F68" i="154"/>
  <c r="G68" i="154"/>
  <c r="J71" i="7"/>
  <c r="J71" i="177" s="1"/>
  <c r="J75" i="7"/>
  <c r="J75" i="177" s="1"/>
  <c r="J73" i="7"/>
  <c r="J73" i="177" s="1"/>
  <c r="J72" i="7"/>
  <c r="J72" i="177" s="1"/>
  <c r="J69" i="7"/>
  <c r="J69" i="177" s="1"/>
  <c r="J70" i="7"/>
  <c r="J70" i="177" s="1"/>
  <c r="J67" i="7"/>
  <c r="J67" i="177" s="1"/>
  <c r="J64" i="7"/>
  <c r="J64" i="177" s="1"/>
  <c r="J65" i="7"/>
  <c r="J65" i="177" s="1"/>
  <c r="J68" i="7" l="1"/>
  <c r="J68" i="177" s="1"/>
  <c r="BL35" i="2"/>
  <c r="AL35" i="2"/>
  <c r="AO35" i="2"/>
  <c r="AC35" i="2"/>
  <c r="AG35" i="2"/>
  <c r="AM35" i="2"/>
  <c r="AJ35" i="2"/>
  <c r="AH35" i="2"/>
  <c r="AN35" i="2"/>
  <c r="AI35" i="2"/>
  <c r="AK35" i="2"/>
  <c r="BI35" i="2"/>
  <c r="AE35" i="2"/>
  <c r="AF35" i="2"/>
  <c r="AD35" i="2"/>
  <c r="BK35" i="2"/>
  <c r="BJ35" i="2"/>
  <c r="AG36" i="2"/>
  <c r="AM36" i="2"/>
  <c r="BI36" i="2"/>
  <c r="AL36" i="2"/>
  <c r="AJ36" i="2"/>
  <c r="AC36" i="2"/>
  <c r="AH36" i="2"/>
  <c r="AN36" i="2"/>
  <c r="AO36" i="2"/>
  <c r="AI36" i="2"/>
  <c r="AK36" i="2"/>
  <c r="BL36" i="2"/>
  <c r="AF36" i="2"/>
  <c r="AD36" i="2"/>
  <c r="AE36" i="2"/>
  <c r="AG47" i="2"/>
  <c r="AK47" i="2"/>
  <c r="AH47" i="2"/>
  <c r="AO47" i="2"/>
  <c r="AL47" i="2"/>
  <c r="AJ47" i="2"/>
  <c r="AI47" i="2"/>
  <c r="AN47" i="2"/>
  <c r="AM47" i="2"/>
  <c r="AC47" i="2"/>
  <c r="BI47" i="2"/>
  <c r="BL47" i="2"/>
  <c r="AE47" i="2"/>
  <c r="AF47" i="2"/>
  <c r="AD47" i="2"/>
  <c r="BJ47" i="2"/>
  <c r="BK47" i="2"/>
  <c r="AH48" i="2"/>
  <c r="AJ48" i="2"/>
  <c r="AM48" i="2"/>
  <c r="AI48" i="2"/>
  <c r="AO48" i="2"/>
  <c r="AG48" i="2"/>
  <c r="AN48" i="2"/>
  <c r="AL48" i="2"/>
  <c r="AK48" i="2"/>
  <c r="AC48" i="2"/>
  <c r="BL48" i="2"/>
  <c r="AF48" i="2"/>
  <c r="AD48" i="2"/>
  <c r="AE48" i="2"/>
  <c r="AH50" i="2"/>
  <c r="AM50" i="2"/>
  <c r="AL50" i="2"/>
  <c r="AN50" i="2"/>
  <c r="AC50" i="2"/>
  <c r="AI50" i="2"/>
  <c r="AO50" i="2"/>
  <c r="AG50" i="2"/>
  <c r="AK50" i="2"/>
  <c r="AJ50" i="2"/>
  <c r="AD50" i="2"/>
  <c r="AE50" i="2"/>
  <c r="AF50" i="2"/>
  <c r="BJ50" i="2"/>
  <c r="BJ48" i="2" l="1"/>
  <c r="BI50" i="2"/>
  <c r="BL50" i="2"/>
  <c r="BK48" i="2"/>
  <c r="BK50" i="2"/>
  <c r="BI48" i="2"/>
  <c r="BK36" i="2"/>
  <c r="BJ36" i="2"/>
  <c r="AG29" i="2"/>
  <c r="AH29" i="2"/>
  <c r="AI29" i="2"/>
  <c r="AL29" i="2"/>
  <c r="AO29" i="2"/>
  <c r="AJ29" i="2"/>
  <c r="AN29" i="2"/>
  <c r="AK29" i="2"/>
  <c r="AM29" i="2"/>
  <c r="AC29" i="2"/>
  <c r="AD29" i="2"/>
  <c r="AE29" i="2"/>
  <c r="AF29" i="2"/>
  <c r="AG33" i="2"/>
  <c r="AH33" i="2"/>
  <c r="AL33" i="2"/>
  <c r="AI33" i="2"/>
  <c r="AO33" i="2"/>
  <c r="AJ33" i="2"/>
  <c r="AN33" i="2"/>
  <c r="AK33" i="2"/>
  <c r="AM33" i="2"/>
  <c r="AC33" i="2"/>
  <c r="AD33" i="2"/>
  <c r="AE33" i="2"/>
  <c r="AF33" i="2"/>
  <c r="AH52" i="2"/>
  <c r="AG52" i="2"/>
  <c r="AI52" i="2"/>
  <c r="AL52" i="2"/>
  <c r="AN52" i="2"/>
  <c r="AK52" i="2"/>
  <c r="AM52" i="2"/>
  <c r="AJ52" i="2"/>
  <c r="AO52" i="2"/>
  <c r="AC52" i="2"/>
  <c r="AF52" i="2"/>
  <c r="AD52" i="2"/>
  <c r="AE52" i="2"/>
  <c r="AG34" i="2"/>
  <c r="AH34" i="2"/>
  <c r="AL34" i="2"/>
  <c r="AI34" i="2"/>
  <c r="AK34" i="2"/>
  <c r="AM34" i="2"/>
  <c r="AN34" i="2"/>
  <c r="AO34" i="2"/>
  <c r="AJ34" i="2"/>
  <c r="AC34" i="2"/>
  <c r="AD34" i="2"/>
  <c r="AE34" i="2"/>
  <c r="AF34" i="2"/>
  <c r="AG23" i="2"/>
  <c r="AH23" i="2"/>
  <c r="AI23" i="2"/>
  <c r="AL23" i="2"/>
  <c r="AM23" i="2"/>
  <c r="AN23" i="2"/>
  <c r="AK23" i="2"/>
  <c r="AJ23" i="2"/>
  <c r="AO23" i="2"/>
  <c r="AC23" i="2"/>
  <c r="AE23" i="2"/>
  <c r="AF23" i="2"/>
  <c r="AD23" i="2"/>
  <c r="AG37" i="2"/>
  <c r="AH37" i="2"/>
  <c r="AI37" i="2"/>
  <c r="AL37" i="2"/>
  <c r="AO37" i="2"/>
  <c r="AJ37" i="2"/>
  <c r="AN37" i="2"/>
  <c r="AK37" i="2"/>
  <c r="AM37" i="2"/>
  <c r="AC37" i="2"/>
  <c r="AD37" i="2"/>
  <c r="AE37" i="2"/>
  <c r="AF37" i="2"/>
  <c r="AG46" i="2"/>
  <c r="AH46" i="2"/>
  <c r="AI46" i="2"/>
  <c r="AL46" i="2"/>
  <c r="AN46" i="2"/>
  <c r="AO46" i="2"/>
  <c r="AJ46" i="2"/>
  <c r="AK46" i="2"/>
  <c r="AM46" i="2"/>
  <c r="AC46" i="2"/>
  <c r="AD46" i="2"/>
  <c r="AE46" i="2"/>
  <c r="AF46" i="2"/>
  <c r="AG26" i="2"/>
  <c r="AH26" i="2"/>
  <c r="AL26" i="2"/>
  <c r="AI26" i="2"/>
  <c r="AN26" i="2"/>
  <c r="AM26" i="2"/>
  <c r="AJ26" i="2"/>
  <c r="AK26" i="2"/>
  <c r="AO26" i="2"/>
  <c r="AC26" i="2"/>
  <c r="AD26" i="2"/>
  <c r="AE26" i="2"/>
  <c r="AF26" i="2"/>
  <c r="AH28" i="2"/>
  <c r="AG28" i="2"/>
  <c r="AL28" i="2"/>
  <c r="AI28" i="2"/>
  <c r="AJ28" i="2"/>
  <c r="AO28" i="2"/>
  <c r="AN28" i="2"/>
  <c r="AK28" i="2"/>
  <c r="AM28" i="2"/>
  <c r="AC28" i="2"/>
  <c r="AF28" i="2"/>
  <c r="AD28" i="2"/>
  <c r="AE28" i="2"/>
  <c r="AG30" i="2"/>
  <c r="AH30" i="2"/>
  <c r="AI30" i="2"/>
  <c r="AL30" i="2"/>
  <c r="AN30" i="2"/>
  <c r="AO30" i="2"/>
  <c r="AJ30" i="2"/>
  <c r="AK30" i="2"/>
  <c r="AM30" i="2"/>
  <c r="AC30" i="2"/>
  <c r="AD30" i="2"/>
  <c r="AE30" i="2"/>
  <c r="AF30" i="2"/>
  <c r="BI37" i="2" l="1"/>
  <c r="BL28" i="2"/>
  <c r="BI46" i="2"/>
  <c r="BK30" i="2"/>
  <c r="BL34" i="2"/>
  <c r="BK28" i="2"/>
  <c r="BL33" i="2"/>
  <c r="BL52" i="2"/>
  <c r="BJ30" i="2"/>
  <c r="BJ28" i="2"/>
  <c r="BJ46" i="2"/>
  <c r="BL29" i="2"/>
  <c r="BI33" i="2"/>
  <c r="BJ29" i="2"/>
  <c r="BK23" i="2"/>
  <c r="BK37" i="2"/>
  <c r="BL37" i="2"/>
  <c r="BJ33" i="2"/>
  <c r="BL46" i="2"/>
  <c r="BI30" i="2"/>
  <c r="BL23" i="2"/>
  <c r="BL30" i="2"/>
  <c r="BI52" i="2"/>
  <c r="BK29" i="2"/>
  <c r="BJ34" i="2"/>
  <c r="BK26" i="2"/>
  <c r="BK33" i="2"/>
  <c r="BI23" i="2"/>
  <c r="BL26" i="2"/>
  <c r="BK34" i="2"/>
  <c r="BJ37" i="2"/>
  <c r="BI29" i="2"/>
  <c r="BK46" i="2"/>
  <c r="BJ26" i="2"/>
  <c r="BI34" i="2"/>
  <c r="BK52" i="2"/>
  <c r="BI26" i="2"/>
  <c r="BI28" i="2"/>
  <c r="BJ52" i="2"/>
  <c r="BJ23" i="2"/>
  <c r="C8" i="105" l="1"/>
  <c r="C8" i="120" l="1"/>
  <c r="C8" i="118"/>
  <c r="C8" i="117"/>
  <c r="C8" i="106"/>
  <c r="AK17" i="2" l="1"/>
  <c r="AE17" i="2"/>
  <c r="AD17" i="2"/>
  <c r="AI17" i="2"/>
  <c r="AJ17" i="2"/>
  <c r="AL17" i="2"/>
  <c r="AF17" i="2"/>
  <c r="AO17" i="2"/>
  <c r="AG17" i="2"/>
  <c r="AN17" i="2"/>
  <c r="AM17" i="2"/>
  <c r="AC17" i="2"/>
  <c r="AH17" i="2"/>
  <c r="C8" i="99" l="1"/>
  <c r="C8" i="98"/>
  <c r="C8" i="96"/>
  <c r="C8" i="104"/>
  <c r="C8" i="100"/>
  <c r="C8" i="103"/>
  <c r="C8" i="107"/>
  <c r="C8" i="93"/>
  <c r="C8" i="122"/>
  <c r="C8" i="116"/>
  <c r="BJ17" i="2"/>
  <c r="BL17" i="2"/>
  <c r="BI17" i="2"/>
  <c r="BK17" i="2"/>
  <c r="AJ18" i="2" l="1"/>
  <c r="AN18" i="2"/>
  <c r="AE18" i="2"/>
  <c r="AF18" i="2"/>
  <c r="AK18" i="2"/>
  <c r="AO18" i="2"/>
  <c r="AL18" i="2"/>
  <c r="AG18" i="2"/>
  <c r="AM18" i="2"/>
  <c r="AD18" i="2"/>
  <c r="AI18" i="2"/>
  <c r="AC18" i="2"/>
  <c r="AH18" i="2"/>
  <c r="BI18" i="2"/>
  <c r="BK18" i="2"/>
  <c r="BJ18" i="2"/>
  <c r="BL18" i="2"/>
  <c r="AG24" i="2"/>
  <c r="AK24" i="2"/>
  <c r="AI24" i="2"/>
  <c r="AL24" i="2"/>
  <c r="AN24" i="2"/>
  <c r="AC24" i="2"/>
  <c r="AM24" i="2"/>
  <c r="AO24" i="2"/>
  <c r="AH24" i="2"/>
  <c r="AJ24" i="2"/>
  <c r="BI24" i="2"/>
  <c r="AF24" i="2"/>
  <c r="AE24" i="2"/>
  <c r="BL24" i="2"/>
  <c r="BJ24" i="2"/>
  <c r="AD24" i="2"/>
  <c r="BK24" i="2"/>
  <c r="AI25" i="2"/>
  <c r="AN25" i="2"/>
  <c r="AO25" i="2"/>
  <c r="AL25" i="2"/>
  <c r="AF25" i="2"/>
  <c r="AD25" i="2"/>
  <c r="AG25" i="2"/>
  <c r="AE25" i="2"/>
  <c r="AM25" i="2"/>
  <c r="AH25" i="2"/>
  <c r="AJ25" i="2"/>
  <c r="AK25" i="2"/>
  <c r="AC25" i="2"/>
  <c r="BK25" i="2"/>
  <c r="BI25" i="2"/>
  <c r="BJ25" i="2"/>
  <c r="BL25" i="2"/>
  <c r="AO40" i="2" l="1"/>
  <c r="AD40" i="2"/>
  <c r="AF40" i="2"/>
  <c r="AH40" i="2"/>
  <c r="AK40" i="2"/>
  <c r="AN40" i="2"/>
  <c r="AJ40" i="2"/>
  <c r="AG40" i="2"/>
  <c r="AL40" i="2"/>
  <c r="AE40" i="2"/>
  <c r="AC40" i="2"/>
  <c r="AI40" i="2"/>
  <c r="AM40" i="2"/>
  <c r="AJ58" i="2"/>
  <c r="AC58" i="2"/>
  <c r="AM58" i="2"/>
  <c r="AO58" i="2"/>
  <c r="AH58" i="2"/>
  <c r="AI58" i="2"/>
  <c r="AK58" i="2"/>
  <c r="AN58" i="2"/>
  <c r="AL58" i="2"/>
  <c r="AG58" i="2"/>
  <c r="AF58" i="2"/>
  <c r="AD58" i="2"/>
  <c r="AE58" i="2"/>
  <c r="AO55" i="2"/>
  <c r="AM55" i="2"/>
  <c r="AJ55" i="2"/>
  <c r="AG55" i="2"/>
  <c r="AN55" i="2"/>
  <c r="AL55" i="2"/>
  <c r="AK55" i="2"/>
  <c r="AI55" i="2"/>
  <c r="AC55" i="2"/>
  <c r="AH55" i="2"/>
  <c r="AD55" i="2"/>
  <c r="AF55" i="2"/>
  <c r="AE55" i="2"/>
  <c r="AC45" i="2"/>
  <c r="AK45" i="2"/>
  <c r="AL45" i="2"/>
  <c r="AF45" i="2"/>
  <c r="AD45" i="2"/>
  <c r="AJ45" i="2"/>
  <c r="AO45" i="2"/>
  <c r="AH45" i="2"/>
  <c r="AE45" i="2"/>
  <c r="AI45" i="2"/>
  <c r="AM45" i="2"/>
  <c r="AG45" i="2"/>
  <c r="AN45" i="2"/>
  <c r="AM38" i="2"/>
  <c r="AH38" i="2"/>
  <c r="AI38" i="2"/>
  <c r="AF38" i="2"/>
  <c r="AN38" i="2"/>
  <c r="AD38" i="2"/>
  <c r="AO38" i="2"/>
  <c r="AC38" i="2"/>
  <c r="AK38" i="2"/>
  <c r="AE38" i="2"/>
  <c r="AL38" i="2"/>
  <c r="AG38" i="2"/>
  <c r="AJ38" i="2"/>
  <c r="AO20" i="2"/>
  <c r="AF20" i="2"/>
  <c r="AI20" i="2"/>
  <c r="AN20" i="2"/>
  <c r="AJ20" i="2"/>
  <c r="AM20" i="2"/>
  <c r="AL20" i="2"/>
  <c r="AC20" i="2"/>
  <c r="AD20" i="2"/>
  <c r="AH20" i="2"/>
  <c r="AK20" i="2"/>
  <c r="AE20" i="2"/>
  <c r="AG20" i="2"/>
  <c r="AO53" i="2"/>
  <c r="AH53" i="2"/>
  <c r="AN53" i="2"/>
  <c r="AK53" i="2"/>
  <c r="AJ53" i="2"/>
  <c r="AL53" i="2"/>
  <c r="AM53" i="2"/>
  <c r="AC53" i="2"/>
  <c r="AG53" i="2"/>
  <c r="AI53" i="2"/>
  <c r="AE53" i="2"/>
  <c r="AF53" i="2"/>
  <c r="AD53" i="2"/>
  <c r="AN49" i="2"/>
  <c r="AE49" i="2"/>
  <c r="AG49" i="2"/>
  <c r="AI49" i="2"/>
  <c r="AD49" i="2"/>
  <c r="AC49" i="2"/>
  <c r="AH49" i="2"/>
  <c r="AM49" i="2"/>
  <c r="AK49" i="2"/>
  <c r="AF49" i="2"/>
  <c r="AJ49" i="2"/>
  <c r="AL49" i="2"/>
  <c r="AO49" i="2"/>
  <c r="AN62" i="2"/>
  <c r="AI62" i="2"/>
  <c r="AM62" i="2"/>
  <c r="AH62" i="2"/>
  <c r="AF62" i="2"/>
  <c r="AD62" i="2"/>
  <c r="AO62" i="2"/>
  <c r="AJ62" i="2"/>
  <c r="AC62" i="2"/>
  <c r="AG62" i="2"/>
  <c r="AK62" i="2"/>
  <c r="AE62" i="2"/>
  <c r="AL62" i="2"/>
  <c r="AM59" i="2"/>
  <c r="AI59" i="2"/>
  <c r="AK59" i="2"/>
  <c r="AO59" i="2"/>
  <c r="AJ59" i="2"/>
  <c r="AL59" i="2"/>
  <c r="AC59" i="2"/>
  <c r="AN59" i="2"/>
  <c r="AG59" i="2"/>
  <c r="AH59" i="2"/>
  <c r="AD59" i="2"/>
  <c r="AF59" i="2"/>
  <c r="AE59" i="2"/>
  <c r="AH56" i="2"/>
  <c r="AK56" i="2"/>
  <c r="AG56" i="2"/>
  <c r="AM56" i="2"/>
  <c r="AI56" i="2"/>
  <c r="AL56" i="2"/>
  <c r="AO56" i="2"/>
  <c r="AC56" i="2"/>
  <c r="AN56" i="2"/>
  <c r="AJ56" i="2"/>
  <c r="AD56" i="2"/>
  <c r="AF56" i="2"/>
  <c r="AE56" i="2"/>
  <c r="AN51" i="2"/>
  <c r="AL51" i="2"/>
  <c r="AI51" i="2"/>
  <c r="AJ51" i="2"/>
  <c r="AK51" i="2"/>
  <c r="AO51" i="2"/>
  <c r="AC51" i="2"/>
  <c r="AM51" i="2"/>
  <c r="AH51" i="2"/>
  <c r="AF51" i="2"/>
  <c r="AG51" i="2"/>
  <c r="AD51" i="2"/>
  <c r="AE51" i="2"/>
  <c r="AJ43" i="2"/>
  <c r="AD43" i="2"/>
  <c r="AF43" i="2"/>
  <c r="AL43" i="2"/>
  <c r="AH43" i="2"/>
  <c r="AC43" i="2"/>
  <c r="AI43" i="2"/>
  <c r="AN43" i="2"/>
  <c r="AM43" i="2"/>
  <c r="AK43" i="2"/>
  <c r="AE43" i="2"/>
  <c r="AO43" i="2"/>
  <c r="AG43" i="2"/>
  <c r="AH61" i="2"/>
  <c r="AK61" i="2"/>
  <c r="AJ61" i="2"/>
  <c r="AC61" i="2"/>
  <c r="AI61" i="2"/>
  <c r="AN61" i="2"/>
  <c r="AO61" i="2"/>
  <c r="AM61" i="2"/>
  <c r="AG61" i="2"/>
  <c r="AL61" i="2"/>
  <c r="AE61" i="2"/>
  <c r="AF61" i="2"/>
  <c r="AD61" i="2"/>
  <c r="AC32" i="2"/>
  <c r="AJ32" i="2"/>
  <c r="AL32" i="2"/>
  <c r="AD32" i="2"/>
  <c r="AH32" i="2"/>
  <c r="AN32" i="2"/>
  <c r="AO32" i="2"/>
  <c r="AM32" i="2"/>
  <c r="AG32" i="2"/>
  <c r="AE32" i="2"/>
  <c r="AK32" i="2"/>
  <c r="AF32" i="2"/>
  <c r="AI32" i="2"/>
  <c r="AJ60" i="2"/>
  <c r="AO60" i="2"/>
  <c r="AM60" i="2"/>
  <c r="AN60" i="2"/>
  <c r="AK60" i="2"/>
  <c r="AC60" i="2"/>
  <c r="AH60" i="2"/>
  <c r="AG60" i="2"/>
  <c r="AI60" i="2"/>
  <c r="AL60" i="2"/>
  <c r="AD60" i="2"/>
  <c r="AE60" i="2"/>
  <c r="AF60" i="2"/>
  <c r="AC39" i="2"/>
  <c r="AF39" i="2"/>
  <c r="AN39" i="2"/>
  <c r="AH39" i="2"/>
  <c r="AO39" i="2"/>
  <c r="AL39" i="2"/>
  <c r="AG39" i="2"/>
  <c r="AI39" i="2"/>
  <c r="AK39" i="2"/>
  <c r="AJ39" i="2"/>
  <c r="AE39" i="2"/>
  <c r="AD39" i="2"/>
  <c r="AM39" i="2"/>
  <c r="AF42" i="2"/>
  <c r="AM42" i="2"/>
  <c r="AL42" i="2"/>
  <c r="AG42" i="2"/>
  <c r="AN42" i="2"/>
  <c r="AK42" i="2"/>
  <c r="AH42" i="2"/>
  <c r="AE42" i="2"/>
  <c r="AD42" i="2"/>
  <c r="AJ42" i="2"/>
  <c r="AI42" i="2"/>
  <c r="AC42" i="2"/>
  <c r="AO42" i="2"/>
  <c r="AL41" i="2"/>
  <c r="AN41" i="2"/>
  <c r="AD41" i="2"/>
  <c r="AC41" i="2"/>
  <c r="AM41" i="2"/>
  <c r="AG41" i="2"/>
  <c r="AK41" i="2"/>
  <c r="AO41" i="2"/>
  <c r="AF41" i="2"/>
  <c r="AH41" i="2"/>
  <c r="AJ41" i="2"/>
  <c r="AE41" i="2"/>
  <c r="AI41" i="2"/>
  <c r="AG57" i="2"/>
  <c r="AN57" i="2"/>
  <c r="AM57" i="2"/>
  <c r="AJ57" i="2"/>
  <c r="AC57" i="2"/>
  <c r="AH57" i="2"/>
  <c r="AI57" i="2"/>
  <c r="AK57" i="2"/>
  <c r="AL57" i="2"/>
  <c r="AO57" i="2"/>
  <c r="AE57" i="2"/>
  <c r="AF57" i="2"/>
  <c r="AD57" i="2"/>
  <c r="AJ27" i="2"/>
  <c r="AK27" i="2"/>
  <c r="AF27" i="2"/>
  <c r="AL27" i="2"/>
  <c r="AM27" i="2"/>
  <c r="AE27" i="2"/>
  <c r="AD27" i="2"/>
  <c r="AH27" i="2"/>
  <c r="AI27" i="2"/>
  <c r="AO27" i="2"/>
  <c r="AC27" i="2"/>
  <c r="AG27" i="2"/>
  <c r="AN27" i="2"/>
  <c r="AE31" i="2"/>
  <c r="AF31" i="2"/>
  <c r="AJ31" i="2"/>
  <c r="AD31" i="2"/>
  <c r="AG31" i="2"/>
  <c r="AI31" i="2"/>
  <c r="AN31" i="2"/>
  <c r="AC31" i="2"/>
  <c r="AH31" i="2"/>
  <c r="AL31" i="2"/>
  <c r="AO31" i="2"/>
  <c r="AK31" i="2"/>
  <c r="AM31" i="2"/>
  <c r="AH44" i="2"/>
  <c r="AD44" i="2"/>
  <c r="AJ44" i="2"/>
  <c r="AG44" i="2"/>
  <c r="AN44" i="2"/>
  <c r="AE44" i="2"/>
  <c r="AM44" i="2"/>
  <c r="AI44" i="2"/>
  <c r="AL44" i="2"/>
  <c r="AK44" i="2"/>
  <c r="AO44" i="2"/>
  <c r="AF44" i="2"/>
  <c r="AC44" i="2"/>
  <c r="AJ21" i="2"/>
  <c r="AL21" i="2"/>
  <c r="AC21" i="2"/>
  <c r="AN21" i="2"/>
  <c r="AM21" i="2"/>
  <c r="AK21" i="2"/>
  <c r="AH21" i="2"/>
  <c r="AD21" i="2"/>
  <c r="AO21" i="2"/>
  <c r="AI21" i="2"/>
  <c r="AE21" i="2"/>
  <c r="AF21" i="2"/>
  <c r="AG21" i="2"/>
  <c r="AK22" i="2"/>
  <c r="AO22" i="2"/>
  <c r="AH22" i="2"/>
  <c r="AE22" i="2"/>
  <c r="AI22" i="2"/>
  <c r="AN22" i="2"/>
  <c r="AF22" i="2"/>
  <c r="AG22" i="2"/>
  <c r="AC22" i="2"/>
  <c r="AL22" i="2"/>
  <c r="AM22" i="2"/>
  <c r="AD22" i="2"/>
  <c r="AJ22" i="2"/>
  <c r="AJ19" i="2"/>
  <c r="AF19" i="2"/>
  <c r="AI19" i="2"/>
  <c r="AN19" i="2"/>
  <c r="AK19" i="2"/>
  <c r="AE19" i="2"/>
  <c r="AG19" i="2"/>
  <c r="AM19" i="2"/>
  <c r="AL19" i="2"/>
  <c r="AO19" i="2"/>
  <c r="AD19" i="2"/>
  <c r="AC19" i="2"/>
  <c r="AH19" i="2"/>
  <c r="AN54" i="2"/>
  <c r="AM54" i="2"/>
  <c r="AL54" i="2"/>
  <c r="AK54" i="2"/>
  <c r="AG54" i="2"/>
  <c r="AO54" i="2"/>
  <c r="AI54" i="2"/>
  <c r="AJ54" i="2"/>
  <c r="AH54" i="2"/>
  <c r="AC54" i="2"/>
  <c r="AF54" i="2"/>
  <c r="AD54" i="2"/>
  <c r="AE54" i="2"/>
  <c r="C8" i="94" l="1"/>
  <c r="C8" i="88"/>
  <c r="C8" i="95" l="1"/>
  <c r="AZ46" i="2" l="1"/>
  <c r="AZ37" i="2"/>
  <c r="AZ36" i="2"/>
  <c r="AZ33" i="2"/>
  <c r="AZ17" i="2"/>
  <c r="AZ28" i="2"/>
  <c r="AZ63" i="2"/>
  <c r="AZ23" i="2"/>
  <c r="AZ52" i="2"/>
  <c r="AZ26" i="2"/>
  <c r="AZ30" i="2"/>
  <c r="AZ64" i="2"/>
  <c r="AZ29" i="2"/>
  <c r="AZ47" i="2"/>
  <c r="AZ18" i="2"/>
  <c r="AZ35" i="2"/>
  <c r="AZ50" i="2"/>
  <c r="AZ34" i="2"/>
  <c r="AZ48" i="2"/>
  <c r="AZ24" i="2"/>
  <c r="AZ65" i="2"/>
  <c r="AZ25" i="2"/>
  <c r="BK21" i="2" l="1"/>
  <c r="BJ61" i="2"/>
  <c r="BK20" i="2"/>
  <c r="BK40" i="2"/>
  <c r="BK59" i="2"/>
  <c r="BJ32" i="2"/>
  <c r="BK58" i="2"/>
  <c r="BK55" i="2"/>
  <c r="BJ45" i="2"/>
  <c r="BJ49" i="2"/>
  <c r="BJ44" i="2"/>
  <c r="BJ40" i="2"/>
  <c r="BJ53" i="2"/>
  <c r="BK60" i="2"/>
  <c r="BJ27" i="2"/>
  <c r="BJ39" i="2"/>
  <c r="BK22" i="2"/>
  <c r="BJ59" i="2"/>
  <c r="BJ20" i="2"/>
  <c r="BJ51" i="2"/>
  <c r="BK53" i="2"/>
  <c r="BJ60" i="2"/>
  <c r="BJ62" i="2"/>
  <c r="BJ54" i="2"/>
  <c r="BJ19" i="2"/>
  <c r="BK38" i="2"/>
  <c r="BJ22" i="2"/>
  <c r="BK19" i="2"/>
  <c r="BK42" i="2"/>
  <c r="BK32" i="2"/>
  <c r="BK56" i="2"/>
  <c r="BK57" i="2"/>
  <c r="BJ55" i="2"/>
  <c r="BJ21" i="2"/>
  <c r="BK27" i="2"/>
  <c r="BJ58" i="2"/>
  <c r="BK31" i="2"/>
  <c r="BJ42" i="2"/>
  <c r="BJ41" i="2"/>
  <c r="BK43" i="2"/>
  <c r="BK51" i="2"/>
  <c r="BJ43" i="2"/>
  <c r="BJ56" i="2"/>
  <c r="BJ57" i="2"/>
  <c r="BK39" i="2"/>
  <c r="BK54" i="2"/>
  <c r="BK61" i="2"/>
  <c r="BK62" i="2"/>
  <c r="BJ38" i="2"/>
  <c r="BK41" i="2"/>
  <c r="BK44" i="2"/>
  <c r="BK45" i="2"/>
  <c r="BK49" i="2"/>
  <c r="BJ31" i="2"/>
  <c r="D67" i="7" l="1"/>
  <c r="D67" i="177" s="1"/>
  <c r="D65" i="7"/>
  <c r="D65" i="177" s="1"/>
  <c r="C8" i="101" l="1"/>
  <c r="C8" i="92"/>
  <c r="C8" i="129"/>
  <c r="C8" i="131"/>
  <c r="C8" i="119"/>
  <c r="C8" i="128" l="1"/>
  <c r="C8" i="113"/>
  <c r="C8" i="112"/>
  <c r="C8" i="91"/>
  <c r="C8" i="123"/>
  <c r="C8" i="89"/>
  <c r="C8" i="126"/>
  <c r="C8" i="115"/>
  <c r="C8" i="108"/>
  <c r="C8" i="110"/>
  <c r="C8" i="124"/>
  <c r="C8" i="130"/>
  <c r="C8" i="97"/>
  <c r="C8" i="102"/>
  <c r="C8" i="109"/>
  <c r="C8" i="125"/>
  <c r="C8" i="114"/>
  <c r="C8" i="121"/>
  <c r="C8" i="90"/>
  <c r="C8" i="111"/>
  <c r="C8" i="132"/>
  <c r="C8" i="127"/>
  <c r="I65" i="7" l="1"/>
  <c r="I65" i="177" s="1"/>
  <c r="I67" i="7"/>
  <c r="I67" i="177" s="1"/>
  <c r="E65" i="15"/>
  <c r="E64" i="15"/>
  <c r="F64" i="15" l="1"/>
  <c r="H64" i="15"/>
  <c r="J64" i="15"/>
  <c r="L64" i="15"/>
  <c r="N64" i="15"/>
  <c r="P64" i="15"/>
  <c r="R64" i="15"/>
  <c r="T64" i="15"/>
  <c r="V64" i="15"/>
  <c r="X64" i="15"/>
  <c r="Z64" i="15"/>
  <c r="AB64" i="15"/>
  <c r="AD64" i="15"/>
  <c r="AF64" i="15"/>
  <c r="AH64" i="15"/>
  <c r="AJ64" i="15"/>
  <c r="AL64" i="15"/>
  <c r="AN64" i="15"/>
  <c r="AP64" i="15"/>
  <c r="AR64" i="15"/>
  <c r="AT64" i="15"/>
  <c r="AV64" i="15"/>
  <c r="AX64" i="15"/>
  <c r="AZ64" i="15"/>
  <c r="BB64" i="15"/>
  <c r="BD64" i="15"/>
  <c r="BF64" i="15"/>
  <c r="BH64" i="15"/>
  <c r="BJ64" i="15"/>
  <c r="BL64" i="15"/>
  <c r="BL49" i="2" l="1"/>
  <c r="BL61" i="2"/>
  <c r="BI21" i="2"/>
  <c r="BL21" i="2"/>
  <c r="BI42" i="2"/>
  <c r="BL38" i="2"/>
  <c r="BL60" i="2"/>
  <c r="BL40" i="2"/>
  <c r="BL42" i="2"/>
  <c r="BL43" i="2"/>
  <c r="BI53" i="2"/>
  <c r="BI55" i="2"/>
  <c r="BL44" i="2"/>
  <c r="BL32" i="2"/>
  <c r="BI60" i="2"/>
  <c r="BI40" i="2"/>
  <c r="BI22" i="2"/>
  <c r="BI61" i="2"/>
  <c r="BI43" i="2"/>
  <c r="BL55" i="2"/>
  <c r="BL27" i="2"/>
  <c r="BL51" i="2"/>
  <c r="BL57" i="2"/>
  <c r="BI49" i="2"/>
  <c r="BI27" i="2"/>
  <c r="BI57" i="2"/>
  <c r="BL20" i="2"/>
  <c r="BL22" i="2"/>
  <c r="BL45" i="2"/>
  <c r="BL58" i="2"/>
  <c r="BL41" i="2"/>
  <c r="BL19" i="2"/>
  <c r="BI54" i="2"/>
  <c r="BI31" i="2"/>
  <c r="BI39" i="2"/>
  <c r="BI51" i="2"/>
  <c r="BI59" i="2"/>
  <c r="BL39" i="2"/>
  <c r="BI32" i="2"/>
  <c r="BL56" i="2"/>
  <c r="BI56" i="2"/>
  <c r="BI45" i="2"/>
  <c r="BI44" i="2"/>
  <c r="BI41" i="2"/>
  <c r="BL59" i="2"/>
  <c r="BI19" i="2"/>
  <c r="BL31" i="2"/>
  <c r="BL54" i="2"/>
  <c r="BL62" i="2"/>
  <c r="BL53" i="2"/>
  <c r="BI62" i="2"/>
  <c r="BI58" i="2"/>
  <c r="BI20" i="2"/>
  <c r="BI38" i="2"/>
  <c r="L65" i="19" l="1"/>
  <c r="E65" i="7" l="1"/>
  <c r="E65" i="177" s="1"/>
  <c r="H67" i="7" l="1"/>
  <c r="H67" i="177" s="1"/>
  <c r="H65" i="7"/>
  <c r="H65" i="177" s="1"/>
  <c r="F65" i="7"/>
  <c r="F65" i="177" s="1"/>
  <c r="AZ45" i="2" l="1"/>
  <c r="AZ27" i="2"/>
  <c r="AZ51" i="2"/>
  <c r="AZ49" i="2"/>
  <c r="AZ38" i="2"/>
  <c r="AZ40" i="2"/>
  <c r="AZ32" i="2"/>
  <c r="AZ22" i="2"/>
  <c r="AZ20" i="2"/>
  <c r="AZ60" i="2"/>
  <c r="AZ21" i="2"/>
  <c r="AZ42" i="2"/>
  <c r="AZ44" i="2"/>
  <c r="AZ59" i="2"/>
  <c r="AZ31" i="2"/>
  <c r="AZ53" i="2"/>
  <c r="AZ19" i="2"/>
  <c r="AZ43" i="2"/>
  <c r="AZ54" i="2"/>
  <c r="AZ61" i="2"/>
  <c r="AZ58" i="2"/>
  <c r="AZ39" i="2"/>
  <c r="AZ57" i="2"/>
  <c r="AZ41" i="2"/>
  <c r="AZ56" i="2"/>
  <c r="AZ55" i="2"/>
  <c r="AZ62" i="2"/>
  <c r="G65" i="7"/>
  <c r="G65" i="177" s="1"/>
  <c r="L67" i="19" l="1"/>
  <c r="E67" i="7" l="1"/>
  <c r="E67" i="177" s="1"/>
  <c r="AB20" i="3"/>
  <c r="F25" i="2"/>
  <c r="J25" i="2"/>
  <c r="P25" i="2"/>
  <c r="N25" i="2"/>
  <c r="I25" i="2"/>
  <c r="K25" i="2"/>
  <c r="V25" i="2"/>
  <c r="T25" i="2"/>
  <c r="U25" i="2"/>
  <c r="H25" i="2"/>
  <c r="R25" i="3"/>
  <c r="P25" i="3"/>
  <c r="S25" i="2"/>
  <c r="M25" i="2"/>
  <c r="Q25" i="2"/>
  <c r="L25" i="2"/>
  <c r="G25" i="2"/>
  <c r="E25" i="2"/>
  <c r="R25" i="2"/>
  <c r="AW25" i="2" l="1"/>
  <c r="AV25" i="2"/>
  <c r="AX25" i="2"/>
  <c r="BA25" i="2"/>
  <c r="AT25" i="2"/>
  <c r="AR25" i="2"/>
  <c r="AU25" i="2"/>
  <c r="BE25" i="2"/>
  <c r="AJ25" i="3"/>
  <c r="AK25" i="3" s="1"/>
  <c r="AQ25" i="2"/>
  <c r="BB25" i="2"/>
  <c r="BD25" i="2"/>
  <c r="BG25" i="2"/>
  <c r="BC25" i="2"/>
  <c r="BF25" i="2"/>
  <c r="AP25" i="2"/>
  <c r="AS25" i="2"/>
  <c r="AY25" i="2"/>
  <c r="G67" i="7"/>
  <c r="G67" i="177" s="1"/>
  <c r="F67" i="7"/>
  <c r="F67" i="177" s="1"/>
  <c r="I25" i="3" l="1"/>
  <c r="AG25" i="3" s="1"/>
  <c r="AA25" i="3" s="1"/>
  <c r="AL25" i="3"/>
  <c r="AM25" i="3"/>
  <c r="L25" i="3" l="1"/>
  <c r="X25" i="3"/>
  <c r="N65" i="7"/>
  <c r="AF79" i="174"/>
  <c r="C25" i="4" l="1"/>
  <c r="AO25" i="3"/>
  <c r="D25" i="4" l="1"/>
  <c r="E25" i="4" s="1"/>
  <c r="F25" i="4" s="1"/>
  <c r="G25" i="4" s="1"/>
  <c r="H25" i="4" s="1"/>
  <c r="I25" i="4" s="1"/>
  <c r="K25" i="4" s="1"/>
  <c r="M25" i="4" s="1"/>
  <c r="C25" i="16"/>
  <c r="D25" i="16" l="1"/>
  <c r="E25" i="16" s="1"/>
  <c r="J25" i="4"/>
  <c r="L25" i="4" s="1"/>
  <c r="N25" i="4" s="1"/>
  <c r="N67" i="7"/>
  <c r="AF81" i="174"/>
  <c r="C25" i="17"/>
  <c r="C25" i="19" l="1"/>
  <c r="F25" i="19" s="1"/>
  <c r="K25" i="19" s="1"/>
  <c r="O25" i="4"/>
  <c r="D25" i="17"/>
  <c r="E25" i="17" s="1"/>
  <c r="F25" i="17" s="1"/>
  <c r="G25" i="17" s="1"/>
  <c r="H25" i="17" s="1"/>
  <c r="I25" i="17" s="1"/>
  <c r="E25" i="19" l="1"/>
  <c r="J25" i="19" s="1"/>
  <c r="I25" i="19"/>
  <c r="D25" i="19"/>
  <c r="H25" i="19" s="1"/>
  <c r="C25" i="20"/>
  <c r="C25" i="21" s="1"/>
  <c r="C25" i="177" s="1"/>
  <c r="G25" i="19"/>
  <c r="D25" i="20" l="1"/>
  <c r="E25" i="20" s="1"/>
  <c r="F25" i="20" s="1"/>
  <c r="M25" i="19" a="1"/>
  <c r="M25" i="19" s="1"/>
  <c r="N25" i="19" s="1"/>
  <c r="D25" i="21"/>
  <c r="E25" i="21" s="1"/>
  <c r="F25" i="21" s="1"/>
  <c r="C25" i="7"/>
  <c r="C25" i="154"/>
  <c r="D67" i="156"/>
  <c r="F67" i="156" s="1"/>
  <c r="H67" i="156" s="1"/>
  <c r="D67" i="15"/>
  <c r="D65" i="15"/>
  <c r="F65" i="15" s="1"/>
  <c r="H65" i="15" s="1"/>
  <c r="J65" i="15" s="1"/>
  <c r="L65" i="15" s="1"/>
  <c r="N65" i="15" s="1"/>
  <c r="P65" i="15" s="1"/>
  <c r="R65" i="15" s="1"/>
  <c r="T65" i="15" s="1"/>
  <c r="V65" i="15" s="1"/>
  <c r="X65" i="15" s="1"/>
  <c r="Z65" i="15" s="1"/>
  <c r="AB65" i="15" s="1"/>
  <c r="AD65" i="15" s="1"/>
  <c r="AF65" i="15" s="1"/>
  <c r="AH65" i="15" s="1"/>
  <c r="AJ65" i="15" s="1"/>
  <c r="AL65" i="15" s="1"/>
  <c r="AN65" i="15" s="1"/>
  <c r="AP65" i="15" s="1"/>
  <c r="AR65" i="15" s="1"/>
  <c r="AT65" i="15" s="1"/>
  <c r="AV65" i="15" s="1"/>
  <c r="AX65" i="15" s="1"/>
  <c r="AZ65" i="15" s="1"/>
  <c r="BB65" i="15" s="1"/>
  <c r="BD65" i="15" s="1"/>
  <c r="BF65" i="15" s="1"/>
  <c r="BH65" i="15" s="1"/>
  <c r="BJ65" i="15" s="1"/>
  <c r="BL65" i="15" s="1"/>
  <c r="D65" i="156"/>
  <c r="F65" i="156" s="1"/>
  <c r="D25" i="154" l="1"/>
  <c r="E25" i="154" s="1"/>
  <c r="F25" i="154" s="1"/>
  <c r="C39" i="174"/>
  <c r="I67" i="156"/>
  <c r="H65" i="156"/>
  <c r="I65" i="156" s="1"/>
  <c r="C25" i="14" l="1"/>
  <c r="G25" i="154"/>
  <c r="E25" i="156"/>
  <c r="B39" i="174"/>
  <c r="AD39" i="174"/>
  <c r="AE39" i="174"/>
  <c r="C39" i="161" l="1"/>
  <c r="C25" i="15"/>
  <c r="E25" i="15" s="1"/>
  <c r="L25" i="15" s="1"/>
  <c r="C25" i="156" l="1"/>
  <c r="B39" i="161"/>
  <c r="C39" i="170"/>
  <c r="H25" i="15"/>
  <c r="J25" i="15"/>
  <c r="J67" i="156"/>
  <c r="K67" i="156" s="1"/>
  <c r="L67" i="156" s="1"/>
  <c r="M67" i="156" s="1"/>
  <c r="J65" i="156"/>
  <c r="K65" i="156" s="1"/>
  <c r="L65" i="156" s="1"/>
  <c r="N25" i="15"/>
  <c r="M65" i="156" l="1"/>
  <c r="P25" i="15"/>
  <c r="N67" i="156" l="1"/>
  <c r="O67" i="156" s="1"/>
  <c r="P67" i="156" s="1"/>
  <c r="Q67" i="156" s="1"/>
  <c r="G67" i="15"/>
  <c r="N65" i="156"/>
  <c r="O65" i="156" s="1"/>
  <c r="G65" i="15"/>
  <c r="R25" i="15"/>
  <c r="B39" i="165" l="1"/>
  <c r="B39" i="166" s="1"/>
  <c r="I67" i="15"/>
  <c r="P65" i="156"/>
  <c r="I65" i="15"/>
  <c r="T25" i="15"/>
  <c r="R39" i="165" l="1"/>
  <c r="R39" i="166" s="1"/>
  <c r="AX39" i="166"/>
  <c r="K67" i="15"/>
  <c r="Q65" i="156"/>
  <c r="K65" i="15"/>
  <c r="V25" i="15"/>
  <c r="R67" i="156" l="1"/>
  <c r="S67" i="156" s="1"/>
  <c r="T67" i="156" s="1"/>
  <c r="M67" i="15"/>
  <c r="M65" i="15"/>
  <c r="R65" i="156"/>
  <c r="X25" i="15"/>
  <c r="U67" i="156" l="1"/>
  <c r="O67" i="15"/>
  <c r="S65" i="156"/>
  <c r="T65" i="156" s="1"/>
  <c r="U65" i="156" s="1"/>
  <c r="O65" i="15"/>
  <c r="Z25" i="15"/>
  <c r="Q67" i="15" l="1"/>
  <c r="Q65" i="15"/>
  <c r="V65" i="156"/>
  <c r="AB25" i="15"/>
  <c r="V67" i="156" l="1"/>
  <c r="W67" i="156" s="1"/>
  <c r="X67" i="156" s="1"/>
  <c r="S67" i="15"/>
  <c r="W65" i="156"/>
  <c r="X65" i="156" s="1"/>
  <c r="Y65" i="156" s="1"/>
  <c r="S65" i="15"/>
  <c r="AD25" i="15"/>
  <c r="Y67" i="156" l="1"/>
  <c r="U67" i="15"/>
  <c r="U65" i="15"/>
  <c r="AF25" i="15"/>
  <c r="Z67" i="156" l="1"/>
  <c r="AA67" i="156" s="1"/>
  <c r="AB67" i="156" s="1"/>
  <c r="AC67" i="156" s="1"/>
  <c r="W67" i="15"/>
  <c r="AA65" i="156"/>
  <c r="AB65" i="156" s="1"/>
  <c r="W65" i="15"/>
  <c r="AH25" i="15"/>
  <c r="Y67" i="15" l="1"/>
  <c r="AC65" i="156"/>
  <c r="Y65" i="15"/>
  <c r="AJ25" i="15"/>
  <c r="AA67" i="15" l="1"/>
  <c r="AD65" i="156"/>
  <c r="AA65" i="15"/>
  <c r="AL25" i="15"/>
  <c r="AD67" i="156" l="1"/>
  <c r="AE67" i="156" s="1"/>
  <c r="AF67" i="156" s="1"/>
  <c r="AC67" i="15"/>
  <c r="AE65" i="156"/>
  <c r="AF65" i="156" s="1"/>
  <c r="AC65" i="15"/>
  <c r="AN25" i="15"/>
  <c r="AG67" i="156" l="1"/>
  <c r="AE67" i="15"/>
  <c r="AG65" i="156"/>
  <c r="AE65" i="15"/>
  <c r="AP25" i="15"/>
  <c r="AH67" i="156" l="1"/>
  <c r="AI67" i="156" s="1"/>
  <c r="AJ67" i="156" s="1"/>
  <c r="AK67" i="156" s="1"/>
  <c r="AG67" i="15"/>
  <c r="AH65" i="156"/>
  <c r="AI65" i="156" s="1"/>
  <c r="AJ65" i="156" s="1"/>
  <c r="AG65" i="15"/>
  <c r="AR25" i="15"/>
  <c r="S55" i="2"/>
  <c r="P59" i="3"/>
  <c r="M55" i="2"/>
  <c r="H55" i="2"/>
  <c r="L59" i="2"/>
  <c r="Q59" i="2"/>
  <c r="T59" i="2"/>
  <c r="H59" i="2"/>
  <c r="S59" i="2"/>
  <c r="K55" i="2"/>
  <c r="J55" i="2"/>
  <c r="M59" i="2"/>
  <c r="V59" i="2"/>
  <c r="R55" i="2"/>
  <c r="J59" i="2"/>
  <c r="F55" i="2"/>
  <c r="F59" i="2"/>
  <c r="P55" i="3"/>
  <c r="N55" i="2"/>
  <c r="R59" i="3"/>
  <c r="E59" i="2"/>
  <c r="V55" i="2"/>
  <c r="I55" i="2"/>
  <c r="U55" i="2"/>
  <c r="Q55" i="2"/>
  <c r="R55" i="3"/>
  <c r="E55" i="2"/>
  <c r="U59" i="2"/>
  <c r="G55" i="2"/>
  <c r="T55" i="2"/>
  <c r="L55" i="2"/>
  <c r="R59" i="2"/>
  <c r="P59" i="2"/>
  <c r="I59" i="2"/>
  <c r="P55" i="2"/>
  <c r="N59" i="2"/>
  <c r="G59" i="2"/>
  <c r="K59" i="2"/>
  <c r="P60" i="2"/>
  <c r="Q60" i="2"/>
  <c r="J60" i="2"/>
  <c r="R60" i="3"/>
  <c r="V60" i="2"/>
  <c r="S60" i="2"/>
  <c r="E60" i="2"/>
  <c r="U60" i="2"/>
  <c r="R60" i="2"/>
  <c r="P60" i="3"/>
  <c r="G60" i="2"/>
  <c r="I60" i="2"/>
  <c r="M60" i="2"/>
  <c r="L60" i="2"/>
  <c r="F60" i="2"/>
  <c r="K60" i="2"/>
  <c r="N60" i="2"/>
  <c r="T60" i="2"/>
  <c r="H60" i="2"/>
  <c r="P56" i="2"/>
  <c r="K58" i="2"/>
  <c r="R58" i="3"/>
  <c r="F56" i="2"/>
  <c r="N58" i="2"/>
  <c r="R58" i="2"/>
  <c r="J58" i="2"/>
  <c r="L56" i="2"/>
  <c r="Q56" i="2"/>
  <c r="K56" i="2"/>
  <c r="I58" i="2"/>
  <c r="T58" i="2"/>
  <c r="R56" i="2"/>
  <c r="H58" i="2"/>
  <c r="M56" i="2"/>
  <c r="L58" i="2"/>
  <c r="P56" i="3"/>
  <c r="R56" i="3"/>
  <c r="V58" i="2"/>
  <c r="U58" i="2"/>
  <c r="V56" i="2"/>
  <c r="N56" i="2"/>
  <c r="E56" i="2"/>
  <c r="Q58" i="2"/>
  <c r="P58" i="2"/>
  <c r="J56" i="2"/>
  <c r="G58" i="2"/>
  <c r="H56" i="2"/>
  <c r="M58" i="2"/>
  <c r="I56" i="2"/>
  <c r="S58" i="2"/>
  <c r="E58" i="2"/>
  <c r="G56" i="2"/>
  <c r="T56" i="2"/>
  <c r="S56" i="2"/>
  <c r="U56" i="2"/>
  <c r="P58" i="3"/>
  <c r="F58" i="2"/>
  <c r="P64" i="2"/>
  <c r="R64" i="3"/>
  <c r="Q64" i="2"/>
  <c r="T64" i="2"/>
  <c r="P64" i="3"/>
  <c r="V64" i="2"/>
  <c r="S64" i="2"/>
  <c r="R64" i="2"/>
  <c r="U64" i="2"/>
  <c r="F51" i="2"/>
  <c r="Q51" i="2"/>
  <c r="J50" i="2"/>
  <c r="S51" i="2"/>
  <c r="I51" i="2"/>
  <c r="P50" i="2"/>
  <c r="L50" i="2"/>
  <c r="H50" i="2"/>
  <c r="V50" i="2"/>
  <c r="V51" i="2"/>
  <c r="T50" i="2"/>
  <c r="Q50" i="2"/>
  <c r="P51" i="3"/>
  <c r="R51" i="3"/>
  <c r="I50" i="2"/>
  <c r="F50" i="2"/>
  <c r="M51" i="2"/>
  <c r="T51" i="2"/>
  <c r="R50" i="2"/>
  <c r="L51" i="2"/>
  <c r="E51" i="2"/>
  <c r="R51" i="2"/>
  <c r="K50" i="2"/>
  <c r="M50" i="2"/>
  <c r="K51" i="2"/>
  <c r="S50" i="2"/>
  <c r="P50" i="3"/>
  <c r="H51" i="2"/>
  <c r="R50" i="3"/>
  <c r="N50" i="2"/>
  <c r="G50" i="2"/>
  <c r="U50" i="2"/>
  <c r="N51" i="2"/>
  <c r="E50" i="2"/>
  <c r="P51" i="2"/>
  <c r="U51" i="2"/>
  <c r="J51" i="2"/>
  <c r="G51" i="2"/>
  <c r="N54" i="2"/>
  <c r="I54" i="2"/>
  <c r="R54" i="3"/>
  <c r="P54" i="2"/>
  <c r="E54" i="2"/>
  <c r="Q54" i="2"/>
  <c r="P54" i="3"/>
  <c r="M54" i="2"/>
  <c r="U54" i="2"/>
  <c r="T54" i="2"/>
  <c r="V54" i="2"/>
  <c r="R54" i="2"/>
  <c r="J54" i="2"/>
  <c r="G54" i="2"/>
  <c r="H54" i="2"/>
  <c r="L54" i="2"/>
  <c r="F54" i="2"/>
  <c r="S54" i="2"/>
  <c r="K54" i="2"/>
  <c r="R53" i="2"/>
  <c r="M53" i="2"/>
  <c r="K53" i="2"/>
  <c r="T53" i="2"/>
  <c r="S53" i="2"/>
  <c r="L53" i="2"/>
  <c r="H53" i="2"/>
  <c r="P53" i="3"/>
  <c r="E53" i="2"/>
  <c r="J53" i="2"/>
  <c r="U53" i="2"/>
  <c r="R53" i="3"/>
  <c r="P53" i="2"/>
  <c r="F53" i="2"/>
  <c r="V53" i="2"/>
  <c r="G53" i="2"/>
  <c r="N53" i="2"/>
  <c r="Q53" i="2"/>
  <c r="I53" i="2"/>
  <c r="F61" i="2"/>
  <c r="U61" i="2"/>
  <c r="V61" i="2"/>
  <c r="P61" i="3"/>
  <c r="H61" i="2"/>
  <c r="K61" i="2"/>
  <c r="P61" i="2"/>
  <c r="N61" i="2"/>
  <c r="Q61" i="2"/>
  <c r="R61" i="3"/>
  <c r="S61" i="2"/>
  <c r="R61" i="2"/>
  <c r="G61" i="2"/>
  <c r="I61" i="2"/>
  <c r="L61" i="2"/>
  <c r="J61" i="2"/>
  <c r="E61" i="2"/>
  <c r="M61" i="2"/>
  <c r="T61" i="2"/>
  <c r="S47" i="2"/>
  <c r="N47" i="2"/>
  <c r="I47" i="2"/>
  <c r="H47" i="2"/>
  <c r="M47" i="2"/>
  <c r="V47" i="2"/>
  <c r="P47" i="3"/>
  <c r="F47" i="2"/>
  <c r="K47" i="2"/>
  <c r="P47" i="2"/>
  <c r="E47" i="2"/>
  <c r="L47" i="2"/>
  <c r="T47" i="2"/>
  <c r="G47" i="2"/>
  <c r="J47" i="2"/>
  <c r="Q47" i="2"/>
  <c r="U47" i="2"/>
  <c r="R47" i="2"/>
  <c r="R47" i="3"/>
  <c r="AR50" i="2" l="1"/>
  <c r="BD53" i="2"/>
  <c r="AP56" i="2"/>
  <c r="AW51" i="2"/>
  <c r="AS61" i="2"/>
  <c r="AX56" i="2"/>
  <c r="AS56" i="2"/>
  <c r="AR60" i="2"/>
  <c r="AV59" i="2"/>
  <c r="AQ51" i="2"/>
  <c r="AR56" i="2"/>
  <c r="AR51" i="2"/>
  <c r="AR59" i="2"/>
  <c r="AQ54" i="2"/>
  <c r="AT51" i="2"/>
  <c r="AT58" i="2"/>
  <c r="AY59" i="2"/>
  <c r="BC51" i="2"/>
  <c r="AV53" i="2"/>
  <c r="BA55" i="2"/>
  <c r="AY51" i="2"/>
  <c r="AX54" i="2"/>
  <c r="AT59" i="2"/>
  <c r="AX61" i="2"/>
  <c r="AX60" i="2"/>
  <c r="BG60" i="2"/>
  <c r="BA59" i="2"/>
  <c r="AW56" i="2"/>
  <c r="AV56" i="2"/>
  <c r="BB60" i="2"/>
  <c r="BF58" i="2"/>
  <c r="BG61" i="2"/>
  <c r="BF64" i="2"/>
  <c r="AT60" i="2"/>
  <c r="AS50" i="2"/>
  <c r="AV47" i="2"/>
  <c r="BC59" i="2"/>
  <c r="BG54" i="2"/>
  <c r="AR54" i="2"/>
  <c r="BF51" i="2"/>
  <c r="BF54" i="2"/>
  <c r="AT61" i="2"/>
  <c r="AW55" i="2"/>
  <c r="BE64" i="2"/>
  <c r="G64" i="19" s="1"/>
  <c r="AS51" i="2"/>
  <c r="BE55" i="2"/>
  <c r="AR47" i="2"/>
  <c r="AP54" i="2"/>
  <c r="AU47" i="2"/>
  <c r="AU60" i="2"/>
  <c r="AR55" i="2"/>
  <c r="AR58" i="2"/>
  <c r="AQ61" i="2"/>
  <c r="AX47" i="2"/>
  <c r="AP47" i="2"/>
  <c r="AJ53" i="3"/>
  <c r="AK53" i="3" s="1"/>
  <c r="BD50" i="2"/>
  <c r="BE53" i="2"/>
  <c r="BD64" i="2"/>
  <c r="F64" i="19" s="1"/>
  <c r="K64" i="19" s="1"/>
  <c r="BF59" i="2"/>
  <c r="AP55" i="2"/>
  <c r="AJ55" i="3"/>
  <c r="AK55" i="3" s="1"/>
  <c r="BC54" i="2"/>
  <c r="AY50" i="2"/>
  <c r="AP61" i="2"/>
  <c r="BC50" i="2"/>
  <c r="BG58" i="2"/>
  <c r="AU61" i="2"/>
  <c r="BD51" i="2"/>
  <c r="AQ50" i="2"/>
  <c r="BB61" i="2"/>
  <c r="BC60" i="2"/>
  <c r="BB55" i="2"/>
  <c r="AJ56" i="3"/>
  <c r="AK56" i="3" s="1"/>
  <c r="BE56" i="2"/>
  <c r="BF55" i="2"/>
  <c r="BA53" i="2"/>
  <c r="AU58" i="2"/>
  <c r="BF47" i="2"/>
  <c r="BB47" i="2"/>
  <c r="AT55" i="2"/>
  <c r="BE58" i="2"/>
  <c r="BG51" i="2"/>
  <c r="AU54" i="2"/>
  <c r="BE61" i="2"/>
  <c r="BE54" i="2"/>
  <c r="BG55" i="2"/>
  <c r="BF50" i="2"/>
  <c r="BA47" i="2"/>
  <c r="AW54" i="2"/>
  <c r="BA54" i="2"/>
  <c r="AQ53" i="2"/>
  <c r="AP59" i="2"/>
  <c r="BD54" i="2"/>
  <c r="AY58" i="2"/>
  <c r="AT56" i="2"/>
  <c r="AJ59" i="3"/>
  <c r="AK59" i="3" s="1"/>
  <c r="AJ51" i="3"/>
  <c r="AK51" i="3" s="1"/>
  <c r="AJ47" i="3"/>
  <c r="AK47" i="3" s="1"/>
  <c r="AY55" i="2"/>
  <c r="AR53" i="2"/>
  <c r="AV51" i="2"/>
  <c r="AQ56" i="2"/>
  <c r="AT54" i="2"/>
  <c r="AY54" i="2"/>
  <c r="BF53" i="2"/>
  <c r="AJ50" i="3"/>
  <c r="AK50" i="3" s="1"/>
  <c r="AV50" i="2"/>
  <c r="BB56" i="2"/>
  <c r="AP50" i="2"/>
  <c r="BD60" i="2"/>
  <c r="AQ59" i="2"/>
  <c r="BC53" i="2"/>
  <c r="BG47" i="2"/>
  <c r="AV61" i="2"/>
  <c r="AQ55" i="2"/>
  <c r="AU56" i="2"/>
  <c r="AW50" i="2"/>
  <c r="AW58" i="2"/>
  <c r="AY47" i="2"/>
  <c r="AP60" i="2"/>
  <c r="AY61" i="2"/>
  <c r="AJ58" i="3"/>
  <c r="AK58" i="3" s="1"/>
  <c r="BF60" i="2"/>
  <c r="BC61" i="2"/>
  <c r="AW47" i="2"/>
  <c r="BC58" i="2"/>
  <c r="BA58" i="2"/>
  <c r="BD58" i="2"/>
  <c r="BD61" i="2"/>
  <c r="BA51" i="2"/>
  <c r="AS53" i="2"/>
  <c r="AU59" i="2"/>
  <c r="BC55" i="2"/>
  <c r="BB51" i="2"/>
  <c r="BD47" i="2"/>
  <c r="BC47" i="2"/>
  <c r="BA61" i="2"/>
  <c r="BD56" i="2"/>
  <c r="BG59" i="2"/>
  <c r="AU50" i="2"/>
  <c r="AX50" i="2"/>
  <c r="AX59" i="2"/>
  <c r="AQ47" i="2"/>
  <c r="AU55" i="2"/>
  <c r="AW61" i="2"/>
  <c r="BC56" i="2"/>
  <c r="AS47" i="2"/>
  <c r="BG56" i="2"/>
  <c r="BB58" i="2"/>
  <c r="BE47" i="2"/>
  <c r="AT47" i="2"/>
  <c r="AV55" i="2"/>
  <c r="BE50" i="2"/>
  <c r="AV58" i="2"/>
  <c r="BB50" i="2"/>
  <c r="AQ60" i="2"/>
  <c r="BB54" i="2"/>
  <c r="BF61" i="2"/>
  <c r="BA56" i="2"/>
  <c r="BB64" i="2"/>
  <c r="AS54" i="2"/>
  <c r="BE51" i="2"/>
  <c r="AJ60" i="3"/>
  <c r="AK60" i="3" s="1"/>
  <c r="AJ64" i="3"/>
  <c r="AV60" i="2"/>
  <c r="AQ58" i="2"/>
  <c r="AV54" i="2"/>
  <c r="BG64" i="2"/>
  <c r="D64" i="19" s="1"/>
  <c r="BD59" i="2"/>
  <c r="AW53" i="2"/>
  <c r="AJ61" i="3"/>
  <c r="AK61" i="3" s="1"/>
  <c r="AW60" i="2"/>
  <c r="AS59" i="2"/>
  <c r="AT50" i="2"/>
  <c r="BE59" i="2"/>
  <c r="BG50" i="2"/>
  <c r="AP51" i="2"/>
  <c r="AX53" i="2"/>
  <c r="AU53" i="2"/>
  <c r="AS58" i="2"/>
  <c r="AP58" i="2"/>
  <c r="BA60" i="2"/>
  <c r="BB59" i="2"/>
  <c r="BA50" i="2"/>
  <c r="AS60" i="2"/>
  <c r="BE60" i="2"/>
  <c r="AJ54" i="3"/>
  <c r="AK54" i="3" s="1"/>
  <c r="AP53" i="2"/>
  <c r="AW59" i="2"/>
  <c r="AY56" i="2"/>
  <c r="AY53" i="2"/>
  <c r="BF56" i="2"/>
  <c r="AX51" i="2"/>
  <c r="AR61" i="2"/>
  <c r="AY60" i="2"/>
  <c r="AS55" i="2"/>
  <c r="AX58" i="2"/>
  <c r="AX55" i="2"/>
  <c r="BB53" i="2"/>
  <c r="BD55" i="2"/>
  <c r="BC64" i="2"/>
  <c r="E64" i="19" s="1"/>
  <c r="J64" i="19" s="1"/>
  <c r="AT53" i="2"/>
  <c r="AU51" i="2"/>
  <c r="BG53" i="2"/>
  <c r="BA64" i="2"/>
  <c r="D64" i="17" s="1"/>
  <c r="E64" i="17" s="1"/>
  <c r="AI67" i="15"/>
  <c r="AK65" i="156"/>
  <c r="AI65" i="15"/>
  <c r="AT25" i="15"/>
  <c r="I47" i="3" l="1"/>
  <c r="AG47" i="3" s="1"/>
  <c r="AA47" i="3" s="1"/>
  <c r="I61" i="3"/>
  <c r="AG61" i="3" s="1"/>
  <c r="AA61" i="3" s="1"/>
  <c r="H64" i="19"/>
  <c r="M64" i="19" a="1"/>
  <c r="M64" i="19" s="1"/>
  <c r="AK64" i="3"/>
  <c r="F64" i="17"/>
  <c r="G64" i="17" s="1"/>
  <c r="H64" i="17" s="1"/>
  <c r="AG54" i="3"/>
  <c r="AA54" i="3" s="1"/>
  <c r="AG56" i="3"/>
  <c r="AA56" i="3" s="1"/>
  <c r="AG50" i="3"/>
  <c r="AA50" i="3" s="1"/>
  <c r="AG55" i="3"/>
  <c r="AA55" i="3" s="1"/>
  <c r="AG58" i="3"/>
  <c r="AA58" i="3" s="1"/>
  <c r="AG59" i="3"/>
  <c r="AA59" i="3" s="1"/>
  <c r="AG53" i="3"/>
  <c r="AA53" i="3" s="1"/>
  <c r="AG60" i="3"/>
  <c r="AA60" i="3" s="1"/>
  <c r="AG51" i="3"/>
  <c r="AA51" i="3" s="1"/>
  <c r="AL67" i="156"/>
  <c r="AM67" i="156" s="1"/>
  <c r="AN67" i="156" s="1"/>
  <c r="AO67" i="156" s="1"/>
  <c r="AK67" i="15"/>
  <c r="AK65" i="15"/>
  <c r="AL65" i="156"/>
  <c r="AV25" i="15"/>
  <c r="X47" i="3" l="1"/>
  <c r="C47" i="4" s="1"/>
  <c r="L47" i="3"/>
  <c r="L61" i="3"/>
  <c r="X61" i="3"/>
  <c r="I64" i="17"/>
  <c r="N64" i="19"/>
  <c r="AO60" i="3"/>
  <c r="AO56" i="3"/>
  <c r="AO53" i="3"/>
  <c r="C55" i="4"/>
  <c r="C54" i="4"/>
  <c r="AO51" i="3"/>
  <c r="AO59" i="3"/>
  <c r="C50" i="4"/>
  <c r="AM67" i="15"/>
  <c r="AM65" i="156"/>
  <c r="AN65" i="156" s="1"/>
  <c r="AM65" i="15"/>
  <c r="AX25" i="15"/>
  <c r="P55" i="4" l="1"/>
  <c r="C50" i="16"/>
  <c r="D50" i="16" s="1"/>
  <c r="E50" i="16" s="1"/>
  <c r="P50" i="4"/>
  <c r="D47" i="4"/>
  <c r="E47" i="4" s="1"/>
  <c r="F47" i="4" s="1"/>
  <c r="G47" i="4" s="1"/>
  <c r="H47" i="4" s="1"/>
  <c r="I47" i="4" s="1"/>
  <c r="J47" i="4" s="1"/>
  <c r="L47" i="4" s="1"/>
  <c r="C53" i="4"/>
  <c r="C54" i="16"/>
  <c r="D54" i="4"/>
  <c r="E54" i="4" s="1"/>
  <c r="F54" i="4" s="1"/>
  <c r="G54" i="4" s="1"/>
  <c r="H54" i="4" s="1"/>
  <c r="I54" i="4" s="1"/>
  <c r="K54" i="4" s="1"/>
  <c r="M54" i="4" s="1"/>
  <c r="C59" i="4"/>
  <c r="C47" i="16"/>
  <c r="AO54" i="3"/>
  <c r="D55" i="4"/>
  <c r="E55" i="4" s="1"/>
  <c r="F55" i="4" s="1"/>
  <c r="G55" i="4" s="1"/>
  <c r="H55" i="4" s="1"/>
  <c r="I55" i="4" s="1"/>
  <c r="K55" i="4" s="1"/>
  <c r="M55" i="4" s="1"/>
  <c r="C60" i="4"/>
  <c r="C58" i="4"/>
  <c r="P58" i="4" s="1"/>
  <c r="AO58" i="3"/>
  <c r="AO61" i="3"/>
  <c r="C61" i="4"/>
  <c r="N55" i="4"/>
  <c r="O55" i="4" s="1"/>
  <c r="AO55" i="3"/>
  <c r="D50" i="4"/>
  <c r="E50" i="4" s="1"/>
  <c r="F50" i="4" s="1"/>
  <c r="G50" i="4" s="1"/>
  <c r="H50" i="4" s="1"/>
  <c r="I50" i="4" s="1"/>
  <c r="J50" i="4" s="1"/>
  <c r="L50" i="4" s="1"/>
  <c r="N50" i="4"/>
  <c r="O50" i="4" s="1"/>
  <c r="C55" i="16"/>
  <c r="C51" i="4"/>
  <c r="AO47" i="3"/>
  <c r="C56" i="4"/>
  <c r="AO50" i="3"/>
  <c r="AO67" i="15"/>
  <c r="AO65" i="156"/>
  <c r="AP65" i="156" s="1"/>
  <c r="AO65" i="15"/>
  <c r="AZ25" i="15"/>
  <c r="D55" i="7" l="1"/>
  <c r="D55" i="177" s="1"/>
  <c r="D50" i="7"/>
  <c r="D50" i="177" s="1"/>
  <c r="K47" i="4"/>
  <c r="M47" i="4" s="1"/>
  <c r="C50" i="17"/>
  <c r="J50" i="17" s="1"/>
  <c r="F50" i="16"/>
  <c r="F55" i="16"/>
  <c r="C54" i="17"/>
  <c r="D51" i="4"/>
  <c r="E51" i="4" s="1"/>
  <c r="F51" i="4" s="1"/>
  <c r="G51" i="4" s="1"/>
  <c r="H51" i="4" s="1"/>
  <c r="I51" i="4" s="1"/>
  <c r="K51" i="4" s="1"/>
  <c r="M51" i="4" s="1"/>
  <c r="P51" i="4"/>
  <c r="N56" i="4"/>
  <c r="O56" i="4" s="1"/>
  <c r="P56" i="4"/>
  <c r="D61" i="4"/>
  <c r="E61" i="4" s="1"/>
  <c r="F61" i="4" s="1"/>
  <c r="G61" i="4" s="1"/>
  <c r="H61" i="4" s="1"/>
  <c r="I61" i="4" s="1"/>
  <c r="J61" i="4" s="1"/>
  <c r="L61" i="4" s="1"/>
  <c r="C60" i="16"/>
  <c r="C60" i="17" s="1"/>
  <c r="P60" i="4"/>
  <c r="C59" i="16"/>
  <c r="P59" i="4"/>
  <c r="C53" i="16"/>
  <c r="D53" i="4"/>
  <c r="E53" i="4" s="1"/>
  <c r="F53" i="4" s="1"/>
  <c r="G53" i="4" s="1"/>
  <c r="H53" i="4" s="1"/>
  <c r="I53" i="4" s="1"/>
  <c r="K53" i="4" s="1"/>
  <c r="M53" i="4" s="1"/>
  <c r="D54" i="16"/>
  <c r="E54" i="16" s="1"/>
  <c r="N59" i="4"/>
  <c r="O59" i="4" s="1"/>
  <c r="D59" i="4"/>
  <c r="E59" i="4" s="1"/>
  <c r="F59" i="4" s="1"/>
  <c r="G59" i="4" s="1"/>
  <c r="H59" i="4" s="1"/>
  <c r="I59" i="4" s="1"/>
  <c r="K59" i="4" s="1"/>
  <c r="M59" i="4" s="1"/>
  <c r="J54" i="4"/>
  <c r="L54" i="4" s="1"/>
  <c r="D55" i="16"/>
  <c r="E55" i="16" s="1"/>
  <c r="C55" i="17"/>
  <c r="J55" i="4"/>
  <c r="L55" i="4" s="1"/>
  <c r="K50" i="4"/>
  <c r="M50" i="4" s="1"/>
  <c r="C47" i="17"/>
  <c r="C61" i="16"/>
  <c r="D47" i="16"/>
  <c r="E47" i="16" s="1"/>
  <c r="D60" i="4"/>
  <c r="E60" i="4" s="1"/>
  <c r="F60" i="4" s="1"/>
  <c r="G60" i="4" s="1"/>
  <c r="H60" i="4" s="1"/>
  <c r="I60" i="4" s="1"/>
  <c r="K60" i="4" s="1"/>
  <c r="M60" i="4" s="1"/>
  <c r="N60" i="4"/>
  <c r="O60" i="4" s="1"/>
  <c r="C51" i="16"/>
  <c r="N51" i="4"/>
  <c r="O51" i="4" s="1"/>
  <c r="C56" i="16"/>
  <c r="D56" i="4"/>
  <c r="E56" i="4" s="1"/>
  <c r="F56" i="4" s="1"/>
  <c r="G56" i="4" s="1"/>
  <c r="H56" i="4" s="1"/>
  <c r="I56" i="4" s="1"/>
  <c r="J56" i="4" s="1"/>
  <c r="L56" i="4" s="1"/>
  <c r="D58" i="7"/>
  <c r="D58" i="177" s="1"/>
  <c r="N58" i="4"/>
  <c r="O58" i="4" s="1"/>
  <c r="C58" i="16"/>
  <c r="F58" i="16" s="1"/>
  <c r="D58" i="4"/>
  <c r="E58" i="4" s="1"/>
  <c r="F58" i="4" s="1"/>
  <c r="G58" i="4" s="1"/>
  <c r="H58" i="4" s="1"/>
  <c r="I58" i="4" s="1"/>
  <c r="AP67" i="156"/>
  <c r="AQ67" i="156" s="1"/>
  <c r="AR67" i="156" s="1"/>
  <c r="AQ67" i="15"/>
  <c r="AQ65" i="156"/>
  <c r="AQ65" i="15"/>
  <c r="BB25" i="15"/>
  <c r="N47" i="4" l="1"/>
  <c r="N54" i="4"/>
  <c r="D59" i="7"/>
  <c r="D59" i="177" s="1"/>
  <c r="E55" i="7"/>
  <c r="E55" i="177" s="1"/>
  <c r="D56" i="7"/>
  <c r="D56" i="177" s="1"/>
  <c r="E50" i="7"/>
  <c r="E50" i="177" s="1"/>
  <c r="D60" i="7"/>
  <c r="D60" i="177" s="1"/>
  <c r="D51" i="7"/>
  <c r="D51" i="177" s="1"/>
  <c r="C54" i="19"/>
  <c r="G54" i="19" s="1"/>
  <c r="D54" i="17"/>
  <c r="E54" i="17" s="1"/>
  <c r="K61" i="4"/>
  <c r="M61" i="4" s="1"/>
  <c r="C60" i="19"/>
  <c r="O60" i="19" s="1"/>
  <c r="J60" i="17"/>
  <c r="J55" i="17"/>
  <c r="D47" i="17"/>
  <c r="E47" i="17" s="1"/>
  <c r="J51" i="4"/>
  <c r="L51" i="4" s="1"/>
  <c r="D51" i="16"/>
  <c r="E51" i="16" s="1"/>
  <c r="F51" i="16"/>
  <c r="D59" i="16"/>
  <c r="E59" i="16" s="1"/>
  <c r="F59" i="16"/>
  <c r="D56" i="16"/>
  <c r="E56" i="16" s="1"/>
  <c r="F56" i="16"/>
  <c r="D60" i="16"/>
  <c r="E60" i="16" s="1"/>
  <c r="F60" i="16"/>
  <c r="D61" i="16"/>
  <c r="E61" i="16" s="1"/>
  <c r="C59" i="17"/>
  <c r="C50" i="19"/>
  <c r="O50" i="19" s="1"/>
  <c r="F50" i="7"/>
  <c r="F50" i="177" s="1"/>
  <c r="D50" i="17"/>
  <c r="E50" i="17" s="1"/>
  <c r="D53" i="16"/>
  <c r="E53" i="16" s="1"/>
  <c r="C53" i="17"/>
  <c r="J53" i="4"/>
  <c r="L53" i="4" s="1"/>
  <c r="N53" i="4" s="1"/>
  <c r="J59" i="4"/>
  <c r="L59" i="4" s="1"/>
  <c r="C55" i="19"/>
  <c r="O55" i="19" s="1"/>
  <c r="D60" i="17"/>
  <c r="E60" i="17" s="1"/>
  <c r="G60" i="17" s="1"/>
  <c r="H60" i="17" s="1"/>
  <c r="I60" i="17" s="1"/>
  <c r="D55" i="17"/>
  <c r="E55" i="17" s="1"/>
  <c r="G55" i="17" s="1"/>
  <c r="H55" i="17" s="1"/>
  <c r="I55" i="17" s="1"/>
  <c r="C47" i="19"/>
  <c r="C56" i="17"/>
  <c r="J60" i="4"/>
  <c r="L60" i="4" s="1"/>
  <c r="C51" i="17"/>
  <c r="C61" i="17"/>
  <c r="K56" i="4"/>
  <c r="M56" i="4" s="1"/>
  <c r="J58" i="4"/>
  <c r="L58" i="4" s="1"/>
  <c r="K58" i="4"/>
  <c r="M58" i="4" s="1"/>
  <c r="E58" i="7"/>
  <c r="E58" i="177" s="1"/>
  <c r="C58" i="17"/>
  <c r="J58" i="17" s="1"/>
  <c r="D58" i="16"/>
  <c r="E58" i="16" s="1"/>
  <c r="AS67" i="156"/>
  <c r="AS67" i="15"/>
  <c r="AR65" i="156"/>
  <c r="AS65" i="156" s="1"/>
  <c r="AS65" i="15"/>
  <c r="BD25" i="15"/>
  <c r="O47" i="4" l="1"/>
  <c r="O54" i="4"/>
  <c r="O53" i="4"/>
  <c r="G60" i="7"/>
  <c r="G60" i="177" s="1"/>
  <c r="E56" i="7"/>
  <c r="E56" i="177" s="1"/>
  <c r="E51" i="7"/>
  <c r="E51" i="177" s="1"/>
  <c r="E60" i="7"/>
  <c r="E60" i="177" s="1"/>
  <c r="F55" i="7"/>
  <c r="F55" i="177" s="1"/>
  <c r="E59" i="7"/>
  <c r="E59" i="177" s="1"/>
  <c r="F60" i="7"/>
  <c r="F60" i="177" s="1"/>
  <c r="E54" i="19"/>
  <c r="J54" i="19" s="1"/>
  <c r="I54" i="19"/>
  <c r="C54" i="20"/>
  <c r="D54" i="19"/>
  <c r="H54" i="19" s="1"/>
  <c r="F54" i="19"/>
  <c r="K54" i="19" s="1"/>
  <c r="C60" i="20"/>
  <c r="G60" i="20" s="1"/>
  <c r="F54" i="17"/>
  <c r="G54" i="17" s="1"/>
  <c r="H54" i="17" s="1"/>
  <c r="D60" i="19"/>
  <c r="H60" i="19" s="1"/>
  <c r="F60" i="19"/>
  <c r="K60" i="19" s="1"/>
  <c r="G60" i="19"/>
  <c r="I60" i="19"/>
  <c r="L60" i="19"/>
  <c r="E60" i="19"/>
  <c r="J60" i="19" s="1"/>
  <c r="M60" i="19" a="1"/>
  <c r="M60" i="19" s="1"/>
  <c r="N60" i="19" s="1"/>
  <c r="F47" i="17"/>
  <c r="G47" i="17" s="1"/>
  <c r="H47" i="17" s="1"/>
  <c r="N61" i="4"/>
  <c r="O61" i="4" s="1"/>
  <c r="C53" i="19"/>
  <c r="D61" i="17"/>
  <c r="E61" i="17" s="1"/>
  <c r="F61" i="17" s="1"/>
  <c r="G61" i="17" s="1"/>
  <c r="H61" i="17" s="1"/>
  <c r="I61" i="17" s="1"/>
  <c r="D56" i="17"/>
  <c r="E56" i="17" s="1"/>
  <c r="G56" i="17" s="1"/>
  <c r="H56" i="17" s="1"/>
  <c r="I56" i="17" s="1"/>
  <c r="J56" i="17"/>
  <c r="C59" i="19"/>
  <c r="O59" i="19" s="1"/>
  <c r="J59" i="17"/>
  <c r="C51" i="19"/>
  <c r="O51" i="19" s="1"/>
  <c r="J51" i="17"/>
  <c r="D59" i="17"/>
  <c r="E59" i="17" s="1"/>
  <c r="F59" i="17" s="1"/>
  <c r="G50" i="17"/>
  <c r="H50" i="17" s="1"/>
  <c r="I50" i="17" s="1"/>
  <c r="F50" i="17"/>
  <c r="G50" i="19"/>
  <c r="L50" i="19"/>
  <c r="E50" i="19"/>
  <c r="J50" i="19" s="1"/>
  <c r="I50" i="19"/>
  <c r="C50" i="20"/>
  <c r="G50" i="20" s="1"/>
  <c r="G50" i="7"/>
  <c r="G50" i="177" s="1"/>
  <c r="M50" i="19" a="1"/>
  <c r="M50" i="19" s="1"/>
  <c r="N50" i="19" s="1"/>
  <c r="D50" i="19"/>
  <c r="H50" i="19" s="1"/>
  <c r="F50" i="19"/>
  <c r="K50" i="19" s="1"/>
  <c r="D53" i="17"/>
  <c r="E53" i="17" s="1"/>
  <c r="F53" i="17" s="1"/>
  <c r="C47" i="20"/>
  <c r="G47" i="19"/>
  <c r="M55" i="19" a="1"/>
  <c r="M55" i="19" s="1"/>
  <c r="N55" i="19" s="1"/>
  <c r="G55" i="19"/>
  <c r="F55" i="19"/>
  <c r="K55" i="19" s="1"/>
  <c r="E55" i="19"/>
  <c r="J55" i="19" s="1"/>
  <c r="G55" i="7"/>
  <c r="G55" i="177" s="1"/>
  <c r="D47" i="19"/>
  <c r="H47" i="19" s="1"/>
  <c r="C55" i="20"/>
  <c r="L55" i="19"/>
  <c r="E47" i="19"/>
  <c r="J47" i="19" s="1"/>
  <c r="I55" i="19"/>
  <c r="D55" i="19"/>
  <c r="H55" i="19" s="1"/>
  <c r="I47" i="19"/>
  <c r="F60" i="17"/>
  <c r="F55" i="17"/>
  <c r="C56" i="19"/>
  <c r="O56" i="19" s="1"/>
  <c r="F47" i="19"/>
  <c r="K47" i="19" s="1"/>
  <c r="D51" i="17"/>
  <c r="E51" i="17" s="1"/>
  <c r="G51" i="17" s="1"/>
  <c r="H51" i="17" s="1"/>
  <c r="I51" i="17" s="1"/>
  <c r="C61" i="19"/>
  <c r="D58" i="17"/>
  <c r="E58" i="17" s="1"/>
  <c r="F58" i="7"/>
  <c r="F58" i="177" s="1"/>
  <c r="C58" i="19"/>
  <c r="AT67" i="156"/>
  <c r="AU67" i="156" s="1"/>
  <c r="AU67" i="15"/>
  <c r="AT65" i="156"/>
  <c r="AU65" i="156" s="1"/>
  <c r="AU65" i="15"/>
  <c r="BF25" i="15"/>
  <c r="M47" i="19" l="1" a="1"/>
  <c r="M47" i="19" s="1"/>
  <c r="N47" i="19" s="1"/>
  <c r="I47" i="17"/>
  <c r="I54" i="17"/>
  <c r="D60" i="20"/>
  <c r="E60" i="20" s="1"/>
  <c r="F60" i="20" s="1"/>
  <c r="F51" i="7"/>
  <c r="F51" i="177" s="1"/>
  <c r="F56" i="7"/>
  <c r="F56" i="177" s="1"/>
  <c r="G51" i="7"/>
  <c r="G51" i="177" s="1"/>
  <c r="H60" i="7"/>
  <c r="H60" i="177" s="1"/>
  <c r="F59" i="7"/>
  <c r="F59" i="177" s="1"/>
  <c r="C60" i="21"/>
  <c r="D60" i="21" s="1"/>
  <c r="E60" i="21" s="1"/>
  <c r="F60" i="21" s="1"/>
  <c r="G60" i="21" s="1"/>
  <c r="C54" i="21"/>
  <c r="D54" i="20"/>
  <c r="E54" i="20" s="1"/>
  <c r="F54" i="20" s="1"/>
  <c r="M51" i="19" a="1"/>
  <c r="M51" i="19" s="1"/>
  <c r="N51" i="19" s="1"/>
  <c r="F56" i="17"/>
  <c r="L51" i="19"/>
  <c r="I51" i="19"/>
  <c r="D51" i="19"/>
  <c r="H51" i="19" s="1"/>
  <c r="F51" i="19"/>
  <c r="K51" i="19" s="1"/>
  <c r="G51" i="19"/>
  <c r="C51" i="20"/>
  <c r="C51" i="21" s="1"/>
  <c r="D55" i="20"/>
  <c r="E55" i="20" s="1"/>
  <c r="F55" i="20" s="1"/>
  <c r="G55" i="20"/>
  <c r="H55" i="7" s="1"/>
  <c r="H55" i="177" s="1"/>
  <c r="E51" i="19"/>
  <c r="J51" i="19" s="1"/>
  <c r="G58" i="19"/>
  <c r="O58" i="19"/>
  <c r="G59" i="17"/>
  <c r="H59" i="17" s="1"/>
  <c r="I59" i="17" s="1"/>
  <c r="G59" i="19"/>
  <c r="F59" i="19"/>
  <c r="K59" i="19" s="1"/>
  <c r="L59" i="19"/>
  <c r="C59" i="20"/>
  <c r="G59" i="20" s="1"/>
  <c r="M59" i="19" a="1"/>
  <c r="M59" i="19" s="1"/>
  <c r="N59" i="19" s="1"/>
  <c r="D59" i="19"/>
  <c r="H59" i="19" s="1"/>
  <c r="G59" i="7"/>
  <c r="G59" i="177" s="1"/>
  <c r="E59" i="19"/>
  <c r="J59" i="19" s="1"/>
  <c r="I59" i="19"/>
  <c r="G53" i="19"/>
  <c r="F53" i="19"/>
  <c r="K53" i="19" s="1"/>
  <c r="D53" i="19"/>
  <c r="H53" i="19" s="1"/>
  <c r="I53" i="19"/>
  <c r="E53" i="19"/>
  <c r="J53" i="19" s="1"/>
  <c r="C53" i="20"/>
  <c r="D50" i="20"/>
  <c r="E50" i="20" s="1"/>
  <c r="F50" i="20" s="1"/>
  <c r="C50" i="21"/>
  <c r="H50" i="7"/>
  <c r="H50" i="177" s="1"/>
  <c r="G53" i="17"/>
  <c r="H53" i="17" s="1"/>
  <c r="C47" i="21"/>
  <c r="D47" i="20"/>
  <c r="E47" i="20" s="1"/>
  <c r="F47" i="20" s="1"/>
  <c r="I61" i="19"/>
  <c r="G61" i="19"/>
  <c r="F56" i="19"/>
  <c r="K56" i="19" s="1"/>
  <c r="G56" i="19"/>
  <c r="C55" i="21"/>
  <c r="D56" i="19"/>
  <c r="H56" i="19" s="1"/>
  <c r="L56" i="19"/>
  <c r="C56" i="20"/>
  <c r="E56" i="19"/>
  <c r="J56" i="19" s="1"/>
  <c r="M56" i="19" a="1"/>
  <c r="M56" i="19" s="1"/>
  <c r="N56" i="19" s="1"/>
  <c r="I56" i="19"/>
  <c r="G56" i="7"/>
  <c r="G56" i="177" s="1"/>
  <c r="E61" i="19"/>
  <c r="J61" i="19" s="1"/>
  <c r="F61" i="19"/>
  <c r="K61" i="19" s="1"/>
  <c r="D61" i="19"/>
  <c r="H61" i="19" s="1"/>
  <c r="C61" i="20"/>
  <c r="F51" i="17"/>
  <c r="L58" i="19"/>
  <c r="C58" i="20"/>
  <c r="G58" i="20" s="1"/>
  <c r="F58" i="19"/>
  <c r="K58" i="19" s="1"/>
  <c r="E58" i="19"/>
  <c r="J58" i="19" s="1"/>
  <c r="I58" i="19"/>
  <c r="D58" i="19"/>
  <c r="H58" i="19" s="1"/>
  <c r="M58" i="19" a="1"/>
  <c r="M58" i="19" s="1"/>
  <c r="N58" i="19" s="1"/>
  <c r="G58" i="17"/>
  <c r="H58" i="17" s="1"/>
  <c r="I58" i="17" s="1"/>
  <c r="F58" i="17"/>
  <c r="AV67" i="156"/>
  <c r="AW67" i="15"/>
  <c r="AV65" i="156"/>
  <c r="AW65" i="15"/>
  <c r="BH25" i="15"/>
  <c r="M53" i="19" l="1" a="1"/>
  <c r="M53" i="19" s="1"/>
  <c r="N53" i="19" s="1"/>
  <c r="I53" i="17"/>
  <c r="H55" i="21"/>
  <c r="C55" i="177"/>
  <c r="K55" i="177" s="1"/>
  <c r="H51" i="21"/>
  <c r="C51" i="177"/>
  <c r="K51" i="177" s="1"/>
  <c r="C47" i="177"/>
  <c r="H50" i="21"/>
  <c r="C50" i="177"/>
  <c r="K50" i="177" s="1"/>
  <c r="C54" i="177"/>
  <c r="G58" i="7"/>
  <c r="G58" i="177" s="1"/>
  <c r="H60" i="21"/>
  <c r="C60" i="177"/>
  <c r="K60" i="177" s="1"/>
  <c r="D54" i="21"/>
  <c r="E54" i="21" s="1"/>
  <c r="C54" i="154"/>
  <c r="D51" i="20"/>
  <c r="E51" i="20" s="1"/>
  <c r="F51" i="20" s="1"/>
  <c r="C60" i="7"/>
  <c r="C60" i="154"/>
  <c r="D60" i="154" s="1"/>
  <c r="E60" i="154" s="1"/>
  <c r="F60" i="154" s="1"/>
  <c r="C54" i="7"/>
  <c r="G51" i="20"/>
  <c r="C61" i="21"/>
  <c r="D56" i="20"/>
  <c r="E56" i="20" s="1"/>
  <c r="F56" i="20" s="1"/>
  <c r="G56" i="20"/>
  <c r="C59" i="21"/>
  <c r="H59" i="7"/>
  <c r="H59" i="177" s="1"/>
  <c r="D59" i="20"/>
  <c r="E59" i="20" s="1"/>
  <c r="F59" i="20" s="1"/>
  <c r="D53" i="20"/>
  <c r="E53" i="20" s="1"/>
  <c r="F53" i="20" s="1"/>
  <c r="C53" i="21"/>
  <c r="D50" i="21"/>
  <c r="E50" i="21" s="1"/>
  <c r="F50" i="21" s="1"/>
  <c r="G50" i="21" s="1"/>
  <c r="C50" i="154"/>
  <c r="G50" i="154" s="1"/>
  <c r="C50" i="7"/>
  <c r="F51" i="21"/>
  <c r="G51" i="21" s="1"/>
  <c r="C55" i="154"/>
  <c r="D47" i="21"/>
  <c r="E47" i="21" s="1"/>
  <c r="F47" i="21" s="1"/>
  <c r="C47" i="154"/>
  <c r="C47" i="7"/>
  <c r="C55" i="7"/>
  <c r="F55" i="21"/>
  <c r="G55" i="21" s="1"/>
  <c r="D55" i="21"/>
  <c r="E55" i="21" s="1"/>
  <c r="C56" i="21"/>
  <c r="C51" i="154"/>
  <c r="C51" i="7"/>
  <c r="D51" i="21"/>
  <c r="E51" i="21" s="1"/>
  <c r="D61" i="20"/>
  <c r="E61" i="20" s="1"/>
  <c r="F61" i="20" s="1"/>
  <c r="H58" i="7"/>
  <c r="H58" i="177" s="1"/>
  <c r="D58" i="20"/>
  <c r="E58" i="20" s="1"/>
  <c r="F58" i="20" s="1"/>
  <c r="C58" i="21"/>
  <c r="E50" i="156"/>
  <c r="AY67" i="15"/>
  <c r="AY65" i="15"/>
  <c r="BJ25" i="15"/>
  <c r="F54" i="21" l="1"/>
  <c r="G54" i="21" s="1"/>
  <c r="M60" i="177"/>
  <c r="M50" i="177"/>
  <c r="M51" i="177"/>
  <c r="M55" i="177"/>
  <c r="K50" i="7"/>
  <c r="M50" i="7"/>
  <c r="K51" i="7"/>
  <c r="M51" i="7"/>
  <c r="K55" i="7"/>
  <c r="M55" i="7"/>
  <c r="K60" i="7"/>
  <c r="M60" i="7"/>
  <c r="I60" i="7"/>
  <c r="I60" i="177" s="1"/>
  <c r="I50" i="7"/>
  <c r="I50" i="177" s="1"/>
  <c r="H56" i="21"/>
  <c r="C56" i="177"/>
  <c r="K56" i="177" s="1"/>
  <c r="H59" i="21"/>
  <c r="I59" i="7" s="1"/>
  <c r="I59" i="177" s="1"/>
  <c r="C59" i="177"/>
  <c r="K59" i="177" s="1"/>
  <c r="H51" i="7"/>
  <c r="H51" i="177" s="1"/>
  <c r="H56" i="7"/>
  <c r="H56" i="177" s="1"/>
  <c r="H58" i="21"/>
  <c r="C58" i="177"/>
  <c r="K58" i="177" s="1"/>
  <c r="C53" i="177"/>
  <c r="C61" i="154"/>
  <c r="D61" i="154" s="1"/>
  <c r="E61" i="154" s="1"/>
  <c r="F61" i="154" s="1"/>
  <c r="C61" i="177"/>
  <c r="C68" i="174"/>
  <c r="D54" i="154"/>
  <c r="E54" i="154" s="1"/>
  <c r="F54" i="154" s="1"/>
  <c r="C74" i="174"/>
  <c r="G60" i="154"/>
  <c r="C61" i="7"/>
  <c r="D61" i="21"/>
  <c r="E61" i="21" s="1"/>
  <c r="C61" i="174"/>
  <c r="G51" i="154"/>
  <c r="D55" i="154"/>
  <c r="E55" i="154" s="1"/>
  <c r="F55" i="154" s="1"/>
  <c r="G55" i="154"/>
  <c r="C53" i="154"/>
  <c r="C53" i="7"/>
  <c r="D53" i="21"/>
  <c r="E53" i="21" s="1"/>
  <c r="D59" i="21"/>
  <c r="E59" i="21" s="1"/>
  <c r="F59" i="21"/>
  <c r="G59" i="21" s="1"/>
  <c r="C59" i="7"/>
  <c r="C59" i="154"/>
  <c r="G59" i="154" s="1"/>
  <c r="C64" i="174"/>
  <c r="C50" i="14" s="1"/>
  <c r="D50" i="154"/>
  <c r="E50" i="154" s="1"/>
  <c r="F50" i="154" s="1"/>
  <c r="J50" i="7"/>
  <c r="J50" i="177" s="1"/>
  <c r="F56" i="21"/>
  <c r="G56" i="21" s="1"/>
  <c r="I51" i="7"/>
  <c r="I51" i="177" s="1"/>
  <c r="I55" i="7"/>
  <c r="I55" i="177" s="1"/>
  <c r="D47" i="154"/>
  <c r="E47" i="154" s="1"/>
  <c r="F47" i="154" s="1"/>
  <c r="C65" i="174"/>
  <c r="C69" i="174"/>
  <c r="C56" i="154"/>
  <c r="D51" i="154"/>
  <c r="E51" i="154" s="1"/>
  <c r="F51" i="154" s="1"/>
  <c r="D56" i="21"/>
  <c r="E56" i="21" s="1"/>
  <c r="C56" i="7"/>
  <c r="E60" i="156"/>
  <c r="C58" i="7"/>
  <c r="D58" i="21"/>
  <c r="E58" i="21" s="1"/>
  <c r="F58" i="21"/>
  <c r="G58" i="21" s="1"/>
  <c r="C58" i="154"/>
  <c r="G58" i="154" s="1"/>
  <c r="BA67" i="15"/>
  <c r="BA65" i="15"/>
  <c r="BL25" i="15"/>
  <c r="G47" i="154" l="1"/>
  <c r="J47" i="7" s="1"/>
  <c r="J47" i="177" s="1"/>
  <c r="C51" i="14"/>
  <c r="C60" i="14"/>
  <c r="C74" i="161" s="1"/>
  <c r="C54" i="14"/>
  <c r="C55" i="14"/>
  <c r="C47" i="14"/>
  <c r="G54" i="154"/>
  <c r="J54" i="7" s="1"/>
  <c r="J54" i="177" s="1"/>
  <c r="F53" i="21"/>
  <c r="G53" i="21" s="1"/>
  <c r="D65" i="174"/>
  <c r="AF65" i="174" s="1"/>
  <c r="D64" i="174"/>
  <c r="AF64" i="174" s="1"/>
  <c r="D69" i="174"/>
  <c r="AF69" i="174" s="1"/>
  <c r="D74" i="174"/>
  <c r="AF74" i="174" s="1"/>
  <c r="M58" i="177"/>
  <c r="M59" i="177"/>
  <c r="M56" i="177"/>
  <c r="K59" i="7"/>
  <c r="M59" i="7"/>
  <c r="K56" i="7"/>
  <c r="M56" i="7"/>
  <c r="K58" i="7"/>
  <c r="M58" i="7"/>
  <c r="J60" i="7"/>
  <c r="J60" i="177" s="1"/>
  <c r="N51" i="177"/>
  <c r="N60" i="177"/>
  <c r="J55" i="7"/>
  <c r="J55" i="177" s="1"/>
  <c r="J51" i="7"/>
  <c r="J51" i="177" s="1"/>
  <c r="N55" i="177"/>
  <c r="N50" i="177"/>
  <c r="N60" i="7"/>
  <c r="AD68" i="174"/>
  <c r="AE68" i="174"/>
  <c r="B68" i="174"/>
  <c r="C75" i="174"/>
  <c r="G74" i="174"/>
  <c r="AI74" i="174"/>
  <c r="B74" i="174"/>
  <c r="Z74" i="174"/>
  <c r="E60" i="14" s="1"/>
  <c r="H74" i="174"/>
  <c r="AE74" i="174"/>
  <c r="Y74" i="174"/>
  <c r="AD74" i="174"/>
  <c r="AD61" i="174"/>
  <c r="AE61" i="174"/>
  <c r="B61" i="174"/>
  <c r="F61" i="21"/>
  <c r="G61" i="21" s="1"/>
  <c r="C72" i="174"/>
  <c r="G56" i="154"/>
  <c r="C67" i="174"/>
  <c r="C53" i="14" s="1"/>
  <c r="J59" i="7"/>
  <c r="J59" i="177" s="1"/>
  <c r="D59" i="154"/>
  <c r="E59" i="154" s="1"/>
  <c r="F59" i="154" s="1"/>
  <c r="C73" i="174"/>
  <c r="C59" i="14" s="1"/>
  <c r="D53" i="154"/>
  <c r="E53" i="154" s="1"/>
  <c r="F53" i="154" s="1"/>
  <c r="N50" i="7"/>
  <c r="G64" i="174"/>
  <c r="Z64" i="174"/>
  <c r="E50" i="14" s="1"/>
  <c r="AD64" i="174"/>
  <c r="B64" i="174"/>
  <c r="AE64" i="174"/>
  <c r="H64" i="174"/>
  <c r="AI64" i="174"/>
  <c r="Y64" i="174"/>
  <c r="I58" i="7"/>
  <c r="I58" i="177" s="1"/>
  <c r="I56" i="7"/>
  <c r="I56" i="177" s="1"/>
  <c r="N51" i="7"/>
  <c r="N55" i="7"/>
  <c r="C70" i="174"/>
  <c r="Y65" i="174"/>
  <c r="AE65" i="174"/>
  <c r="B65" i="174"/>
  <c r="H65" i="174"/>
  <c r="Z65" i="174"/>
  <c r="E51" i="14" s="1"/>
  <c r="G65" i="174"/>
  <c r="AD65" i="174"/>
  <c r="AI65" i="174"/>
  <c r="Y69" i="174"/>
  <c r="B69" i="174"/>
  <c r="H69" i="174"/>
  <c r="AE69" i="174"/>
  <c r="G69" i="174"/>
  <c r="Z69" i="174"/>
  <c r="E55" i="14" s="1"/>
  <c r="AD69" i="174"/>
  <c r="AI69" i="174"/>
  <c r="D56" i="154"/>
  <c r="E56" i="154" s="1"/>
  <c r="F56" i="154" s="1"/>
  <c r="C60" i="15"/>
  <c r="BA60" i="15" s="1"/>
  <c r="E51" i="156"/>
  <c r="J58" i="7"/>
  <c r="J58" i="177" s="1"/>
  <c r="D58" i="154"/>
  <c r="E58" i="154" s="1"/>
  <c r="F58" i="154" s="1"/>
  <c r="C55" i="15"/>
  <c r="C54" i="15"/>
  <c r="E55" i="156"/>
  <c r="E47" i="156"/>
  <c r="E53" i="156"/>
  <c r="E54" i="156"/>
  <c r="C47" i="15"/>
  <c r="E59" i="156"/>
  <c r="E61" i="156"/>
  <c r="BC67" i="15"/>
  <c r="BC65" i="15"/>
  <c r="C56" i="14" l="1"/>
  <c r="C58" i="14"/>
  <c r="C61" i="14"/>
  <c r="G53" i="154"/>
  <c r="J53" i="7" s="1"/>
  <c r="J53" i="177" s="1"/>
  <c r="D73" i="174"/>
  <c r="AF73" i="174" s="1"/>
  <c r="D72" i="174"/>
  <c r="AF72" i="174" s="1"/>
  <c r="D70" i="174"/>
  <c r="AF70" i="174" s="1"/>
  <c r="J56" i="7"/>
  <c r="J56" i="177" s="1"/>
  <c r="N56" i="177"/>
  <c r="N58" i="177"/>
  <c r="N59" i="177"/>
  <c r="B75" i="174"/>
  <c r="AD75" i="174"/>
  <c r="AE75" i="174"/>
  <c r="C69" i="161"/>
  <c r="C65" i="161"/>
  <c r="AD72" i="174"/>
  <c r="C61" i="161"/>
  <c r="H72" i="174"/>
  <c r="G72" i="174"/>
  <c r="Z72" i="174"/>
  <c r="E58" i="14" s="1"/>
  <c r="AI72" i="174"/>
  <c r="Y72" i="174"/>
  <c r="B72" i="174"/>
  <c r="AE72" i="174"/>
  <c r="N59" i="7"/>
  <c r="Y73" i="174"/>
  <c r="Z73" i="174"/>
  <c r="E59" i="14" s="1"/>
  <c r="H73" i="174"/>
  <c r="G73" i="174"/>
  <c r="AE73" i="174"/>
  <c r="AD73" i="174"/>
  <c r="B73" i="174"/>
  <c r="AI73" i="174"/>
  <c r="AE67" i="174"/>
  <c r="AD67" i="174"/>
  <c r="B67" i="174"/>
  <c r="C50" i="15"/>
  <c r="BE50" i="15" s="1"/>
  <c r="D50" i="156"/>
  <c r="N58" i="7"/>
  <c r="N56" i="7"/>
  <c r="E56" i="156"/>
  <c r="AE70" i="174"/>
  <c r="AD70" i="174"/>
  <c r="G70" i="174"/>
  <c r="AI70" i="174"/>
  <c r="Z70" i="174"/>
  <c r="E56" i="14" s="1"/>
  <c r="B70" i="174"/>
  <c r="H70" i="174"/>
  <c r="Y70" i="174"/>
  <c r="P74" i="161"/>
  <c r="C74" i="170"/>
  <c r="E60" i="15"/>
  <c r="F60" i="15" s="1"/>
  <c r="G60" i="15"/>
  <c r="O60" i="15"/>
  <c r="W60" i="15"/>
  <c r="AU60" i="15"/>
  <c r="AC60" i="15"/>
  <c r="AI60" i="15"/>
  <c r="Y60" i="15"/>
  <c r="BC60" i="15"/>
  <c r="K60" i="15"/>
  <c r="M60" i="15"/>
  <c r="S60" i="15"/>
  <c r="D60" i="15"/>
  <c r="AG60" i="15"/>
  <c r="I60" i="15"/>
  <c r="AK60" i="15"/>
  <c r="AA60" i="15"/>
  <c r="Q60" i="15"/>
  <c r="AQ60" i="15"/>
  <c r="C60" i="156"/>
  <c r="X60" i="156" s="1"/>
  <c r="AY60" i="15"/>
  <c r="AE60" i="15"/>
  <c r="AS60" i="15"/>
  <c r="U60" i="15"/>
  <c r="AO60" i="15"/>
  <c r="AM60" i="15"/>
  <c r="AW60" i="15"/>
  <c r="C51" i="15"/>
  <c r="AW51" i="15" s="1"/>
  <c r="C56" i="15"/>
  <c r="BC56" i="15" s="1"/>
  <c r="D60" i="156"/>
  <c r="S74" i="161"/>
  <c r="T74" i="161"/>
  <c r="U74" i="161" s="1"/>
  <c r="J74" i="161"/>
  <c r="Z74" i="161"/>
  <c r="K74" i="161"/>
  <c r="H74" i="161"/>
  <c r="M74" i="161"/>
  <c r="F74" i="161"/>
  <c r="G74" i="161"/>
  <c r="Q74" i="161"/>
  <c r="N74" i="161"/>
  <c r="B74" i="161"/>
  <c r="C68" i="161"/>
  <c r="BC47" i="15"/>
  <c r="BC55" i="15"/>
  <c r="AW47" i="15"/>
  <c r="AE47" i="15"/>
  <c r="E47" i="15"/>
  <c r="Y47" i="15"/>
  <c r="AS47" i="15"/>
  <c r="M47" i="15"/>
  <c r="AG47" i="15"/>
  <c r="AK47" i="15"/>
  <c r="S47" i="15"/>
  <c r="O47" i="15"/>
  <c r="AO47" i="15"/>
  <c r="C47" i="156"/>
  <c r="D47" i="15"/>
  <c r="AQ47" i="15"/>
  <c r="AC47" i="15"/>
  <c r="I47" i="15"/>
  <c r="AU47" i="15"/>
  <c r="K47" i="15"/>
  <c r="G47" i="15"/>
  <c r="U47" i="15"/>
  <c r="Q47" i="15"/>
  <c r="W47" i="15"/>
  <c r="AY47" i="15"/>
  <c r="AA47" i="15"/>
  <c r="AI47" i="15"/>
  <c r="AM47" i="15"/>
  <c r="BA47" i="15"/>
  <c r="D55" i="156"/>
  <c r="D47" i="156"/>
  <c r="E54" i="15"/>
  <c r="C54" i="156"/>
  <c r="G60" i="14"/>
  <c r="AW55" i="15"/>
  <c r="C55" i="156"/>
  <c r="U55" i="15"/>
  <c r="Y55" i="15"/>
  <c r="AY55" i="15"/>
  <c r="W55" i="15"/>
  <c r="M55" i="15"/>
  <c r="G55" i="15"/>
  <c r="Q55" i="15"/>
  <c r="S55" i="15"/>
  <c r="AK55" i="15"/>
  <c r="AM55" i="15"/>
  <c r="AO55" i="15"/>
  <c r="K55" i="15"/>
  <c r="E55" i="15"/>
  <c r="D55" i="15"/>
  <c r="AQ55" i="15"/>
  <c r="AC55" i="15"/>
  <c r="AI55" i="15"/>
  <c r="AS55" i="15"/>
  <c r="AE55" i="15"/>
  <c r="AU55" i="15"/>
  <c r="I55" i="15"/>
  <c r="O55" i="15"/>
  <c r="AG55" i="15"/>
  <c r="AA55" i="15"/>
  <c r="BA55" i="15"/>
  <c r="BE67" i="15"/>
  <c r="BE55" i="15"/>
  <c r="BE60" i="15"/>
  <c r="BE65" i="15"/>
  <c r="BE47" i="15"/>
  <c r="C70" i="161" l="1"/>
  <c r="K70" i="161" s="1"/>
  <c r="C61" i="15"/>
  <c r="E61" i="15" s="1"/>
  <c r="C75" i="161"/>
  <c r="C75" i="170" s="1"/>
  <c r="C75" i="171" s="1"/>
  <c r="D59" i="156"/>
  <c r="C59" i="15"/>
  <c r="BG59" i="15" s="1"/>
  <c r="C53" i="15"/>
  <c r="O50" i="15"/>
  <c r="AE50" i="15"/>
  <c r="AO50" i="15"/>
  <c r="Y50" i="15"/>
  <c r="M50" i="15"/>
  <c r="AK50" i="15"/>
  <c r="BA50" i="15"/>
  <c r="S50" i="15"/>
  <c r="AM50" i="15"/>
  <c r="D50" i="15"/>
  <c r="AA50" i="15"/>
  <c r="U50" i="15"/>
  <c r="E50" i="15"/>
  <c r="AC50" i="15"/>
  <c r="I50" i="15"/>
  <c r="AU50" i="15"/>
  <c r="C50" i="156"/>
  <c r="AG50" i="15"/>
  <c r="W50" i="15"/>
  <c r="G50" i="15"/>
  <c r="K50" i="15"/>
  <c r="AS50" i="15"/>
  <c r="AQ50" i="15"/>
  <c r="AY50" i="15"/>
  <c r="AI50" i="15"/>
  <c r="Q50" i="15"/>
  <c r="AW50" i="15"/>
  <c r="BC50" i="15"/>
  <c r="D74" i="170"/>
  <c r="G69" i="161"/>
  <c r="C69" i="170"/>
  <c r="F74" i="170"/>
  <c r="Q74" i="165" s="1"/>
  <c r="Q74" i="166" s="1"/>
  <c r="K74" i="170"/>
  <c r="G74" i="170"/>
  <c r="C74" i="171"/>
  <c r="B74" i="170"/>
  <c r="J74" i="170"/>
  <c r="H74" i="170"/>
  <c r="L74" i="170"/>
  <c r="M74" i="170"/>
  <c r="M65" i="161"/>
  <c r="C65" i="170"/>
  <c r="C61" i="170"/>
  <c r="C68" i="170"/>
  <c r="BC51" i="15"/>
  <c r="BL60" i="15"/>
  <c r="BD60" i="15"/>
  <c r="Z60" i="15"/>
  <c r="AV60" i="15"/>
  <c r="AL60" i="15"/>
  <c r="AX60" i="15"/>
  <c r="BJ60" i="15"/>
  <c r="N60" i="15"/>
  <c r="BF60" i="15"/>
  <c r="AP60" i="15"/>
  <c r="J60" i="15"/>
  <c r="BH60" i="15"/>
  <c r="AF60" i="15"/>
  <c r="L60" i="15"/>
  <c r="R60" i="15"/>
  <c r="AN60" i="15"/>
  <c r="AB60" i="15"/>
  <c r="AT60" i="15"/>
  <c r="X60" i="15"/>
  <c r="T60" i="15"/>
  <c r="P60" i="15"/>
  <c r="AZ60" i="15"/>
  <c r="BB60" i="15"/>
  <c r="AH60" i="15"/>
  <c r="H60" i="15"/>
  <c r="V60" i="15"/>
  <c r="AJ60" i="15"/>
  <c r="AR60" i="15"/>
  <c r="AD60" i="15"/>
  <c r="AM56" i="15"/>
  <c r="Q51" i="15"/>
  <c r="AN60" i="156"/>
  <c r="AY56" i="15"/>
  <c r="AG60" i="156"/>
  <c r="K56" i="15"/>
  <c r="AU51" i="15"/>
  <c r="AI51" i="15"/>
  <c r="L60" i="156"/>
  <c r="P60" i="156"/>
  <c r="W56" i="15"/>
  <c r="O56" i="15"/>
  <c r="O51" i="15"/>
  <c r="J60" i="156"/>
  <c r="AB60" i="156"/>
  <c r="BE56" i="15"/>
  <c r="BA56" i="15"/>
  <c r="C56" i="156"/>
  <c r="K56" i="156" s="1"/>
  <c r="BA51" i="15"/>
  <c r="I51" i="15"/>
  <c r="AA60" i="156"/>
  <c r="M60" i="156"/>
  <c r="BE51" i="15"/>
  <c r="AQ56" i="15"/>
  <c r="E56" i="15"/>
  <c r="AF56" i="15" s="1"/>
  <c r="Y56" i="15"/>
  <c r="AI56" i="15"/>
  <c r="S56" i="15"/>
  <c r="O60" i="156"/>
  <c r="F60" i="156"/>
  <c r="AM60" i="156"/>
  <c r="AO56" i="15"/>
  <c r="AG56" i="15"/>
  <c r="Q56" i="15"/>
  <c r="AC56" i="15"/>
  <c r="D56" i="15"/>
  <c r="AA56" i="15"/>
  <c r="U56" i="15"/>
  <c r="D51" i="15"/>
  <c r="AG51" i="15"/>
  <c r="K51" i="15"/>
  <c r="AQ51" i="15"/>
  <c r="G51" i="15"/>
  <c r="U51" i="15"/>
  <c r="W51" i="15"/>
  <c r="H60" i="156"/>
  <c r="Z60" i="156"/>
  <c r="AC60" i="156" s="1"/>
  <c r="AV60" i="156"/>
  <c r="W60" i="156"/>
  <c r="K60" i="156"/>
  <c r="I60" i="156"/>
  <c r="AK60" i="156"/>
  <c r="N60" i="156"/>
  <c r="Q60" i="156" s="1"/>
  <c r="AD60" i="156"/>
  <c r="AE60" i="156" s="1"/>
  <c r="G56" i="15"/>
  <c r="AY51" i="15"/>
  <c r="M51" i="15"/>
  <c r="AK51" i="15"/>
  <c r="E51" i="15"/>
  <c r="L51" i="15" s="1"/>
  <c r="AM51" i="15"/>
  <c r="Y51" i="15"/>
  <c r="AA51" i="15"/>
  <c r="AI60" i="156"/>
  <c r="AP60" i="156"/>
  <c r="AQ60" i="156" s="1"/>
  <c r="AS60" i="156"/>
  <c r="AL60" i="156"/>
  <c r="AO60" i="156" s="1"/>
  <c r="AR60" i="156"/>
  <c r="AK56" i="15"/>
  <c r="I56" i="15"/>
  <c r="M56" i="15"/>
  <c r="AU56" i="15"/>
  <c r="AS56" i="15"/>
  <c r="AE56" i="15"/>
  <c r="AW56" i="15"/>
  <c r="AE51" i="15"/>
  <c r="AC51" i="15"/>
  <c r="AS51" i="15"/>
  <c r="S51" i="15"/>
  <c r="AO51" i="15"/>
  <c r="C51" i="156"/>
  <c r="AK51" i="156" s="1"/>
  <c r="U60" i="156"/>
  <c r="AH60" i="156"/>
  <c r="T60" i="156"/>
  <c r="AF60" i="156"/>
  <c r="AT60" i="156"/>
  <c r="AU60" i="156" s="1"/>
  <c r="AJ60" i="156"/>
  <c r="V60" i="156"/>
  <c r="Y60" i="156" s="1"/>
  <c r="R60" i="156"/>
  <c r="S60" i="156" s="1"/>
  <c r="D51" i="156"/>
  <c r="D56" i="156"/>
  <c r="C58" i="15"/>
  <c r="BG58" i="15" s="1"/>
  <c r="C72" i="161"/>
  <c r="E58" i="156"/>
  <c r="Z69" i="161"/>
  <c r="Q65" i="161"/>
  <c r="K65" i="161"/>
  <c r="B68" i="161"/>
  <c r="P69" i="161"/>
  <c r="T69" i="161"/>
  <c r="U69" i="161" s="1"/>
  <c r="B69" i="161"/>
  <c r="H65" i="161"/>
  <c r="P65" i="161"/>
  <c r="T65" i="161"/>
  <c r="U65" i="161" s="1"/>
  <c r="F69" i="161"/>
  <c r="K69" i="161"/>
  <c r="J69" i="161"/>
  <c r="N69" i="161"/>
  <c r="B65" i="161"/>
  <c r="S65" i="161"/>
  <c r="G65" i="161"/>
  <c r="Z65" i="161"/>
  <c r="H69" i="161"/>
  <c r="M69" i="161"/>
  <c r="B61" i="161"/>
  <c r="F65" i="161"/>
  <c r="J65" i="161"/>
  <c r="N65" i="161"/>
  <c r="Q69" i="161"/>
  <c r="S69" i="161"/>
  <c r="I74" i="161"/>
  <c r="L74" i="161" s="1"/>
  <c r="G55" i="14"/>
  <c r="G56" i="14"/>
  <c r="P55" i="15"/>
  <c r="T55" i="15"/>
  <c r="AR55" i="15"/>
  <c r="F55" i="15"/>
  <c r="BH55" i="15"/>
  <c r="BJ55" i="15"/>
  <c r="BF55" i="15"/>
  <c r="AD55" i="15"/>
  <c r="AZ55" i="15"/>
  <c r="J55" i="15"/>
  <c r="BD55" i="15"/>
  <c r="AV55" i="15"/>
  <c r="AT55" i="15"/>
  <c r="AL55" i="15"/>
  <c r="AP55" i="15"/>
  <c r="N55" i="15"/>
  <c r="AB55" i="15"/>
  <c r="X55" i="15"/>
  <c r="H55" i="15"/>
  <c r="AF55" i="15"/>
  <c r="AH55" i="15"/>
  <c r="R55" i="15"/>
  <c r="AN55" i="15"/>
  <c r="L55" i="15"/>
  <c r="Z55" i="15"/>
  <c r="BB55" i="15"/>
  <c r="BL55" i="15"/>
  <c r="V55" i="15"/>
  <c r="AX55" i="15"/>
  <c r="AJ55" i="15"/>
  <c r="F54" i="156"/>
  <c r="J55" i="156"/>
  <c r="R55" i="156"/>
  <c r="U55" i="156" s="1"/>
  <c r="AD55" i="156"/>
  <c r="AE55" i="156" s="1"/>
  <c r="AG55" i="156" s="1"/>
  <c r="F55" i="156"/>
  <c r="AV55" i="156"/>
  <c r="AH55" i="156"/>
  <c r="AI55" i="156" s="1"/>
  <c r="AK55" i="156" s="1"/>
  <c r="AL55" i="156"/>
  <c r="AO55" i="156" s="1"/>
  <c r="AJ55" i="156"/>
  <c r="I55" i="156"/>
  <c r="T55" i="156"/>
  <c r="M55" i="156"/>
  <c r="L55" i="156"/>
  <c r="P55" i="156"/>
  <c r="Z55" i="156"/>
  <c r="AA55" i="156" s="1"/>
  <c r="O55" i="156"/>
  <c r="X55" i="156"/>
  <c r="AF55" i="156"/>
  <c r="K55" i="156"/>
  <c r="AN55" i="156"/>
  <c r="AP55" i="156"/>
  <c r="AS55" i="156" s="1"/>
  <c r="S55" i="156"/>
  <c r="N55" i="156"/>
  <c r="Q55" i="156" s="1"/>
  <c r="AR55" i="156"/>
  <c r="V55" i="156"/>
  <c r="W55" i="156" s="1"/>
  <c r="Y55" i="156" s="1"/>
  <c r="AQ55" i="156"/>
  <c r="H55" i="156"/>
  <c r="AT55" i="156"/>
  <c r="AU55" i="156" s="1"/>
  <c r="AC55" i="156"/>
  <c r="AM55" i="156"/>
  <c r="AB55" i="156"/>
  <c r="G54" i="14"/>
  <c r="J61" i="15"/>
  <c r="AZ61" i="15"/>
  <c r="T61" i="15"/>
  <c r="F61" i="15"/>
  <c r="AH61" i="15"/>
  <c r="AF61" i="15"/>
  <c r="BH61" i="15"/>
  <c r="R61" i="15"/>
  <c r="AB61" i="15"/>
  <c r="H61" i="15"/>
  <c r="L61" i="15"/>
  <c r="AV61" i="15"/>
  <c r="BJ61" i="15"/>
  <c r="Z61" i="15"/>
  <c r="AD61" i="15"/>
  <c r="AN61" i="15"/>
  <c r="AL61" i="15"/>
  <c r="BF61" i="15"/>
  <c r="N61" i="15"/>
  <c r="AJ61" i="15"/>
  <c r="P61" i="15"/>
  <c r="V61" i="15"/>
  <c r="AX61" i="15"/>
  <c r="BL61" i="15"/>
  <c r="AT61" i="15"/>
  <c r="BB61" i="15"/>
  <c r="AP61" i="15"/>
  <c r="X61" i="15"/>
  <c r="AR61" i="15"/>
  <c r="BD61" i="15"/>
  <c r="N54" i="15"/>
  <c r="BB54" i="15"/>
  <c r="AP54" i="15"/>
  <c r="L54" i="15"/>
  <c r="AT54" i="15"/>
  <c r="AX54" i="15"/>
  <c r="BL54" i="15"/>
  <c r="AF54" i="15"/>
  <c r="AR54" i="15"/>
  <c r="F54" i="15"/>
  <c r="P54" i="15"/>
  <c r="Z54" i="15"/>
  <c r="AH54" i="15"/>
  <c r="AJ54" i="15"/>
  <c r="BJ54" i="15"/>
  <c r="J54" i="15"/>
  <c r="R54" i="15"/>
  <c r="H54" i="15"/>
  <c r="AV54" i="15"/>
  <c r="AB54" i="15"/>
  <c r="BF54" i="15"/>
  <c r="AD54" i="15"/>
  <c r="X54" i="15"/>
  <c r="AL54" i="15"/>
  <c r="V54" i="15"/>
  <c r="AN54" i="15"/>
  <c r="BD54" i="15"/>
  <c r="AZ54" i="15"/>
  <c r="T54" i="15"/>
  <c r="BH54" i="15"/>
  <c r="BJ47" i="15"/>
  <c r="F47" i="15"/>
  <c r="R47" i="15"/>
  <c r="AD47" i="15"/>
  <c r="AV47" i="15"/>
  <c r="BD47" i="15"/>
  <c r="L47" i="15"/>
  <c r="H47" i="15"/>
  <c r="AT47" i="15"/>
  <c r="AJ47" i="15"/>
  <c r="T47" i="15"/>
  <c r="V47" i="15"/>
  <c r="BF47" i="15"/>
  <c r="AB47" i="15"/>
  <c r="AR47" i="15"/>
  <c r="AL47" i="15"/>
  <c r="BH47" i="15"/>
  <c r="AN47" i="15"/>
  <c r="AX47" i="15"/>
  <c r="AH47" i="15"/>
  <c r="AF47" i="15"/>
  <c r="P47" i="15"/>
  <c r="X47" i="15"/>
  <c r="AP47" i="15"/>
  <c r="J47" i="15"/>
  <c r="AZ47" i="15"/>
  <c r="BB47" i="15"/>
  <c r="Z47" i="15"/>
  <c r="N47" i="15"/>
  <c r="BL47" i="15"/>
  <c r="M47" i="156"/>
  <c r="N47" i="156"/>
  <c r="O47" i="156" s="1"/>
  <c r="P47" i="156" s="1"/>
  <c r="J47" i="156"/>
  <c r="K47" i="156" s="1"/>
  <c r="L47" i="156" s="1"/>
  <c r="U47" i="156"/>
  <c r="AL47" i="156"/>
  <c r="AM47" i="156" s="1"/>
  <c r="AN47" i="156" s="1"/>
  <c r="AP47" i="156"/>
  <c r="AQ47" i="156" s="1"/>
  <c r="AR47" i="156" s="1"/>
  <c r="Q47" i="156"/>
  <c r="F47" i="156"/>
  <c r="H47" i="156" s="1"/>
  <c r="AD47" i="156"/>
  <c r="AE47" i="156" s="1"/>
  <c r="AF47" i="156" s="1"/>
  <c r="AG47" i="156" s="1"/>
  <c r="V47" i="156"/>
  <c r="W47" i="156" s="1"/>
  <c r="X47" i="156" s="1"/>
  <c r="Y47" i="156" s="1"/>
  <c r="AS47" i="156"/>
  <c r="I47" i="156"/>
  <c r="AH47" i="156"/>
  <c r="AI47" i="156" s="1"/>
  <c r="AJ47" i="156" s="1"/>
  <c r="AC47" i="156"/>
  <c r="R47" i="156"/>
  <c r="S47" i="156" s="1"/>
  <c r="T47" i="156" s="1"/>
  <c r="AT47" i="156"/>
  <c r="AU47" i="156" s="1"/>
  <c r="AK47" i="156"/>
  <c r="Z47" i="156"/>
  <c r="AA47" i="156" s="1"/>
  <c r="AB47" i="156" s="1"/>
  <c r="AO47" i="156"/>
  <c r="AV47" i="156"/>
  <c r="G51" i="14"/>
  <c r="BG67" i="15"/>
  <c r="BG55" i="15"/>
  <c r="BG56" i="15"/>
  <c r="BG60" i="15"/>
  <c r="BG65" i="15"/>
  <c r="BG51" i="15"/>
  <c r="BG47" i="15"/>
  <c r="BG50" i="15"/>
  <c r="G70" i="161" l="1"/>
  <c r="P70" i="161"/>
  <c r="H70" i="161"/>
  <c r="F70" i="161"/>
  <c r="S70" i="161"/>
  <c r="Q70" i="161"/>
  <c r="N70" i="161"/>
  <c r="B70" i="161"/>
  <c r="J70" i="161"/>
  <c r="M70" i="161"/>
  <c r="Z70" i="161"/>
  <c r="T70" i="161"/>
  <c r="U70" i="161" s="1"/>
  <c r="D70" i="170" s="1"/>
  <c r="B75" i="170"/>
  <c r="C70" i="170"/>
  <c r="F70" i="170" s="1"/>
  <c r="Q70" i="165" s="1"/>
  <c r="Q70" i="166" s="1"/>
  <c r="K75" i="170"/>
  <c r="J75" i="170"/>
  <c r="B75" i="161"/>
  <c r="C61" i="156"/>
  <c r="E53" i="15"/>
  <c r="C53" i="156"/>
  <c r="K59" i="15"/>
  <c r="AI59" i="15"/>
  <c r="AQ59" i="15"/>
  <c r="O59" i="15"/>
  <c r="S59" i="15"/>
  <c r="W59" i="15"/>
  <c r="AW59" i="15"/>
  <c r="AU59" i="15"/>
  <c r="AC59" i="15"/>
  <c r="D59" i="15"/>
  <c r="AA59" i="15"/>
  <c r="AM59" i="15"/>
  <c r="I59" i="15"/>
  <c r="Q59" i="15"/>
  <c r="E59" i="15"/>
  <c r="AE59" i="15"/>
  <c r="C59" i="156"/>
  <c r="AG59" i="15"/>
  <c r="AK59" i="15"/>
  <c r="Y59" i="15"/>
  <c r="BE59" i="15"/>
  <c r="BC59" i="15"/>
  <c r="U59" i="15"/>
  <c r="M59" i="15"/>
  <c r="AO59" i="15"/>
  <c r="AS59" i="15"/>
  <c r="AY59" i="15"/>
  <c r="G59" i="15"/>
  <c r="BA59" i="15"/>
  <c r="C64" i="161"/>
  <c r="G50" i="14"/>
  <c r="I50" i="156"/>
  <c r="R50" i="156"/>
  <c r="S50" i="156" s="1"/>
  <c r="T50" i="156" s="1"/>
  <c r="AS50" i="156"/>
  <c r="V50" i="156"/>
  <c r="W50" i="156" s="1"/>
  <c r="X50" i="156" s="1"/>
  <c r="Y50" i="156" s="1"/>
  <c r="J50" i="156"/>
  <c r="K50" i="156" s="1"/>
  <c r="L50" i="156" s="1"/>
  <c r="N50" i="156"/>
  <c r="O50" i="156" s="1"/>
  <c r="P50" i="156" s="1"/>
  <c r="AC50" i="156"/>
  <c r="M50" i="156"/>
  <c r="AT50" i="156"/>
  <c r="AU50" i="156" s="1"/>
  <c r="AO50" i="156"/>
  <c r="AV50" i="156"/>
  <c r="Z50" i="156"/>
  <c r="AA50" i="156" s="1"/>
  <c r="AB50" i="156" s="1"/>
  <c r="Q50" i="156"/>
  <c r="AL50" i="156"/>
  <c r="AM50" i="156" s="1"/>
  <c r="AN50" i="156" s="1"/>
  <c r="F50" i="156"/>
  <c r="H50" i="156" s="1"/>
  <c r="AH50" i="156"/>
  <c r="AI50" i="156" s="1"/>
  <c r="AJ50" i="156" s="1"/>
  <c r="U50" i="156"/>
  <c r="AP50" i="156"/>
  <c r="AQ50" i="156" s="1"/>
  <c r="AR50" i="156" s="1"/>
  <c r="AD50" i="156"/>
  <c r="AE50" i="156" s="1"/>
  <c r="AF50" i="156" s="1"/>
  <c r="AG50" i="156" s="1"/>
  <c r="AK50" i="156"/>
  <c r="BL50" i="15"/>
  <c r="AH50" i="15"/>
  <c r="AX50" i="15"/>
  <c r="X50" i="15"/>
  <c r="BJ50" i="15"/>
  <c r="AB50" i="15"/>
  <c r="T50" i="15"/>
  <c r="P50" i="15"/>
  <c r="H50" i="15"/>
  <c r="BF50" i="15"/>
  <c r="R50" i="15"/>
  <c r="Z50" i="15"/>
  <c r="AV50" i="15"/>
  <c r="AJ50" i="15"/>
  <c r="AP50" i="15"/>
  <c r="AT50" i="15"/>
  <c r="AR50" i="15"/>
  <c r="BH50" i="15"/>
  <c r="L50" i="15"/>
  <c r="AN50" i="15"/>
  <c r="J50" i="15"/>
  <c r="V50" i="15"/>
  <c r="F50" i="15"/>
  <c r="AL50" i="15"/>
  <c r="BD50" i="15"/>
  <c r="AZ50" i="15"/>
  <c r="BB50" i="15"/>
  <c r="N50" i="15"/>
  <c r="AF50" i="15"/>
  <c r="AD50" i="15"/>
  <c r="D69" i="170"/>
  <c r="D65" i="170"/>
  <c r="N72" i="161"/>
  <c r="C72" i="170"/>
  <c r="D74" i="171"/>
  <c r="C68" i="171"/>
  <c r="B68" i="170"/>
  <c r="J68" i="170"/>
  <c r="K68" i="170"/>
  <c r="C61" i="171"/>
  <c r="K61" i="170"/>
  <c r="B61" i="170"/>
  <c r="J61" i="170"/>
  <c r="H65" i="170"/>
  <c r="F65" i="170"/>
  <c r="Q65" i="165" s="1"/>
  <c r="Q65" i="166" s="1"/>
  <c r="B65" i="170"/>
  <c r="L65" i="170"/>
  <c r="G65" i="170"/>
  <c r="J65" i="170"/>
  <c r="M65" i="170"/>
  <c r="K65" i="170"/>
  <c r="C65" i="171"/>
  <c r="F69" i="170"/>
  <c r="Q69" i="165" s="1"/>
  <c r="Q69" i="166" s="1"/>
  <c r="H69" i="170"/>
  <c r="C69" i="171"/>
  <c r="J69" i="170"/>
  <c r="L69" i="170"/>
  <c r="K69" i="170"/>
  <c r="G69" i="170"/>
  <c r="M69" i="170"/>
  <c r="B69" i="170"/>
  <c r="C75" i="164"/>
  <c r="I75" i="171"/>
  <c r="J75" i="171"/>
  <c r="B75" i="171"/>
  <c r="C74" i="164"/>
  <c r="E74" i="164" s="1"/>
  <c r="K74" i="171"/>
  <c r="L74" i="171"/>
  <c r="F74" i="171"/>
  <c r="B74" i="171"/>
  <c r="J74" i="171"/>
  <c r="I74" i="171"/>
  <c r="G74" i="171"/>
  <c r="BJ51" i="15"/>
  <c r="H51" i="15"/>
  <c r="AX51" i="15"/>
  <c r="P51" i="15"/>
  <c r="N51" i="15"/>
  <c r="R56" i="156"/>
  <c r="S56" i="156" s="1"/>
  <c r="AS56" i="156"/>
  <c r="AP56" i="15"/>
  <c r="L56" i="156"/>
  <c r="AE56" i="156"/>
  <c r="R51" i="156"/>
  <c r="S51" i="156" s="1"/>
  <c r="T51" i="156" s="1"/>
  <c r="BD51" i="15"/>
  <c r="BB51" i="15"/>
  <c r="AV51" i="15"/>
  <c r="BL51" i="15"/>
  <c r="AN51" i="15"/>
  <c r="AT51" i="15"/>
  <c r="AR51" i="15"/>
  <c r="AD51" i="15"/>
  <c r="AP51" i="15"/>
  <c r="AL51" i="15"/>
  <c r="V51" i="15"/>
  <c r="BF51" i="15"/>
  <c r="R51" i="15"/>
  <c r="AB51" i="15"/>
  <c r="X51" i="15"/>
  <c r="AF51" i="15"/>
  <c r="J51" i="15"/>
  <c r="F51" i="15"/>
  <c r="AJ51" i="15"/>
  <c r="AZ51" i="15"/>
  <c r="Z51" i="15"/>
  <c r="BH51" i="15"/>
  <c r="AH51" i="15"/>
  <c r="T51" i="15"/>
  <c r="AO51" i="156"/>
  <c r="AS51" i="156"/>
  <c r="N51" i="156"/>
  <c r="O51" i="156" s="1"/>
  <c r="P51" i="156" s="1"/>
  <c r="F51" i="156"/>
  <c r="H51" i="156" s="1"/>
  <c r="AH51" i="156"/>
  <c r="AI51" i="156" s="1"/>
  <c r="AJ51" i="156" s="1"/>
  <c r="U51" i="156"/>
  <c r="AR56" i="156"/>
  <c r="AP56" i="156"/>
  <c r="AQ56" i="156" s="1"/>
  <c r="U56" i="156"/>
  <c r="AT56" i="156"/>
  <c r="AU56" i="156" s="1"/>
  <c r="AH56" i="156"/>
  <c r="AI56" i="156" s="1"/>
  <c r="AC56" i="156"/>
  <c r="AJ56" i="156"/>
  <c r="AV56" i="156"/>
  <c r="X56" i="156"/>
  <c r="AL56" i="156"/>
  <c r="V56" i="156"/>
  <c r="W56" i="156" s="1"/>
  <c r="Y56" i="156" s="1"/>
  <c r="J56" i="156"/>
  <c r="AN56" i="156"/>
  <c r="AF56" i="156"/>
  <c r="H56" i="156"/>
  <c r="AB56" i="156"/>
  <c r="N56" i="156"/>
  <c r="O56" i="156" s="1"/>
  <c r="Q56" i="156" s="1"/>
  <c r="M56" i="156"/>
  <c r="T56" i="156"/>
  <c r="AD56" i="156"/>
  <c r="AG56" i="156" s="1"/>
  <c r="AO56" i="156"/>
  <c r="Z56" i="156"/>
  <c r="AA56" i="156" s="1"/>
  <c r="I56" i="156"/>
  <c r="AM56" i="156"/>
  <c r="F56" i="156"/>
  <c r="P56" i="156"/>
  <c r="AK56" i="156"/>
  <c r="AT51" i="156"/>
  <c r="AU51" i="156" s="1"/>
  <c r="Q51" i="156"/>
  <c r="Y51" i="156"/>
  <c r="AL51" i="156"/>
  <c r="AM51" i="156" s="1"/>
  <c r="AN51" i="156" s="1"/>
  <c r="J51" i="156"/>
  <c r="K51" i="156" s="1"/>
  <c r="L51" i="156" s="1"/>
  <c r="AP51" i="156"/>
  <c r="AQ51" i="156" s="1"/>
  <c r="AR51" i="156" s="1"/>
  <c r="AC51" i="156"/>
  <c r="V51" i="156"/>
  <c r="W51" i="156" s="1"/>
  <c r="X51" i="156" s="1"/>
  <c r="AG51" i="156"/>
  <c r="I51" i="156"/>
  <c r="M51" i="156"/>
  <c r="AV51" i="156"/>
  <c r="Z51" i="156"/>
  <c r="AA51" i="156" s="1"/>
  <c r="AB51" i="156" s="1"/>
  <c r="AD56" i="15"/>
  <c r="AZ56" i="15"/>
  <c r="BH56" i="15"/>
  <c r="AV56" i="15"/>
  <c r="V56" i="15"/>
  <c r="AH56" i="15"/>
  <c r="T56" i="15"/>
  <c r="BL56" i="15"/>
  <c r="BF56" i="15"/>
  <c r="AR56" i="15"/>
  <c r="BD56" i="15"/>
  <c r="AT56" i="15"/>
  <c r="J56" i="15"/>
  <c r="AN56" i="15"/>
  <c r="G58" i="14"/>
  <c r="Z56" i="15"/>
  <c r="X56" i="15"/>
  <c r="BJ56" i="15"/>
  <c r="R56" i="15"/>
  <c r="AB56" i="15"/>
  <c r="AX56" i="15"/>
  <c r="BB56" i="15"/>
  <c r="AL56" i="15"/>
  <c r="N56" i="15"/>
  <c r="L56" i="15"/>
  <c r="AJ56" i="15"/>
  <c r="H56" i="15"/>
  <c r="F56" i="15"/>
  <c r="P56" i="15"/>
  <c r="G72" i="161"/>
  <c r="P72" i="161"/>
  <c r="K72" i="161"/>
  <c r="H72" i="161"/>
  <c r="T72" i="161"/>
  <c r="U72" i="161" s="1"/>
  <c r="J72" i="161"/>
  <c r="Q72" i="161"/>
  <c r="F72" i="161"/>
  <c r="B72" i="161"/>
  <c r="Z72" i="161"/>
  <c r="S72" i="161"/>
  <c r="M72" i="161"/>
  <c r="D58" i="156"/>
  <c r="E58" i="15"/>
  <c r="S58" i="15"/>
  <c r="C58" i="156"/>
  <c r="K58" i="15"/>
  <c r="G58" i="15"/>
  <c r="AE58" i="15"/>
  <c r="BA58" i="15"/>
  <c r="AU58" i="15"/>
  <c r="AK58" i="15"/>
  <c r="AO58" i="15"/>
  <c r="AQ58" i="15"/>
  <c r="AS58" i="15"/>
  <c r="AI58" i="15"/>
  <c r="AW58" i="15"/>
  <c r="BC58" i="15"/>
  <c r="O58" i="15"/>
  <c r="U58" i="15"/>
  <c r="D58" i="15"/>
  <c r="I58" i="15"/>
  <c r="AA58" i="15"/>
  <c r="AM58" i="15"/>
  <c r="M58" i="15"/>
  <c r="AG58" i="15"/>
  <c r="W58" i="15"/>
  <c r="Y58" i="15"/>
  <c r="Q58" i="15"/>
  <c r="AC58" i="15"/>
  <c r="AY58" i="15"/>
  <c r="BE58" i="15"/>
  <c r="I65" i="161"/>
  <c r="L65" i="161" s="1"/>
  <c r="O65" i="161" s="1"/>
  <c r="R65" i="161" s="1"/>
  <c r="I69" i="161"/>
  <c r="L69" i="161" s="1"/>
  <c r="O69" i="161" s="1"/>
  <c r="R69" i="161" s="1"/>
  <c r="B64" i="165"/>
  <c r="B64" i="166" s="1"/>
  <c r="O74" i="161"/>
  <c r="R74" i="161" s="1"/>
  <c r="BI67" i="15"/>
  <c r="BI59" i="15"/>
  <c r="BI55" i="15"/>
  <c r="BI58" i="15"/>
  <c r="BI60" i="15"/>
  <c r="BI56" i="15"/>
  <c r="BI65" i="15"/>
  <c r="BI51" i="15"/>
  <c r="BI47" i="15"/>
  <c r="BI50" i="15"/>
  <c r="L61" i="170" l="1"/>
  <c r="C70" i="171"/>
  <c r="C70" i="164" s="1"/>
  <c r="E70" i="164" s="1"/>
  <c r="I70" i="161"/>
  <c r="L70" i="161" s="1"/>
  <c r="B70" i="170"/>
  <c r="M70" i="170"/>
  <c r="J70" i="170"/>
  <c r="K70" i="170"/>
  <c r="L70" i="170"/>
  <c r="H70" i="170"/>
  <c r="D70" i="171" s="1"/>
  <c r="G70" i="170"/>
  <c r="L75" i="170"/>
  <c r="R64" i="165"/>
  <c r="R64" i="166" s="1"/>
  <c r="L68" i="170"/>
  <c r="F53" i="156"/>
  <c r="R59" i="156"/>
  <c r="S59" i="156" s="1"/>
  <c r="V59" i="156"/>
  <c r="W59" i="156" s="1"/>
  <c r="AE59" i="156"/>
  <c r="T59" i="156"/>
  <c r="AH59" i="156"/>
  <c r="AK59" i="156" s="1"/>
  <c r="Z59" i="156"/>
  <c r="AA59" i="156" s="1"/>
  <c r="AQ59" i="156"/>
  <c r="Y59" i="156"/>
  <c r="AO59" i="156"/>
  <c r="H59" i="156"/>
  <c r="AP59" i="156"/>
  <c r="AS59" i="156" s="1"/>
  <c r="I59" i="156"/>
  <c r="O59" i="156"/>
  <c r="U59" i="156"/>
  <c r="F59" i="156"/>
  <c r="M59" i="156"/>
  <c r="AB59" i="156"/>
  <c r="AR59" i="156"/>
  <c r="AT59" i="156"/>
  <c r="AU59" i="156" s="1"/>
  <c r="AM59" i="156"/>
  <c r="AJ59" i="156"/>
  <c r="L59" i="156"/>
  <c r="AL59" i="156"/>
  <c r="AN59" i="156"/>
  <c r="AD59" i="156"/>
  <c r="AG59" i="156" s="1"/>
  <c r="N59" i="156"/>
  <c r="Q59" i="156" s="1"/>
  <c r="AC59" i="156"/>
  <c r="AF59" i="156"/>
  <c r="P59" i="156"/>
  <c r="AI59" i="156"/>
  <c r="X59" i="156"/>
  <c r="J59" i="156"/>
  <c r="K59" i="156" s="1"/>
  <c r="AV59" i="156"/>
  <c r="C67" i="161"/>
  <c r="G53" i="14"/>
  <c r="C73" i="161"/>
  <c r="G59" i="14"/>
  <c r="BF59" i="15"/>
  <c r="BJ59" i="15"/>
  <c r="F59" i="15"/>
  <c r="AZ59" i="15"/>
  <c r="H59" i="15"/>
  <c r="P59" i="15"/>
  <c r="BB59" i="15"/>
  <c r="AR59" i="15"/>
  <c r="BL59" i="15"/>
  <c r="Z59" i="15"/>
  <c r="AX59" i="15"/>
  <c r="AV59" i="15"/>
  <c r="T59" i="15"/>
  <c r="R59" i="15"/>
  <c r="AJ59" i="15"/>
  <c r="L59" i="15"/>
  <c r="AL59" i="15"/>
  <c r="AN59" i="15"/>
  <c r="AF59" i="15"/>
  <c r="AH59" i="15"/>
  <c r="BD59" i="15"/>
  <c r="BH59" i="15"/>
  <c r="AB59" i="15"/>
  <c r="X59" i="15"/>
  <c r="AD59" i="15"/>
  <c r="J59" i="15"/>
  <c r="V59" i="15"/>
  <c r="AP59" i="15"/>
  <c r="AT59" i="15"/>
  <c r="N59" i="15"/>
  <c r="AX53" i="15"/>
  <c r="H53" i="15"/>
  <c r="AT53" i="15"/>
  <c r="F53" i="15"/>
  <c r="AN53" i="15"/>
  <c r="AV53" i="15"/>
  <c r="AL53" i="15"/>
  <c r="T53" i="15"/>
  <c r="AD53" i="15"/>
  <c r="J53" i="15"/>
  <c r="AP53" i="15"/>
  <c r="AJ53" i="15"/>
  <c r="BD53" i="15"/>
  <c r="AB53" i="15"/>
  <c r="BH53" i="15"/>
  <c r="AR53" i="15"/>
  <c r="AZ53" i="15"/>
  <c r="L53" i="15"/>
  <c r="V53" i="15"/>
  <c r="R53" i="15"/>
  <c r="BF53" i="15"/>
  <c r="BL53" i="15"/>
  <c r="BJ53" i="15"/>
  <c r="BB53" i="15"/>
  <c r="N53" i="15"/>
  <c r="AF53" i="15"/>
  <c r="Z53" i="15"/>
  <c r="P53" i="15"/>
  <c r="X53" i="15"/>
  <c r="AH53" i="15"/>
  <c r="T64" i="161"/>
  <c r="U64" i="161" s="1"/>
  <c r="D64" i="170" s="1"/>
  <c r="S64" i="161"/>
  <c r="H64" i="161"/>
  <c r="B64" i="161"/>
  <c r="M64" i="161"/>
  <c r="N64" i="161"/>
  <c r="P64" i="161"/>
  <c r="G64" i="161"/>
  <c r="Q64" i="161"/>
  <c r="Z64" i="161"/>
  <c r="C64" i="170"/>
  <c r="K64" i="161"/>
  <c r="F64" i="161"/>
  <c r="J64" i="161"/>
  <c r="D74" i="164"/>
  <c r="K75" i="171"/>
  <c r="D72" i="170"/>
  <c r="C61" i="164"/>
  <c r="J61" i="171"/>
  <c r="I61" i="171"/>
  <c r="B61" i="171"/>
  <c r="C68" i="164"/>
  <c r="J68" i="171"/>
  <c r="B68" i="171"/>
  <c r="I68" i="171"/>
  <c r="G74" i="164"/>
  <c r="S74" i="165"/>
  <c r="S74" i="166" s="1"/>
  <c r="C69" i="164"/>
  <c r="E69" i="164" s="1"/>
  <c r="K69" i="171"/>
  <c r="J69" i="171"/>
  <c r="F69" i="171"/>
  <c r="I69" i="171"/>
  <c r="G69" i="171"/>
  <c r="B69" i="171"/>
  <c r="L69" i="171"/>
  <c r="C65" i="164"/>
  <c r="E65" i="164" s="1"/>
  <c r="L65" i="171"/>
  <c r="G65" i="171"/>
  <c r="F65" i="171"/>
  <c r="J65" i="171"/>
  <c r="B65" i="171"/>
  <c r="K65" i="171"/>
  <c r="I65" i="171"/>
  <c r="D65" i="171"/>
  <c r="F72" i="170"/>
  <c r="Q72" i="165" s="1"/>
  <c r="Q72" i="166" s="1"/>
  <c r="C72" i="171"/>
  <c r="B72" i="170"/>
  <c r="J72" i="170"/>
  <c r="H72" i="170"/>
  <c r="K72" i="170"/>
  <c r="M72" i="170"/>
  <c r="L72" i="170"/>
  <c r="G72" i="170"/>
  <c r="D69" i="171"/>
  <c r="I72" i="161"/>
  <c r="L72" i="161" s="1"/>
  <c r="O72" i="161" s="1"/>
  <c r="R72" i="161" s="1"/>
  <c r="BH58" i="15"/>
  <c r="AT58" i="15"/>
  <c r="BD58" i="15"/>
  <c r="AR58" i="15"/>
  <c r="BL58" i="15"/>
  <c r="T58" i="15"/>
  <c r="AN58" i="15"/>
  <c r="P58" i="15"/>
  <c r="AB58" i="15"/>
  <c r="N58" i="15"/>
  <c r="AX58" i="15"/>
  <c r="BF58" i="15"/>
  <c r="F58" i="15"/>
  <c r="AL58" i="15"/>
  <c r="AD58" i="15"/>
  <c r="V58" i="15"/>
  <c r="BJ58" i="15"/>
  <c r="X58" i="15"/>
  <c r="AP58" i="15"/>
  <c r="AH58" i="15"/>
  <c r="AZ58" i="15"/>
  <c r="L58" i="15"/>
  <c r="Z58" i="15"/>
  <c r="H58" i="15"/>
  <c r="AF58" i="15"/>
  <c r="BB58" i="15"/>
  <c r="AJ58" i="15"/>
  <c r="AV58" i="15"/>
  <c r="J58" i="15"/>
  <c r="R58" i="15"/>
  <c r="AV58" i="156"/>
  <c r="I58" i="156"/>
  <c r="P58" i="156"/>
  <c r="F58" i="156"/>
  <c r="AD58" i="156"/>
  <c r="AE58" i="156" s="1"/>
  <c r="AG58" i="156" s="1"/>
  <c r="AF58" i="156"/>
  <c r="AL58" i="156"/>
  <c r="AO58" i="156"/>
  <c r="R58" i="156"/>
  <c r="S58" i="156" s="1"/>
  <c r="U58" i="156" s="1"/>
  <c r="AP58" i="156"/>
  <c r="AQ58" i="156" s="1"/>
  <c r="Z58" i="156"/>
  <c r="AA58" i="156" s="1"/>
  <c r="T58" i="156"/>
  <c r="AR58" i="156"/>
  <c r="V58" i="156"/>
  <c r="W58" i="156" s="1"/>
  <c r="Y58" i="156" s="1"/>
  <c r="L58" i="156"/>
  <c r="AI58" i="156"/>
  <c r="N58" i="156"/>
  <c r="H58" i="156"/>
  <c r="AJ58" i="156"/>
  <c r="AB58" i="156"/>
  <c r="AN58" i="156"/>
  <c r="J58" i="156"/>
  <c r="K58" i="156"/>
  <c r="AC58" i="156"/>
  <c r="X58" i="156"/>
  <c r="O58" i="156"/>
  <c r="AT58" i="156"/>
  <c r="AU58" i="156" s="1"/>
  <c r="AS58" i="156"/>
  <c r="AH58" i="156"/>
  <c r="AK58" i="156" s="1"/>
  <c r="M58" i="156"/>
  <c r="AM58" i="156"/>
  <c r="Q58" i="156"/>
  <c r="V74" i="164"/>
  <c r="W74" i="164" s="1"/>
  <c r="T74" i="165" s="1"/>
  <c r="T74" i="166" s="1"/>
  <c r="J74" i="164"/>
  <c r="B74" i="165"/>
  <c r="B74" i="166" s="1"/>
  <c r="I74" i="164"/>
  <c r="S74" i="164"/>
  <c r="H74" i="164"/>
  <c r="M74" i="164"/>
  <c r="R74" i="164"/>
  <c r="L74" i="164"/>
  <c r="P74" i="164"/>
  <c r="U74" i="164"/>
  <c r="F74" i="164"/>
  <c r="X74" i="164" s="1"/>
  <c r="B74" i="164"/>
  <c r="O74" i="164"/>
  <c r="BK67" i="15"/>
  <c r="BK56" i="15"/>
  <c r="BK58" i="15"/>
  <c r="BK55" i="15"/>
  <c r="BK59" i="15"/>
  <c r="BK60" i="15"/>
  <c r="BK65" i="15"/>
  <c r="BK47" i="15"/>
  <c r="BK51" i="15"/>
  <c r="BK50" i="15"/>
  <c r="K61" i="171" l="1"/>
  <c r="L70" i="171"/>
  <c r="K70" i="171"/>
  <c r="I70" i="171"/>
  <c r="J70" i="171"/>
  <c r="F70" i="171"/>
  <c r="G70" i="171"/>
  <c r="G70" i="164" s="1"/>
  <c r="B70" i="171"/>
  <c r="O70" i="161"/>
  <c r="R70" i="161" s="1"/>
  <c r="P74" i="165"/>
  <c r="P74" i="166" s="1"/>
  <c r="R74" i="165"/>
  <c r="R74" i="166" s="1"/>
  <c r="K68" i="171"/>
  <c r="K73" i="161"/>
  <c r="B73" i="161"/>
  <c r="M73" i="161"/>
  <c r="C73" i="170"/>
  <c r="N73" i="161"/>
  <c r="G73" i="161"/>
  <c r="Z73" i="161"/>
  <c r="F73" i="161"/>
  <c r="J73" i="161"/>
  <c r="H73" i="161"/>
  <c r="T73" i="161"/>
  <c r="U73" i="161" s="1"/>
  <c r="D73" i="170" s="1"/>
  <c r="S73" i="161"/>
  <c r="P73" i="161"/>
  <c r="Q73" i="161"/>
  <c r="B67" i="161"/>
  <c r="C67" i="170"/>
  <c r="C64" i="171"/>
  <c r="K64" i="170"/>
  <c r="M64" i="170"/>
  <c r="G64" i="170"/>
  <c r="H64" i="170"/>
  <c r="D64" i="171" s="1"/>
  <c r="F64" i="170"/>
  <c r="Q64" i="165" s="1"/>
  <c r="Q64" i="166" s="1"/>
  <c r="J64" i="170"/>
  <c r="L64" i="170"/>
  <c r="B64" i="170"/>
  <c r="I64" i="161"/>
  <c r="L64" i="161" s="1"/>
  <c r="O64" i="161" s="1"/>
  <c r="H70" i="164"/>
  <c r="B61" i="164"/>
  <c r="B68" i="164"/>
  <c r="D68" i="164"/>
  <c r="H65" i="164"/>
  <c r="P69" i="164"/>
  <c r="C72" i="164"/>
  <c r="E72" i="164" s="1"/>
  <c r="I72" i="171"/>
  <c r="J72" i="171"/>
  <c r="L72" i="171"/>
  <c r="F72" i="171"/>
  <c r="B72" i="171"/>
  <c r="G72" i="171"/>
  <c r="K72" i="171"/>
  <c r="S65" i="165"/>
  <c r="S65" i="166" s="1"/>
  <c r="G65" i="164"/>
  <c r="D72" i="171"/>
  <c r="S69" i="165"/>
  <c r="S69" i="166" s="1"/>
  <c r="G69" i="164"/>
  <c r="V65" i="164"/>
  <c r="W65" i="164" s="1"/>
  <c r="T65" i="165" s="1"/>
  <c r="T65" i="166" s="1"/>
  <c r="O65" i="164"/>
  <c r="M65" i="164"/>
  <c r="R65" i="164"/>
  <c r="S65" i="164"/>
  <c r="L65" i="164"/>
  <c r="P65" i="164"/>
  <c r="J65" i="164"/>
  <c r="U65" i="164"/>
  <c r="F65" i="164"/>
  <c r="X65" i="164" s="1"/>
  <c r="B65" i="164"/>
  <c r="I65" i="164"/>
  <c r="D65" i="164"/>
  <c r="L70" i="164"/>
  <c r="J70" i="164"/>
  <c r="O70" i="164"/>
  <c r="B70" i="164"/>
  <c r="S70" i="164"/>
  <c r="R70" i="164"/>
  <c r="V70" i="164"/>
  <c r="W70" i="164" s="1"/>
  <c r="T70" i="165" s="1"/>
  <c r="T70" i="166" s="1"/>
  <c r="F70" i="164"/>
  <c r="X70" i="164" s="1"/>
  <c r="D70" i="164"/>
  <c r="U70" i="164"/>
  <c r="B70" i="165"/>
  <c r="B70" i="166" s="1"/>
  <c r="P70" i="164"/>
  <c r="I70" i="164"/>
  <c r="M70" i="164"/>
  <c r="B75" i="165"/>
  <c r="B75" i="166" s="1"/>
  <c r="B75" i="164"/>
  <c r="D75" i="164"/>
  <c r="D61" i="164"/>
  <c r="AX64" i="166"/>
  <c r="K74" i="164"/>
  <c r="N74" i="164" s="1"/>
  <c r="Q74" i="164" s="1"/>
  <c r="T74" i="164" s="1"/>
  <c r="J69" i="164"/>
  <c r="I69" i="164"/>
  <c r="S69" i="164"/>
  <c r="V69" i="164"/>
  <c r="W69" i="164" s="1"/>
  <c r="T69" i="165" s="1"/>
  <c r="T69" i="166" s="1"/>
  <c r="O69" i="164"/>
  <c r="U69" i="164"/>
  <c r="F69" i="164"/>
  <c r="X69" i="164" s="1"/>
  <c r="D69" i="164"/>
  <c r="B69" i="164"/>
  <c r="M69" i="164"/>
  <c r="R69" i="164"/>
  <c r="H69" i="164"/>
  <c r="L69" i="164"/>
  <c r="B65" i="165"/>
  <c r="B65" i="166" s="1"/>
  <c r="B68" i="165"/>
  <c r="B68" i="166" s="1"/>
  <c r="B73" i="165"/>
  <c r="B73" i="166" s="1"/>
  <c r="BM67" i="15"/>
  <c r="BN67" i="15" s="1"/>
  <c r="BM60" i="15"/>
  <c r="BM58" i="15"/>
  <c r="BM56" i="15"/>
  <c r="BM55" i="15"/>
  <c r="BM59" i="15"/>
  <c r="BM65" i="15"/>
  <c r="BM51" i="15"/>
  <c r="BM47" i="15"/>
  <c r="BM50" i="15"/>
  <c r="S70" i="165" l="1"/>
  <c r="S70" i="166" s="1"/>
  <c r="R73" i="165"/>
  <c r="R73" i="166" s="1"/>
  <c r="R75" i="165"/>
  <c r="R75" i="166" s="1"/>
  <c r="R70" i="165"/>
  <c r="R70" i="166" s="1"/>
  <c r="P69" i="165"/>
  <c r="P69" i="166" s="1"/>
  <c r="R68" i="165"/>
  <c r="R68" i="166" s="1"/>
  <c r="P65" i="165"/>
  <c r="P65" i="166" s="1"/>
  <c r="R65" i="165"/>
  <c r="R65" i="166" s="1"/>
  <c r="F73" i="170"/>
  <c r="Q73" i="165" s="1"/>
  <c r="Q73" i="166" s="1"/>
  <c r="K73" i="170"/>
  <c r="C73" i="171"/>
  <c r="G73" i="170"/>
  <c r="H73" i="170"/>
  <c r="D73" i="171" s="1"/>
  <c r="J73" i="170"/>
  <c r="B73" i="170"/>
  <c r="M73" i="170"/>
  <c r="L73" i="170"/>
  <c r="R64" i="161"/>
  <c r="J67" i="170"/>
  <c r="B67" i="170"/>
  <c r="K67" i="170"/>
  <c r="C67" i="171"/>
  <c r="I73" i="161"/>
  <c r="L73" i="161" s="1"/>
  <c r="O73" i="161" s="1"/>
  <c r="J64" i="171"/>
  <c r="F64" i="171"/>
  <c r="L64" i="171"/>
  <c r="B64" i="171"/>
  <c r="I64" i="171"/>
  <c r="K64" i="171"/>
  <c r="C64" i="164"/>
  <c r="G64" i="171"/>
  <c r="S72" i="164"/>
  <c r="S72" i="165"/>
  <c r="S72" i="166" s="1"/>
  <c r="G72" i="164"/>
  <c r="V72" i="164"/>
  <c r="W72" i="164" s="1"/>
  <c r="T72" i="165" s="1"/>
  <c r="T72" i="166" s="1"/>
  <c r="L72" i="164"/>
  <c r="B72" i="164"/>
  <c r="M72" i="164"/>
  <c r="R72" i="164"/>
  <c r="H72" i="164"/>
  <c r="O72" i="164"/>
  <c r="D72" i="164"/>
  <c r="F72" i="164"/>
  <c r="X72" i="164" s="1"/>
  <c r="J72" i="164"/>
  <c r="P72" i="164"/>
  <c r="U72" i="164"/>
  <c r="I72" i="164"/>
  <c r="K65" i="164"/>
  <c r="N65" i="164" s="1"/>
  <c r="K70" i="164"/>
  <c r="N70" i="164" s="1"/>
  <c r="B67" i="165"/>
  <c r="B67" i="166" s="1"/>
  <c r="AX74" i="166"/>
  <c r="AA74" i="166"/>
  <c r="B61" i="165"/>
  <c r="B61" i="166" s="1"/>
  <c r="B72" i="165"/>
  <c r="B72" i="166" s="1"/>
  <c r="B69" i="165"/>
  <c r="B69" i="166" s="1"/>
  <c r="K69" i="164"/>
  <c r="N69" i="164" s="1"/>
  <c r="AX61" i="166"/>
  <c r="AX65" i="166"/>
  <c r="AX68" i="166"/>
  <c r="AX73" i="166"/>
  <c r="AA73" i="166"/>
  <c r="AX67" i="166"/>
  <c r="BO67" i="15"/>
  <c r="BP67" i="15" s="1"/>
  <c r="BR67" i="15" s="1"/>
  <c r="BN55" i="15"/>
  <c r="BO55" i="15"/>
  <c r="BP55" i="15" s="1"/>
  <c r="BR55" i="15" s="1"/>
  <c r="BS55" i="15" s="1"/>
  <c r="BN56" i="15"/>
  <c r="BO56" i="15"/>
  <c r="BP56" i="15" s="1"/>
  <c r="BR56" i="15" s="1"/>
  <c r="BS56" i="15" s="1"/>
  <c r="BN60" i="15"/>
  <c r="BO60" i="15"/>
  <c r="BP60" i="15" s="1"/>
  <c r="BR60" i="15" s="1"/>
  <c r="BS60" i="15" s="1"/>
  <c r="BN59" i="15"/>
  <c r="BO59" i="15"/>
  <c r="BP59" i="15" s="1"/>
  <c r="BR59" i="15" s="1"/>
  <c r="BS59" i="15" s="1"/>
  <c r="BN58" i="15"/>
  <c r="BO58" i="15"/>
  <c r="BP58" i="15" s="1"/>
  <c r="BR58" i="15" s="1"/>
  <c r="BS58" i="15" s="1"/>
  <c r="BN65" i="15"/>
  <c r="BO65" i="15"/>
  <c r="BP65" i="15" s="1"/>
  <c r="BR65" i="15" s="1"/>
  <c r="BO47" i="15"/>
  <c r="BP47" i="15" s="1"/>
  <c r="BR47" i="15" s="1"/>
  <c r="BS47" i="15" s="1"/>
  <c r="BN47" i="15"/>
  <c r="BO50" i="15"/>
  <c r="BP50" i="15" s="1"/>
  <c r="BR50" i="15" s="1"/>
  <c r="BS50" i="15" s="1"/>
  <c r="BN50" i="15"/>
  <c r="BN51" i="15"/>
  <c r="BO51" i="15"/>
  <c r="BP51" i="15" s="1"/>
  <c r="BR51" i="15" s="1"/>
  <c r="P70" i="165" l="1"/>
  <c r="P70" i="166" s="1"/>
  <c r="P72" i="165"/>
  <c r="P72" i="166" s="1"/>
  <c r="R69" i="165"/>
  <c r="R69" i="166" s="1"/>
  <c r="R72" i="165"/>
  <c r="R72" i="166" s="1"/>
  <c r="R67" i="165"/>
  <c r="R67" i="166" s="1"/>
  <c r="R61" i="165"/>
  <c r="R61" i="166" s="1"/>
  <c r="L67" i="170"/>
  <c r="X65" i="166"/>
  <c r="Z65" i="166" s="1"/>
  <c r="AA65" i="166"/>
  <c r="B73" i="171"/>
  <c r="G73" i="171"/>
  <c r="L73" i="171"/>
  <c r="I73" i="171"/>
  <c r="C73" i="164"/>
  <c r="F73" i="171"/>
  <c r="K73" i="171"/>
  <c r="J73" i="171"/>
  <c r="J67" i="171"/>
  <c r="C67" i="164"/>
  <c r="I67" i="171"/>
  <c r="B67" i="171"/>
  <c r="R73" i="161"/>
  <c r="S64" i="165"/>
  <c r="S64" i="166" s="1"/>
  <c r="G64" i="164"/>
  <c r="E64" i="164"/>
  <c r="O64" i="164"/>
  <c r="F64" i="164"/>
  <c r="X64" i="164" s="1"/>
  <c r="M64" i="164"/>
  <c r="S64" i="164"/>
  <c r="L64" i="164"/>
  <c r="R64" i="164"/>
  <c r="J64" i="164"/>
  <c r="D64" i="164"/>
  <c r="P64" i="164"/>
  <c r="H64" i="164"/>
  <c r="V64" i="164"/>
  <c r="W64" i="164" s="1"/>
  <c r="T64" i="165" s="1"/>
  <c r="T64" i="166" s="1"/>
  <c r="B64" i="164"/>
  <c r="U64" i="164"/>
  <c r="I64" i="164"/>
  <c r="X74" i="166"/>
  <c r="Z74" i="166" s="1"/>
  <c r="K72" i="164"/>
  <c r="N72" i="164" s="1"/>
  <c r="Q72" i="164" s="1"/>
  <c r="T72" i="164" s="1"/>
  <c r="X73" i="166"/>
  <c r="Z73" i="166" s="1"/>
  <c r="Q70" i="164"/>
  <c r="T70" i="164" s="1"/>
  <c r="Q65" i="164"/>
  <c r="T65" i="164" s="1"/>
  <c r="AX70" i="166"/>
  <c r="AA70" i="166"/>
  <c r="AX75" i="166"/>
  <c r="Y69" i="166"/>
  <c r="AX69" i="166"/>
  <c r="X69" i="166"/>
  <c r="W69" i="166"/>
  <c r="Z69" i="166"/>
  <c r="AA69" i="166"/>
  <c r="AX72" i="166"/>
  <c r="Q69" i="164"/>
  <c r="T69" i="164" s="1"/>
  <c r="P64" i="165" l="1"/>
  <c r="P64" i="166" s="1"/>
  <c r="K67" i="171"/>
  <c r="X64" i="166"/>
  <c r="Z64" i="166" s="1"/>
  <c r="AA64" i="166"/>
  <c r="K64" i="164"/>
  <c r="N64" i="164" s="1"/>
  <c r="D67" i="164"/>
  <c r="B67" i="164"/>
  <c r="S73" i="165"/>
  <c r="S73" i="166" s="1"/>
  <c r="G73" i="164"/>
  <c r="E73" i="164"/>
  <c r="V73" i="164"/>
  <c r="W73" i="164" s="1"/>
  <c r="T73" i="165" s="1"/>
  <c r="T73" i="166" s="1"/>
  <c r="D73" i="164"/>
  <c r="R73" i="164"/>
  <c r="J73" i="164"/>
  <c r="H73" i="164"/>
  <c r="B73" i="164"/>
  <c r="I73" i="164"/>
  <c r="O73" i="164"/>
  <c r="P73" i="164"/>
  <c r="S73" i="164"/>
  <c r="U73" i="164"/>
  <c r="M73" i="164"/>
  <c r="F73" i="164"/>
  <c r="X73" i="164" s="1"/>
  <c r="L73" i="164"/>
  <c r="X72" i="166"/>
  <c r="Z72" i="166" s="1"/>
  <c r="AA72" i="166"/>
  <c r="X70" i="166"/>
  <c r="Z70" i="166" s="1"/>
  <c r="BS67" i="15"/>
  <c r="BS65" i="15"/>
  <c r="BS51" i="15"/>
  <c r="P73" i="165" l="1"/>
  <c r="P73" i="166" s="1"/>
  <c r="Q64" i="164"/>
  <c r="T64" i="164" s="1"/>
  <c r="K73" i="164"/>
  <c r="N73" i="164" s="1"/>
  <c r="Q73" i="164" s="1"/>
  <c r="E79" i="161"/>
  <c r="T73" i="164" l="1"/>
  <c r="W79" i="166"/>
  <c r="Y79" i="166" s="1"/>
  <c r="BQ67" i="15"/>
  <c r="BQ58" i="15"/>
  <c r="BQ55" i="15"/>
  <c r="BQ60" i="15"/>
  <c r="BQ59" i="15"/>
  <c r="BQ56" i="15"/>
  <c r="D65" i="14"/>
  <c r="BQ65" i="15"/>
  <c r="BQ47" i="15"/>
  <c r="BQ50" i="15"/>
  <c r="BQ51" i="15"/>
  <c r="U57" i="2"/>
  <c r="F57" i="2"/>
  <c r="S36" i="2"/>
  <c r="G57" i="2"/>
  <c r="K36" i="2"/>
  <c r="M57" i="2"/>
  <c r="L57" i="2"/>
  <c r="Q57" i="2"/>
  <c r="P57" i="2"/>
  <c r="R35" i="3"/>
  <c r="P35" i="2"/>
  <c r="V65" i="2"/>
  <c r="P57" i="3"/>
  <c r="E35" i="2"/>
  <c r="E57" i="2"/>
  <c r="E36" i="2"/>
  <c r="N36" i="2"/>
  <c r="S35" i="2"/>
  <c r="I35" i="2"/>
  <c r="J35" i="2"/>
  <c r="R57" i="2"/>
  <c r="V36" i="2"/>
  <c r="Q35" i="2"/>
  <c r="R36" i="2"/>
  <c r="H36" i="2"/>
  <c r="R36" i="3"/>
  <c r="T36" i="2"/>
  <c r="U36" i="2"/>
  <c r="L36" i="2"/>
  <c r="U65" i="2"/>
  <c r="R35" i="2"/>
  <c r="N35" i="2"/>
  <c r="I36" i="2"/>
  <c r="T57" i="2"/>
  <c r="S65" i="2"/>
  <c r="R65" i="2"/>
  <c r="P35" i="3"/>
  <c r="G35" i="2"/>
  <c r="U35" i="2"/>
  <c r="J36" i="2"/>
  <c r="P36" i="3"/>
  <c r="M35" i="2"/>
  <c r="K57" i="2"/>
  <c r="T65" i="2"/>
  <c r="H57" i="2"/>
  <c r="P65" i="2"/>
  <c r="I57" i="2"/>
  <c r="F36" i="2"/>
  <c r="H35" i="2"/>
  <c r="F35" i="2"/>
  <c r="M36" i="2"/>
  <c r="K35" i="2"/>
  <c r="Q36" i="2"/>
  <c r="G36" i="2"/>
  <c r="S57" i="2"/>
  <c r="L35" i="2"/>
  <c r="V57" i="2"/>
  <c r="V35" i="2"/>
  <c r="P36" i="2"/>
  <c r="N57" i="2"/>
  <c r="Q65" i="2"/>
  <c r="T35" i="2"/>
  <c r="R57" i="3"/>
  <c r="J57" i="2"/>
  <c r="P48" i="3"/>
  <c r="H48" i="2"/>
  <c r="R48" i="3"/>
  <c r="J48" i="2"/>
  <c r="P48" i="2"/>
  <c r="M48" i="2"/>
  <c r="N48" i="2"/>
  <c r="E48" i="2"/>
  <c r="U48" i="2"/>
  <c r="T48" i="2"/>
  <c r="I48" i="2"/>
  <c r="V48" i="2"/>
  <c r="Q48" i="2"/>
  <c r="S48" i="2"/>
  <c r="K48" i="2"/>
  <c r="L48" i="2"/>
  <c r="R48" i="2"/>
  <c r="G48" i="2"/>
  <c r="F48" i="2"/>
  <c r="R42" i="2"/>
  <c r="Q41" i="2"/>
  <c r="J44" i="2"/>
  <c r="G42" i="2"/>
  <c r="V42" i="2"/>
  <c r="E42" i="2"/>
  <c r="V41" i="2"/>
  <c r="S44" i="2"/>
  <c r="U44" i="2"/>
  <c r="R41" i="3"/>
  <c r="K41" i="2"/>
  <c r="P42" i="3"/>
  <c r="T42" i="2"/>
  <c r="U41" i="2"/>
  <c r="Q42" i="2"/>
  <c r="K44" i="2"/>
  <c r="N42" i="2"/>
  <c r="Q44" i="2"/>
  <c r="I42" i="2"/>
  <c r="L42" i="2"/>
  <c r="M44" i="2"/>
  <c r="E41" i="2"/>
  <c r="J42" i="2"/>
  <c r="R41" i="2"/>
  <c r="R44" i="2"/>
  <c r="H44" i="2"/>
  <c r="N41" i="2"/>
  <c r="P44" i="3"/>
  <c r="J41" i="2"/>
  <c r="G41" i="2"/>
  <c r="F42" i="2"/>
  <c r="L41" i="2"/>
  <c r="F44" i="2"/>
  <c r="H41" i="2"/>
  <c r="N44" i="2"/>
  <c r="K42" i="2"/>
  <c r="I44" i="2"/>
  <c r="S41" i="2"/>
  <c r="I41" i="2"/>
  <c r="E44" i="2"/>
  <c r="P42" i="2"/>
  <c r="P44" i="2"/>
  <c r="L44" i="2"/>
  <c r="M41" i="2"/>
  <c r="U42" i="2"/>
  <c r="R44" i="3"/>
  <c r="M42" i="2"/>
  <c r="S42" i="2"/>
  <c r="F41" i="2"/>
  <c r="H42" i="2"/>
  <c r="P41" i="2"/>
  <c r="G44" i="2"/>
  <c r="P41" i="3"/>
  <c r="T41" i="2"/>
  <c r="V44" i="2"/>
  <c r="R42" i="3"/>
  <c r="T44" i="2"/>
  <c r="G49" i="2"/>
  <c r="R49" i="2"/>
  <c r="I49" i="2"/>
  <c r="L49" i="2"/>
  <c r="E49" i="2"/>
  <c r="V49" i="2"/>
  <c r="M49" i="2"/>
  <c r="Q49" i="2"/>
  <c r="N49" i="2"/>
  <c r="K49" i="2"/>
  <c r="R49" i="3"/>
  <c r="T49" i="2"/>
  <c r="S49" i="2"/>
  <c r="P49" i="3"/>
  <c r="H49" i="2"/>
  <c r="P49" i="2"/>
  <c r="F49" i="2"/>
  <c r="U49" i="2"/>
  <c r="J49" i="2"/>
  <c r="V28" i="2"/>
  <c r="F28" i="2"/>
  <c r="S28" i="2"/>
  <c r="T28" i="2"/>
  <c r="R28" i="3"/>
  <c r="G28" i="2"/>
  <c r="P28" i="2"/>
  <c r="H28" i="2"/>
  <c r="P28" i="3"/>
  <c r="K28" i="2"/>
  <c r="Q28" i="2"/>
  <c r="M28" i="2"/>
  <c r="I28" i="2"/>
  <c r="U28" i="2"/>
  <c r="J28" i="2"/>
  <c r="N28" i="2"/>
  <c r="R28" i="2"/>
  <c r="E28" i="2"/>
  <c r="L28" i="2"/>
  <c r="K45" i="2"/>
  <c r="P45" i="2"/>
  <c r="F45" i="2"/>
  <c r="N45" i="2"/>
  <c r="P45" i="3"/>
  <c r="S45" i="2"/>
  <c r="J45" i="2"/>
  <c r="V45" i="2"/>
  <c r="R45" i="2"/>
  <c r="E45" i="2"/>
  <c r="M45" i="2"/>
  <c r="Q45" i="2"/>
  <c r="I45" i="2"/>
  <c r="U45" i="2"/>
  <c r="G45" i="2"/>
  <c r="H45" i="2"/>
  <c r="R45" i="3"/>
  <c r="T45" i="2"/>
  <c r="L45" i="2"/>
  <c r="I46" i="2"/>
  <c r="P46" i="3"/>
  <c r="R46" i="3"/>
  <c r="T46" i="2"/>
  <c r="S46" i="2"/>
  <c r="L46" i="2"/>
  <c r="J46" i="2"/>
  <c r="P46" i="2"/>
  <c r="H46" i="2"/>
  <c r="K46" i="2"/>
  <c r="V46" i="2"/>
  <c r="N46" i="2"/>
  <c r="G46" i="2"/>
  <c r="M46" i="2"/>
  <c r="E46" i="2"/>
  <c r="R46" i="2"/>
  <c r="U46" i="2"/>
  <c r="Q46" i="2"/>
  <c r="F46" i="2"/>
  <c r="H20" i="2"/>
  <c r="F20" i="2"/>
  <c r="P24" i="3"/>
  <c r="E20" i="2"/>
  <c r="T20" i="2"/>
  <c r="M20" i="2"/>
  <c r="G20" i="2"/>
  <c r="K24" i="2"/>
  <c r="R20" i="2"/>
  <c r="R20" i="3"/>
  <c r="S24" i="2"/>
  <c r="P24" i="2"/>
  <c r="P20" i="2"/>
  <c r="K20" i="2"/>
  <c r="N24" i="2"/>
  <c r="V24" i="2"/>
  <c r="V20" i="2"/>
  <c r="F24" i="2"/>
  <c r="R24" i="3"/>
  <c r="S20" i="2"/>
  <c r="U20" i="2"/>
  <c r="I20" i="2"/>
  <c r="L20" i="2"/>
  <c r="I24" i="2"/>
  <c r="G24" i="2"/>
  <c r="R24" i="2"/>
  <c r="E24" i="2"/>
  <c r="J24" i="2"/>
  <c r="N20" i="2"/>
  <c r="U24" i="2"/>
  <c r="Q24" i="2"/>
  <c r="H24" i="2"/>
  <c r="M24" i="2"/>
  <c r="Q20" i="2"/>
  <c r="L24" i="2"/>
  <c r="T24" i="2"/>
  <c r="J20" i="2"/>
  <c r="P20" i="3"/>
  <c r="AL36" i="3" l="1"/>
  <c r="AM36" i="3"/>
  <c r="AL24" i="3"/>
  <c r="AM28" i="3"/>
  <c r="BG42" i="2"/>
  <c r="AV45" i="2"/>
  <c r="BB49" i="2"/>
  <c r="AU57" i="2"/>
  <c r="AS41" i="2"/>
  <c r="AP42" i="2"/>
  <c r="BB20" i="2"/>
  <c r="AJ45" i="3"/>
  <c r="AK45" i="3" s="1"/>
  <c r="AT49" i="2"/>
  <c r="AJ57" i="3"/>
  <c r="AK57" i="3" s="1"/>
  <c r="BE35" i="2"/>
  <c r="BG20" i="2"/>
  <c r="BB65" i="2"/>
  <c r="BG44" i="2"/>
  <c r="AR45" i="2"/>
  <c r="AY57" i="2"/>
  <c r="AU24" i="2"/>
  <c r="BF20" i="2"/>
  <c r="BA36" i="2"/>
  <c r="BG35" i="2"/>
  <c r="BA41" i="2"/>
  <c r="BG57" i="2"/>
  <c r="AT45" i="2"/>
  <c r="AW35" i="2"/>
  <c r="AQ45" i="2"/>
  <c r="BD44" i="2"/>
  <c r="AL28" i="3"/>
  <c r="AP44" i="2"/>
  <c r="BD57" i="2"/>
  <c r="AR36" i="2"/>
  <c r="AU42" i="2"/>
  <c r="BB36" i="2"/>
  <c r="BF45" i="2"/>
  <c r="AL20" i="3"/>
  <c r="AL48" i="3"/>
  <c r="AU28" i="2"/>
  <c r="AU44" i="2"/>
  <c r="AV35" i="2"/>
  <c r="AW49" i="2"/>
  <c r="BE44" i="2"/>
  <c r="AP20" i="2"/>
  <c r="BF28" i="2"/>
  <c r="AV24" i="2"/>
  <c r="AQ24" i="2"/>
  <c r="AW46" i="2"/>
  <c r="AV41" i="2"/>
  <c r="BB41" i="2"/>
  <c r="AV49" i="2"/>
  <c r="AV20" i="2"/>
  <c r="BD48" i="2"/>
  <c r="AX36" i="2"/>
  <c r="BC44" i="2"/>
  <c r="AS45" i="2"/>
  <c r="BD41" i="2"/>
  <c r="AX41" i="2"/>
  <c r="BC49" i="2"/>
  <c r="AU49" i="2"/>
  <c r="BE49" i="2"/>
  <c r="AQ35" i="2"/>
  <c r="AS35" i="2"/>
  <c r="AL57" i="3"/>
  <c r="AQ36" i="2"/>
  <c r="AM48" i="3"/>
  <c r="AT57" i="2"/>
  <c r="BD20" i="2"/>
  <c r="BB28" i="2"/>
  <c r="BA65" i="2"/>
  <c r="D65" i="17" s="1"/>
  <c r="E65" i="17" s="1"/>
  <c r="G65" i="17" s="1"/>
  <c r="H65" i="17" s="1"/>
  <c r="I65" i="17" s="1"/>
  <c r="AP45" i="2"/>
  <c r="AW44" i="2"/>
  <c r="AV46" i="2"/>
  <c r="AS57" i="2"/>
  <c r="BA46" i="2"/>
  <c r="BB24" i="2"/>
  <c r="BE65" i="2"/>
  <c r="AV57" i="2"/>
  <c r="AM35" i="3"/>
  <c r="BG24" i="2"/>
  <c r="AS46" i="2"/>
  <c r="AX35" i="2"/>
  <c r="BD49" i="2"/>
  <c r="BE24" i="2"/>
  <c r="AU36" i="2"/>
  <c r="BF35" i="2"/>
  <c r="AR20" i="2"/>
  <c r="AT28" i="2"/>
  <c r="AM44" i="3"/>
  <c r="BB46" i="2"/>
  <c r="AR24" i="2"/>
  <c r="AR35" i="2"/>
  <c r="AY24" i="2"/>
  <c r="BC65" i="2"/>
  <c r="E65" i="19" s="1"/>
  <c r="J65" i="19" s="1"/>
  <c r="BE20" i="2"/>
  <c r="AM20" i="3"/>
  <c r="BA24" i="2"/>
  <c r="AL41" i="3"/>
  <c r="AL42" i="3"/>
  <c r="BC24" i="2"/>
  <c r="AW48" i="2"/>
  <c r="AM57" i="3"/>
  <c r="BB48" i="2"/>
  <c r="BD46" i="2"/>
  <c r="AR48" i="2"/>
  <c r="AX28" i="2"/>
  <c r="BF46" i="2"/>
  <c r="BD42" i="2"/>
  <c r="AV48" i="2"/>
  <c r="BD65" i="2"/>
  <c r="F65" i="19" s="1"/>
  <c r="K65" i="19" s="1"/>
  <c r="AP41" i="2"/>
  <c r="AS24" i="2"/>
  <c r="AM41" i="3"/>
  <c r="BE57" i="2"/>
  <c r="AM49" i="3"/>
  <c r="BF42" i="2"/>
  <c r="AT42" i="2"/>
  <c r="AT36" i="2"/>
  <c r="BG41" i="2"/>
  <c r="AY35" i="2"/>
  <c r="AS49" i="2"/>
  <c r="AJ24" i="3"/>
  <c r="AK24" i="3" s="1"/>
  <c r="BG49" i="2"/>
  <c r="BE45" i="2"/>
  <c r="AY41" i="2"/>
  <c r="AT44" i="2"/>
  <c r="AY28" i="2"/>
  <c r="BC35" i="2"/>
  <c r="AQ20" i="2"/>
  <c r="BA49" i="2"/>
  <c r="BF65" i="2"/>
  <c r="AJ41" i="3"/>
  <c r="AK41" i="3" s="1"/>
  <c r="AR41" i="2"/>
  <c r="AW36" i="2"/>
  <c r="BD24" i="2"/>
  <c r="AQ28" i="2"/>
  <c r="BF36" i="2"/>
  <c r="AU46" i="2"/>
  <c r="BF41" i="2"/>
  <c r="BE36" i="2"/>
  <c r="AP46" i="2"/>
  <c r="AP48" i="2"/>
  <c r="AJ28" i="3"/>
  <c r="AK28" i="3" s="1"/>
  <c r="BA28" i="2"/>
  <c r="AJ36" i="3"/>
  <c r="AK36" i="3" s="1"/>
  <c r="AR46" i="2"/>
  <c r="BC48" i="2"/>
  <c r="AJ44" i="3"/>
  <c r="AK44" i="3" s="1"/>
  <c r="AX24" i="2"/>
  <c r="BA48" i="2"/>
  <c r="AS48" i="2"/>
  <c r="AS36" i="2"/>
  <c r="AW20" i="2"/>
  <c r="BB45" i="2"/>
  <c r="AT24" i="2"/>
  <c r="BC36" i="2"/>
  <c r="AJ48" i="3"/>
  <c r="AK48" i="3" s="1"/>
  <c r="BB35" i="2"/>
  <c r="AR44" i="2"/>
  <c r="AW42" i="2"/>
  <c r="AQ46" i="2"/>
  <c r="BA45" i="2"/>
  <c r="AV42" i="2"/>
  <c r="BG36" i="2"/>
  <c r="BC57" i="2"/>
  <c r="AU35" i="2"/>
  <c r="AP24" i="2"/>
  <c r="AU48" i="2"/>
  <c r="AX45" i="2"/>
  <c r="BE46" i="2"/>
  <c r="BB42" i="2"/>
  <c r="AX42" i="2"/>
  <c r="BC45" i="2"/>
  <c r="BE28" i="2"/>
  <c r="BD28" i="2"/>
  <c r="AT35" i="2"/>
  <c r="AV44" i="2"/>
  <c r="BD35" i="2"/>
  <c r="AY49" i="2"/>
  <c r="AM45" i="3"/>
  <c r="AY36" i="2"/>
  <c r="AM46" i="3"/>
  <c r="AT48" i="2"/>
  <c r="AY20" i="2"/>
  <c r="BC42" i="2"/>
  <c r="AP36" i="2"/>
  <c r="BD45" i="2"/>
  <c r="AP57" i="2"/>
  <c r="AT46" i="2"/>
  <c r="AQ48" i="2"/>
  <c r="AQ41" i="2"/>
  <c r="AW28" i="2"/>
  <c r="AR42" i="2"/>
  <c r="AP35" i="2"/>
  <c r="BB44" i="2"/>
  <c r="BC41" i="2"/>
  <c r="BG65" i="2"/>
  <c r="D65" i="19" s="1"/>
  <c r="H65" i="19" s="1"/>
  <c r="AQ42" i="2"/>
  <c r="AJ42" i="3"/>
  <c r="AK42" i="3" s="1"/>
  <c r="AX48" i="2"/>
  <c r="BF44" i="2"/>
  <c r="AJ49" i="3"/>
  <c r="AK49" i="3" s="1"/>
  <c r="BG46" i="2"/>
  <c r="AP28" i="2"/>
  <c r="AS42" i="2"/>
  <c r="BA35" i="2"/>
  <c r="BF48" i="2"/>
  <c r="AW45" i="2"/>
  <c r="AY48" i="2"/>
  <c r="AY45" i="2"/>
  <c r="AJ35" i="3"/>
  <c r="AK35" i="3" s="1"/>
  <c r="BA44" i="2"/>
  <c r="AY42" i="2"/>
  <c r="BA57" i="2"/>
  <c r="BB57" i="2"/>
  <c r="AS28" i="2"/>
  <c r="BE48" i="2"/>
  <c r="AM42" i="3"/>
  <c r="AV28" i="2"/>
  <c r="AW57" i="2"/>
  <c r="BF24" i="2"/>
  <c r="AX46" i="2"/>
  <c r="AR28" i="2"/>
  <c r="AY44" i="2"/>
  <c r="BG45" i="2"/>
  <c r="AJ46" i="3"/>
  <c r="AK46" i="3" s="1"/>
  <c r="AX57" i="2"/>
  <c r="BG48" i="2"/>
  <c r="BF49" i="2"/>
  <c r="AV36" i="2"/>
  <c r="AY46" i="2"/>
  <c r="AQ44" i="2"/>
  <c r="AR57" i="2"/>
  <c r="AU41" i="2"/>
  <c r="AX49" i="2"/>
  <c r="AP49" i="2"/>
  <c r="BE41" i="2"/>
  <c r="BC46" i="2"/>
  <c r="BC28" i="2"/>
  <c r="BA42" i="2"/>
  <c r="AJ20" i="3"/>
  <c r="AK20" i="3" s="1"/>
  <c r="BD36" i="2"/>
  <c r="BG28" i="2"/>
  <c r="AX44" i="2"/>
  <c r="AT41" i="2"/>
  <c r="AW24" i="2"/>
  <c r="AQ49" i="2"/>
  <c r="BA20" i="2"/>
  <c r="BE42" i="2"/>
  <c r="AS20" i="2"/>
  <c r="AS44" i="2"/>
  <c r="AX20" i="2"/>
  <c r="AR49" i="2"/>
  <c r="AU45" i="2"/>
  <c r="AQ57" i="2"/>
  <c r="BF57" i="2"/>
  <c r="BC20" i="2"/>
  <c r="AW41" i="2"/>
  <c r="AT20" i="2"/>
  <c r="AU20" i="2"/>
  <c r="AL46" i="3"/>
  <c r="AL49" i="3"/>
  <c r="AL45" i="3"/>
  <c r="I46" i="3" l="1"/>
  <c r="AG46" i="3" s="1"/>
  <c r="AA46" i="3" s="1"/>
  <c r="I20" i="3"/>
  <c r="AG20" i="3" s="1"/>
  <c r="AA20" i="3" s="1"/>
  <c r="I24" i="3"/>
  <c r="AG24" i="3" s="1"/>
  <c r="AA24" i="3" s="1"/>
  <c r="F65" i="17"/>
  <c r="AG41" i="3"/>
  <c r="AA41" i="3" s="1"/>
  <c r="AG57" i="3"/>
  <c r="AA57" i="3" s="1"/>
  <c r="AG35" i="3"/>
  <c r="AA35" i="3" s="1"/>
  <c r="AG44" i="3"/>
  <c r="AA44" i="3" s="1"/>
  <c r="AG28" i="3"/>
  <c r="AA28" i="3" s="1"/>
  <c r="AG45" i="3"/>
  <c r="AA45" i="3" s="1"/>
  <c r="AG42" i="3"/>
  <c r="AA42" i="3" s="1"/>
  <c r="AG36" i="3"/>
  <c r="AA36" i="3" s="1"/>
  <c r="AG48" i="3"/>
  <c r="AA48" i="3" s="1"/>
  <c r="AG49" i="3"/>
  <c r="AA49" i="3" s="1"/>
  <c r="AL35" i="3"/>
  <c r="AL44" i="3"/>
  <c r="AM24" i="3"/>
  <c r="L46" i="3" l="1"/>
  <c r="X46" i="3"/>
  <c r="C46" i="4" s="1"/>
  <c r="X20" i="3"/>
  <c r="C20" i="4" s="1"/>
  <c r="L20" i="3"/>
  <c r="L24" i="3"/>
  <c r="X24" i="3"/>
  <c r="AO36" i="3"/>
  <c r="AO45" i="3"/>
  <c r="AO35" i="3"/>
  <c r="C48" i="4"/>
  <c r="AO57" i="3"/>
  <c r="C49" i="4"/>
  <c r="AO42" i="3"/>
  <c r="AO44" i="3"/>
  <c r="AO41" i="3"/>
  <c r="E69" i="161"/>
  <c r="D55" i="14"/>
  <c r="D48" i="4" l="1"/>
  <c r="E48" i="4" s="1"/>
  <c r="F48" i="4" s="1"/>
  <c r="G48" i="4" s="1"/>
  <c r="H48" i="4" s="1"/>
  <c r="I48" i="4" s="1"/>
  <c r="K48" i="4" s="1"/>
  <c r="M48" i="4" s="1"/>
  <c r="P48" i="4"/>
  <c r="D49" i="4"/>
  <c r="E49" i="4" s="1"/>
  <c r="F49" i="4" s="1"/>
  <c r="G49" i="4" s="1"/>
  <c r="H49" i="4" s="1"/>
  <c r="I49" i="4" s="1"/>
  <c r="K49" i="4" s="1"/>
  <c r="M49" i="4" s="1"/>
  <c r="P49" i="4"/>
  <c r="N46" i="4"/>
  <c r="O46" i="4" s="1"/>
  <c r="P46" i="4"/>
  <c r="C35" i="4"/>
  <c r="C45" i="4"/>
  <c r="C20" i="16"/>
  <c r="C49" i="16"/>
  <c r="AO49" i="3"/>
  <c r="C42" i="4"/>
  <c r="AO20" i="3"/>
  <c r="D20" i="4"/>
  <c r="E20" i="4" s="1"/>
  <c r="F20" i="4" s="1"/>
  <c r="G20" i="4" s="1"/>
  <c r="H20" i="4" s="1"/>
  <c r="I20" i="4" s="1"/>
  <c r="J20" i="4" s="1"/>
  <c r="L20" i="4" s="1"/>
  <c r="C41" i="4"/>
  <c r="C36" i="4"/>
  <c r="D46" i="4"/>
  <c r="E46" i="4" s="1"/>
  <c r="F46" i="4" s="1"/>
  <c r="G46" i="4" s="1"/>
  <c r="H46" i="4" s="1"/>
  <c r="I46" i="4" s="1"/>
  <c r="K46" i="4" s="1"/>
  <c r="M46" i="4" s="1"/>
  <c r="AO48" i="3"/>
  <c r="C48" i="16"/>
  <c r="C46" i="16"/>
  <c r="AO46" i="3"/>
  <c r="AO24" i="3"/>
  <c r="C24" i="4"/>
  <c r="AO28" i="3"/>
  <c r="C28" i="4"/>
  <c r="C57" i="4"/>
  <c r="C44" i="4"/>
  <c r="D49" i="7" l="1"/>
  <c r="D49" i="177" s="1"/>
  <c r="D46" i="7"/>
  <c r="D46" i="177" s="1"/>
  <c r="J48" i="4"/>
  <c r="L48" i="4" s="1"/>
  <c r="J49" i="4"/>
  <c r="L49" i="4" s="1"/>
  <c r="N49" i="4" s="1"/>
  <c r="O49" i="4" s="1"/>
  <c r="D48" i="16"/>
  <c r="E48" i="16" s="1"/>
  <c r="F48" i="16"/>
  <c r="D49" i="16"/>
  <c r="E49" i="16" s="1"/>
  <c r="F49" i="16"/>
  <c r="D46" i="16"/>
  <c r="E46" i="16" s="1"/>
  <c r="F46" i="16"/>
  <c r="D20" i="16"/>
  <c r="E20" i="16" s="1"/>
  <c r="D28" i="4"/>
  <c r="E28" i="4" s="1"/>
  <c r="F28" i="4" s="1"/>
  <c r="G28" i="4" s="1"/>
  <c r="H28" i="4" s="1"/>
  <c r="I28" i="4" s="1"/>
  <c r="J28" i="4" s="1"/>
  <c r="L28" i="4" s="1"/>
  <c r="P42" i="4"/>
  <c r="D44" i="4"/>
  <c r="E44" i="4" s="1"/>
  <c r="F44" i="4" s="1"/>
  <c r="G44" i="4" s="1"/>
  <c r="H44" i="4" s="1"/>
  <c r="I44" i="4" s="1"/>
  <c r="J44" i="4" s="1"/>
  <c r="L44" i="4" s="1"/>
  <c r="D45" i="4"/>
  <c r="E45" i="4" s="1"/>
  <c r="F45" i="4" s="1"/>
  <c r="G45" i="4" s="1"/>
  <c r="H45" i="4" s="1"/>
  <c r="I45" i="4" s="1"/>
  <c r="J45" i="4" s="1"/>
  <c r="L45" i="4" s="1"/>
  <c r="N57" i="4"/>
  <c r="O57" i="4" s="1"/>
  <c r="P57" i="4"/>
  <c r="P36" i="4"/>
  <c r="C35" i="16"/>
  <c r="D35" i="16" s="1"/>
  <c r="E35" i="16" s="1"/>
  <c r="P35" i="4"/>
  <c r="N48" i="4"/>
  <c r="C45" i="16"/>
  <c r="N35" i="4"/>
  <c r="O35" i="4" s="1"/>
  <c r="D35" i="4"/>
  <c r="E35" i="4" s="1"/>
  <c r="F35" i="4" s="1"/>
  <c r="G35" i="4" s="1"/>
  <c r="H35" i="4" s="1"/>
  <c r="I35" i="4" s="1"/>
  <c r="J35" i="4" s="1"/>
  <c r="L35" i="4" s="1"/>
  <c r="C49" i="17"/>
  <c r="D42" i="4"/>
  <c r="E42" i="4" s="1"/>
  <c r="F42" i="4" s="1"/>
  <c r="G42" i="4" s="1"/>
  <c r="H42" i="4" s="1"/>
  <c r="I42" i="4" s="1"/>
  <c r="J42" i="4" s="1"/>
  <c r="L42" i="4" s="1"/>
  <c r="N42" i="4" s="1"/>
  <c r="O42" i="4" s="1"/>
  <c r="C20" i="17"/>
  <c r="C42" i="16"/>
  <c r="N36" i="4"/>
  <c r="O36" i="4" s="1"/>
  <c r="C36" i="16"/>
  <c r="K20" i="4"/>
  <c r="M20" i="4" s="1"/>
  <c r="D36" i="4"/>
  <c r="E36" i="4" s="1"/>
  <c r="F36" i="4" s="1"/>
  <c r="G36" i="4" s="1"/>
  <c r="H36" i="4" s="1"/>
  <c r="I36" i="4" s="1"/>
  <c r="J36" i="4" s="1"/>
  <c r="L36" i="4" s="1"/>
  <c r="C28" i="16"/>
  <c r="C57" i="16"/>
  <c r="C46" i="17"/>
  <c r="J46" i="4"/>
  <c r="L46" i="4" s="1"/>
  <c r="C41" i="16"/>
  <c r="C48" i="17"/>
  <c r="J48" i="17" s="1"/>
  <c r="D41" i="4"/>
  <c r="E41" i="4" s="1"/>
  <c r="F41" i="4" s="1"/>
  <c r="G41" i="4" s="1"/>
  <c r="H41" i="4" s="1"/>
  <c r="I41" i="4" s="1"/>
  <c r="J41" i="4" s="1"/>
  <c r="L41" i="4" s="1"/>
  <c r="C24" i="16"/>
  <c r="D24" i="4"/>
  <c r="E24" i="4" s="1"/>
  <c r="F24" i="4" s="1"/>
  <c r="G24" i="4" s="1"/>
  <c r="H24" i="4" s="1"/>
  <c r="I24" i="4" s="1"/>
  <c r="J24" i="4" s="1"/>
  <c r="L24" i="4" s="1"/>
  <c r="C44" i="16"/>
  <c r="D57" i="4"/>
  <c r="E57" i="4" s="1"/>
  <c r="F57" i="4" s="1"/>
  <c r="G57" i="4" s="1"/>
  <c r="H57" i="4" s="1"/>
  <c r="I57" i="4" s="1"/>
  <c r="J57" i="4" s="1"/>
  <c r="L57" i="4" s="1"/>
  <c r="E73" i="161"/>
  <c r="E70" i="161"/>
  <c r="D59" i="14"/>
  <c r="D56" i="14"/>
  <c r="N20" i="4" l="1"/>
  <c r="D35" i="7"/>
  <c r="D35" i="177" s="1"/>
  <c r="E49" i="7"/>
  <c r="E49" i="177" s="1"/>
  <c r="D42" i="7"/>
  <c r="D42" i="177" s="1"/>
  <c r="D36" i="7"/>
  <c r="D36" i="177" s="1"/>
  <c r="E46" i="7"/>
  <c r="E46" i="177" s="1"/>
  <c r="D57" i="7"/>
  <c r="D57" i="177" s="1"/>
  <c r="K28" i="4"/>
  <c r="M28" i="4" s="1"/>
  <c r="N28" i="4" s="1"/>
  <c r="O28" i="4" s="1"/>
  <c r="K45" i="4"/>
  <c r="K44" i="4"/>
  <c r="D20" i="17"/>
  <c r="E20" i="17" s="1"/>
  <c r="C46" i="19"/>
  <c r="O46" i="19" s="1"/>
  <c r="J46" i="17"/>
  <c r="C49" i="19"/>
  <c r="O49" i="19" s="1"/>
  <c r="J49" i="17"/>
  <c r="C41" i="17"/>
  <c r="C41" i="19" s="1"/>
  <c r="D28" i="16"/>
  <c r="E28" i="16" s="1"/>
  <c r="D45" i="16"/>
  <c r="E45" i="16" s="1"/>
  <c r="C35" i="17"/>
  <c r="J35" i="17" s="1"/>
  <c r="F35" i="16"/>
  <c r="F42" i="16"/>
  <c r="D57" i="16"/>
  <c r="E57" i="16" s="1"/>
  <c r="F57" i="16"/>
  <c r="D36" i="16"/>
  <c r="E36" i="16" s="1"/>
  <c r="F36" i="16"/>
  <c r="O48" i="4"/>
  <c r="K35" i="4"/>
  <c r="M35" i="4" s="1"/>
  <c r="C45" i="17"/>
  <c r="D42" i="16"/>
  <c r="E42" i="16" s="1"/>
  <c r="D46" i="17"/>
  <c r="E46" i="17" s="1"/>
  <c r="F46" i="17" s="1"/>
  <c r="C36" i="17"/>
  <c r="C20" i="19"/>
  <c r="C42" i="17"/>
  <c r="D49" i="17"/>
  <c r="E49" i="17" s="1"/>
  <c r="F49" i="17" s="1"/>
  <c r="K42" i="4"/>
  <c r="M42" i="4" s="1"/>
  <c r="C28" i="17"/>
  <c r="D48" i="17"/>
  <c r="E48" i="17" s="1"/>
  <c r="C48" i="19"/>
  <c r="D44" i="16"/>
  <c r="E44" i="16" s="1"/>
  <c r="C44" i="17"/>
  <c r="C57" i="17"/>
  <c r="K36" i="4"/>
  <c r="M36" i="4" s="1"/>
  <c r="K57" i="4"/>
  <c r="M57" i="4" s="1"/>
  <c r="K41" i="4"/>
  <c r="M41" i="4" s="1"/>
  <c r="D41" i="16"/>
  <c r="E41" i="16" s="1"/>
  <c r="D24" i="16"/>
  <c r="E24" i="16" s="1"/>
  <c r="C24" i="17"/>
  <c r="K24" i="4"/>
  <c r="M24" i="4" s="1"/>
  <c r="W73" i="166"/>
  <c r="Y73" i="166" s="1"/>
  <c r="W70" i="166"/>
  <c r="Y70" i="166" s="1"/>
  <c r="E72" i="161"/>
  <c r="E69" i="7"/>
  <c r="E69" i="177" s="1"/>
  <c r="E72" i="7"/>
  <c r="E72" i="177" s="1"/>
  <c r="E73" i="7"/>
  <c r="E73" i="177" s="1"/>
  <c r="E75" i="7"/>
  <c r="E75" i="177" s="1"/>
  <c r="E71" i="7"/>
  <c r="E71" i="177" s="1"/>
  <c r="Z65" i="156"/>
  <c r="D58" i="14"/>
  <c r="O20" i="4" l="1"/>
  <c r="M45" i="4"/>
  <c r="N45" i="4" s="1"/>
  <c r="M44" i="4"/>
  <c r="N44" i="4" s="1"/>
  <c r="N41" i="4"/>
  <c r="E57" i="7"/>
  <c r="E57" i="177" s="1"/>
  <c r="E35" i="7"/>
  <c r="E35" i="177" s="1"/>
  <c r="G49" i="7"/>
  <c r="G49" i="177" s="1"/>
  <c r="F46" i="7"/>
  <c r="F46" i="177" s="1"/>
  <c r="E36" i="7"/>
  <c r="E36" i="177" s="1"/>
  <c r="G46" i="7"/>
  <c r="G46" i="177" s="1"/>
  <c r="E42" i="7"/>
  <c r="E42" i="177" s="1"/>
  <c r="F49" i="7"/>
  <c r="F49" i="177" s="1"/>
  <c r="M46" i="19" a="1"/>
  <c r="M46" i="19" s="1"/>
  <c r="N46" i="19" s="1"/>
  <c r="D41" i="17"/>
  <c r="E41" i="17" s="1"/>
  <c r="F41" i="17" s="1"/>
  <c r="I46" i="19"/>
  <c r="E46" i="19"/>
  <c r="J46" i="19" s="1"/>
  <c r="D46" i="19"/>
  <c r="H46" i="19" s="1"/>
  <c r="L46" i="19"/>
  <c r="C46" i="20"/>
  <c r="C46" i="21" s="1"/>
  <c r="F46" i="19"/>
  <c r="K46" i="19" s="1"/>
  <c r="G46" i="19"/>
  <c r="M49" i="19" a="1"/>
  <c r="M49" i="19" s="1"/>
  <c r="N49" i="19" s="1"/>
  <c r="F20" i="17"/>
  <c r="G20" i="17" s="1"/>
  <c r="H20" i="17" s="1"/>
  <c r="I49" i="19"/>
  <c r="D49" i="19"/>
  <c r="H49" i="19" s="1"/>
  <c r="C49" i="20"/>
  <c r="G49" i="20" s="1"/>
  <c r="G49" i="19"/>
  <c r="F49" i="19"/>
  <c r="K49" i="19" s="1"/>
  <c r="E49" i="19"/>
  <c r="J49" i="19" s="1"/>
  <c r="L49" i="19"/>
  <c r="G48" i="19"/>
  <c r="O48" i="19"/>
  <c r="D45" i="17"/>
  <c r="E45" i="17" s="1"/>
  <c r="F45" i="17" s="1"/>
  <c r="C44" i="19"/>
  <c r="C28" i="19"/>
  <c r="F28" i="19" s="1"/>
  <c r="K28" i="19" s="1"/>
  <c r="C24" i="19"/>
  <c r="D24" i="19" s="1"/>
  <c r="H24" i="19" s="1"/>
  <c r="C57" i="19"/>
  <c r="M57" i="19" s="1" a="1"/>
  <c r="M57" i="19" s="1"/>
  <c r="N57" i="19" s="1"/>
  <c r="J57" i="17"/>
  <c r="C42" i="19"/>
  <c r="O42" i="19" s="1"/>
  <c r="J42" i="17"/>
  <c r="J36" i="17"/>
  <c r="D35" i="17"/>
  <c r="E35" i="17" s="1"/>
  <c r="F35" i="7"/>
  <c r="F35" i="177" s="1"/>
  <c r="C35" i="19"/>
  <c r="O35" i="19" s="1"/>
  <c r="E20" i="19"/>
  <c r="J20" i="19" s="1"/>
  <c r="G20" i="19"/>
  <c r="I41" i="19"/>
  <c r="G41" i="19"/>
  <c r="N24" i="4"/>
  <c r="C45" i="19"/>
  <c r="I20" i="19"/>
  <c r="G46" i="17"/>
  <c r="H46" i="17" s="1"/>
  <c r="I46" i="17" s="1"/>
  <c r="C20" i="20"/>
  <c r="F20" i="19"/>
  <c r="K20" i="19" s="1"/>
  <c r="C36" i="19"/>
  <c r="O36" i="19" s="1"/>
  <c r="D36" i="17"/>
  <c r="E36" i="17" s="1"/>
  <c r="F36" i="17" s="1"/>
  <c r="D20" i="19"/>
  <c r="H20" i="19" s="1"/>
  <c r="D28" i="17"/>
  <c r="E28" i="17" s="1"/>
  <c r="F28" i="17" s="1"/>
  <c r="D42" i="17"/>
  <c r="E42" i="17" s="1"/>
  <c r="G42" i="17" s="1"/>
  <c r="H42" i="17" s="1"/>
  <c r="I42" i="17" s="1"/>
  <c r="G49" i="17"/>
  <c r="H49" i="17" s="1"/>
  <c r="I49" i="17" s="1"/>
  <c r="E48" i="19"/>
  <c r="J48" i="19" s="1"/>
  <c r="D48" i="19"/>
  <c r="H48" i="19" s="1"/>
  <c r="F48" i="17"/>
  <c r="G48" i="17" s="1"/>
  <c r="H48" i="17" s="1"/>
  <c r="F48" i="19"/>
  <c r="K48" i="19" s="1"/>
  <c r="F41" i="19"/>
  <c r="K41" i="19" s="1"/>
  <c r="D44" i="17"/>
  <c r="E44" i="17" s="1"/>
  <c r="D41" i="19"/>
  <c r="H41" i="19" s="1"/>
  <c r="C48" i="20"/>
  <c r="G48" i="20" s="1"/>
  <c r="I48" i="19"/>
  <c r="C41" i="20"/>
  <c r="D57" i="17"/>
  <c r="E57" i="17" s="1"/>
  <c r="G57" i="17" s="1"/>
  <c r="H57" i="17" s="1"/>
  <c r="I57" i="17" s="1"/>
  <c r="E41" i="19"/>
  <c r="J41" i="19" s="1"/>
  <c r="D24" i="17"/>
  <c r="E24" i="17" s="1"/>
  <c r="W72" i="166"/>
  <c r="Y72" i="166" s="1"/>
  <c r="E74" i="161"/>
  <c r="D71" i="7"/>
  <c r="D71" i="177" s="1"/>
  <c r="D72" i="7"/>
  <c r="D72" i="177" s="1"/>
  <c r="D73" i="7"/>
  <c r="D73" i="177" s="1"/>
  <c r="D69" i="7"/>
  <c r="D69" i="177" s="1"/>
  <c r="D75" i="7"/>
  <c r="D75" i="177" s="1"/>
  <c r="G75" i="14"/>
  <c r="G72" i="14"/>
  <c r="G73" i="14"/>
  <c r="D60" i="14"/>
  <c r="I20" i="17" l="1"/>
  <c r="M20" i="19" a="1"/>
  <c r="M20" i="19" s="1"/>
  <c r="O45" i="4"/>
  <c r="O44" i="4"/>
  <c r="O41" i="4"/>
  <c r="F57" i="19"/>
  <c r="K57" i="19" s="1"/>
  <c r="D46" i="20"/>
  <c r="E46" i="20" s="1"/>
  <c r="F46" i="20" s="1"/>
  <c r="F42" i="7"/>
  <c r="F42" i="177" s="1"/>
  <c r="G42" i="7"/>
  <c r="G42" i="177" s="1"/>
  <c r="H46" i="21"/>
  <c r="I46" i="7" s="1"/>
  <c r="I46" i="177" s="1"/>
  <c r="C46" i="177"/>
  <c r="K46" i="177" s="1"/>
  <c r="F57" i="7"/>
  <c r="F57" i="177" s="1"/>
  <c r="H49" i="7"/>
  <c r="H49" i="177" s="1"/>
  <c r="F36" i="7"/>
  <c r="F36" i="177" s="1"/>
  <c r="G41" i="17"/>
  <c r="H41" i="17" s="1"/>
  <c r="I57" i="19"/>
  <c r="E57" i="19"/>
  <c r="J57" i="19" s="1"/>
  <c r="D57" i="19"/>
  <c r="H57" i="19" s="1"/>
  <c r="C57" i="20"/>
  <c r="C57" i="21" s="1"/>
  <c r="L57" i="19"/>
  <c r="D49" i="20"/>
  <c r="E49" i="20" s="1"/>
  <c r="F49" i="20" s="1"/>
  <c r="C49" i="21"/>
  <c r="C42" i="20"/>
  <c r="G42" i="20" s="1"/>
  <c r="G46" i="20"/>
  <c r="M42" i="19" a="1"/>
  <c r="M42" i="19" s="1"/>
  <c r="N42" i="19" s="1"/>
  <c r="I42" i="19"/>
  <c r="E42" i="19"/>
  <c r="J42" i="19" s="1"/>
  <c r="F42" i="19"/>
  <c r="K42" i="19" s="1"/>
  <c r="L42" i="19"/>
  <c r="D42" i="19"/>
  <c r="H42" i="19" s="1"/>
  <c r="I44" i="19"/>
  <c r="F44" i="19"/>
  <c r="K44" i="19" s="1"/>
  <c r="F24" i="19"/>
  <c r="K24" i="19" s="1"/>
  <c r="E44" i="19"/>
  <c r="J44" i="19" s="1"/>
  <c r="D44" i="19"/>
  <c r="H44" i="19" s="1"/>
  <c r="C24" i="20"/>
  <c r="D24" i="20" s="1"/>
  <c r="E24" i="20" s="1"/>
  <c r="F24" i="20" s="1"/>
  <c r="C44" i="20"/>
  <c r="E24" i="19"/>
  <c r="J24" i="19" s="1"/>
  <c r="I24" i="19"/>
  <c r="D28" i="19"/>
  <c r="H28" i="19" s="1"/>
  <c r="C28" i="20"/>
  <c r="C28" i="21" s="1"/>
  <c r="C28" i="177" s="1"/>
  <c r="G45" i="17"/>
  <c r="H45" i="17" s="1"/>
  <c r="I28" i="19"/>
  <c r="E28" i="19"/>
  <c r="J28" i="19" s="1"/>
  <c r="G28" i="19"/>
  <c r="G42" i="19"/>
  <c r="G24" i="19"/>
  <c r="D41" i="20"/>
  <c r="E41" i="20" s="1"/>
  <c r="F41" i="20" s="1"/>
  <c r="D20" i="20"/>
  <c r="E20" i="20" s="1"/>
  <c r="F20" i="20" s="1"/>
  <c r="G57" i="19"/>
  <c r="O57" i="19"/>
  <c r="G44" i="19"/>
  <c r="G35" i="19"/>
  <c r="I35" i="19"/>
  <c r="E35" i="19"/>
  <c r="J35" i="19" s="1"/>
  <c r="D35" i="19"/>
  <c r="H35" i="19" s="1"/>
  <c r="G35" i="7"/>
  <c r="G35" i="177" s="1"/>
  <c r="C35" i="20"/>
  <c r="G35" i="20" s="1"/>
  <c r="F35" i="19"/>
  <c r="K35" i="19" s="1"/>
  <c r="L35" i="19"/>
  <c r="M35" i="19" a="1"/>
  <c r="M35" i="19" s="1"/>
  <c r="N35" i="19" s="1"/>
  <c r="F35" i="17"/>
  <c r="G35" i="17"/>
  <c r="H35" i="17" s="1"/>
  <c r="I35" i="17" s="1"/>
  <c r="D45" i="19"/>
  <c r="H45" i="19" s="1"/>
  <c r="G45" i="19"/>
  <c r="F36" i="19"/>
  <c r="K36" i="19" s="1"/>
  <c r="G36" i="19"/>
  <c r="O24" i="4"/>
  <c r="W74" i="166"/>
  <c r="Y74" i="166" s="1"/>
  <c r="M48" i="19" a="1"/>
  <c r="M48" i="19" s="1"/>
  <c r="N48" i="19" s="1"/>
  <c r="I48" i="17"/>
  <c r="F45" i="19"/>
  <c r="K45" i="19" s="1"/>
  <c r="C45" i="20"/>
  <c r="E45" i="19"/>
  <c r="J45" i="19" s="1"/>
  <c r="I45" i="19"/>
  <c r="I36" i="19"/>
  <c r="G36" i="7"/>
  <c r="G36" i="177" s="1"/>
  <c r="C20" i="21"/>
  <c r="E36" i="19"/>
  <c r="J36" i="19" s="1"/>
  <c r="D36" i="19"/>
  <c r="H36" i="19" s="1"/>
  <c r="L36" i="19"/>
  <c r="C36" i="20"/>
  <c r="M36" i="19" a="1"/>
  <c r="M36" i="19" s="1"/>
  <c r="N36" i="19" s="1"/>
  <c r="G36" i="17"/>
  <c r="H36" i="17" s="1"/>
  <c r="I36" i="17" s="1"/>
  <c r="C46" i="7"/>
  <c r="F42" i="17"/>
  <c r="D46" i="21"/>
  <c r="E46" i="21" s="1"/>
  <c r="F46" i="21" s="1"/>
  <c r="G46" i="21" s="1"/>
  <c r="C46" i="154"/>
  <c r="G28" i="17"/>
  <c r="H28" i="17" s="1"/>
  <c r="F44" i="17"/>
  <c r="G44" i="17" s="1"/>
  <c r="H44" i="17" s="1"/>
  <c r="C41" i="21"/>
  <c r="C48" i="21"/>
  <c r="D48" i="20"/>
  <c r="E48" i="20" s="1"/>
  <c r="F48" i="20" s="1"/>
  <c r="F57" i="17"/>
  <c r="F24" i="17"/>
  <c r="G24" i="17" s="1"/>
  <c r="H24" i="17" s="1"/>
  <c r="L72" i="19"/>
  <c r="F72" i="7"/>
  <c r="F72" i="177" s="1"/>
  <c r="L71" i="19"/>
  <c r="F71" i="7"/>
  <c r="F71" i="177" s="1"/>
  <c r="F73" i="7"/>
  <c r="F73" i="177" s="1"/>
  <c r="L69" i="19"/>
  <c r="F69" i="7"/>
  <c r="F69" i="177" s="1"/>
  <c r="F75" i="7"/>
  <c r="F75" i="177" s="1"/>
  <c r="L75" i="19"/>
  <c r="L73" i="19"/>
  <c r="G69" i="14"/>
  <c r="N20" i="19" l="1"/>
  <c r="M45" i="19" a="1"/>
  <c r="M45" i="19" s="1"/>
  <c r="N45" i="19" s="1"/>
  <c r="I45" i="17"/>
  <c r="I44" i="17"/>
  <c r="I41" i="17"/>
  <c r="C42" i="21"/>
  <c r="C42" i="177" s="1"/>
  <c r="K42" i="177" s="1"/>
  <c r="M46" i="177"/>
  <c r="K46" i="7"/>
  <c r="M46" i="7"/>
  <c r="H20" i="21"/>
  <c r="C20" i="177"/>
  <c r="H46" i="7"/>
  <c r="H46" i="177" s="1"/>
  <c r="G57" i="7"/>
  <c r="G57" i="177" s="1"/>
  <c r="H42" i="7"/>
  <c r="H42" i="177" s="1"/>
  <c r="H57" i="21"/>
  <c r="C57" i="177"/>
  <c r="K57" i="177" s="1"/>
  <c r="H49" i="21"/>
  <c r="C49" i="177"/>
  <c r="K49" i="177" s="1"/>
  <c r="H48" i="21"/>
  <c r="C48" i="177"/>
  <c r="K48" i="177" s="1"/>
  <c r="C41" i="177"/>
  <c r="C49" i="154"/>
  <c r="G49" i="154" s="1"/>
  <c r="G57" i="20"/>
  <c r="D57" i="20"/>
  <c r="E57" i="20" s="1"/>
  <c r="F57" i="20" s="1"/>
  <c r="D42" i="20"/>
  <c r="E42" i="20" s="1"/>
  <c r="F42" i="20" s="1"/>
  <c r="D49" i="21"/>
  <c r="E49" i="21" s="1"/>
  <c r="F49" i="21" s="1"/>
  <c r="G49" i="21" s="1"/>
  <c r="C49" i="7"/>
  <c r="C44" i="21"/>
  <c r="D28" i="20"/>
  <c r="E28" i="20" s="1"/>
  <c r="F28" i="20" s="1"/>
  <c r="D44" i="20"/>
  <c r="E44" i="20" s="1"/>
  <c r="F44" i="20" s="1"/>
  <c r="M28" i="19" a="1"/>
  <c r="M28" i="19" s="1"/>
  <c r="N28" i="19" s="1"/>
  <c r="C24" i="21"/>
  <c r="C28" i="7"/>
  <c r="C28" i="154"/>
  <c r="D28" i="154" s="1"/>
  <c r="E28" i="154" s="1"/>
  <c r="G28" i="154" s="1"/>
  <c r="D28" i="21"/>
  <c r="E28" i="21" s="1"/>
  <c r="F28" i="21" s="1"/>
  <c r="G28" i="21" s="1"/>
  <c r="E46" i="154"/>
  <c r="F46" i="154" s="1"/>
  <c r="G46" i="154"/>
  <c r="G36" i="20"/>
  <c r="C45" i="21"/>
  <c r="I28" i="17"/>
  <c r="H35" i="7"/>
  <c r="H35" i="177" s="1"/>
  <c r="D35" i="20"/>
  <c r="E35" i="20" s="1"/>
  <c r="F35" i="20" s="1"/>
  <c r="C35" i="21"/>
  <c r="C57" i="154"/>
  <c r="C48" i="154"/>
  <c r="C41" i="7"/>
  <c r="C60" i="174"/>
  <c r="I24" i="17"/>
  <c r="D45" i="20"/>
  <c r="E45" i="20" s="1"/>
  <c r="F45" i="20" s="1"/>
  <c r="E45" i="156"/>
  <c r="C20" i="7"/>
  <c r="D20" i="21"/>
  <c r="E20" i="21" s="1"/>
  <c r="F20" i="21" s="1"/>
  <c r="C20" i="154"/>
  <c r="D41" i="21"/>
  <c r="E41" i="21" s="1"/>
  <c r="D36" i="20"/>
  <c r="E36" i="20" s="1"/>
  <c r="F36" i="20" s="1"/>
  <c r="C36" i="21"/>
  <c r="C41" i="154"/>
  <c r="D46" i="154"/>
  <c r="E42" i="156"/>
  <c r="D48" i="21"/>
  <c r="E48" i="21" s="1"/>
  <c r="F48" i="21" s="1"/>
  <c r="G48" i="21" s="1"/>
  <c r="C57" i="7"/>
  <c r="C48" i="7"/>
  <c r="D57" i="21"/>
  <c r="E57" i="21" s="1"/>
  <c r="F57" i="21" s="1"/>
  <c r="G57" i="21" s="1"/>
  <c r="H73" i="7"/>
  <c r="H73" i="177" s="1"/>
  <c r="G75" i="7"/>
  <c r="G75" i="177" s="1"/>
  <c r="G72" i="7"/>
  <c r="G72" i="177" s="1"/>
  <c r="G73" i="7"/>
  <c r="G73" i="177" s="1"/>
  <c r="H69" i="7"/>
  <c r="H69" i="177" s="1"/>
  <c r="H71" i="7"/>
  <c r="H71" i="177" s="1"/>
  <c r="G71" i="7"/>
  <c r="G71" i="177" s="1"/>
  <c r="G69" i="7"/>
  <c r="G69" i="177" s="1"/>
  <c r="H72" i="7"/>
  <c r="H72" i="177" s="1"/>
  <c r="H75" i="7"/>
  <c r="H75" i="177" s="1"/>
  <c r="G29" i="2"/>
  <c r="P29" i="2"/>
  <c r="L29" i="2"/>
  <c r="N29" i="2"/>
  <c r="R29" i="3"/>
  <c r="R29" i="2"/>
  <c r="K29" i="2"/>
  <c r="M29" i="2"/>
  <c r="F29" i="2"/>
  <c r="J29" i="2"/>
  <c r="Q29" i="2"/>
  <c r="U29" i="2"/>
  <c r="T29" i="2"/>
  <c r="P29" i="3"/>
  <c r="S29" i="2"/>
  <c r="I29" i="2"/>
  <c r="E29" i="2"/>
  <c r="H29" i="2"/>
  <c r="V29" i="2"/>
  <c r="V27" i="2"/>
  <c r="R27" i="3"/>
  <c r="L27" i="2"/>
  <c r="Q27" i="2"/>
  <c r="T27" i="2"/>
  <c r="M27" i="2"/>
  <c r="I27" i="2"/>
  <c r="P27" i="2"/>
  <c r="U27" i="2"/>
  <c r="R27" i="2"/>
  <c r="H27" i="2"/>
  <c r="G27" i="2"/>
  <c r="S27" i="2"/>
  <c r="N27" i="2"/>
  <c r="K27" i="2"/>
  <c r="J27" i="2"/>
  <c r="P27" i="3"/>
  <c r="F27" i="2"/>
  <c r="E27" i="2"/>
  <c r="C46" i="14" l="1"/>
  <c r="D42" i="21"/>
  <c r="E42" i="21" s="1"/>
  <c r="F42" i="21" s="1"/>
  <c r="G42" i="21" s="1"/>
  <c r="C42" i="154"/>
  <c r="D42" i="154" s="1"/>
  <c r="E42" i="154" s="1"/>
  <c r="F42" i="154" s="1"/>
  <c r="H42" i="21"/>
  <c r="I42" i="7" s="1"/>
  <c r="I42" i="177" s="1"/>
  <c r="C42" i="7"/>
  <c r="M42" i="7" s="1"/>
  <c r="F41" i="21"/>
  <c r="G41" i="21" s="1"/>
  <c r="D60" i="174"/>
  <c r="AF60" i="174" s="1"/>
  <c r="M49" i="177"/>
  <c r="M48" i="177"/>
  <c r="M57" i="177"/>
  <c r="M42" i="177"/>
  <c r="K49" i="7"/>
  <c r="M49" i="7"/>
  <c r="K48" i="7"/>
  <c r="M48" i="7"/>
  <c r="K57" i="7"/>
  <c r="M57" i="7"/>
  <c r="I20" i="7"/>
  <c r="I20" i="177" s="1"/>
  <c r="I49" i="7"/>
  <c r="I49" i="177" s="1"/>
  <c r="H36" i="21"/>
  <c r="C36" i="177"/>
  <c r="K36" i="177" s="1"/>
  <c r="D24" i="21"/>
  <c r="E24" i="21" s="1"/>
  <c r="C24" i="177"/>
  <c r="C44" i="177"/>
  <c r="N46" i="177"/>
  <c r="H57" i="7"/>
  <c r="H57" i="177" s="1"/>
  <c r="H35" i="21"/>
  <c r="C35" i="177"/>
  <c r="K35" i="177" s="1"/>
  <c r="C45" i="177"/>
  <c r="J46" i="7"/>
  <c r="J46" i="177" s="1"/>
  <c r="J49" i="7"/>
  <c r="J49" i="177" s="1"/>
  <c r="H36" i="7"/>
  <c r="H36" i="177" s="1"/>
  <c r="C42" i="174"/>
  <c r="D49" i="154"/>
  <c r="E49" i="154" s="1"/>
  <c r="F49" i="154" s="1"/>
  <c r="C63" i="174"/>
  <c r="D44" i="21"/>
  <c r="E44" i="21" s="1"/>
  <c r="C44" i="154"/>
  <c r="C44" i="7"/>
  <c r="C24" i="7"/>
  <c r="C24" i="154"/>
  <c r="D24" i="154" s="1"/>
  <c r="C45" i="7"/>
  <c r="C62" i="174"/>
  <c r="D41" i="154"/>
  <c r="E41" i="154" s="1"/>
  <c r="F41" i="154" s="1"/>
  <c r="D48" i="154"/>
  <c r="E48" i="154" s="1"/>
  <c r="F48" i="154" s="1"/>
  <c r="G48" i="154"/>
  <c r="D20" i="154"/>
  <c r="E20" i="154" s="1"/>
  <c r="F20" i="154" s="1"/>
  <c r="G57" i="154"/>
  <c r="D45" i="21"/>
  <c r="E45" i="21" s="1"/>
  <c r="F45" i="21" s="1"/>
  <c r="G45" i="21" s="1"/>
  <c r="C45" i="154"/>
  <c r="C35" i="154"/>
  <c r="G35" i="154" s="1"/>
  <c r="C35" i="7"/>
  <c r="D35" i="21"/>
  <c r="E35" i="21" s="1"/>
  <c r="F35" i="21" s="1"/>
  <c r="G35" i="21" s="1"/>
  <c r="D57" i="154"/>
  <c r="E57" i="154" s="1"/>
  <c r="F57" i="154" s="1"/>
  <c r="C55" i="174"/>
  <c r="D36" i="21"/>
  <c r="E36" i="21" s="1"/>
  <c r="F36" i="21" s="1"/>
  <c r="G36" i="21" s="1"/>
  <c r="I57" i="7"/>
  <c r="I57" i="177" s="1"/>
  <c r="N46" i="7"/>
  <c r="E49" i="156"/>
  <c r="E46" i="156"/>
  <c r="E41" i="156"/>
  <c r="AI60" i="174"/>
  <c r="G60" i="174"/>
  <c r="AE60" i="174"/>
  <c r="AD60" i="174"/>
  <c r="H60" i="174"/>
  <c r="Y60" i="174"/>
  <c r="Z60" i="174"/>
  <c r="E46" i="14" s="1"/>
  <c r="B60" i="174"/>
  <c r="C71" i="174"/>
  <c r="C34" i="174"/>
  <c r="C20" i="14" s="1"/>
  <c r="C36" i="154"/>
  <c r="C36" i="7"/>
  <c r="C46" i="15"/>
  <c r="AC46" i="15" s="1"/>
  <c r="AM62" i="3"/>
  <c r="AQ27" i="2"/>
  <c r="AM18" i="3"/>
  <c r="AM33" i="3"/>
  <c r="AM31" i="3"/>
  <c r="AL30" i="3"/>
  <c r="BG29" i="2"/>
  <c r="AL32" i="3"/>
  <c r="AL31" i="3"/>
  <c r="AS29" i="2"/>
  <c r="AP29" i="2"/>
  <c r="AM63" i="3"/>
  <c r="AM22" i="3"/>
  <c r="BE27" i="2"/>
  <c r="AT29" i="2"/>
  <c r="BB27" i="2"/>
  <c r="BD29" i="2"/>
  <c r="AM34" i="3"/>
  <c r="AL18" i="3"/>
  <c r="BA27" i="2"/>
  <c r="AM21" i="3"/>
  <c r="AM40" i="3"/>
  <c r="BD27" i="2"/>
  <c r="BE29" i="2"/>
  <c r="AM43" i="3"/>
  <c r="AJ27" i="3"/>
  <c r="AK27" i="3" s="1"/>
  <c r="AL52" i="3"/>
  <c r="AL26" i="3"/>
  <c r="AM27" i="3"/>
  <c r="AL40" i="3"/>
  <c r="BF29" i="2"/>
  <c r="AM26" i="3"/>
  <c r="BB29" i="2"/>
  <c r="AR27" i="2"/>
  <c r="AL29" i="3"/>
  <c r="AM23" i="3"/>
  <c r="AU29" i="2"/>
  <c r="AL43" i="3"/>
  <c r="AL23" i="3"/>
  <c r="AQ29" i="2"/>
  <c r="AL22" i="3"/>
  <c r="AL27" i="3"/>
  <c r="AM19" i="3"/>
  <c r="AL62" i="3"/>
  <c r="AL21" i="3"/>
  <c r="AM38" i="3"/>
  <c r="AX29" i="2"/>
  <c r="AM52" i="3"/>
  <c r="AV29" i="2"/>
  <c r="AM39" i="3"/>
  <c r="AL37" i="3"/>
  <c r="BC29" i="2"/>
  <c r="AJ29" i="3"/>
  <c r="AK29" i="3" s="1"/>
  <c r="AP27" i="2"/>
  <c r="AX27" i="2"/>
  <c r="BC27" i="2"/>
  <c r="AL33" i="3"/>
  <c r="AM32" i="3"/>
  <c r="AM29" i="3"/>
  <c r="AM37" i="3"/>
  <c r="BG27" i="2"/>
  <c r="AL34" i="3"/>
  <c r="AL38" i="3"/>
  <c r="AL63" i="3"/>
  <c r="AY29" i="2"/>
  <c r="AV27" i="2"/>
  <c r="AL39" i="3"/>
  <c r="AW29" i="2"/>
  <c r="AT27" i="2"/>
  <c r="AL19" i="3"/>
  <c r="AM30" i="3"/>
  <c r="AY27" i="2"/>
  <c r="BF27" i="2"/>
  <c r="AS27" i="2"/>
  <c r="BA29" i="2"/>
  <c r="AW27" i="2"/>
  <c r="AR29" i="2"/>
  <c r="AU27" i="2"/>
  <c r="F28" i="154"/>
  <c r="J28" i="7"/>
  <c r="J28" i="177" s="1"/>
  <c r="E28" i="156"/>
  <c r="B57" i="165"/>
  <c r="B57" i="166" s="1"/>
  <c r="G20" i="154" l="1"/>
  <c r="J20" i="7" s="1"/>
  <c r="J20" i="177" s="1"/>
  <c r="I27" i="3"/>
  <c r="AG27" i="3" s="1"/>
  <c r="AA27" i="3" s="1"/>
  <c r="C57" i="14"/>
  <c r="C49" i="14"/>
  <c r="G49" i="14" s="1"/>
  <c r="C48" i="14"/>
  <c r="C41" i="14"/>
  <c r="AE42" i="174"/>
  <c r="C28" i="14"/>
  <c r="R57" i="165"/>
  <c r="R57" i="166" s="1"/>
  <c r="K42" i="7"/>
  <c r="G42" i="154"/>
  <c r="J42" i="7" s="1"/>
  <c r="J42" i="177" s="1"/>
  <c r="C56" i="174"/>
  <c r="F44" i="21"/>
  <c r="G44" i="21" s="1"/>
  <c r="G41" i="154"/>
  <c r="J41" i="7" s="1"/>
  <c r="J41" i="177" s="1"/>
  <c r="D56" i="174"/>
  <c r="AF56" i="174" s="1"/>
  <c r="D63" i="174"/>
  <c r="AF63" i="174" s="1"/>
  <c r="D71" i="174"/>
  <c r="AF71" i="174" s="1"/>
  <c r="D62" i="174"/>
  <c r="AE34" i="174"/>
  <c r="AD34" i="174"/>
  <c r="F24" i="21"/>
  <c r="I35" i="7"/>
  <c r="I35" i="177" s="1"/>
  <c r="M35" i="177"/>
  <c r="M36" i="177"/>
  <c r="K35" i="7"/>
  <c r="M35" i="7"/>
  <c r="K36" i="7"/>
  <c r="M36" i="7"/>
  <c r="N42" i="177"/>
  <c r="N49" i="177"/>
  <c r="N57" i="177"/>
  <c r="J57" i="7"/>
  <c r="J57" i="177" s="1"/>
  <c r="J48" i="7"/>
  <c r="J48" i="177" s="1"/>
  <c r="N48" i="177"/>
  <c r="N49" i="7"/>
  <c r="AD42" i="174"/>
  <c r="B42" i="174"/>
  <c r="C59" i="174"/>
  <c r="C38" i="174"/>
  <c r="AD63" i="174"/>
  <c r="Y62" i="174"/>
  <c r="Z63" i="174"/>
  <c r="E49" i="14" s="1"/>
  <c r="AE63" i="174"/>
  <c r="AI63" i="174"/>
  <c r="H63" i="174"/>
  <c r="B63" i="174"/>
  <c r="G63" i="174"/>
  <c r="Y63" i="174"/>
  <c r="D44" i="154"/>
  <c r="E44" i="154" s="1"/>
  <c r="F44" i="154" s="1"/>
  <c r="C58" i="174"/>
  <c r="N42" i="7"/>
  <c r="AI62" i="174"/>
  <c r="AE62" i="174"/>
  <c r="Z62" i="174"/>
  <c r="E48" i="14" s="1"/>
  <c r="B62" i="174"/>
  <c r="AD62" i="174"/>
  <c r="H62" i="174"/>
  <c r="G62" i="174"/>
  <c r="G46" i="14"/>
  <c r="G36" i="154"/>
  <c r="D45" i="154"/>
  <c r="E45" i="154" s="1"/>
  <c r="F45" i="154" s="1"/>
  <c r="C49" i="174"/>
  <c r="C35" i="14" s="1"/>
  <c r="J35" i="7"/>
  <c r="J35" i="177" s="1"/>
  <c r="D35" i="154"/>
  <c r="E35" i="154" s="1"/>
  <c r="F35" i="154" s="1"/>
  <c r="C41" i="15"/>
  <c r="AE55" i="174"/>
  <c r="AD55" i="174"/>
  <c r="B55" i="174"/>
  <c r="I36" i="7"/>
  <c r="I36" i="177" s="1"/>
  <c r="N57" i="7"/>
  <c r="C50" i="174"/>
  <c r="B34" i="174"/>
  <c r="G34" i="174"/>
  <c r="AE71" i="174"/>
  <c r="B71" i="174"/>
  <c r="Y71" i="174"/>
  <c r="H71" i="174"/>
  <c r="Z71" i="174"/>
  <c r="E57" i="14" s="1"/>
  <c r="G71" i="174"/>
  <c r="AD71" i="174"/>
  <c r="AI71" i="174"/>
  <c r="E35" i="156"/>
  <c r="C49" i="15"/>
  <c r="D49" i="15" s="1"/>
  <c r="E36" i="154"/>
  <c r="F36" i="154" s="1"/>
  <c r="D36" i="154"/>
  <c r="M46" i="15"/>
  <c r="AO46" i="15"/>
  <c r="AS46" i="15"/>
  <c r="BM46" i="15"/>
  <c r="BO46" i="15" s="1"/>
  <c r="BP46" i="15" s="1"/>
  <c r="BR46" i="15" s="1"/>
  <c r="BS46" i="15" s="1"/>
  <c r="AY46" i="15"/>
  <c r="E46" i="15"/>
  <c r="AX46" i="15" s="1"/>
  <c r="C46" i="156"/>
  <c r="AC46" i="156" s="1"/>
  <c r="BC46" i="15"/>
  <c r="E24" i="156"/>
  <c r="AE46" i="15"/>
  <c r="AW46" i="15"/>
  <c r="BA46" i="15"/>
  <c r="I46" i="15"/>
  <c r="BE46" i="15"/>
  <c r="BN46" i="15"/>
  <c r="S46" i="15"/>
  <c r="O46" i="15"/>
  <c r="G46" i="15"/>
  <c r="BQ46" i="15"/>
  <c r="BI46" i="15"/>
  <c r="Q46" i="15"/>
  <c r="BK46" i="15"/>
  <c r="U46" i="15"/>
  <c r="AU46" i="15"/>
  <c r="D46" i="15"/>
  <c r="AM46" i="15"/>
  <c r="AA46" i="15"/>
  <c r="AQ46" i="15"/>
  <c r="Y46" i="15"/>
  <c r="K46" i="15"/>
  <c r="AG46" i="15"/>
  <c r="AI46" i="15"/>
  <c r="AK46" i="15"/>
  <c r="BG46" i="15"/>
  <c r="W46" i="15"/>
  <c r="D46" i="156"/>
  <c r="E24" i="154"/>
  <c r="E48" i="156"/>
  <c r="AG29" i="3"/>
  <c r="AA29" i="3" s="1"/>
  <c r="E57" i="156"/>
  <c r="B47" i="165"/>
  <c r="B47" i="166" s="1"/>
  <c r="B51" i="165"/>
  <c r="B51" i="166" s="1"/>
  <c r="B31" i="165"/>
  <c r="B31" i="166" s="1"/>
  <c r="B37" i="165"/>
  <c r="B37" i="166" s="1"/>
  <c r="B43" i="165"/>
  <c r="B43" i="166" s="1"/>
  <c r="B35" i="165"/>
  <c r="B35" i="166" s="1"/>
  <c r="AX57" i="166"/>
  <c r="B32" i="165"/>
  <c r="B32" i="166" s="1"/>
  <c r="B40" i="165"/>
  <c r="B40" i="166" s="1"/>
  <c r="L27" i="3" l="1"/>
  <c r="X27" i="3"/>
  <c r="C27" i="4" s="1"/>
  <c r="C57" i="15"/>
  <c r="C36" i="14"/>
  <c r="B59" i="174"/>
  <c r="C45" i="14"/>
  <c r="C42" i="14"/>
  <c r="C44" i="14"/>
  <c r="C24" i="14"/>
  <c r="C38" i="161" s="1"/>
  <c r="R35" i="165"/>
  <c r="R35" i="166" s="1"/>
  <c r="R43" i="165"/>
  <c r="R43" i="166" s="1"/>
  <c r="R37" i="165"/>
  <c r="R37" i="166" s="1"/>
  <c r="R40" i="165"/>
  <c r="R40" i="166" s="1"/>
  <c r="R32" i="165"/>
  <c r="R32" i="166" s="1"/>
  <c r="R51" i="165"/>
  <c r="R51" i="166" s="1"/>
  <c r="R47" i="165"/>
  <c r="R47" i="166" s="1"/>
  <c r="R31" i="165"/>
  <c r="R31" i="166" s="1"/>
  <c r="G45" i="154"/>
  <c r="J45" i="7" s="1"/>
  <c r="J45" i="177" s="1"/>
  <c r="Z56" i="174"/>
  <c r="E42" i="14" s="1"/>
  <c r="AE56" i="174"/>
  <c r="AI56" i="174"/>
  <c r="G56" i="174"/>
  <c r="AD56" i="174"/>
  <c r="Y56" i="174"/>
  <c r="H56" i="174"/>
  <c r="B56" i="174"/>
  <c r="D49" i="174"/>
  <c r="AF49" i="174" s="1"/>
  <c r="D50" i="174"/>
  <c r="AF50" i="174" s="1"/>
  <c r="J36" i="7"/>
  <c r="J36" i="177" s="1"/>
  <c r="N35" i="177"/>
  <c r="N36" i="177"/>
  <c r="AD59" i="174"/>
  <c r="C28" i="15"/>
  <c r="E28" i="15" s="1"/>
  <c r="AB28" i="15" s="1"/>
  <c r="C42" i="161"/>
  <c r="C42" i="170" s="1"/>
  <c r="B42" i="170" s="1"/>
  <c r="AE59" i="174"/>
  <c r="C24" i="15"/>
  <c r="C24" i="156" s="1"/>
  <c r="B38" i="174"/>
  <c r="AD38" i="174"/>
  <c r="AE38" i="174"/>
  <c r="B58" i="174"/>
  <c r="C55" i="161"/>
  <c r="AE58" i="174"/>
  <c r="AD58" i="174"/>
  <c r="C60" i="161"/>
  <c r="H60" i="161" s="1"/>
  <c r="C71" i="161"/>
  <c r="C71" i="170" s="1"/>
  <c r="Y49" i="174"/>
  <c r="AI49" i="174"/>
  <c r="H49" i="174"/>
  <c r="AE49" i="174"/>
  <c r="AD49" i="174"/>
  <c r="Z49" i="174"/>
  <c r="E35" i="14" s="1"/>
  <c r="B49" i="174"/>
  <c r="G49" i="174"/>
  <c r="N35" i="7"/>
  <c r="C41" i="156"/>
  <c r="E41" i="15"/>
  <c r="L41" i="15" s="1"/>
  <c r="I69" i="7"/>
  <c r="I69" i="177" s="1"/>
  <c r="I71" i="7"/>
  <c r="I71" i="177" s="1"/>
  <c r="I72" i="7"/>
  <c r="I72" i="177" s="1"/>
  <c r="I73" i="7"/>
  <c r="I73" i="177" s="1"/>
  <c r="I75" i="7"/>
  <c r="I75" i="177" s="1"/>
  <c r="N36" i="7"/>
  <c r="AE50" i="174"/>
  <c r="AI50" i="174"/>
  <c r="G50" i="174"/>
  <c r="AD50" i="174"/>
  <c r="Y50" i="174"/>
  <c r="B50" i="174"/>
  <c r="Z50" i="174"/>
  <c r="E36" i="14" s="1"/>
  <c r="H50" i="174"/>
  <c r="F24" i="154"/>
  <c r="U49" i="15"/>
  <c r="BD46" i="15"/>
  <c r="O49" i="15"/>
  <c r="E49" i="15"/>
  <c r="AT49" i="15" s="1"/>
  <c r="AE49" i="15"/>
  <c r="BE49" i="15"/>
  <c r="AA49" i="15"/>
  <c r="BC49" i="15"/>
  <c r="AO49" i="15"/>
  <c r="BA49" i="15"/>
  <c r="AW49" i="15"/>
  <c r="Y49" i="15"/>
  <c r="W49" i="15"/>
  <c r="K49" i="15"/>
  <c r="AQ49" i="15"/>
  <c r="BI49" i="15"/>
  <c r="AK49" i="15"/>
  <c r="AY49" i="15"/>
  <c r="AU49" i="15"/>
  <c r="AS49" i="15"/>
  <c r="AI49" i="15"/>
  <c r="S49" i="15"/>
  <c r="C49" i="156"/>
  <c r="AC49" i="156" s="1"/>
  <c r="BM49" i="15"/>
  <c r="BO49" i="15" s="1"/>
  <c r="BP49" i="15" s="1"/>
  <c r="BR49" i="15" s="1"/>
  <c r="BS49" i="15" s="1"/>
  <c r="Q49" i="15"/>
  <c r="BQ49" i="15"/>
  <c r="I49" i="15"/>
  <c r="BN49" i="15"/>
  <c r="G49" i="15"/>
  <c r="M49" i="15"/>
  <c r="AM49" i="15"/>
  <c r="AC49" i="15"/>
  <c r="AG49" i="15"/>
  <c r="BK49" i="15"/>
  <c r="BG49" i="15"/>
  <c r="D49" i="156"/>
  <c r="C63" i="161"/>
  <c r="C20" i="15"/>
  <c r="BC20" i="15" s="1"/>
  <c r="E20" i="156"/>
  <c r="AH46" i="15"/>
  <c r="N46" i="15"/>
  <c r="R46" i="15"/>
  <c r="AB46" i="15"/>
  <c r="AZ46" i="15"/>
  <c r="P46" i="15"/>
  <c r="AD46" i="15"/>
  <c r="H46" i="15"/>
  <c r="Z46" i="15"/>
  <c r="AV46" i="15"/>
  <c r="T46" i="15"/>
  <c r="AN46" i="15"/>
  <c r="BB46" i="15"/>
  <c r="AR46" i="15"/>
  <c r="AL46" i="156"/>
  <c r="AM46" i="156" s="1"/>
  <c r="AN46" i="156" s="1"/>
  <c r="BL46" i="15"/>
  <c r="AL46" i="15"/>
  <c r="BH46" i="15"/>
  <c r="X46" i="15"/>
  <c r="AP46" i="15"/>
  <c r="AT46" i="15"/>
  <c r="V46" i="15"/>
  <c r="L46" i="15"/>
  <c r="BJ46" i="15"/>
  <c r="AJ46" i="15"/>
  <c r="AF46" i="15"/>
  <c r="F46" i="15"/>
  <c r="BF46" i="15"/>
  <c r="J46" i="15"/>
  <c r="AD46" i="156"/>
  <c r="AE46" i="156" s="1"/>
  <c r="AF46" i="156" s="1"/>
  <c r="AH46" i="156"/>
  <c r="AI46" i="156" s="1"/>
  <c r="AJ46" i="156" s="1"/>
  <c r="AT46" i="156"/>
  <c r="AU46" i="156" s="1"/>
  <c r="AK46" i="156"/>
  <c r="AO46" i="156"/>
  <c r="Q46" i="156"/>
  <c r="N46" i="156"/>
  <c r="O46" i="156" s="1"/>
  <c r="P46" i="156" s="1"/>
  <c r="J46" i="156"/>
  <c r="K46" i="156" s="1"/>
  <c r="L46" i="156" s="1"/>
  <c r="AP46" i="156"/>
  <c r="AQ46" i="156" s="1"/>
  <c r="AR46" i="156" s="1"/>
  <c r="I46" i="156"/>
  <c r="F46" i="156"/>
  <c r="H46" i="156" s="1"/>
  <c r="U46" i="156"/>
  <c r="Z46" i="156"/>
  <c r="AA46" i="156" s="1"/>
  <c r="AB46" i="156" s="1"/>
  <c r="R46" i="156"/>
  <c r="S46" i="156" s="1"/>
  <c r="T46" i="156" s="1"/>
  <c r="AG46" i="156"/>
  <c r="AS46" i="156"/>
  <c r="AV46" i="156"/>
  <c r="M46" i="156"/>
  <c r="V46" i="156"/>
  <c r="W46" i="156" s="1"/>
  <c r="X46" i="156" s="1"/>
  <c r="Y46" i="156" s="1"/>
  <c r="D42" i="156"/>
  <c r="C48" i="15"/>
  <c r="AO29" i="3"/>
  <c r="B41" i="165"/>
  <c r="B41" i="166" s="1"/>
  <c r="B59" i="165"/>
  <c r="B59" i="166" s="1"/>
  <c r="S57" i="15"/>
  <c r="I57" i="15"/>
  <c r="W57" i="15"/>
  <c r="BQ57" i="15"/>
  <c r="AE57" i="15"/>
  <c r="BK57" i="15"/>
  <c r="Q57" i="15"/>
  <c r="O57" i="15"/>
  <c r="AM57" i="15"/>
  <c r="U57" i="15"/>
  <c r="AK57" i="15"/>
  <c r="G57" i="15"/>
  <c r="C57" i="156"/>
  <c r="AG57" i="15"/>
  <c r="BE57" i="15"/>
  <c r="AC57" i="15"/>
  <c r="Y57" i="15"/>
  <c r="AS57" i="15"/>
  <c r="AW57" i="15"/>
  <c r="BA57" i="15"/>
  <c r="AQ57" i="15"/>
  <c r="BI57" i="15"/>
  <c r="K57" i="15"/>
  <c r="AA57" i="15"/>
  <c r="BM57" i="15"/>
  <c r="BO57" i="15" s="1"/>
  <c r="BP57" i="15" s="1"/>
  <c r="BR57" i="15" s="1"/>
  <c r="BS57" i="15" s="1"/>
  <c r="BN57" i="15"/>
  <c r="BC57" i="15"/>
  <c r="M57" i="15"/>
  <c r="BG57" i="15"/>
  <c r="E57" i="15"/>
  <c r="AI57" i="15"/>
  <c r="AO57" i="15"/>
  <c r="AU57" i="15"/>
  <c r="D57" i="15"/>
  <c r="AY57" i="15"/>
  <c r="D57" i="156"/>
  <c r="AX37" i="166"/>
  <c r="B52" i="165"/>
  <c r="B52" i="166" s="1"/>
  <c r="AX43" i="166"/>
  <c r="AX40" i="166"/>
  <c r="AX32" i="166"/>
  <c r="B36" i="165"/>
  <c r="B36" i="166" s="1"/>
  <c r="AX35" i="166"/>
  <c r="AX47" i="166"/>
  <c r="B76" i="165"/>
  <c r="B76" i="166" s="1"/>
  <c r="AX31" i="166"/>
  <c r="AX51" i="166"/>
  <c r="E36" i="156"/>
  <c r="C36" i="15"/>
  <c r="E44" i="156"/>
  <c r="C44" i="15"/>
  <c r="C42" i="15" l="1"/>
  <c r="D42" i="15" s="1"/>
  <c r="R59" i="165"/>
  <c r="R59" i="166" s="1"/>
  <c r="R41" i="165"/>
  <c r="R41" i="166" s="1"/>
  <c r="R36" i="165"/>
  <c r="R36" i="166" s="1"/>
  <c r="R52" i="165"/>
  <c r="R52" i="166" s="1"/>
  <c r="R76" i="165"/>
  <c r="R76" i="166" s="1"/>
  <c r="AO42" i="15"/>
  <c r="Y42" i="15"/>
  <c r="BM42" i="15"/>
  <c r="BO42" i="15" s="1"/>
  <c r="BP42" i="15" s="1"/>
  <c r="BR42" i="15" s="1"/>
  <c r="BS42" i="15" s="1"/>
  <c r="AG42" i="15"/>
  <c r="BG42" i="15"/>
  <c r="AW42" i="15"/>
  <c r="AQ42" i="15"/>
  <c r="C42" i="156"/>
  <c r="AD42" i="156" s="1"/>
  <c r="AE42" i="156" s="1"/>
  <c r="AF42" i="156" s="1"/>
  <c r="AA42" i="15"/>
  <c r="BC42" i="15"/>
  <c r="Q42" i="15"/>
  <c r="U42" i="15"/>
  <c r="BE42" i="15"/>
  <c r="BA42" i="15"/>
  <c r="S42" i="15"/>
  <c r="AC42" i="15"/>
  <c r="AI42" i="15"/>
  <c r="AE42" i="15"/>
  <c r="G42" i="15"/>
  <c r="AM42" i="15"/>
  <c r="O42" i="15"/>
  <c r="K42" i="15"/>
  <c r="I42" i="15"/>
  <c r="BI42" i="15"/>
  <c r="BK42" i="15"/>
  <c r="AU42" i="15"/>
  <c r="AK42" i="15"/>
  <c r="AS42" i="15"/>
  <c r="BQ42" i="15"/>
  <c r="BN42" i="15"/>
  <c r="W42" i="15"/>
  <c r="M42" i="15"/>
  <c r="E42" i="15"/>
  <c r="BD42" i="15" s="1"/>
  <c r="AY42" i="15"/>
  <c r="C56" i="161"/>
  <c r="C56" i="170" s="1"/>
  <c r="H56" i="170" s="1"/>
  <c r="D56" i="171" s="1"/>
  <c r="BJ28" i="15"/>
  <c r="R28" i="15"/>
  <c r="Z28" i="15"/>
  <c r="H28" i="15"/>
  <c r="F28" i="15"/>
  <c r="AR28" i="15"/>
  <c r="AJ28" i="15"/>
  <c r="BH28" i="15"/>
  <c r="AD28" i="15"/>
  <c r="N28" i="15"/>
  <c r="X28" i="15"/>
  <c r="AZ28" i="15"/>
  <c r="BL28" i="15"/>
  <c r="AL28" i="15"/>
  <c r="AX28" i="15"/>
  <c r="C28" i="156"/>
  <c r="AT28" i="15"/>
  <c r="E24" i="15"/>
  <c r="AN24" i="15" s="1"/>
  <c r="AF28" i="15"/>
  <c r="V28" i="15"/>
  <c r="P28" i="15"/>
  <c r="BF28" i="15"/>
  <c r="T28" i="15"/>
  <c r="AP28" i="15"/>
  <c r="AV28" i="15"/>
  <c r="L28" i="15"/>
  <c r="AN28" i="15"/>
  <c r="J28" i="15"/>
  <c r="BD28" i="15"/>
  <c r="BB28" i="15"/>
  <c r="AH28" i="15"/>
  <c r="J42" i="170"/>
  <c r="C42" i="171"/>
  <c r="B42" i="171" s="1"/>
  <c r="C45" i="15"/>
  <c r="B42" i="161"/>
  <c r="K42" i="170"/>
  <c r="G41" i="14"/>
  <c r="B55" i="161"/>
  <c r="C55" i="170"/>
  <c r="G36" i="14"/>
  <c r="S60" i="161"/>
  <c r="J60" i="161"/>
  <c r="M60" i="161"/>
  <c r="P60" i="161"/>
  <c r="Q60" i="161"/>
  <c r="T60" i="161"/>
  <c r="U60" i="161" s="1"/>
  <c r="D60" i="170" s="1"/>
  <c r="G60" i="161"/>
  <c r="N60" i="161"/>
  <c r="Z60" i="161"/>
  <c r="B60" i="161"/>
  <c r="C60" i="170"/>
  <c r="M60" i="170" s="1"/>
  <c r="G57" i="14"/>
  <c r="K60" i="161"/>
  <c r="F60" i="161"/>
  <c r="I60" i="161" s="1"/>
  <c r="D57" i="14"/>
  <c r="C35" i="15"/>
  <c r="D35" i="156"/>
  <c r="C27" i="16"/>
  <c r="D27" i="16" s="1"/>
  <c r="E27" i="16" s="1"/>
  <c r="F41" i="156"/>
  <c r="V41" i="15"/>
  <c r="AF41" i="15"/>
  <c r="BF41" i="15"/>
  <c r="AZ41" i="15"/>
  <c r="BB41" i="15"/>
  <c r="AJ41" i="15"/>
  <c r="AH41" i="15"/>
  <c r="BL41" i="15"/>
  <c r="P41" i="15"/>
  <c r="AN41" i="15"/>
  <c r="AT41" i="15"/>
  <c r="N41" i="15"/>
  <c r="BJ41" i="15"/>
  <c r="AL41" i="15"/>
  <c r="AR41" i="15"/>
  <c r="X41" i="15"/>
  <c r="AP41" i="15"/>
  <c r="BH41" i="15"/>
  <c r="F41" i="15"/>
  <c r="Z41" i="15"/>
  <c r="AV41" i="15"/>
  <c r="AB41" i="15"/>
  <c r="T41" i="15"/>
  <c r="R41" i="15"/>
  <c r="BD41" i="15"/>
  <c r="AX41" i="15"/>
  <c r="AD41" i="15"/>
  <c r="J41" i="15"/>
  <c r="F71" i="170"/>
  <c r="Q71" i="165" s="1"/>
  <c r="Q71" i="166" s="1"/>
  <c r="H71" i="170"/>
  <c r="G71" i="170"/>
  <c r="M71" i="170"/>
  <c r="B71" i="170"/>
  <c r="C71" i="171"/>
  <c r="J71" i="170"/>
  <c r="L71" i="170"/>
  <c r="K71" i="170"/>
  <c r="C38" i="170"/>
  <c r="N63" i="161"/>
  <c r="C63" i="170"/>
  <c r="F49" i="15"/>
  <c r="H49" i="15" s="1"/>
  <c r="AF49" i="15"/>
  <c r="R49" i="15"/>
  <c r="AJ49" i="15"/>
  <c r="AN49" i="15"/>
  <c r="N49" i="15"/>
  <c r="BD49" i="15"/>
  <c r="V49" i="15"/>
  <c r="X49" i="15"/>
  <c r="AP49" i="15"/>
  <c r="AV49" i="15"/>
  <c r="BH49" i="15"/>
  <c r="AX49" i="15"/>
  <c r="P49" i="15"/>
  <c r="AH49" i="15"/>
  <c r="BF49" i="15"/>
  <c r="BJ49" i="15"/>
  <c r="AV49" i="156"/>
  <c r="T49" i="15"/>
  <c r="AZ49" i="15"/>
  <c r="AR49" i="15"/>
  <c r="BL49" i="15"/>
  <c r="BB49" i="15"/>
  <c r="AB49" i="15"/>
  <c r="J49" i="15"/>
  <c r="AD49" i="15"/>
  <c r="AL49" i="15"/>
  <c r="Z49" i="15"/>
  <c r="L49" i="15"/>
  <c r="AP49" i="156"/>
  <c r="AQ49" i="156" s="1"/>
  <c r="AR49" i="156" s="1"/>
  <c r="R49" i="156"/>
  <c r="AK49" i="156"/>
  <c r="AL49" i="156"/>
  <c r="AM49" i="156" s="1"/>
  <c r="AN49" i="156" s="1"/>
  <c r="AG49" i="156"/>
  <c r="Z49" i="156"/>
  <c r="AA49" i="156" s="1"/>
  <c r="AB49" i="156" s="1"/>
  <c r="I49" i="156"/>
  <c r="AT49" i="156"/>
  <c r="AU49" i="156" s="1"/>
  <c r="AO49" i="156"/>
  <c r="U49" i="156"/>
  <c r="S49" i="156"/>
  <c r="T49" i="156" s="1"/>
  <c r="F49" i="156"/>
  <c r="H49" i="156" s="1"/>
  <c r="Y49" i="156"/>
  <c r="AD49" i="156"/>
  <c r="AE49" i="156" s="1"/>
  <c r="AF49" i="156" s="1"/>
  <c r="N49" i="156"/>
  <c r="O49" i="156" s="1"/>
  <c r="P49" i="156" s="1"/>
  <c r="Q49" i="156"/>
  <c r="J49" i="156"/>
  <c r="K49" i="156" s="1"/>
  <c r="L49" i="156" s="1"/>
  <c r="AH49" i="156"/>
  <c r="AI49" i="156" s="1"/>
  <c r="AJ49" i="156" s="1"/>
  <c r="V49" i="156"/>
  <c r="W49" i="156" s="1"/>
  <c r="X49" i="156" s="1"/>
  <c r="AS49" i="156"/>
  <c r="M49" i="156"/>
  <c r="Q63" i="161"/>
  <c r="T63" i="161"/>
  <c r="U63" i="161" s="1"/>
  <c r="H63" i="161"/>
  <c r="F63" i="161"/>
  <c r="J63" i="161"/>
  <c r="B63" i="161"/>
  <c r="M63" i="161"/>
  <c r="P63" i="161"/>
  <c r="G63" i="161"/>
  <c r="D20" i="156"/>
  <c r="Z63" i="161"/>
  <c r="S63" i="161"/>
  <c r="K63" i="161"/>
  <c r="W20" i="15"/>
  <c r="Y20" i="15"/>
  <c r="K20" i="15"/>
  <c r="AU20" i="15"/>
  <c r="U20" i="15"/>
  <c r="BQ20" i="15"/>
  <c r="S20" i="15"/>
  <c r="O20" i="15"/>
  <c r="AY20" i="15"/>
  <c r="AO20" i="15"/>
  <c r="E20" i="15"/>
  <c r="BF20" i="15" s="1"/>
  <c r="BS20" i="15"/>
  <c r="BN20" i="15"/>
  <c r="AK20" i="15"/>
  <c r="AG20" i="15"/>
  <c r="BK20" i="15"/>
  <c r="D20" i="15"/>
  <c r="AM20" i="15"/>
  <c r="G20" i="15"/>
  <c r="M20" i="15"/>
  <c r="AI20" i="15"/>
  <c r="BE20" i="15"/>
  <c r="C20" i="156"/>
  <c r="F20" i="156" s="1"/>
  <c r="H20" i="156" s="1"/>
  <c r="BG20" i="15"/>
  <c r="AE20" i="15"/>
  <c r="AC20" i="15"/>
  <c r="AS20" i="15"/>
  <c r="BA20" i="15"/>
  <c r="AW20" i="15"/>
  <c r="AA20" i="15"/>
  <c r="Q20" i="15"/>
  <c r="I20" i="15"/>
  <c r="BI20" i="15"/>
  <c r="BM20" i="15"/>
  <c r="BO20" i="15" s="1"/>
  <c r="BP20" i="15" s="1"/>
  <c r="BR20" i="15" s="1"/>
  <c r="AQ20" i="15"/>
  <c r="C34" i="161"/>
  <c r="C62" i="161"/>
  <c r="C62" i="170" s="1"/>
  <c r="E48" i="15"/>
  <c r="F48" i="15" s="1"/>
  <c r="C48" i="156"/>
  <c r="AO27" i="3"/>
  <c r="D27" i="4"/>
  <c r="E27" i="4" s="1"/>
  <c r="F27" i="4" s="1"/>
  <c r="G27" i="4" s="1"/>
  <c r="H27" i="4" s="1"/>
  <c r="I27" i="4" s="1"/>
  <c r="K27" i="4" s="1"/>
  <c r="M27" i="4" s="1"/>
  <c r="C29" i="4"/>
  <c r="AX41" i="166"/>
  <c r="B38" i="161"/>
  <c r="E71" i="161"/>
  <c r="P57" i="15"/>
  <c r="BF57" i="15"/>
  <c r="AF57" i="15"/>
  <c r="H57" i="15"/>
  <c r="AD57" i="15"/>
  <c r="R57" i="15"/>
  <c r="J57" i="15"/>
  <c r="BD57" i="15"/>
  <c r="AH57" i="15"/>
  <c r="AT57" i="15"/>
  <c r="X57" i="15"/>
  <c r="BH57" i="15"/>
  <c r="BB57" i="15"/>
  <c r="BL57" i="15"/>
  <c r="AX57" i="15"/>
  <c r="AB57" i="15"/>
  <c r="AJ57" i="15"/>
  <c r="V57" i="15"/>
  <c r="T57" i="15"/>
  <c r="AP57" i="15"/>
  <c r="AN57" i="15"/>
  <c r="Z57" i="15"/>
  <c r="L57" i="15"/>
  <c r="AZ57" i="15"/>
  <c r="N57" i="15"/>
  <c r="F57" i="15"/>
  <c r="AR57" i="15"/>
  <c r="AL57" i="15"/>
  <c r="BJ57" i="15"/>
  <c r="AV57" i="15"/>
  <c r="B71" i="161"/>
  <c r="P71" i="161"/>
  <c r="Q71" i="161"/>
  <c r="M71" i="161"/>
  <c r="F71" i="161"/>
  <c r="H71" i="161"/>
  <c r="T71" i="161"/>
  <c r="U71" i="161" s="1"/>
  <c r="J71" i="161"/>
  <c r="Z71" i="161"/>
  <c r="K71" i="161"/>
  <c r="N71" i="161"/>
  <c r="S71" i="161"/>
  <c r="G71" i="161"/>
  <c r="AD57" i="156"/>
  <c r="AE57" i="156" s="1"/>
  <c r="AG57" i="156" s="1"/>
  <c r="AJ57" i="156"/>
  <c r="Z57" i="156"/>
  <c r="AA57" i="156" s="1"/>
  <c r="AC57" i="156" s="1"/>
  <c r="X57" i="156"/>
  <c r="AH57" i="156"/>
  <c r="H57" i="156"/>
  <c r="AF57" i="156"/>
  <c r="N57" i="156"/>
  <c r="O57" i="156" s="1"/>
  <c r="AP57" i="156"/>
  <c r="AS57" i="156" s="1"/>
  <c r="M57" i="156"/>
  <c r="AN57" i="156"/>
  <c r="AK57" i="156"/>
  <c r="P57" i="156"/>
  <c r="K57" i="156"/>
  <c r="AR57" i="156"/>
  <c r="AT57" i="156"/>
  <c r="AU57" i="156" s="1"/>
  <c r="V57" i="156"/>
  <c r="W57" i="156" s="1"/>
  <c r="Y57" i="156" s="1"/>
  <c r="AQ57" i="156"/>
  <c r="I57" i="156"/>
  <c r="Q57" i="156"/>
  <c r="AI57" i="156"/>
  <c r="J57" i="156"/>
  <c r="AB57" i="156"/>
  <c r="R57" i="156"/>
  <c r="S57" i="156" s="1"/>
  <c r="U57" i="156" s="1"/>
  <c r="AL57" i="156"/>
  <c r="AM57" i="156" s="1"/>
  <c r="AO57" i="156" s="1"/>
  <c r="T57" i="156"/>
  <c r="L57" i="156"/>
  <c r="AV57" i="156"/>
  <c r="F57" i="156"/>
  <c r="C58" i="161"/>
  <c r="AX52" i="166"/>
  <c r="B66" i="165"/>
  <c r="B66" i="166" s="1"/>
  <c r="B33" i="165"/>
  <c r="B33" i="166" s="1"/>
  <c r="AX76" i="166"/>
  <c r="B54" i="165"/>
  <c r="B54" i="166" s="1"/>
  <c r="B45" i="165"/>
  <c r="B45" i="166" s="1"/>
  <c r="AX36" i="166"/>
  <c r="D36" i="156"/>
  <c r="BI36" i="15"/>
  <c r="BM36" i="15"/>
  <c r="BO36" i="15" s="1"/>
  <c r="BP36" i="15" s="1"/>
  <c r="BR36" i="15" s="1"/>
  <c r="AC36" i="15"/>
  <c r="BN36" i="15"/>
  <c r="C36" i="156"/>
  <c r="BE36" i="15"/>
  <c r="AS36" i="15"/>
  <c r="AI36" i="15"/>
  <c r="BC36" i="15"/>
  <c r="AE36" i="15"/>
  <c r="AQ36" i="15"/>
  <c r="U36" i="15"/>
  <c r="BG36" i="15"/>
  <c r="BS36" i="15"/>
  <c r="AM36" i="15"/>
  <c r="AG36" i="15"/>
  <c r="AO36" i="15"/>
  <c r="AY36" i="15"/>
  <c r="I36" i="15"/>
  <c r="AU36" i="15"/>
  <c r="D36" i="15"/>
  <c r="BK36" i="15"/>
  <c r="AK36" i="15"/>
  <c r="AA36" i="15"/>
  <c r="E36" i="15"/>
  <c r="Y36" i="15"/>
  <c r="AW36" i="15"/>
  <c r="S36" i="15"/>
  <c r="G36" i="15"/>
  <c r="BQ36" i="15"/>
  <c r="BA36" i="15"/>
  <c r="M36" i="15"/>
  <c r="K36" i="15"/>
  <c r="O36" i="15"/>
  <c r="W36" i="15"/>
  <c r="Q36" i="15"/>
  <c r="E44" i="15"/>
  <c r="C44" i="156"/>
  <c r="G71" i="14"/>
  <c r="R45" i="165" l="1"/>
  <c r="R45" i="166" s="1"/>
  <c r="R33" i="165"/>
  <c r="R33" i="166" s="1"/>
  <c r="R66" i="165"/>
  <c r="R66" i="166" s="1"/>
  <c r="R54" i="165"/>
  <c r="R54" i="166" s="1"/>
  <c r="AK42" i="156"/>
  <c r="AV42" i="15"/>
  <c r="BB42" i="15"/>
  <c r="AL42" i="156"/>
  <c r="AM42" i="156" s="1"/>
  <c r="AN42" i="156" s="1"/>
  <c r="AJ42" i="15"/>
  <c r="Q42" i="156"/>
  <c r="AT42" i="156"/>
  <c r="AU42" i="156" s="1"/>
  <c r="AH42" i="156"/>
  <c r="AI42" i="156" s="1"/>
  <c r="AJ42" i="156" s="1"/>
  <c r="M42" i="156"/>
  <c r="F42" i="156"/>
  <c r="H42" i="156" s="1"/>
  <c r="R42" i="156"/>
  <c r="S42" i="156" s="1"/>
  <c r="T42" i="156" s="1"/>
  <c r="AG42" i="156"/>
  <c r="Y42" i="156"/>
  <c r="J42" i="156"/>
  <c r="K42" i="156" s="1"/>
  <c r="L42" i="156" s="1"/>
  <c r="AC42" i="156"/>
  <c r="I42" i="156"/>
  <c r="V42" i="156"/>
  <c r="W42" i="156" s="1"/>
  <c r="X42" i="156" s="1"/>
  <c r="AV42" i="156"/>
  <c r="AO42" i="156"/>
  <c r="N42" i="156"/>
  <c r="O42" i="156" s="1"/>
  <c r="P42" i="156" s="1"/>
  <c r="Z42" i="156"/>
  <c r="AA42" i="156" s="1"/>
  <c r="AB42" i="156" s="1"/>
  <c r="AQ42" i="156"/>
  <c r="AR42" i="156" s="1"/>
  <c r="U42" i="156"/>
  <c r="AS42" i="156"/>
  <c r="BL42" i="15"/>
  <c r="Z42" i="15"/>
  <c r="H42" i="15"/>
  <c r="AH42" i="15"/>
  <c r="BF42" i="15"/>
  <c r="AP42" i="15"/>
  <c r="X42" i="15"/>
  <c r="T42" i="15"/>
  <c r="AD42" i="15"/>
  <c r="V42" i="15"/>
  <c r="L42" i="15"/>
  <c r="AT42" i="15"/>
  <c r="AR42" i="15"/>
  <c r="BH42" i="15"/>
  <c r="AX42" i="15"/>
  <c r="R42" i="15"/>
  <c r="N42" i="15"/>
  <c r="F42" i="15"/>
  <c r="AF42" i="15"/>
  <c r="BJ42" i="15"/>
  <c r="AL42" i="15"/>
  <c r="AB42" i="15"/>
  <c r="P42" i="15"/>
  <c r="AN42" i="15"/>
  <c r="AZ42" i="15"/>
  <c r="J42" i="15"/>
  <c r="B56" i="161"/>
  <c r="F56" i="161"/>
  <c r="J56" i="161"/>
  <c r="M56" i="170"/>
  <c r="B56" i="170"/>
  <c r="N56" i="161"/>
  <c r="K56" i="161"/>
  <c r="S56" i="161"/>
  <c r="F56" i="170"/>
  <c r="Q56" i="165" s="1"/>
  <c r="Q56" i="166" s="1"/>
  <c r="C56" i="171"/>
  <c r="G56" i="161"/>
  <c r="P56" i="161"/>
  <c r="T56" i="161"/>
  <c r="U56" i="161" s="1"/>
  <c r="D56" i="170" s="1"/>
  <c r="Q56" i="161"/>
  <c r="L56" i="170"/>
  <c r="J56" i="170"/>
  <c r="G42" i="14"/>
  <c r="M56" i="161"/>
  <c r="H56" i="161"/>
  <c r="G56" i="170"/>
  <c r="K56" i="170"/>
  <c r="Z56" i="161"/>
  <c r="H41" i="15"/>
  <c r="AD24" i="15"/>
  <c r="AZ24" i="15"/>
  <c r="H24" i="15"/>
  <c r="BH24" i="15"/>
  <c r="BL24" i="15"/>
  <c r="AV24" i="15"/>
  <c r="BF24" i="15"/>
  <c r="C50" i="161"/>
  <c r="C50" i="170" s="1"/>
  <c r="C50" i="171" s="1"/>
  <c r="F60" i="170"/>
  <c r="Q60" i="165" s="1"/>
  <c r="Q60" i="166" s="1"/>
  <c r="H60" i="170"/>
  <c r="D60" i="171" s="1"/>
  <c r="L60" i="170"/>
  <c r="N24" i="15"/>
  <c r="BJ24" i="15"/>
  <c r="AH24" i="15"/>
  <c r="AT24" i="15"/>
  <c r="Z24" i="15"/>
  <c r="AB24" i="15"/>
  <c r="AL24" i="15"/>
  <c r="T24" i="15"/>
  <c r="J24" i="15"/>
  <c r="AP24" i="15"/>
  <c r="BD24" i="15"/>
  <c r="X24" i="15"/>
  <c r="L24" i="15"/>
  <c r="P24" i="15"/>
  <c r="AX24" i="15"/>
  <c r="BB24" i="15"/>
  <c r="AJ24" i="15"/>
  <c r="V24" i="15"/>
  <c r="AF24" i="15"/>
  <c r="F24" i="15"/>
  <c r="AR24" i="15"/>
  <c r="R24" i="15"/>
  <c r="I42" i="171"/>
  <c r="C42" i="164"/>
  <c r="D42" i="164" s="1"/>
  <c r="G45" i="14"/>
  <c r="L42" i="170"/>
  <c r="C60" i="171"/>
  <c r="C60" i="164" s="1"/>
  <c r="E60" i="164" s="1"/>
  <c r="J42" i="171"/>
  <c r="K60" i="170"/>
  <c r="C45" i="156"/>
  <c r="E45" i="15"/>
  <c r="Z45" i="15" s="1"/>
  <c r="B60" i="170"/>
  <c r="G60" i="170"/>
  <c r="C55" i="171"/>
  <c r="J55" i="171" s="1"/>
  <c r="J55" i="170"/>
  <c r="K55" i="170"/>
  <c r="B55" i="170"/>
  <c r="J60" i="170"/>
  <c r="L60" i="161"/>
  <c r="O60" i="161" s="1"/>
  <c r="R60" i="161" s="1"/>
  <c r="AG35" i="15"/>
  <c r="W35" i="15"/>
  <c r="AI35" i="15"/>
  <c r="BM35" i="15"/>
  <c r="BO35" i="15" s="1"/>
  <c r="BP35" i="15" s="1"/>
  <c r="BR35" i="15" s="1"/>
  <c r="BS35" i="15" s="1"/>
  <c r="G35" i="15"/>
  <c r="Y35" i="15"/>
  <c r="BE35" i="15"/>
  <c r="M35" i="15"/>
  <c r="AC35" i="15"/>
  <c r="K35" i="15"/>
  <c r="E35" i="15"/>
  <c r="AW35" i="15"/>
  <c r="S35" i="15"/>
  <c r="BC35" i="15"/>
  <c r="U35" i="15"/>
  <c r="O35" i="15"/>
  <c r="BQ35" i="15"/>
  <c r="BI35" i="15"/>
  <c r="D35" i="15"/>
  <c r="BA35" i="15"/>
  <c r="AK35" i="15"/>
  <c r="AA35" i="15"/>
  <c r="AM35" i="15"/>
  <c r="AO35" i="15"/>
  <c r="AE35" i="15"/>
  <c r="Q35" i="15"/>
  <c r="AQ35" i="15"/>
  <c r="BK35" i="15"/>
  <c r="C35" i="156"/>
  <c r="I35" i="15"/>
  <c r="AY35" i="15"/>
  <c r="AU35" i="15"/>
  <c r="AS35" i="15"/>
  <c r="BG35" i="15"/>
  <c r="BN35" i="15"/>
  <c r="C27" i="17"/>
  <c r="C29" i="16"/>
  <c r="D29" i="16" s="1"/>
  <c r="E29" i="16" s="1"/>
  <c r="P29" i="4"/>
  <c r="D63" i="170"/>
  <c r="D71" i="170"/>
  <c r="C58" i="170"/>
  <c r="C71" i="164"/>
  <c r="E71" i="164" s="1"/>
  <c r="G71" i="171"/>
  <c r="J71" i="171"/>
  <c r="F71" i="171"/>
  <c r="K71" i="171"/>
  <c r="I71" i="171"/>
  <c r="L71" i="171"/>
  <c r="B71" i="171"/>
  <c r="D71" i="171"/>
  <c r="C62" i="171"/>
  <c r="K62" i="170"/>
  <c r="J62" i="170"/>
  <c r="B62" i="170"/>
  <c r="C34" i="170"/>
  <c r="F63" i="170"/>
  <c r="Q63" i="165" s="1"/>
  <c r="Q63" i="166" s="1"/>
  <c r="C63" i="171"/>
  <c r="K63" i="170"/>
  <c r="B63" i="170"/>
  <c r="M63" i="170"/>
  <c r="G63" i="170"/>
  <c r="L63" i="170"/>
  <c r="J63" i="170"/>
  <c r="H63" i="170"/>
  <c r="AH20" i="15"/>
  <c r="L20" i="15"/>
  <c r="N20" i="15"/>
  <c r="AP20" i="15"/>
  <c r="BD20" i="15"/>
  <c r="AF20" i="15"/>
  <c r="AD20" i="15"/>
  <c r="I63" i="161"/>
  <c r="L63" i="161" s="1"/>
  <c r="AJ20" i="15"/>
  <c r="AN20" i="15"/>
  <c r="BL20" i="15"/>
  <c r="P20" i="15"/>
  <c r="H20" i="15"/>
  <c r="AR20" i="15"/>
  <c r="BB20" i="15"/>
  <c r="AX20" i="15"/>
  <c r="AV20" i="15"/>
  <c r="F20" i="15"/>
  <c r="V20" i="15"/>
  <c r="BH20" i="15"/>
  <c r="AL20" i="15"/>
  <c r="X20" i="15"/>
  <c r="AB20" i="15"/>
  <c r="AZ20" i="15"/>
  <c r="J20" i="15"/>
  <c r="R20" i="15"/>
  <c r="AT20" i="15"/>
  <c r="Z20" i="15"/>
  <c r="BJ20" i="15"/>
  <c r="T20" i="15"/>
  <c r="V20" i="156"/>
  <c r="W20" i="156" s="1"/>
  <c r="X20" i="156" s="1"/>
  <c r="Y20" i="156" s="1"/>
  <c r="AT20" i="156"/>
  <c r="AU20" i="156" s="1"/>
  <c r="AK20" i="156"/>
  <c r="J20" i="156"/>
  <c r="K20" i="156" s="1"/>
  <c r="L20" i="156" s="1"/>
  <c r="Z20" i="156"/>
  <c r="AA20" i="156" s="1"/>
  <c r="AB20" i="156" s="1"/>
  <c r="N20" i="156"/>
  <c r="O20" i="156" s="1"/>
  <c r="P20" i="156" s="1"/>
  <c r="M20" i="156"/>
  <c r="R20" i="156"/>
  <c r="S20" i="156" s="1"/>
  <c r="T20" i="156" s="1"/>
  <c r="AC20" i="156"/>
  <c r="AS20" i="156"/>
  <c r="I20" i="156"/>
  <c r="AV20" i="156"/>
  <c r="AL20" i="156"/>
  <c r="AM20" i="156" s="1"/>
  <c r="AN20" i="156" s="1"/>
  <c r="AH20" i="156"/>
  <c r="AI20" i="156" s="1"/>
  <c r="AJ20" i="156" s="1"/>
  <c r="AD20" i="156"/>
  <c r="AE20" i="156" s="1"/>
  <c r="AF20" i="156" s="1"/>
  <c r="AG20" i="156" s="1"/>
  <c r="AP20" i="156"/>
  <c r="AQ20" i="156" s="1"/>
  <c r="AR20" i="156" s="1"/>
  <c r="U20" i="156"/>
  <c r="Q20" i="156"/>
  <c r="AO20" i="156"/>
  <c r="B34" i="161"/>
  <c r="H48" i="15"/>
  <c r="R48" i="15"/>
  <c r="P48" i="15"/>
  <c r="N48" i="15"/>
  <c r="B62" i="161"/>
  <c r="AV48" i="15"/>
  <c r="AF48" i="15"/>
  <c r="L48" i="15"/>
  <c r="J48" i="15"/>
  <c r="AL48" i="15"/>
  <c r="AP48" i="15"/>
  <c r="AT48" i="15"/>
  <c r="BF48" i="15"/>
  <c r="BH48" i="15"/>
  <c r="AR48" i="15"/>
  <c r="BB48" i="15"/>
  <c r="Z48" i="15"/>
  <c r="AZ48" i="15"/>
  <c r="AD48" i="15"/>
  <c r="T48" i="15"/>
  <c r="X48" i="15"/>
  <c r="V48" i="15"/>
  <c r="AB48" i="15"/>
  <c r="AJ48" i="15"/>
  <c r="AN48" i="15"/>
  <c r="AH48" i="15"/>
  <c r="BL48" i="15"/>
  <c r="AX48" i="15"/>
  <c r="BD48" i="15"/>
  <c r="BJ48" i="15"/>
  <c r="J27" i="4"/>
  <c r="L27" i="4" s="1"/>
  <c r="N27" i="4" s="1"/>
  <c r="D29" i="4"/>
  <c r="E29" i="4" s="1"/>
  <c r="F29" i="4" s="1"/>
  <c r="G29" i="4" s="1"/>
  <c r="H29" i="4" s="1"/>
  <c r="I29" i="4" s="1"/>
  <c r="J29" i="4" s="1"/>
  <c r="L29" i="4" s="1"/>
  <c r="AX59" i="166"/>
  <c r="B56" i="165"/>
  <c r="B56" i="166" s="1"/>
  <c r="B58" i="161"/>
  <c r="I71" i="161"/>
  <c r="L71" i="161" s="1"/>
  <c r="O71" i="161" s="1"/>
  <c r="R71" i="161" s="1"/>
  <c r="B77" i="165"/>
  <c r="B77" i="166" s="1"/>
  <c r="AX45" i="166"/>
  <c r="B48" i="165"/>
  <c r="B48" i="166" s="1"/>
  <c r="B49" i="165"/>
  <c r="B49" i="166" s="1"/>
  <c r="B44" i="165"/>
  <c r="B44" i="166" s="1"/>
  <c r="B55" i="165"/>
  <c r="B55" i="166" s="1"/>
  <c r="AX66" i="166"/>
  <c r="AX54" i="166"/>
  <c r="AX33" i="166"/>
  <c r="H36" i="15"/>
  <c r="AN36" i="15"/>
  <c r="AF36" i="15"/>
  <c r="BD36" i="15"/>
  <c r="AV36" i="15"/>
  <c r="AR36" i="15"/>
  <c r="AX36" i="15"/>
  <c r="V36" i="15"/>
  <c r="AJ36" i="15"/>
  <c r="BJ36" i="15"/>
  <c r="BB36" i="15"/>
  <c r="AD36" i="15"/>
  <c r="AL36" i="15"/>
  <c r="F36" i="15"/>
  <c r="P36" i="15"/>
  <c r="AP36" i="15"/>
  <c r="BH36" i="15"/>
  <c r="AT36" i="15"/>
  <c r="J36" i="15"/>
  <c r="T36" i="15"/>
  <c r="AZ36" i="15"/>
  <c r="AB36" i="15"/>
  <c r="BL36" i="15"/>
  <c r="AH36" i="15"/>
  <c r="BF36" i="15"/>
  <c r="L36" i="15"/>
  <c r="Z36" i="15"/>
  <c r="X36" i="15"/>
  <c r="R36" i="15"/>
  <c r="N36" i="15"/>
  <c r="AH36" i="156"/>
  <c r="AI36" i="156" s="1"/>
  <c r="AJ36" i="156" s="1"/>
  <c r="I36" i="156"/>
  <c r="R36" i="156"/>
  <c r="S36" i="156" s="1"/>
  <c r="T36" i="156" s="1"/>
  <c r="N36" i="156"/>
  <c r="O36" i="156" s="1"/>
  <c r="P36" i="156" s="1"/>
  <c r="AD36" i="156"/>
  <c r="AE36" i="156" s="1"/>
  <c r="AF36" i="156" s="1"/>
  <c r="AG36" i="156" s="1"/>
  <c r="Y36" i="156"/>
  <c r="AS36" i="156"/>
  <c r="AK36" i="156"/>
  <c r="M36" i="156"/>
  <c r="AV36" i="156"/>
  <c r="U36" i="156"/>
  <c r="AL36" i="156"/>
  <c r="AM36" i="156" s="1"/>
  <c r="AN36" i="156" s="1"/>
  <c r="V36" i="156"/>
  <c r="W36" i="156" s="1"/>
  <c r="X36" i="156" s="1"/>
  <c r="J36" i="156"/>
  <c r="K36" i="156" s="1"/>
  <c r="L36" i="156" s="1"/>
  <c r="AP36" i="156"/>
  <c r="AQ36" i="156" s="1"/>
  <c r="AR36" i="156" s="1"/>
  <c r="AC36" i="156"/>
  <c r="AO36" i="156"/>
  <c r="Q36" i="156"/>
  <c r="AT36" i="156"/>
  <c r="AU36" i="156" s="1"/>
  <c r="Z36" i="156"/>
  <c r="AA36" i="156" s="1"/>
  <c r="AB36" i="156" s="1"/>
  <c r="F36" i="156"/>
  <c r="H36" i="156" s="1"/>
  <c r="F44" i="156"/>
  <c r="AT44" i="15"/>
  <c r="BJ44" i="15"/>
  <c r="BD44" i="15"/>
  <c r="AR44" i="15"/>
  <c r="AD44" i="15"/>
  <c r="L44" i="15"/>
  <c r="AP44" i="15"/>
  <c r="AB44" i="15"/>
  <c r="Z44" i="15"/>
  <c r="BB44" i="15"/>
  <c r="R44" i="15"/>
  <c r="AL44" i="15"/>
  <c r="P44" i="15"/>
  <c r="AH44" i="15"/>
  <c r="N44" i="15"/>
  <c r="F44" i="15"/>
  <c r="AN44" i="15"/>
  <c r="AF44" i="15"/>
  <c r="AX44" i="15"/>
  <c r="X44" i="15"/>
  <c r="T44" i="15"/>
  <c r="BF44" i="15"/>
  <c r="AJ44" i="15"/>
  <c r="J44" i="15"/>
  <c r="BL44" i="15"/>
  <c r="AV44" i="15"/>
  <c r="BH44" i="15"/>
  <c r="AZ44" i="15"/>
  <c r="V44" i="15"/>
  <c r="R55" i="165" l="1"/>
  <c r="R55" i="166" s="1"/>
  <c r="R49" i="165"/>
  <c r="R49" i="166" s="1"/>
  <c r="R48" i="165"/>
  <c r="R48" i="166" s="1"/>
  <c r="R77" i="165"/>
  <c r="R77" i="166" s="1"/>
  <c r="R56" i="165"/>
  <c r="R56" i="166" s="1"/>
  <c r="R44" i="165"/>
  <c r="R44" i="166" s="1"/>
  <c r="I56" i="161"/>
  <c r="L56" i="161" s="1"/>
  <c r="G56" i="171"/>
  <c r="F56" i="171"/>
  <c r="C56" i="164"/>
  <c r="J56" i="171"/>
  <c r="L56" i="171"/>
  <c r="B56" i="171"/>
  <c r="K56" i="171"/>
  <c r="I56" i="171"/>
  <c r="BA69" i="15"/>
  <c r="H44" i="15"/>
  <c r="AM69" i="15"/>
  <c r="L55" i="170"/>
  <c r="C59" i="161"/>
  <c r="H50" i="161"/>
  <c r="Q50" i="161"/>
  <c r="T50" i="161"/>
  <c r="U50" i="161" s="1"/>
  <c r="D50" i="170" s="1"/>
  <c r="J50" i="170"/>
  <c r="H50" i="170"/>
  <c r="D50" i="171" s="1"/>
  <c r="N50" i="161"/>
  <c r="S50" i="161"/>
  <c r="F50" i="161"/>
  <c r="P50" i="161"/>
  <c r="F50" i="170"/>
  <c r="Q50" i="165" s="1"/>
  <c r="Q50" i="166" s="1"/>
  <c r="G50" i="170"/>
  <c r="G50" i="161"/>
  <c r="Z50" i="161"/>
  <c r="J50" i="161"/>
  <c r="M50" i="170"/>
  <c r="K50" i="170"/>
  <c r="K50" i="161"/>
  <c r="M50" i="161"/>
  <c r="B50" i="161"/>
  <c r="B50" i="170"/>
  <c r="L50" i="170"/>
  <c r="B42" i="164"/>
  <c r="F60" i="171"/>
  <c r="J60" i="171"/>
  <c r="AF45" i="15"/>
  <c r="K42" i="171"/>
  <c r="B60" i="171"/>
  <c r="L60" i="171"/>
  <c r="K60" i="171"/>
  <c r="I60" i="171"/>
  <c r="G60" i="171"/>
  <c r="S60" i="165" s="1"/>
  <c r="S60" i="166" s="1"/>
  <c r="C55" i="164"/>
  <c r="AP45" i="15"/>
  <c r="AV45" i="15"/>
  <c r="AX45" i="15"/>
  <c r="V45" i="15"/>
  <c r="AR45" i="15"/>
  <c r="AN45" i="15"/>
  <c r="AH45" i="15"/>
  <c r="BL45" i="15"/>
  <c r="BB45" i="15"/>
  <c r="AJ45" i="15"/>
  <c r="N45" i="15"/>
  <c r="H45" i="15"/>
  <c r="AT45" i="15"/>
  <c r="J45" i="15"/>
  <c r="X45" i="15"/>
  <c r="BD45" i="15"/>
  <c r="BF45" i="15"/>
  <c r="T45" i="15"/>
  <c r="R45" i="15"/>
  <c r="AL45" i="15"/>
  <c r="BH45" i="15"/>
  <c r="L45" i="15"/>
  <c r="AD45" i="15"/>
  <c r="AB45" i="15"/>
  <c r="BJ45" i="15"/>
  <c r="F45" i="156"/>
  <c r="F45" i="15"/>
  <c r="AZ45" i="15"/>
  <c r="P45" i="15"/>
  <c r="B55" i="171"/>
  <c r="I55" i="171"/>
  <c r="K55" i="171" s="1"/>
  <c r="D27" i="17"/>
  <c r="E27" i="17" s="1"/>
  <c r="F27" i="17" s="1"/>
  <c r="G27" i="17" s="1"/>
  <c r="H27" i="17" s="1"/>
  <c r="I27" i="17" s="1"/>
  <c r="C27" i="19"/>
  <c r="AL35" i="15"/>
  <c r="Z35" i="15"/>
  <c r="AJ35" i="15"/>
  <c r="N35" i="15"/>
  <c r="BL35" i="15"/>
  <c r="AV35" i="15"/>
  <c r="AP35" i="15"/>
  <c r="BJ35" i="15"/>
  <c r="BB35" i="15"/>
  <c r="AB35" i="15"/>
  <c r="V35" i="15"/>
  <c r="R35" i="15"/>
  <c r="X35" i="15"/>
  <c r="F35" i="15"/>
  <c r="BF35" i="15"/>
  <c r="J35" i="15"/>
  <c r="AF35" i="15"/>
  <c r="AR35" i="15"/>
  <c r="AT35" i="15"/>
  <c r="AX35" i="15"/>
  <c r="T35" i="15"/>
  <c r="AN35" i="15"/>
  <c r="AD35" i="15"/>
  <c r="P35" i="15"/>
  <c r="L35" i="15"/>
  <c r="BH35" i="15"/>
  <c r="H35" i="15"/>
  <c r="BD35" i="15"/>
  <c r="AH35" i="15"/>
  <c r="AZ35" i="15"/>
  <c r="C29" i="17"/>
  <c r="J29" i="17" s="1"/>
  <c r="F29" i="16"/>
  <c r="C49" i="161"/>
  <c r="G35" i="14"/>
  <c r="N35" i="156"/>
  <c r="O35" i="156" s="1"/>
  <c r="P35" i="156" s="1"/>
  <c r="AC35" i="156"/>
  <c r="J35" i="156"/>
  <c r="K35" i="156" s="1"/>
  <c r="L35" i="156" s="1"/>
  <c r="Z35" i="156"/>
  <c r="AA35" i="156" s="1"/>
  <c r="AB35" i="156" s="1"/>
  <c r="AD35" i="156"/>
  <c r="AE35" i="156" s="1"/>
  <c r="AF35" i="156" s="1"/>
  <c r="AL35" i="156"/>
  <c r="AM35" i="156" s="1"/>
  <c r="AN35" i="156" s="1"/>
  <c r="AH35" i="156"/>
  <c r="AI35" i="156" s="1"/>
  <c r="AJ35" i="156" s="1"/>
  <c r="AS35" i="156"/>
  <c r="U35" i="156"/>
  <c r="M35" i="156"/>
  <c r="Y35" i="156"/>
  <c r="AO35" i="156"/>
  <c r="Q35" i="156"/>
  <c r="AV35" i="156"/>
  <c r="AP35" i="156"/>
  <c r="AQ35" i="156" s="1"/>
  <c r="AR35" i="156" s="1"/>
  <c r="AT35" i="156"/>
  <c r="AU35" i="156" s="1"/>
  <c r="I35" i="156"/>
  <c r="R35" i="156"/>
  <c r="S35" i="156" s="1"/>
  <c r="T35" i="156" s="1"/>
  <c r="V35" i="156"/>
  <c r="W35" i="156" s="1"/>
  <c r="X35" i="156" s="1"/>
  <c r="F35" i="156"/>
  <c r="H35" i="156" s="1"/>
  <c r="AK35" i="156"/>
  <c r="AG35" i="156"/>
  <c r="O27" i="4"/>
  <c r="P60" i="164"/>
  <c r="L62" i="170"/>
  <c r="C62" i="164"/>
  <c r="J62" i="171"/>
  <c r="I62" i="171"/>
  <c r="B62" i="171"/>
  <c r="S71" i="165"/>
  <c r="S71" i="166" s="1"/>
  <c r="G71" i="164"/>
  <c r="D63" i="171"/>
  <c r="B63" i="171"/>
  <c r="C63" i="164"/>
  <c r="E63" i="164" s="1"/>
  <c r="F63" i="171"/>
  <c r="I63" i="171"/>
  <c r="K63" i="171"/>
  <c r="G63" i="171"/>
  <c r="J63" i="171"/>
  <c r="L63" i="171"/>
  <c r="C50" i="164"/>
  <c r="E50" i="164" s="1"/>
  <c r="L50" i="171"/>
  <c r="B50" i="171"/>
  <c r="F50" i="171"/>
  <c r="J50" i="171"/>
  <c r="K50" i="171"/>
  <c r="I50" i="171"/>
  <c r="G50" i="171"/>
  <c r="C58" i="171"/>
  <c r="K58" i="170"/>
  <c r="J58" i="170"/>
  <c r="B58" i="170"/>
  <c r="O63" i="161"/>
  <c r="R63" i="161" s="1"/>
  <c r="V60" i="164"/>
  <c r="W60" i="164" s="1"/>
  <c r="T60" i="165" s="1"/>
  <c r="T60" i="166" s="1"/>
  <c r="M60" i="164"/>
  <c r="B60" i="164"/>
  <c r="S60" i="164"/>
  <c r="U60" i="164"/>
  <c r="F60" i="164"/>
  <c r="X60" i="164" s="1"/>
  <c r="J60" i="164"/>
  <c r="H60" i="164"/>
  <c r="I60" i="164"/>
  <c r="O60" i="164"/>
  <c r="R60" i="164"/>
  <c r="L60" i="164"/>
  <c r="D60" i="164"/>
  <c r="K29" i="4"/>
  <c r="M29" i="4" s="1"/>
  <c r="N29" i="4"/>
  <c r="O29" i="4" s="1"/>
  <c r="B42" i="165"/>
  <c r="B42" i="166" s="1"/>
  <c r="B53" i="165"/>
  <c r="B53" i="166" s="1"/>
  <c r="B60" i="165"/>
  <c r="B60" i="166" s="1"/>
  <c r="W72" i="15"/>
  <c r="BI72" i="15"/>
  <c r="BE72" i="15"/>
  <c r="BE69" i="15"/>
  <c r="BE71" i="15"/>
  <c r="BE73" i="15"/>
  <c r="K71" i="15"/>
  <c r="Y72" i="15"/>
  <c r="AQ71" i="15"/>
  <c r="AY71" i="15"/>
  <c r="AQ73" i="15"/>
  <c r="AQ72" i="15"/>
  <c r="AX48" i="166"/>
  <c r="AQ69" i="15"/>
  <c r="AQ75" i="15"/>
  <c r="AX42" i="166"/>
  <c r="AX55" i="166"/>
  <c r="AX44" i="166"/>
  <c r="AA49" i="166"/>
  <c r="AX49" i="166"/>
  <c r="AX77" i="166"/>
  <c r="AY72" i="15"/>
  <c r="M69" i="15"/>
  <c r="AY69" i="15"/>
  <c r="AY73" i="15"/>
  <c r="AY75" i="15"/>
  <c r="BI73" i="15"/>
  <c r="AI69" i="15"/>
  <c r="AS75" i="15"/>
  <c r="BK72" i="15"/>
  <c r="AM73" i="15"/>
  <c r="AS73" i="15"/>
  <c r="BI69" i="15"/>
  <c r="U69" i="15"/>
  <c r="AG73" i="15"/>
  <c r="AU73" i="15"/>
  <c r="AM71" i="15"/>
  <c r="M75" i="15"/>
  <c r="BC69" i="15"/>
  <c r="U71" i="15"/>
  <c r="S72" i="15"/>
  <c r="K69" i="15"/>
  <c r="O72" i="15"/>
  <c r="BM71" i="15"/>
  <c r="BN71" i="15" s="1"/>
  <c r="BM75" i="15"/>
  <c r="BO75" i="15" s="1"/>
  <c r="BP75" i="15" s="1"/>
  <c r="BR75" i="15" s="1"/>
  <c r="AM75" i="15"/>
  <c r="U73" i="15"/>
  <c r="AG75" i="15"/>
  <c r="BG71" i="15"/>
  <c r="BM72" i="15"/>
  <c r="BN72" i="15" s="1"/>
  <c r="BM73" i="15"/>
  <c r="BO73" i="15" s="1"/>
  <c r="BP73" i="15" s="1"/>
  <c r="BR73" i="15" s="1"/>
  <c r="AS69" i="15"/>
  <c r="AS72" i="15"/>
  <c r="M73" i="15"/>
  <c r="M72" i="15"/>
  <c r="AI75" i="15"/>
  <c r="AI72" i="15"/>
  <c r="BK71" i="15"/>
  <c r="O71" i="15"/>
  <c r="BC75" i="15"/>
  <c r="BM69" i="15"/>
  <c r="BO69" i="15" s="1"/>
  <c r="BP69" i="15" s="1"/>
  <c r="BR69" i="15" s="1"/>
  <c r="AM72" i="15"/>
  <c r="AS71" i="15"/>
  <c r="U72" i="15"/>
  <c r="U75" i="15"/>
  <c r="AI73" i="15"/>
  <c r="AI71" i="15"/>
  <c r="BK75" i="15"/>
  <c r="BK73" i="15"/>
  <c r="AE72" i="15"/>
  <c r="S71" i="15"/>
  <c r="BC72" i="15"/>
  <c r="AU72" i="15"/>
  <c r="BG72" i="15"/>
  <c r="M71" i="15"/>
  <c r="BK69" i="15"/>
  <c r="AO69" i="15"/>
  <c r="BC71" i="15"/>
  <c r="BI71" i="15"/>
  <c r="BI75" i="15"/>
  <c r="AU75" i="15"/>
  <c r="K72" i="15"/>
  <c r="AC69" i="15"/>
  <c r="S69" i="15"/>
  <c r="BE75" i="15"/>
  <c r="AU71" i="15"/>
  <c r="Y69" i="15"/>
  <c r="AC73" i="15"/>
  <c r="AK75" i="15"/>
  <c r="AU69" i="15"/>
  <c r="Y71" i="15"/>
  <c r="AE75" i="15"/>
  <c r="AE69" i="15"/>
  <c r="Q71" i="15"/>
  <c r="AK72" i="15"/>
  <c r="AO72" i="15"/>
  <c r="Y73" i="15"/>
  <c r="Y75" i="15"/>
  <c r="O75" i="15"/>
  <c r="AK69" i="15"/>
  <c r="K73" i="15"/>
  <c r="AO75" i="15"/>
  <c r="AE73" i="15"/>
  <c r="O73" i="15"/>
  <c r="AC75" i="15"/>
  <c r="AC72" i="15"/>
  <c r="BA72" i="15"/>
  <c r="K75" i="15"/>
  <c r="AO73" i="15"/>
  <c r="AO71" i="15"/>
  <c r="AE71" i="15"/>
  <c r="O69" i="15"/>
  <c r="AC71" i="15"/>
  <c r="S75" i="15"/>
  <c r="S73" i="15"/>
  <c r="AA75" i="15"/>
  <c r="AA69" i="15"/>
  <c r="Q75" i="15"/>
  <c r="BA71" i="15"/>
  <c r="AK71" i="15"/>
  <c r="AK73" i="15"/>
  <c r="AA72" i="15"/>
  <c r="Q73" i="15"/>
  <c r="W73" i="15"/>
  <c r="BG73" i="15"/>
  <c r="AG69" i="15"/>
  <c r="AA71" i="15"/>
  <c r="Q69" i="15"/>
  <c r="W71" i="15"/>
  <c r="BA73" i="15"/>
  <c r="AW73" i="15"/>
  <c r="BG69" i="15"/>
  <c r="BG75" i="15"/>
  <c r="AG72" i="15"/>
  <c r="AG71" i="15"/>
  <c r="AA73" i="15"/>
  <c r="BC73" i="15"/>
  <c r="Q72" i="15"/>
  <c r="W75" i="15"/>
  <c r="W69" i="15"/>
  <c r="BA75" i="15"/>
  <c r="AW71" i="15"/>
  <c r="AW72" i="15"/>
  <c r="AW69" i="15"/>
  <c r="AW75" i="15"/>
  <c r="R53" i="165" l="1"/>
  <c r="R53" i="166" s="1"/>
  <c r="P71" i="165"/>
  <c r="P71" i="166" s="1"/>
  <c r="P60" i="165"/>
  <c r="P60" i="166" s="1"/>
  <c r="R60" i="165"/>
  <c r="R60" i="166" s="1"/>
  <c r="O56" i="161"/>
  <c r="R56" i="161" s="1"/>
  <c r="E56" i="164"/>
  <c r="D56" i="164"/>
  <c r="F56" i="164"/>
  <c r="X56" i="164" s="1"/>
  <c r="R56" i="164"/>
  <c r="I56" i="164"/>
  <c r="H56" i="164"/>
  <c r="J56" i="164"/>
  <c r="V56" i="164"/>
  <c r="W56" i="164" s="1"/>
  <c r="T56" i="165" s="1"/>
  <c r="T56" i="166" s="1"/>
  <c r="U56" i="164"/>
  <c r="P56" i="164"/>
  <c r="L56" i="164"/>
  <c r="M56" i="164"/>
  <c r="O56" i="164"/>
  <c r="B56" i="164"/>
  <c r="S56" i="164"/>
  <c r="S56" i="165"/>
  <c r="S56" i="166" s="1"/>
  <c r="G56" i="164"/>
  <c r="L58" i="170"/>
  <c r="C59" i="170"/>
  <c r="B59" i="161"/>
  <c r="E29" i="7"/>
  <c r="E29" i="177" s="1"/>
  <c r="B55" i="164"/>
  <c r="I50" i="161"/>
  <c r="L50" i="161" s="1"/>
  <c r="O50" i="161" s="1"/>
  <c r="R50" i="161" s="1"/>
  <c r="D55" i="164"/>
  <c r="G60" i="164"/>
  <c r="Z49" i="161"/>
  <c r="S49" i="161"/>
  <c r="B49" i="161"/>
  <c r="Q49" i="161"/>
  <c r="M49" i="161"/>
  <c r="F49" i="161"/>
  <c r="K49" i="161"/>
  <c r="G49" i="161"/>
  <c r="P49" i="161"/>
  <c r="H49" i="161"/>
  <c r="C49" i="170"/>
  <c r="N49" i="161"/>
  <c r="T49" i="161"/>
  <c r="U49" i="161" s="1"/>
  <c r="D49" i="170" s="1"/>
  <c r="J49" i="161"/>
  <c r="G27" i="19"/>
  <c r="C27" i="20"/>
  <c r="I27" i="19"/>
  <c r="D27" i="19"/>
  <c r="H27" i="19" s="1"/>
  <c r="F27" i="19"/>
  <c r="K27" i="19" s="1"/>
  <c r="E27" i="19"/>
  <c r="J27" i="19" s="1"/>
  <c r="C29" i="19"/>
  <c r="O29" i="19" s="1"/>
  <c r="D29" i="17"/>
  <c r="E29" i="17" s="1"/>
  <c r="F29" i="17" s="1"/>
  <c r="G29" i="17" s="1"/>
  <c r="H29" i="17" s="1"/>
  <c r="I29" i="17" s="1"/>
  <c r="N69" i="7"/>
  <c r="AF83" i="174"/>
  <c r="N72" i="7"/>
  <c r="AF86" i="174"/>
  <c r="N75" i="7"/>
  <c r="AF89" i="174"/>
  <c r="N71" i="7"/>
  <c r="AF85" i="174"/>
  <c r="N73" i="7"/>
  <c r="AF87" i="174"/>
  <c r="K62" i="171"/>
  <c r="C58" i="164"/>
  <c r="I58" i="171"/>
  <c r="B58" i="171"/>
  <c r="J58" i="171"/>
  <c r="S63" i="165"/>
  <c r="S63" i="166" s="1"/>
  <c r="G63" i="164"/>
  <c r="D63" i="164"/>
  <c r="G50" i="164"/>
  <c r="S50" i="165"/>
  <c r="S50" i="166" s="1"/>
  <c r="R42" i="165"/>
  <c r="R42" i="166" s="1"/>
  <c r="B63" i="164"/>
  <c r="S63" i="164"/>
  <c r="U63" i="164"/>
  <c r="J63" i="164"/>
  <c r="R63" i="164"/>
  <c r="H63" i="164"/>
  <c r="V63" i="164"/>
  <c r="W63" i="164" s="1"/>
  <c r="T63" i="165" s="1"/>
  <c r="T63" i="166" s="1"/>
  <c r="F63" i="164"/>
  <c r="X63" i="164" s="1"/>
  <c r="I63" i="164"/>
  <c r="P63" i="164"/>
  <c r="O63" i="164"/>
  <c r="L63" i="164"/>
  <c r="M63" i="164"/>
  <c r="K60" i="164"/>
  <c r="N60" i="164" s="1"/>
  <c r="D29" i="7"/>
  <c r="D29" i="177" s="1"/>
  <c r="F29" i="7"/>
  <c r="F29" i="177" s="1"/>
  <c r="AX56" i="166"/>
  <c r="X49" i="166"/>
  <c r="Z49" i="166" s="1"/>
  <c r="B63" i="165"/>
  <c r="B63" i="166" s="1"/>
  <c r="P71" i="164"/>
  <c r="M71" i="164"/>
  <c r="H71" i="164"/>
  <c r="D71" i="164"/>
  <c r="S71" i="164"/>
  <c r="I71" i="164"/>
  <c r="J71" i="164"/>
  <c r="O71" i="164"/>
  <c r="R71" i="164"/>
  <c r="B71" i="164"/>
  <c r="V71" i="164"/>
  <c r="W71" i="164" s="1"/>
  <c r="T71" i="165" s="1"/>
  <c r="T71" i="166" s="1"/>
  <c r="U71" i="164"/>
  <c r="F71" i="164"/>
  <c r="X71" i="164" s="1"/>
  <c r="L71" i="164"/>
  <c r="AX53" i="166"/>
  <c r="AX60" i="166"/>
  <c r="BN75" i="15"/>
  <c r="BN69" i="15"/>
  <c r="BO72" i="15"/>
  <c r="BP72" i="15" s="1"/>
  <c r="BR72" i="15" s="1"/>
  <c r="BO71" i="15"/>
  <c r="BP71" i="15" s="1"/>
  <c r="BR71" i="15" s="1"/>
  <c r="BN73" i="15"/>
  <c r="B46" i="165"/>
  <c r="B46" i="166" s="1"/>
  <c r="B62" i="165"/>
  <c r="B62" i="166" s="1"/>
  <c r="R62" i="165" l="1"/>
  <c r="R62" i="166" s="1"/>
  <c r="R46" i="165"/>
  <c r="R46" i="166" s="1"/>
  <c r="AA56" i="166"/>
  <c r="R63" i="165"/>
  <c r="R63" i="166" s="1"/>
  <c r="P63" i="165"/>
  <c r="P63" i="166" s="1"/>
  <c r="P50" i="165"/>
  <c r="P50" i="166" s="1"/>
  <c r="P56" i="165"/>
  <c r="P56" i="166" s="1"/>
  <c r="K56" i="164"/>
  <c r="K58" i="171"/>
  <c r="B59" i="170"/>
  <c r="K59" i="170"/>
  <c r="J59" i="170"/>
  <c r="C59" i="171"/>
  <c r="C59" i="164" s="1"/>
  <c r="I49" i="161"/>
  <c r="L49" i="161" s="1"/>
  <c r="O49" i="161" s="1"/>
  <c r="L29" i="19"/>
  <c r="C27" i="21"/>
  <c r="C27" i="177" s="1"/>
  <c r="D27" i="20"/>
  <c r="E27" i="20" s="1"/>
  <c r="F27" i="20" s="1"/>
  <c r="B49" i="170"/>
  <c r="M49" i="170"/>
  <c r="F49" i="170"/>
  <c r="Q49" i="165" s="1"/>
  <c r="Q49" i="166" s="1"/>
  <c r="G49" i="170"/>
  <c r="J49" i="170"/>
  <c r="C49" i="171"/>
  <c r="H49" i="170"/>
  <c r="D49" i="171" s="1"/>
  <c r="K49" i="170"/>
  <c r="L49" i="170"/>
  <c r="C29" i="20"/>
  <c r="G29" i="20" s="1"/>
  <c r="M29" i="19" a="1"/>
  <c r="M29" i="19" s="1"/>
  <c r="N29" i="19" s="1"/>
  <c r="E29" i="19"/>
  <c r="J29" i="19" s="1"/>
  <c r="G29" i="19"/>
  <c r="F29" i="19"/>
  <c r="K29" i="19" s="1"/>
  <c r="D29" i="19"/>
  <c r="H29" i="19" s="1"/>
  <c r="I29" i="19"/>
  <c r="E74" i="7"/>
  <c r="E74" i="177" s="1"/>
  <c r="K63" i="164"/>
  <c r="N63" i="164" s="1"/>
  <c r="Q63" i="164" s="1"/>
  <c r="Q60" i="164"/>
  <c r="T60" i="164" s="1"/>
  <c r="B62" i="164"/>
  <c r="D62" i="164"/>
  <c r="E29" i="156"/>
  <c r="G29" i="7"/>
  <c r="G29" i="177" s="1"/>
  <c r="E27" i="156"/>
  <c r="X56" i="166"/>
  <c r="Z56" i="166" s="1"/>
  <c r="X60" i="166"/>
  <c r="Z60" i="166" s="1"/>
  <c r="AA60" i="166"/>
  <c r="B38" i="165"/>
  <c r="B38" i="166" s="1"/>
  <c r="B58" i="164"/>
  <c r="D58" i="164"/>
  <c r="AX63" i="166"/>
  <c r="AA63" i="166"/>
  <c r="B71" i="165"/>
  <c r="B71" i="166" s="1"/>
  <c r="K71" i="164"/>
  <c r="N71" i="164" s="1"/>
  <c r="Q71" i="164" s="1"/>
  <c r="T71" i="164" s="1"/>
  <c r="AX38" i="166"/>
  <c r="AX62" i="166"/>
  <c r="U50" i="164"/>
  <c r="R50" i="164"/>
  <c r="H50" i="164"/>
  <c r="O50" i="164"/>
  <c r="I50" i="164"/>
  <c r="S50" i="164"/>
  <c r="D50" i="164"/>
  <c r="V50" i="164"/>
  <c r="W50" i="164" s="1"/>
  <c r="T50" i="165" s="1"/>
  <c r="T50" i="166" s="1"/>
  <c r="P50" i="164"/>
  <c r="M50" i="164"/>
  <c r="J50" i="164"/>
  <c r="L50" i="164"/>
  <c r="B50" i="164"/>
  <c r="F50" i="164"/>
  <c r="X50" i="164" s="1"/>
  <c r="B58" i="165"/>
  <c r="B58" i="166" s="1"/>
  <c r="AX46" i="166"/>
  <c r="B34" i="165"/>
  <c r="B34" i="166" s="1"/>
  <c r="I33" i="2"/>
  <c r="S33" i="2"/>
  <c r="F33" i="2"/>
  <c r="L33" i="2"/>
  <c r="R33" i="3"/>
  <c r="R33" i="2"/>
  <c r="H33" i="2"/>
  <c r="U33" i="2"/>
  <c r="M33" i="2"/>
  <c r="Q33" i="2"/>
  <c r="E33" i="2"/>
  <c r="P33" i="2"/>
  <c r="G33" i="2"/>
  <c r="K33" i="2"/>
  <c r="V33" i="2"/>
  <c r="P33" i="3"/>
  <c r="T33" i="2"/>
  <c r="N33" i="2"/>
  <c r="J33" i="2"/>
  <c r="R71" i="165" l="1"/>
  <c r="R71" i="166" s="1"/>
  <c r="R34" i="165"/>
  <c r="R34" i="166" s="1"/>
  <c r="R58" i="165"/>
  <c r="R58" i="166" s="1"/>
  <c r="L59" i="170"/>
  <c r="N56" i="164"/>
  <c r="Q56" i="164" s="1"/>
  <c r="T56" i="164" s="1"/>
  <c r="B59" i="171"/>
  <c r="J59" i="171"/>
  <c r="I59" i="171"/>
  <c r="H29" i="7"/>
  <c r="H29" i="177" s="1"/>
  <c r="B59" i="164"/>
  <c r="D59" i="164"/>
  <c r="R49" i="161"/>
  <c r="D29" i="20"/>
  <c r="E29" i="20" s="1"/>
  <c r="F29" i="20" s="1"/>
  <c r="C29" i="21"/>
  <c r="C49" i="164"/>
  <c r="G49" i="171"/>
  <c r="K49" i="171"/>
  <c r="J49" i="171"/>
  <c r="L49" i="171"/>
  <c r="B49" i="171"/>
  <c r="F49" i="171"/>
  <c r="I49" i="171"/>
  <c r="C27" i="7"/>
  <c r="C27" i="154"/>
  <c r="D27" i="21"/>
  <c r="E27" i="21" s="1"/>
  <c r="F27" i="21" s="1"/>
  <c r="BC33" i="2"/>
  <c r="BD33" i="2"/>
  <c r="AQ33" i="2"/>
  <c r="AX33" i="2"/>
  <c r="AR33" i="2"/>
  <c r="AS33" i="2"/>
  <c r="BE33" i="2"/>
  <c r="BB33" i="2"/>
  <c r="AP33" i="2"/>
  <c r="BG33" i="2"/>
  <c r="BF33" i="2"/>
  <c r="AW33" i="2"/>
  <c r="AV33" i="2"/>
  <c r="AT33" i="2"/>
  <c r="AJ33" i="3"/>
  <c r="AK33" i="3" s="1"/>
  <c r="AY33" i="2"/>
  <c r="BA33" i="2"/>
  <c r="AU33" i="2"/>
  <c r="R38" i="165"/>
  <c r="R38" i="166" s="1"/>
  <c r="F74" i="7"/>
  <c r="F74" i="177" s="1"/>
  <c r="L74" i="19"/>
  <c r="D74" i="7"/>
  <c r="D74" i="177" s="1"/>
  <c r="X63" i="166"/>
  <c r="Z63" i="166" s="1"/>
  <c r="T63" i="164"/>
  <c r="AX71" i="166"/>
  <c r="AA71" i="166"/>
  <c r="BS73" i="15"/>
  <c r="BS72" i="15"/>
  <c r="BS69" i="15"/>
  <c r="BS71" i="15"/>
  <c r="BS75" i="15"/>
  <c r="BQ75" i="15" s="1"/>
  <c r="AX58" i="166"/>
  <c r="O131" i="165"/>
  <c r="B50" i="165"/>
  <c r="B50" i="166" s="1"/>
  <c r="K50" i="164"/>
  <c r="N50" i="164" s="1"/>
  <c r="AX34" i="166"/>
  <c r="D71" i="156"/>
  <c r="F71" i="156" s="1"/>
  <c r="H71" i="156" s="1"/>
  <c r="I71" i="156" s="1"/>
  <c r="D71" i="15"/>
  <c r="D72" i="156"/>
  <c r="F72" i="156" s="1"/>
  <c r="H72" i="156" s="1"/>
  <c r="D72" i="15"/>
  <c r="D75" i="156"/>
  <c r="F75" i="156" s="1"/>
  <c r="H75" i="156" s="1"/>
  <c r="D75" i="15"/>
  <c r="D69" i="15"/>
  <c r="D69" i="156"/>
  <c r="F69" i="156" s="1"/>
  <c r="H69" i="156" s="1"/>
  <c r="D73" i="15"/>
  <c r="D73" i="156"/>
  <c r="F73" i="156" s="1"/>
  <c r="H73" i="156" s="1"/>
  <c r="K59" i="171" l="1"/>
  <c r="H29" i="21"/>
  <c r="C29" i="177"/>
  <c r="K29" i="177" s="1"/>
  <c r="C41" i="174"/>
  <c r="D27" i="154"/>
  <c r="E27" i="154" s="1"/>
  <c r="F27" i="154" s="1"/>
  <c r="S49" i="165"/>
  <c r="S49" i="166" s="1"/>
  <c r="G49" i="164"/>
  <c r="F49" i="164"/>
  <c r="X49" i="164" s="1"/>
  <c r="P49" i="164"/>
  <c r="R49" i="164"/>
  <c r="B49" i="164"/>
  <c r="H49" i="164"/>
  <c r="L49" i="164"/>
  <c r="S49" i="164"/>
  <c r="I49" i="164"/>
  <c r="D49" i="164"/>
  <c r="U49" i="164"/>
  <c r="J49" i="164"/>
  <c r="E49" i="164"/>
  <c r="V49" i="164"/>
  <c r="W49" i="164" s="1"/>
  <c r="T49" i="165" s="1"/>
  <c r="T49" i="166" s="1"/>
  <c r="O49" i="164"/>
  <c r="M49" i="164"/>
  <c r="D29" i="21"/>
  <c r="E29" i="21" s="1"/>
  <c r="F29" i="21" s="1"/>
  <c r="G29" i="21" s="1"/>
  <c r="C29" i="154"/>
  <c r="G29" i="154" s="1"/>
  <c r="C29" i="7"/>
  <c r="AG33" i="3"/>
  <c r="AA33" i="3" s="1"/>
  <c r="C33" i="4" s="1"/>
  <c r="R50" i="165"/>
  <c r="R50" i="166" s="1"/>
  <c r="R131" i="166" s="1"/>
  <c r="H74" i="7"/>
  <c r="H74" i="177" s="1"/>
  <c r="G74" i="7"/>
  <c r="G74" i="177" s="1"/>
  <c r="W71" i="166"/>
  <c r="Y71" i="166" s="1"/>
  <c r="X71" i="166"/>
  <c r="Z71" i="166" s="1"/>
  <c r="BQ71" i="15"/>
  <c r="BQ69" i="15"/>
  <c r="BQ72" i="15"/>
  <c r="Q50" i="164"/>
  <c r="T50" i="164" s="1"/>
  <c r="AA50" i="166"/>
  <c r="AX50" i="166"/>
  <c r="O131" i="166"/>
  <c r="I72" i="156"/>
  <c r="I69" i="156"/>
  <c r="I75" i="15"/>
  <c r="I71" i="15"/>
  <c r="I73" i="15"/>
  <c r="I72" i="15"/>
  <c r="I69" i="15"/>
  <c r="I73" i="156"/>
  <c r="I75" i="156"/>
  <c r="AD41" i="174" l="1"/>
  <c r="C27" i="14"/>
  <c r="R131" i="165"/>
  <c r="P49" i="165"/>
  <c r="P49" i="166" s="1"/>
  <c r="M29" i="177"/>
  <c r="K29" i="7"/>
  <c r="M29" i="7"/>
  <c r="B41" i="174"/>
  <c r="AE41" i="174"/>
  <c r="C43" i="174"/>
  <c r="G27" i="154"/>
  <c r="D29" i="154"/>
  <c r="E29" i="154" s="1"/>
  <c r="F29" i="154" s="1"/>
  <c r="J29" i="7"/>
  <c r="J29" i="177" s="1"/>
  <c r="K49" i="164"/>
  <c r="N49" i="164" s="1"/>
  <c r="Q49" i="164" s="1"/>
  <c r="T49" i="164" s="1"/>
  <c r="D33" i="4"/>
  <c r="E33" i="4" s="1"/>
  <c r="F33" i="4" s="1"/>
  <c r="G33" i="4" s="1"/>
  <c r="H33" i="4" s="1"/>
  <c r="I33" i="4" s="1"/>
  <c r="J33" i="4" s="1"/>
  <c r="L33" i="4" s="1"/>
  <c r="P33" i="4"/>
  <c r="M77" i="3"/>
  <c r="E8" i="175" s="1"/>
  <c r="M78" i="3"/>
  <c r="M48" i="3"/>
  <c r="M64" i="3"/>
  <c r="E8" i="118"/>
  <c r="AB48" i="3"/>
  <c r="E6" i="174"/>
  <c r="G61" i="174" s="1"/>
  <c r="M76" i="3"/>
  <c r="M25" i="3"/>
  <c r="M28" i="3"/>
  <c r="M63" i="3"/>
  <c r="M18" i="3"/>
  <c r="M52" i="3"/>
  <c r="M68" i="3"/>
  <c r="M38" i="3"/>
  <c r="M22" i="3"/>
  <c r="M24" i="3"/>
  <c r="M39" i="3"/>
  <c r="M40" i="3"/>
  <c r="M43" i="3"/>
  <c r="M26" i="3"/>
  <c r="M33" i="3"/>
  <c r="M62" i="3"/>
  <c r="M61" i="3"/>
  <c r="M30" i="3"/>
  <c r="M37" i="3"/>
  <c r="M27" i="3"/>
  <c r="M19" i="3"/>
  <c r="M32" i="3"/>
  <c r="M31" i="3"/>
  <c r="M23" i="3"/>
  <c r="M21" i="3"/>
  <c r="M34" i="3"/>
  <c r="M17" i="3"/>
  <c r="I29" i="7"/>
  <c r="I29" i="177" s="1"/>
  <c r="I74" i="7"/>
  <c r="I74" i="177" s="1"/>
  <c r="I70" i="7"/>
  <c r="I70" i="177" s="1"/>
  <c r="I48" i="7"/>
  <c r="I48" i="177" s="1"/>
  <c r="N33" i="4"/>
  <c r="O33" i="4" s="1"/>
  <c r="AO33" i="3"/>
  <c r="C33" i="16"/>
  <c r="J74" i="7"/>
  <c r="J74" i="177" s="1"/>
  <c r="X50" i="166"/>
  <c r="Z50" i="166" s="1"/>
  <c r="J73" i="156"/>
  <c r="K73" i="156" s="1"/>
  <c r="L73" i="156" s="1"/>
  <c r="M73" i="156" s="1"/>
  <c r="J72" i="156"/>
  <c r="K72" i="156" s="1"/>
  <c r="L72" i="156" s="1"/>
  <c r="M72" i="156" s="1"/>
  <c r="J69" i="156"/>
  <c r="K69" i="156" s="1"/>
  <c r="L69" i="156" s="1"/>
  <c r="J75" i="156"/>
  <c r="K75" i="156" s="1"/>
  <c r="L75" i="156" s="1"/>
  <c r="J71" i="156"/>
  <c r="K71" i="156" s="1"/>
  <c r="L71" i="156" s="1"/>
  <c r="C29" i="14" l="1"/>
  <c r="G68" i="174"/>
  <c r="G67" i="174"/>
  <c r="G55" i="174"/>
  <c r="G58" i="174"/>
  <c r="G59" i="174"/>
  <c r="D43" i="174"/>
  <c r="K33" i="4"/>
  <c r="M33" i="4" s="1"/>
  <c r="J27" i="7"/>
  <c r="J27" i="177" s="1"/>
  <c r="N29" i="177"/>
  <c r="C27" i="15"/>
  <c r="E27" i="15" s="1"/>
  <c r="Z43" i="174"/>
  <c r="E29" i="14" s="1"/>
  <c r="B43" i="174"/>
  <c r="G43" i="174"/>
  <c r="Y43" i="174"/>
  <c r="AI43" i="174"/>
  <c r="AD43" i="174"/>
  <c r="AE43" i="174"/>
  <c r="H43" i="174"/>
  <c r="C41" i="161"/>
  <c r="D33" i="16"/>
  <c r="E33" i="16" s="1"/>
  <c r="F33" i="16"/>
  <c r="E33" i="7" s="1"/>
  <c r="E33" i="177" s="1"/>
  <c r="C29" i="15"/>
  <c r="G78" i="174"/>
  <c r="G91" i="174"/>
  <c r="AB77" i="3"/>
  <c r="E8" i="134"/>
  <c r="AB64" i="3"/>
  <c r="E8" i="107"/>
  <c r="AB37" i="3"/>
  <c r="E8" i="103"/>
  <c r="AB33" i="3"/>
  <c r="E8" i="138"/>
  <c r="AB68" i="3"/>
  <c r="E8" i="98"/>
  <c r="AB28" i="3"/>
  <c r="E8" i="104"/>
  <c r="AB34" i="3"/>
  <c r="E8" i="102"/>
  <c r="AB32" i="3"/>
  <c r="E8" i="100"/>
  <c r="AB30" i="3"/>
  <c r="E8" i="96"/>
  <c r="AB26" i="3"/>
  <c r="E8" i="94"/>
  <c r="AB24" i="3"/>
  <c r="E8" i="122"/>
  <c r="AB52" i="3"/>
  <c r="E8" i="95"/>
  <c r="AB25" i="3"/>
  <c r="E8" i="91"/>
  <c r="AB21" i="3"/>
  <c r="E8" i="89"/>
  <c r="AB19" i="3"/>
  <c r="E8" i="131"/>
  <c r="AB61" i="3"/>
  <c r="E8" i="113"/>
  <c r="AB43" i="3"/>
  <c r="E8" i="92"/>
  <c r="AB22" i="3"/>
  <c r="E8" i="88"/>
  <c r="AB18" i="3"/>
  <c r="AB76" i="3"/>
  <c r="E8" i="152"/>
  <c r="E8" i="22"/>
  <c r="AB17" i="3"/>
  <c r="E8" i="101"/>
  <c r="AB31" i="3"/>
  <c r="E8" i="109"/>
  <c r="AB39" i="3"/>
  <c r="E8" i="93"/>
  <c r="AB23" i="3"/>
  <c r="E8" i="97"/>
  <c r="AB27" i="3"/>
  <c r="E8" i="132"/>
  <c r="AB62" i="3"/>
  <c r="E8" i="110"/>
  <c r="AB40" i="3"/>
  <c r="E8" i="108"/>
  <c r="AB38" i="3"/>
  <c r="E8" i="133"/>
  <c r="AB63" i="3"/>
  <c r="G82" i="174"/>
  <c r="G90" i="174"/>
  <c r="G39" i="174"/>
  <c r="G75" i="174"/>
  <c r="G42" i="174"/>
  <c r="G38" i="174"/>
  <c r="G41" i="174"/>
  <c r="C33" i="17"/>
  <c r="E70" i="7"/>
  <c r="E70" i="177" s="1"/>
  <c r="E48" i="7"/>
  <c r="E48" i="177" s="1"/>
  <c r="M75" i="156"/>
  <c r="M69" i="156"/>
  <c r="M71" i="156"/>
  <c r="H30" i="2"/>
  <c r="N30" i="2"/>
  <c r="Q30" i="2"/>
  <c r="K30" i="2"/>
  <c r="I30" i="2"/>
  <c r="P30" i="3"/>
  <c r="S30" i="2"/>
  <c r="J30" i="2"/>
  <c r="U30" i="2"/>
  <c r="R30" i="3"/>
  <c r="F30" i="2"/>
  <c r="G30" i="2"/>
  <c r="L30" i="2"/>
  <c r="T30" i="2"/>
  <c r="P30" i="2"/>
  <c r="V30" i="2"/>
  <c r="M30" i="2"/>
  <c r="E30" i="2"/>
  <c r="R30" i="2"/>
  <c r="C27" i="156" l="1"/>
  <c r="D33" i="17"/>
  <c r="E33" i="17" s="1"/>
  <c r="F33" i="17" s="1"/>
  <c r="G33" i="17" s="1"/>
  <c r="H33" i="17" s="1"/>
  <c r="I33" i="17" s="1"/>
  <c r="J33" i="17"/>
  <c r="C43" i="161"/>
  <c r="AN27" i="15"/>
  <c r="AX27" i="15"/>
  <c r="J27" i="15"/>
  <c r="BL27" i="15"/>
  <c r="BF27" i="15"/>
  <c r="V27" i="15"/>
  <c r="AL27" i="15"/>
  <c r="N27" i="15"/>
  <c r="AJ27" i="15"/>
  <c r="AR27" i="15"/>
  <c r="AH27" i="15"/>
  <c r="AT27" i="15"/>
  <c r="BD27" i="15"/>
  <c r="AF27" i="15"/>
  <c r="AD27" i="15"/>
  <c r="AP27" i="15"/>
  <c r="BH27" i="15"/>
  <c r="AZ27" i="15"/>
  <c r="BJ27" i="15"/>
  <c r="BB27" i="15"/>
  <c r="AB27" i="15"/>
  <c r="X27" i="15"/>
  <c r="P27" i="15"/>
  <c r="L27" i="15"/>
  <c r="AV27" i="15"/>
  <c r="H27" i="15"/>
  <c r="R27" i="15"/>
  <c r="T27" i="15"/>
  <c r="Z27" i="15"/>
  <c r="C29" i="156"/>
  <c r="E29" i="15"/>
  <c r="C41" i="170"/>
  <c r="B41" i="161"/>
  <c r="BA30" i="2"/>
  <c r="BB30" i="2"/>
  <c r="AV30" i="2"/>
  <c r="BE30" i="2"/>
  <c r="BF30" i="2"/>
  <c r="AW30" i="2"/>
  <c r="AS30" i="2"/>
  <c r="AP30" i="2"/>
  <c r="AY30" i="2"/>
  <c r="AX30" i="2"/>
  <c r="BD30" i="2"/>
  <c r="AT30" i="2"/>
  <c r="AQ30" i="2"/>
  <c r="BC30" i="2"/>
  <c r="AU30" i="2"/>
  <c r="AR30" i="2"/>
  <c r="AJ30" i="3"/>
  <c r="AK30" i="3" s="1"/>
  <c r="BG30" i="2"/>
  <c r="C33" i="19"/>
  <c r="O33" i="19" s="1"/>
  <c r="F70" i="7"/>
  <c r="F70" i="177" s="1"/>
  <c r="F48" i="7"/>
  <c r="F48" i="177" s="1"/>
  <c r="BM29" i="15"/>
  <c r="BC29" i="15"/>
  <c r="AW29" i="15"/>
  <c r="BK29" i="15"/>
  <c r="AK29" i="15"/>
  <c r="U29" i="15"/>
  <c r="AA29" i="15"/>
  <c r="AQ29" i="15"/>
  <c r="O29" i="15"/>
  <c r="BE29" i="15"/>
  <c r="AO29" i="15"/>
  <c r="BG29" i="15"/>
  <c r="AS29" i="15"/>
  <c r="BI29" i="15"/>
  <c r="AU29" i="15"/>
  <c r="AE29" i="15"/>
  <c r="AY29" i="15"/>
  <c r="M29" i="15"/>
  <c r="AI29" i="15"/>
  <c r="K29" i="15"/>
  <c r="W29" i="15"/>
  <c r="AG29" i="15"/>
  <c r="Q29" i="15"/>
  <c r="AC29" i="15"/>
  <c r="S29" i="15"/>
  <c r="Y29" i="15"/>
  <c r="AM29" i="15"/>
  <c r="BA29" i="15"/>
  <c r="N75" i="156"/>
  <c r="O75" i="156" s="1"/>
  <c r="P75" i="156" s="1"/>
  <c r="Q75" i="156" s="1"/>
  <c r="N72" i="156"/>
  <c r="O72" i="156" s="1"/>
  <c r="P72" i="156" s="1"/>
  <c r="N71" i="156"/>
  <c r="O71" i="156" s="1"/>
  <c r="P71" i="156" s="1"/>
  <c r="N69" i="156"/>
  <c r="O69" i="156" s="1"/>
  <c r="P69" i="156" s="1"/>
  <c r="N73" i="156"/>
  <c r="O73" i="156" s="1"/>
  <c r="P73" i="156" s="1"/>
  <c r="F33" i="7" l="1"/>
  <c r="F33" i="177" s="1"/>
  <c r="B41" i="170"/>
  <c r="J41" i="170"/>
  <c r="C41" i="171"/>
  <c r="K41" i="170"/>
  <c r="C43" i="170"/>
  <c r="B43" i="161"/>
  <c r="J29" i="15"/>
  <c r="Z29" i="15"/>
  <c r="AV29" i="15"/>
  <c r="AZ29" i="15"/>
  <c r="T29" i="15"/>
  <c r="N29" i="15"/>
  <c r="AN29" i="15"/>
  <c r="AB29" i="15"/>
  <c r="V29" i="15"/>
  <c r="AR29" i="15"/>
  <c r="AL29" i="15"/>
  <c r="L29" i="15"/>
  <c r="AX29" i="15"/>
  <c r="R29" i="15"/>
  <c r="AP29" i="15"/>
  <c r="AT29" i="15"/>
  <c r="AH29" i="15"/>
  <c r="X29" i="15"/>
  <c r="AD29" i="15"/>
  <c r="P29" i="15"/>
  <c r="BB29" i="15"/>
  <c r="BD29" i="15"/>
  <c r="H29" i="15"/>
  <c r="BF29" i="15"/>
  <c r="AJ29" i="15"/>
  <c r="BH29" i="15"/>
  <c r="AF29" i="15"/>
  <c r="BJ29" i="15"/>
  <c r="BL29" i="15"/>
  <c r="F29" i="15"/>
  <c r="D33" i="19"/>
  <c r="H33" i="19" s="1"/>
  <c r="G33" i="19"/>
  <c r="AG30" i="3"/>
  <c r="AA30" i="3" s="1"/>
  <c r="C30" i="4" s="1"/>
  <c r="P30" i="4" s="1"/>
  <c r="I33" i="19"/>
  <c r="E33" i="19"/>
  <c r="J33" i="19" s="1"/>
  <c r="F33" i="19"/>
  <c r="K33" i="19" s="1"/>
  <c r="C33" i="20"/>
  <c r="L70" i="19"/>
  <c r="D70" i="7"/>
  <c r="D70" i="177" s="1"/>
  <c r="L48" i="19"/>
  <c r="D48" i="7"/>
  <c r="D48" i="177" s="1"/>
  <c r="D33" i="7"/>
  <c r="D33" i="177" s="1"/>
  <c r="L33" i="19"/>
  <c r="M33" i="19" s="1" a="1"/>
  <c r="M33" i="19" s="1"/>
  <c r="BG74" i="15"/>
  <c r="BO29" i="15"/>
  <c r="BP29" i="15" s="1"/>
  <c r="BR29" i="15" s="1"/>
  <c r="BN29" i="15"/>
  <c r="BQ73" i="15"/>
  <c r="E65" i="161"/>
  <c r="Q72" i="156"/>
  <c r="Q73" i="156"/>
  <c r="G75" i="15"/>
  <c r="G73" i="15"/>
  <c r="G69" i="15"/>
  <c r="G71" i="15"/>
  <c r="G72" i="15"/>
  <c r="Q69" i="156"/>
  <c r="Q71" i="156"/>
  <c r="W65" i="166" l="1"/>
  <c r="Y65" i="166" s="1"/>
  <c r="L41" i="170"/>
  <c r="C33" i="21"/>
  <c r="G33" i="20"/>
  <c r="B41" i="171"/>
  <c r="I41" i="171"/>
  <c r="C41" i="164"/>
  <c r="J41" i="171"/>
  <c r="J43" i="170"/>
  <c r="L43" i="170"/>
  <c r="K43" i="170"/>
  <c r="B43" i="170"/>
  <c r="C43" i="171"/>
  <c r="G43" i="170"/>
  <c r="H43" i="170"/>
  <c r="D43" i="171" s="1"/>
  <c r="M43" i="170"/>
  <c r="F43" i="170"/>
  <c r="Q43" i="165" s="1"/>
  <c r="Q43" i="166" s="1"/>
  <c r="N74" i="7"/>
  <c r="AF88" i="174"/>
  <c r="N29" i="7"/>
  <c r="AF43" i="174"/>
  <c r="AO30" i="3"/>
  <c r="C30" i="16"/>
  <c r="F30" i="16" s="1"/>
  <c r="D30" i="4"/>
  <c r="E30" i="4" s="1"/>
  <c r="F30" i="4" s="1"/>
  <c r="G30" i="4" s="1"/>
  <c r="H30" i="4" s="1"/>
  <c r="I30" i="4" s="1"/>
  <c r="D33" i="20"/>
  <c r="E33" i="20" s="1"/>
  <c r="F33" i="20" s="1"/>
  <c r="H70" i="7"/>
  <c r="H70" i="177" s="1"/>
  <c r="H48" i="7"/>
  <c r="H48" i="177" s="1"/>
  <c r="N33" i="19"/>
  <c r="AA74" i="15"/>
  <c r="AW74" i="15"/>
  <c r="Q74" i="15"/>
  <c r="AG74" i="15"/>
  <c r="AY74" i="15"/>
  <c r="AE74" i="15"/>
  <c r="BA74" i="15"/>
  <c r="AI74" i="15"/>
  <c r="BI74" i="15"/>
  <c r="AO74" i="15"/>
  <c r="S74" i="15"/>
  <c r="W74" i="15"/>
  <c r="K74" i="15"/>
  <c r="BE74" i="15"/>
  <c r="BK74" i="15"/>
  <c r="O74" i="15"/>
  <c r="BC74" i="15"/>
  <c r="AK74" i="15"/>
  <c r="U74" i="15"/>
  <c r="AM74" i="15"/>
  <c r="AC74" i="15"/>
  <c r="BM74" i="15"/>
  <c r="BN74" i="15" s="1"/>
  <c r="Y74" i="15"/>
  <c r="AS74" i="15"/>
  <c r="AQ74" i="15"/>
  <c r="AU74" i="15"/>
  <c r="R71" i="156"/>
  <c r="S71" i="156" s="1"/>
  <c r="T71" i="156" s="1"/>
  <c r="U71" i="156" s="1"/>
  <c r="R69" i="156"/>
  <c r="S69" i="156" s="1"/>
  <c r="T69" i="156" s="1"/>
  <c r="U69" i="156" s="1"/>
  <c r="R73" i="156"/>
  <c r="S73" i="156" s="1"/>
  <c r="T73" i="156" s="1"/>
  <c r="U73" i="156" s="1"/>
  <c r="R75" i="156"/>
  <c r="S75" i="156" s="1"/>
  <c r="T75" i="156" s="1"/>
  <c r="R72" i="156"/>
  <c r="S72" i="156" s="1"/>
  <c r="T72" i="156" s="1"/>
  <c r="H33" i="7" l="1"/>
  <c r="H33" i="177" s="1"/>
  <c r="H33" i="21"/>
  <c r="C33" i="177"/>
  <c r="K33" i="177" s="1"/>
  <c r="D33" i="21"/>
  <c r="E33" i="21" s="1"/>
  <c r="F33" i="21" s="1"/>
  <c r="G33" i="21" s="1"/>
  <c r="C33" i="7"/>
  <c r="C33" i="154"/>
  <c r="D33" i="154" s="1"/>
  <c r="E33" i="154" s="1"/>
  <c r="F33" i="154" s="1"/>
  <c r="K41" i="171"/>
  <c r="B41" i="164"/>
  <c r="D41" i="164"/>
  <c r="K43" i="171"/>
  <c r="B43" i="171"/>
  <c r="L43" i="171"/>
  <c r="G43" i="171"/>
  <c r="C43" i="164"/>
  <c r="J43" i="171"/>
  <c r="I43" i="171"/>
  <c r="F43" i="171"/>
  <c r="D30" i="16"/>
  <c r="E30" i="16" s="1"/>
  <c r="C30" i="17"/>
  <c r="J30" i="17" s="1"/>
  <c r="J30" i="4"/>
  <c r="L30" i="4" s="1"/>
  <c r="K30" i="4"/>
  <c r="M30" i="4" s="1"/>
  <c r="G70" i="7"/>
  <c r="G70" i="177" s="1"/>
  <c r="G48" i="7"/>
  <c r="G48" i="177" s="1"/>
  <c r="G33" i="7"/>
  <c r="G33" i="177" s="1"/>
  <c r="BO74" i="15"/>
  <c r="BP74" i="15" s="1"/>
  <c r="BR74" i="15" s="1"/>
  <c r="BS29" i="15"/>
  <c r="U72" i="156"/>
  <c r="U75" i="156"/>
  <c r="I33" i="7" l="1"/>
  <c r="I33" i="177" s="1"/>
  <c r="M33" i="177"/>
  <c r="K33" i="7"/>
  <c r="M33" i="7"/>
  <c r="C47" i="174"/>
  <c r="G33" i="154"/>
  <c r="D43" i="164"/>
  <c r="B43" i="164"/>
  <c r="E43" i="164"/>
  <c r="G43" i="164"/>
  <c r="S43" i="165"/>
  <c r="S43" i="166" s="1"/>
  <c r="E33" i="156"/>
  <c r="D74" i="156"/>
  <c r="N30" i="4"/>
  <c r="O30" i="4" s="1"/>
  <c r="C30" i="19"/>
  <c r="D30" i="17"/>
  <c r="E30" i="17" s="1"/>
  <c r="F30" i="17" s="1"/>
  <c r="G30" i="17" s="1"/>
  <c r="H30" i="17" s="1"/>
  <c r="I30" i="17" s="1"/>
  <c r="J25" i="7"/>
  <c r="J25" i="177" s="1"/>
  <c r="D74" i="15"/>
  <c r="H74" i="156"/>
  <c r="D29" i="156"/>
  <c r="F29" i="156" s="1"/>
  <c r="H29" i="156" s="1"/>
  <c r="I29" i="156" s="1"/>
  <c r="D29" i="15"/>
  <c r="E49" i="161"/>
  <c r="V75" i="156"/>
  <c r="W75" i="156" s="1"/>
  <c r="X75" i="156" s="1"/>
  <c r="Y75" i="156" s="1"/>
  <c r="V73" i="156"/>
  <c r="W73" i="156" s="1"/>
  <c r="X73" i="156" s="1"/>
  <c r="Y73" i="156" s="1"/>
  <c r="V71" i="156"/>
  <c r="W71" i="156" s="1"/>
  <c r="X71" i="156" s="1"/>
  <c r="V72" i="156"/>
  <c r="W72" i="156" s="1"/>
  <c r="X72" i="156" s="1"/>
  <c r="V69" i="156"/>
  <c r="W69" i="156" s="1"/>
  <c r="X69" i="156" s="1"/>
  <c r="C33" i="14" l="1"/>
  <c r="C47" i="161" s="1"/>
  <c r="B47" i="161" s="1"/>
  <c r="P43" i="165"/>
  <c r="P43" i="166" s="1"/>
  <c r="D47" i="174"/>
  <c r="J33" i="7"/>
  <c r="J33" i="177" s="1"/>
  <c r="N33" i="177"/>
  <c r="Z47" i="174"/>
  <c r="E33" i="14" s="1"/>
  <c r="AI47" i="174"/>
  <c r="H47" i="174"/>
  <c r="Y47" i="174"/>
  <c r="AE47" i="174"/>
  <c r="AD47" i="174"/>
  <c r="G47" i="174"/>
  <c r="B47" i="174"/>
  <c r="G30" i="19"/>
  <c r="O30" i="19"/>
  <c r="E30" i="19"/>
  <c r="J30" i="19" s="1"/>
  <c r="F30" i="19"/>
  <c r="K30" i="19" s="1"/>
  <c r="D30" i="19"/>
  <c r="H30" i="19" s="1"/>
  <c r="I30" i="19"/>
  <c r="C30" i="20"/>
  <c r="G30" i="20" s="1"/>
  <c r="BS74" i="15"/>
  <c r="I74" i="15"/>
  <c r="I74" i="156"/>
  <c r="J74" i="156" s="1"/>
  <c r="K74" i="156" s="1"/>
  <c r="L74" i="156" s="1"/>
  <c r="BQ29" i="15"/>
  <c r="I29" i="15"/>
  <c r="J29" i="156"/>
  <c r="K29" i="156" s="1"/>
  <c r="L29" i="156" s="1"/>
  <c r="M29" i="156" s="1"/>
  <c r="W49" i="166"/>
  <c r="Y49" i="166" s="1"/>
  <c r="E60" i="161"/>
  <c r="E56" i="161"/>
  <c r="Y69" i="156"/>
  <c r="Y72" i="156"/>
  <c r="Y71" i="156"/>
  <c r="C33" i="15" l="1"/>
  <c r="E33" i="15" s="1"/>
  <c r="T33" i="15" s="1"/>
  <c r="C47" i="170"/>
  <c r="L47" i="170" s="1"/>
  <c r="AB33" i="15"/>
  <c r="AP33" i="15"/>
  <c r="AH33" i="15"/>
  <c r="BB33" i="15"/>
  <c r="BL33" i="15"/>
  <c r="AT33" i="15"/>
  <c r="P33" i="15"/>
  <c r="BF33" i="15"/>
  <c r="L33" i="15"/>
  <c r="AV33" i="15"/>
  <c r="AJ33" i="15"/>
  <c r="BJ33" i="15"/>
  <c r="AZ33" i="15"/>
  <c r="AR33" i="15"/>
  <c r="X33" i="15"/>
  <c r="H33" i="15"/>
  <c r="Z33" i="15"/>
  <c r="AL33" i="15"/>
  <c r="AN33" i="15"/>
  <c r="AX33" i="15"/>
  <c r="D30" i="20"/>
  <c r="E30" i="20" s="1"/>
  <c r="F30" i="20" s="1"/>
  <c r="C30" i="21"/>
  <c r="M74" i="15"/>
  <c r="M74" i="156"/>
  <c r="W56" i="166"/>
  <c r="Y56" i="166" s="1"/>
  <c r="W60" i="166"/>
  <c r="Y60" i="166" s="1"/>
  <c r="E63" i="161"/>
  <c r="E50" i="161"/>
  <c r="E64" i="161"/>
  <c r="D67" i="14"/>
  <c r="E81" i="161"/>
  <c r="Z75" i="156"/>
  <c r="AA75" i="156" s="1"/>
  <c r="AB75" i="156" s="1"/>
  <c r="AC75" i="156" s="1"/>
  <c r="Z71" i="156"/>
  <c r="AA71" i="156" s="1"/>
  <c r="AB71" i="156" s="1"/>
  <c r="Z72" i="156"/>
  <c r="AA72" i="156" s="1"/>
  <c r="AB72" i="156" s="1"/>
  <c r="AC72" i="156" s="1"/>
  <c r="Z69" i="156"/>
  <c r="AA69" i="156" s="1"/>
  <c r="AB69" i="156" s="1"/>
  <c r="AC69" i="156" s="1"/>
  <c r="AC71" i="156"/>
  <c r="Z73" i="156"/>
  <c r="AA73" i="156" s="1"/>
  <c r="AB73" i="156" s="1"/>
  <c r="BD33" i="15" l="1"/>
  <c r="AF33" i="15"/>
  <c r="BH33" i="15"/>
  <c r="V33" i="15"/>
  <c r="N33" i="15"/>
  <c r="AD33" i="15"/>
  <c r="J33" i="15"/>
  <c r="C33" i="156"/>
  <c r="R33" i="15"/>
  <c r="W64" i="166"/>
  <c r="Y64" i="166" s="1"/>
  <c r="W61" i="166"/>
  <c r="Y61" i="166" s="1"/>
  <c r="H30" i="21"/>
  <c r="C30" i="177"/>
  <c r="K30" i="177" s="1"/>
  <c r="J47" i="170"/>
  <c r="K47" i="170"/>
  <c r="C47" i="171"/>
  <c r="K47" i="171" s="1"/>
  <c r="B47" i="170"/>
  <c r="D30" i="21"/>
  <c r="E30" i="21" s="1"/>
  <c r="F30" i="21" s="1"/>
  <c r="G30" i="21" s="1"/>
  <c r="C30" i="7"/>
  <c r="C30" i="154"/>
  <c r="BQ74" i="15"/>
  <c r="N29" i="156"/>
  <c r="O29" i="156" s="1"/>
  <c r="P29" i="156" s="1"/>
  <c r="W81" i="166"/>
  <c r="Y81" i="166" s="1"/>
  <c r="W34" i="166"/>
  <c r="Y34" i="166" s="1"/>
  <c r="W50" i="166"/>
  <c r="Y50" i="166" s="1"/>
  <c r="W63" i="166"/>
  <c r="Y63" i="166" s="1"/>
  <c r="AC73" i="156"/>
  <c r="M30" i="177" l="1"/>
  <c r="K30" i="7"/>
  <c r="M30" i="7"/>
  <c r="C47" i="164"/>
  <c r="B47" i="164" s="1"/>
  <c r="J47" i="171"/>
  <c r="B47" i="171"/>
  <c r="I47" i="171"/>
  <c r="D30" i="154"/>
  <c r="E30" i="154" s="1"/>
  <c r="F30" i="154" s="1"/>
  <c r="G30" i="154"/>
  <c r="N48" i="7"/>
  <c r="AF62" i="174"/>
  <c r="N70" i="7"/>
  <c r="AF84" i="174"/>
  <c r="N33" i="7"/>
  <c r="AF47" i="174"/>
  <c r="C44" i="174"/>
  <c r="K70" i="15"/>
  <c r="AE70" i="15"/>
  <c r="BC70" i="15"/>
  <c r="BG70" i="15"/>
  <c r="AA70" i="15"/>
  <c r="AS70" i="15"/>
  <c r="BA70" i="15"/>
  <c r="AK70" i="15"/>
  <c r="AO70" i="15"/>
  <c r="AI70" i="15"/>
  <c r="AW70" i="15"/>
  <c r="O70" i="15"/>
  <c r="AC70" i="15"/>
  <c r="BM70" i="15"/>
  <c r="AG70" i="15"/>
  <c r="AM70" i="15"/>
  <c r="Y70" i="15"/>
  <c r="AU70" i="15"/>
  <c r="BK70" i="15"/>
  <c r="U70" i="15"/>
  <c r="AQ70" i="15"/>
  <c r="M70" i="15"/>
  <c r="BE70" i="15"/>
  <c r="W70" i="15"/>
  <c r="Q70" i="15"/>
  <c r="BI70" i="15"/>
  <c r="AY70" i="15"/>
  <c r="S70" i="15"/>
  <c r="BI33" i="15"/>
  <c r="AO48" i="15"/>
  <c r="BG48" i="15"/>
  <c r="S48" i="15"/>
  <c r="BK48" i="15"/>
  <c r="AC48" i="15"/>
  <c r="AS48" i="15"/>
  <c r="W48" i="15"/>
  <c r="Q48" i="15"/>
  <c r="AM48" i="15"/>
  <c r="AU48" i="15"/>
  <c r="O48" i="15"/>
  <c r="BC48" i="15"/>
  <c r="BM48" i="15"/>
  <c r="AW48" i="15"/>
  <c r="M48" i="15"/>
  <c r="BA48" i="15"/>
  <c r="BI48" i="15"/>
  <c r="AY48" i="15"/>
  <c r="K48" i="15"/>
  <c r="AG48" i="15"/>
  <c r="BE48" i="15"/>
  <c r="AK48" i="15"/>
  <c r="AE48" i="15"/>
  <c r="AI48" i="15"/>
  <c r="AA48" i="15"/>
  <c r="U48" i="15"/>
  <c r="Y48" i="15"/>
  <c r="AQ48" i="15"/>
  <c r="AI33" i="15"/>
  <c r="K33" i="15"/>
  <c r="W33" i="15"/>
  <c r="M33" i="15"/>
  <c r="S33" i="15"/>
  <c r="AW33" i="15"/>
  <c r="AA33" i="15"/>
  <c r="U33" i="15"/>
  <c r="AO33" i="15"/>
  <c r="BM33" i="15"/>
  <c r="AE33" i="15"/>
  <c r="AU33" i="15"/>
  <c r="BK33" i="15"/>
  <c r="AC33" i="15"/>
  <c r="AS33" i="15"/>
  <c r="BE33" i="15"/>
  <c r="Y33" i="15"/>
  <c r="BA33" i="15"/>
  <c r="AK33" i="15"/>
  <c r="Q33" i="15"/>
  <c r="AM33" i="15"/>
  <c r="O33" i="15"/>
  <c r="BC33" i="15"/>
  <c r="AG33" i="15"/>
  <c r="AQ33" i="15"/>
  <c r="BG33" i="15"/>
  <c r="AY33" i="15"/>
  <c r="N74" i="156"/>
  <c r="O74" i="156" s="1"/>
  <c r="P74" i="156" s="1"/>
  <c r="Q74" i="156" s="1"/>
  <c r="Q29" i="156"/>
  <c r="AD73" i="156"/>
  <c r="AE73" i="156" s="1"/>
  <c r="AF73" i="156" s="1"/>
  <c r="AG73" i="156" s="1"/>
  <c r="AD75" i="156"/>
  <c r="AE75" i="156" s="1"/>
  <c r="AF75" i="156" s="1"/>
  <c r="AD72" i="156"/>
  <c r="AE72" i="156" s="1"/>
  <c r="AF72" i="156" s="1"/>
  <c r="AD69" i="156"/>
  <c r="AE69" i="156" s="1"/>
  <c r="AF69" i="156" s="1"/>
  <c r="AD71" i="156"/>
  <c r="AE71" i="156" s="1"/>
  <c r="AF71" i="156" s="1"/>
  <c r="C30" i="14" l="1"/>
  <c r="D44" i="174"/>
  <c r="N30" i="177"/>
  <c r="D47" i="164"/>
  <c r="G44" i="174"/>
  <c r="AD44" i="174"/>
  <c r="B44" i="174"/>
  <c r="AE44" i="174"/>
  <c r="E30" i="156"/>
  <c r="BO70" i="15"/>
  <c r="BP70" i="15" s="1"/>
  <c r="BR70" i="15" s="1"/>
  <c r="BS70" i="15" s="1"/>
  <c r="BN70" i="15"/>
  <c r="BO48" i="15"/>
  <c r="BP48" i="15" s="1"/>
  <c r="BR48" i="15" s="1"/>
  <c r="BN48" i="15"/>
  <c r="BO33" i="15"/>
  <c r="BP33" i="15" s="1"/>
  <c r="BR33" i="15" s="1"/>
  <c r="BS33" i="15" s="1"/>
  <c r="BN33" i="15"/>
  <c r="G74" i="15"/>
  <c r="R74" i="156"/>
  <c r="S74" i="156" s="1"/>
  <c r="T74" i="156" s="1"/>
  <c r="U74" i="156" s="1"/>
  <c r="G29" i="15"/>
  <c r="R29" i="156"/>
  <c r="S29" i="156" s="1"/>
  <c r="T29" i="156" s="1"/>
  <c r="AG71" i="156"/>
  <c r="AG72" i="156"/>
  <c r="AG75" i="156"/>
  <c r="AG69" i="156"/>
  <c r="F52" i="2"/>
  <c r="E52" i="2"/>
  <c r="G52" i="2"/>
  <c r="P52" i="2"/>
  <c r="M52" i="2"/>
  <c r="S52" i="2"/>
  <c r="U52" i="2"/>
  <c r="R52" i="3"/>
  <c r="P52" i="3"/>
  <c r="Q52" i="2"/>
  <c r="R52" i="2"/>
  <c r="J52" i="2"/>
  <c r="L52" i="2"/>
  <c r="T52" i="2"/>
  <c r="V52" i="2"/>
  <c r="I52" i="2"/>
  <c r="H52" i="2"/>
  <c r="N52" i="2"/>
  <c r="K52" i="2"/>
  <c r="C44" i="161" l="1"/>
  <c r="B44" i="161" s="1"/>
  <c r="AQ52" i="2"/>
  <c r="AU52" i="2"/>
  <c r="AX52" i="2"/>
  <c r="AT52" i="2"/>
  <c r="BD52" i="2"/>
  <c r="BA52" i="2"/>
  <c r="BG52" i="2"/>
  <c r="BF52" i="2"/>
  <c r="AS52" i="2"/>
  <c r="BB52" i="2"/>
  <c r="AV52" i="2"/>
  <c r="AW52" i="2"/>
  <c r="BC52" i="2"/>
  <c r="AY52" i="2"/>
  <c r="AP52" i="2"/>
  <c r="AJ52" i="3"/>
  <c r="AK52" i="3" s="1"/>
  <c r="AR52" i="2"/>
  <c r="BE52" i="2"/>
  <c r="C30" i="15"/>
  <c r="E30" i="15" s="1"/>
  <c r="E34" i="156"/>
  <c r="E19" i="156"/>
  <c r="E18" i="156"/>
  <c r="D33" i="156"/>
  <c r="F33" i="156" s="1"/>
  <c r="H33" i="156" s="1"/>
  <c r="I33" i="156" s="1"/>
  <c r="D70" i="15"/>
  <c r="D70" i="156"/>
  <c r="F70" i="156" s="1"/>
  <c r="H70" i="156" s="1"/>
  <c r="D33" i="15"/>
  <c r="F33" i="15" s="1"/>
  <c r="D48" i="156"/>
  <c r="F48" i="156" s="1"/>
  <c r="H48" i="156" s="1"/>
  <c r="D48" i="15"/>
  <c r="F24" i="156"/>
  <c r="U29" i="156"/>
  <c r="AH69" i="156"/>
  <c r="AI69" i="156" s="1"/>
  <c r="AJ69" i="156" s="1"/>
  <c r="AK69" i="156" s="1"/>
  <c r="AH73" i="156"/>
  <c r="AI73" i="156" s="1"/>
  <c r="AJ73" i="156" s="1"/>
  <c r="AK73" i="156" s="1"/>
  <c r="AH71" i="156"/>
  <c r="AI71" i="156" s="1"/>
  <c r="AJ71" i="156" s="1"/>
  <c r="AK71" i="156" s="1"/>
  <c r="AH75" i="156"/>
  <c r="AI75" i="156" s="1"/>
  <c r="AJ75" i="156" s="1"/>
  <c r="AH72" i="156"/>
  <c r="AI72" i="156" s="1"/>
  <c r="AJ72" i="156" s="1"/>
  <c r="C44" i="170" l="1"/>
  <c r="C44" i="171" s="1"/>
  <c r="AG52" i="3"/>
  <c r="AA52" i="3" s="1"/>
  <c r="AO52" i="3" s="1"/>
  <c r="C30" i="156"/>
  <c r="E22" i="156"/>
  <c r="E21" i="156"/>
  <c r="L30" i="15"/>
  <c r="T30" i="15"/>
  <c r="AX30" i="15"/>
  <c r="AV30" i="15"/>
  <c r="AT30" i="15"/>
  <c r="AR30" i="15"/>
  <c r="V30" i="15"/>
  <c r="BJ30" i="15"/>
  <c r="BL30" i="15"/>
  <c r="AB30" i="15"/>
  <c r="R30" i="15"/>
  <c r="AH30" i="15"/>
  <c r="BH30" i="15"/>
  <c r="J30" i="15"/>
  <c r="BD30" i="15"/>
  <c r="AP30" i="15"/>
  <c r="AF30" i="15"/>
  <c r="AD30" i="15"/>
  <c r="P30" i="15"/>
  <c r="AL30" i="15"/>
  <c r="AJ30" i="15"/>
  <c r="N30" i="15"/>
  <c r="AZ30" i="15"/>
  <c r="Z30" i="15"/>
  <c r="BB30" i="15"/>
  <c r="H30" i="15"/>
  <c r="X30" i="15"/>
  <c r="BF30" i="15"/>
  <c r="AN30" i="15"/>
  <c r="BS48" i="15"/>
  <c r="F28" i="156"/>
  <c r="I70" i="156"/>
  <c r="BQ70" i="15"/>
  <c r="F64" i="156"/>
  <c r="I48" i="156"/>
  <c r="BQ33" i="15"/>
  <c r="BQ48" i="15"/>
  <c r="AK72" i="156"/>
  <c r="AK75" i="156"/>
  <c r="J44" i="170" l="1"/>
  <c r="K44" i="170"/>
  <c r="B44" i="170"/>
  <c r="C52" i="4"/>
  <c r="E52" i="156"/>
  <c r="E40" i="156"/>
  <c r="E23" i="156"/>
  <c r="L44" i="170"/>
  <c r="C44" i="164"/>
  <c r="J44" i="171"/>
  <c r="I44" i="171"/>
  <c r="B44" i="171"/>
  <c r="I70" i="15"/>
  <c r="I48" i="15"/>
  <c r="I33" i="15"/>
  <c r="V74" i="156"/>
  <c r="W74" i="156" s="1"/>
  <c r="X74" i="156" s="1"/>
  <c r="Y74" i="156" s="1"/>
  <c r="V29" i="156"/>
  <c r="W29" i="156" s="1"/>
  <c r="X29" i="156" s="1"/>
  <c r="AL75" i="156"/>
  <c r="AM75" i="156" s="1"/>
  <c r="AN75" i="156" s="1"/>
  <c r="AL72" i="156"/>
  <c r="AM72" i="156" s="1"/>
  <c r="AN72" i="156" s="1"/>
  <c r="AL69" i="156"/>
  <c r="AM69" i="156" s="1"/>
  <c r="AN69" i="156" s="1"/>
  <c r="AL71" i="156"/>
  <c r="AM71" i="156" s="1"/>
  <c r="AN71" i="156" s="1"/>
  <c r="AL73" i="156"/>
  <c r="AM73" i="156" s="1"/>
  <c r="AN73" i="156" s="1"/>
  <c r="C52" i="16" l="1"/>
  <c r="P52" i="4"/>
  <c r="D52" i="4"/>
  <c r="E52" i="4" s="1"/>
  <c r="F52" i="4" s="1"/>
  <c r="G52" i="4" s="1"/>
  <c r="H52" i="4" s="1"/>
  <c r="I52" i="4" s="1"/>
  <c r="J52" i="4" s="1"/>
  <c r="L52" i="4" s="1"/>
  <c r="E32" i="156"/>
  <c r="E37" i="156"/>
  <c r="E31" i="156"/>
  <c r="E17" i="156"/>
  <c r="K44" i="171"/>
  <c r="D44" i="164"/>
  <c r="B44" i="164"/>
  <c r="J33" i="156"/>
  <c r="K33" i="156" s="1"/>
  <c r="L33" i="156" s="1"/>
  <c r="M33" i="156" s="1"/>
  <c r="J48" i="156"/>
  <c r="K48" i="156" s="1"/>
  <c r="L48" i="156" s="1"/>
  <c r="M48" i="156" s="1"/>
  <c r="J70" i="156"/>
  <c r="K70" i="156" s="1"/>
  <c r="L70" i="156" s="1"/>
  <c r="Y29" i="156"/>
  <c r="AO71" i="156"/>
  <c r="AO69" i="156"/>
  <c r="AO72" i="156"/>
  <c r="AO75" i="156"/>
  <c r="AO73" i="156"/>
  <c r="C52" i="17" l="1"/>
  <c r="F52" i="16"/>
  <c r="D52" i="16"/>
  <c r="E52" i="16" s="1"/>
  <c r="K52" i="4"/>
  <c r="M52" i="4" s="1"/>
  <c r="E63" i="156"/>
  <c r="E38" i="156"/>
  <c r="E43" i="156"/>
  <c r="E39" i="156"/>
  <c r="M70" i="156"/>
  <c r="N70" i="156" s="1"/>
  <c r="O70" i="156" s="1"/>
  <c r="P70" i="156" s="1"/>
  <c r="G70" i="15"/>
  <c r="N33" i="156"/>
  <c r="O33" i="156" s="1"/>
  <c r="P33" i="156" s="1"/>
  <c r="Q33" i="156" s="1"/>
  <c r="N48" i="156"/>
  <c r="O48" i="156" s="1"/>
  <c r="P48" i="156" s="1"/>
  <c r="Q48" i="156" s="1"/>
  <c r="G33" i="15"/>
  <c r="G48" i="15"/>
  <c r="Z74" i="156"/>
  <c r="AA74" i="156" s="1"/>
  <c r="AB74" i="156" s="1"/>
  <c r="AC74" i="156" s="1"/>
  <c r="Z29" i="156"/>
  <c r="AA29" i="156" s="1"/>
  <c r="AB29" i="156" s="1"/>
  <c r="AP71" i="156"/>
  <c r="AQ71" i="156" s="1"/>
  <c r="AR71" i="156" s="1"/>
  <c r="AS71" i="156" s="1"/>
  <c r="AP72" i="156"/>
  <c r="AQ72" i="156" s="1"/>
  <c r="AR72" i="156" s="1"/>
  <c r="AS72" i="156" s="1"/>
  <c r="AP73" i="156"/>
  <c r="AQ73" i="156" s="1"/>
  <c r="AR73" i="156" s="1"/>
  <c r="AP69" i="156"/>
  <c r="AQ69" i="156" s="1"/>
  <c r="AR69" i="156" s="1"/>
  <c r="AP75" i="156"/>
  <c r="AQ75" i="156" s="1"/>
  <c r="AR75" i="156" s="1"/>
  <c r="C52" i="19" l="1"/>
  <c r="D52" i="19" s="1"/>
  <c r="H52" i="19" s="1"/>
  <c r="J52" i="17"/>
  <c r="D52" i="17"/>
  <c r="E52" i="17" s="1"/>
  <c r="F52" i="17" s="1"/>
  <c r="G52" i="17" s="1"/>
  <c r="H52" i="17" s="1"/>
  <c r="I52" i="17" s="1"/>
  <c r="E66" i="7"/>
  <c r="E66" i="177" s="1"/>
  <c r="E52" i="7"/>
  <c r="E52" i="177" s="1"/>
  <c r="N52" i="4"/>
  <c r="O52" i="4" s="1"/>
  <c r="E62" i="156"/>
  <c r="E26" i="156"/>
  <c r="Q70" i="156"/>
  <c r="R70" i="156" s="1"/>
  <c r="S70" i="156" s="1"/>
  <c r="T70" i="156" s="1"/>
  <c r="R48" i="156"/>
  <c r="S48" i="156" s="1"/>
  <c r="T48" i="156" s="1"/>
  <c r="U48" i="156" s="1"/>
  <c r="R33" i="156"/>
  <c r="S33" i="156" s="1"/>
  <c r="T33" i="156" s="1"/>
  <c r="U33" i="156" s="1"/>
  <c r="AC29" i="156"/>
  <c r="AS69" i="156"/>
  <c r="AS75" i="156"/>
  <c r="AS73" i="156"/>
  <c r="L19" i="2"/>
  <c r="T22" i="2"/>
  <c r="T17" i="2"/>
  <c r="V19" i="2"/>
  <c r="M23" i="2"/>
  <c r="R34" i="2"/>
  <c r="U37" i="2"/>
  <c r="S39" i="2"/>
  <c r="G40" i="2"/>
  <c r="V37" i="2"/>
  <c r="E63" i="2"/>
  <c r="L26" i="2"/>
  <c r="R17" i="3"/>
  <c r="H38" i="2"/>
  <c r="S43" i="2"/>
  <c r="T63" i="2"/>
  <c r="P17" i="3"/>
  <c r="H19" i="2"/>
  <c r="T40" i="2"/>
  <c r="L43" i="2"/>
  <c r="T19" i="2"/>
  <c r="I26" i="2"/>
  <c r="E22" i="2"/>
  <c r="Q39" i="2"/>
  <c r="R34" i="3"/>
  <c r="S40" i="2"/>
  <c r="P22" i="2"/>
  <c r="K34" i="2"/>
  <c r="P18" i="2"/>
  <c r="R19" i="2"/>
  <c r="U18" i="2"/>
  <c r="L31" i="2"/>
  <c r="Q17" i="2"/>
  <c r="E21" i="2"/>
  <c r="E17" i="2"/>
  <c r="P26" i="2"/>
  <c r="L18" i="2"/>
  <c r="N62" i="2"/>
  <c r="P63" i="2"/>
  <c r="P23" i="2"/>
  <c r="E32" i="2"/>
  <c r="V32" i="2"/>
  <c r="V17" i="2"/>
  <c r="F37" i="2"/>
  <c r="N23" i="2"/>
  <c r="P38" i="3"/>
  <c r="J37" i="2"/>
  <c r="M39" i="2"/>
  <c r="G63" i="2"/>
  <c r="H17" i="2"/>
  <c r="P17" i="2"/>
  <c r="I21" i="2"/>
  <c r="U32" i="2"/>
  <c r="H63" i="2"/>
  <c r="P40" i="2"/>
  <c r="Q26" i="2"/>
  <c r="R63" i="3"/>
  <c r="T26" i="2"/>
  <c r="R40" i="2"/>
  <c r="Q38" i="2"/>
  <c r="J40" i="2"/>
  <c r="J62" i="2"/>
  <c r="K40" i="2"/>
  <c r="S62" i="2"/>
  <c r="R19" i="3"/>
  <c r="G38" i="2"/>
  <c r="Q34" i="2"/>
  <c r="P62" i="2"/>
  <c r="P21" i="3"/>
  <c r="U22" i="2"/>
  <c r="S22" i="2"/>
  <c r="R37" i="2"/>
  <c r="F26" i="2"/>
  <c r="M43" i="2"/>
  <c r="P63" i="3"/>
  <c r="G31" i="2"/>
  <c r="P34" i="2"/>
  <c r="F23" i="2"/>
  <c r="V39" i="2"/>
  <c r="L34" i="2"/>
  <c r="H31" i="2"/>
  <c r="P19" i="2"/>
  <c r="H34" i="2"/>
  <c r="H21" i="2"/>
  <c r="S19" i="2"/>
  <c r="R32" i="3"/>
  <c r="R40" i="3"/>
  <c r="K31" i="2"/>
  <c r="L22" i="2"/>
  <c r="F17" i="2"/>
  <c r="L23" i="2"/>
  <c r="P43" i="3"/>
  <c r="G34" i="2"/>
  <c r="J38" i="2"/>
  <c r="H39" i="2"/>
  <c r="G19" i="2"/>
  <c r="P22" i="3"/>
  <c r="P19" i="3"/>
  <c r="L37" i="2"/>
  <c r="N31" i="2"/>
  <c r="I17" i="2"/>
  <c r="G23" i="2"/>
  <c r="H22" i="2"/>
  <c r="Q43" i="2"/>
  <c r="F21" i="2"/>
  <c r="L62" i="2"/>
  <c r="V63" i="2"/>
  <c r="L40" i="2"/>
  <c r="H32" i="2"/>
  <c r="M19" i="2"/>
  <c r="V17" i="3"/>
  <c r="I40" i="2"/>
  <c r="E34" i="2"/>
  <c r="P40" i="3"/>
  <c r="M40" i="2"/>
  <c r="T38" i="2"/>
  <c r="I39" i="2"/>
  <c r="S37" i="2"/>
  <c r="U17" i="2"/>
  <c r="T32" i="2"/>
  <c r="F34" i="2"/>
  <c r="S17" i="2"/>
  <c r="J18" i="2"/>
  <c r="Q63" i="2"/>
  <c r="M31" i="2"/>
  <c r="V22" i="2"/>
  <c r="R37" i="3"/>
  <c r="K37" i="2"/>
  <c r="N38" i="2"/>
  <c r="E40" i="2"/>
  <c r="R18" i="3"/>
  <c r="R26" i="2"/>
  <c r="K19" i="2"/>
  <c r="S31" i="2"/>
  <c r="Q23" i="2"/>
  <c r="S18" i="2"/>
  <c r="N26" i="2"/>
  <c r="G43" i="2"/>
  <c r="R22" i="2"/>
  <c r="I34" i="2"/>
  <c r="S32" i="2"/>
  <c r="V26" i="2"/>
  <c r="L17" i="2"/>
  <c r="T21" i="2"/>
  <c r="R43" i="3"/>
  <c r="R32" i="2"/>
  <c r="S34" i="2"/>
  <c r="M63" i="2"/>
  <c r="K38" i="2"/>
  <c r="E18" i="2"/>
  <c r="F63" i="2"/>
  <c r="N18" i="2"/>
  <c r="U43" i="2"/>
  <c r="P18" i="3"/>
  <c r="K43" i="2"/>
  <c r="U62" i="2"/>
  <c r="T23" i="2"/>
  <c r="Q17" i="3"/>
  <c r="P26" i="3"/>
  <c r="J31" i="2"/>
  <c r="V18" i="2"/>
  <c r="E23" i="2"/>
  <c r="R18" i="2"/>
  <c r="J22" i="2"/>
  <c r="N32" i="2"/>
  <c r="J23" i="2"/>
  <c r="I38" i="2"/>
  <c r="V40" i="2"/>
  <c r="P32" i="3"/>
  <c r="R38" i="3"/>
  <c r="M17" i="2"/>
  <c r="J43" i="2"/>
  <c r="I32" i="2"/>
  <c r="I18" i="2"/>
  <c r="V34" i="2"/>
  <c r="H37" i="2"/>
  <c r="E38" i="2"/>
  <c r="U26" i="2"/>
  <c r="G32" i="2"/>
  <c r="K23" i="2"/>
  <c r="Q22" i="2"/>
  <c r="M34" i="2"/>
  <c r="G39" i="2"/>
  <c r="G62" i="2"/>
  <c r="I37" i="2"/>
  <c r="K22" i="2"/>
  <c r="S23" i="2"/>
  <c r="I31" i="2"/>
  <c r="R21" i="3"/>
  <c r="R31" i="2"/>
  <c r="Q62" i="2"/>
  <c r="K62" i="2"/>
  <c r="J34" i="2"/>
  <c r="K26" i="2"/>
  <c r="P23" i="3"/>
  <c r="J63" i="2"/>
  <c r="T43" i="2"/>
  <c r="J39" i="2"/>
  <c r="F62" i="2"/>
  <c r="N40" i="2"/>
  <c r="U23" i="2"/>
  <c r="Q18" i="2"/>
  <c r="M21" i="2"/>
  <c r="S26" i="2"/>
  <c r="R39" i="2"/>
  <c r="R23" i="3"/>
  <c r="P39" i="3"/>
  <c r="H62" i="2"/>
  <c r="P32" i="2"/>
  <c r="N21" i="2"/>
  <c r="G17" i="2"/>
  <c r="I43" i="2"/>
  <c r="R23" i="2"/>
  <c r="G22" i="2"/>
  <c r="Q32" i="2"/>
  <c r="K18" i="2"/>
  <c r="J17" i="2"/>
  <c r="U63" i="2"/>
  <c r="R62" i="3"/>
  <c r="H40" i="2"/>
  <c r="T34" i="2"/>
  <c r="M26" i="2"/>
  <c r="T39" i="2"/>
  <c r="T62" i="2"/>
  <c r="Q37" i="2"/>
  <c r="N19" i="2"/>
  <c r="U39" i="2"/>
  <c r="P38" i="2"/>
  <c r="U21" i="2"/>
  <c r="T17" i="3"/>
  <c r="M62" i="2"/>
  <c r="E31" i="2"/>
  <c r="V43" i="2"/>
  <c r="J32" i="2"/>
  <c r="N34" i="2"/>
  <c r="F19" i="2"/>
  <c r="U38" i="2"/>
  <c r="T37" i="2"/>
  <c r="E62" i="2"/>
  <c r="I22" i="2"/>
  <c r="Q19" i="2"/>
  <c r="L21" i="2"/>
  <c r="I62" i="2"/>
  <c r="Q40" i="2"/>
  <c r="N22" i="2"/>
  <c r="I19" i="2"/>
  <c r="V62" i="2"/>
  <c r="F39" i="2"/>
  <c r="L63" i="2"/>
  <c r="V38" i="2"/>
  <c r="E26" i="2"/>
  <c r="V21" i="2"/>
  <c r="M38" i="2"/>
  <c r="S38" i="2"/>
  <c r="P37" i="2"/>
  <c r="R31" i="3"/>
  <c r="H26" i="2"/>
  <c r="H43" i="2"/>
  <c r="M18" i="2"/>
  <c r="R38" i="2"/>
  <c r="T31" i="2"/>
  <c r="U19" i="2"/>
  <c r="M32" i="2"/>
  <c r="G37" i="2"/>
  <c r="N37" i="2"/>
  <c r="G26" i="2"/>
  <c r="I63" i="2"/>
  <c r="M22" i="2"/>
  <c r="S21" i="2"/>
  <c r="Q21" i="2"/>
  <c r="U40" i="2"/>
  <c r="F38" i="2"/>
  <c r="G18" i="2"/>
  <c r="R39" i="3"/>
  <c r="F22" i="2"/>
  <c r="N39" i="2"/>
  <c r="K63" i="2"/>
  <c r="R43" i="2"/>
  <c r="S63" i="2"/>
  <c r="P62" i="3"/>
  <c r="P37" i="3"/>
  <c r="K32" i="2"/>
  <c r="F18" i="2"/>
  <c r="F31" i="2"/>
  <c r="N17" i="3"/>
  <c r="L38" i="2"/>
  <c r="P43" i="2"/>
  <c r="K17" i="2"/>
  <c r="R63" i="2"/>
  <c r="V23" i="2"/>
  <c r="J21" i="2"/>
  <c r="N17" i="2"/>
  <c r="F40" i="2"/>
  <c r="F32" i="2"/>
  <c r="E37" i="2"/>
  <c r="T18" i="2"/>
  <c r="U31" i="2"/>
  <c r="L32" i="2"/>
  <c r="P39" i="2"/>
  <c r="J26" i="2"/>
  <c r="N63" i="2"/>
  <c r="Q31" i="2"/>
  <c r="R26" i="3"/>
  <c r="P31" i="3"/>
  <c r="K21" i="2"/>
  <c r="P31" i="2"/>
  <c r="K39" i="2"/>
  <c r="I23" i="2"/>
  <c r="M37" i="2"/>
  <c r="J19" i="2"/>
  <c r="R21" i="2"/>
  <c r="U34" i="2"/>
  <c r="L39" i="2"/>
  <c r="H23" i="2"/>
  <c r="F43" i="2"/>
  <c r="R62" i="2"/>
  <c r="R17" i="2"/>
  <c r="V31" i="2"/>
  <c r="E39" i="2"/>
  <c r="N43" i="2"/>
  <c r="R22" i="3"/>
  <c r="S17" i="3"/>
  <c r="H18" i="2"/>
  <c r="E43" i="2"/>
  <c r="G21" i="2"/>
  <c r="P34" i="3"/>
  <c r="E19" i="2"/>
  <c r="P21" i="2"/>
  <c r="AU37" i="2" l="1"/>
  <c r="AU18" i="2"/>
  <c r="AW34" i="2"/>
  <c r="AQ22" i="2"/>
  <c r="AJ34" i="3"/>
  <c r="AK34" i="3" s="1"/>
  <c r="AW40" i="2"/>
  <c r="BG22" i="2"/>
  <c r="AQ37" i="2"/>
  <c r="BB22" i="2"/>
  <c r="AX32" i="2"/>
  <c r="AU26" i="2"/>
  <c r="BB62" i="2"/>
  <c r="AY26" i="2"/>
  <c r="BE43" i="2"/>
  <c r="BA21" i="2"/>
  <c r="AJ17" i="3"/>
  <c r="AK17" i="3" s="1"/>
  <c r="BE63" i="2"/>
  <c r="AT17" i="2"/>
  <c r="BF19" i="2"/>
  <c r="BB31" i="2"/>
  <c r="BB21" i="2"/>
  <c r="AV34" i="2"/>
  <c r="AU39" i="2"/>
  <c r="BG40" i="2"/>
  <c r="AT39" i="2"/>
  <c r="BC26" i="2"/>
  <c r="AJ38" i="3"/>
  <c r="AK38" i="3" s="1"/>
  <c r="BD21" i="2"/>
  <c r="BF63" i="2"/>
  <c r="AS62" i="2"/>
  <c r="BD23" i="2"/>
  <c r="AJ19" i="3"/>
  <c r="AK19" i="3" s="1"/>
  <c r="AW26" i="2"/>
  <c r="AJ26" i="3"/>
  <c r="AK26" i="3" s="1"/>
  <c r="AQ63" i="2"/>
  <c r="BD62" i="2"/>
  <c r="BA22" i="2"/>
  <c r="AX62" i="2"/>
  <c r="BG17" i="2"/>
  <c r="AW62" i="2"/>
  <c r="AJ21" i="3"/>
  <c r="AK21" i="3" s="1"/>
  <c r="AP38" i="2"/>
  <c r="BG63" i="2"/>
  <c r="AY63" i="2"/>
  <c r="BA63" i="2"/>
  <c r="BG37" i="2"/>
  <c r="AS32" i="2"/>
  <c r="AW17" i="2"/>
  <c r="AJ23" i="3"/>
  <c r="AK23" i="3" s="1"/>
  <c r="BG32" i="2"/>
  <c r="BC31" i="2"/>
  <c r="AR34" i="2"/>
  <c r="AS26" i="2"/>
  <c r="BB37" i="2"/>
  <c r="AP43" i="2"/>
  <c r="BE23" i="2"/>
  <c r="BF62" i="2"/>
  <c r="AQ26" i="2"/>
  <c r="BE38" i="2"/>
  <c r="AV23" i="2"/>
  <c r="AX34" i="2"/>
  <c r="AT43" i="2"/>
  <c r="BA26" i="2"/>
  <c r="AW63" i="2"/>
  <c r="AY17" i="2"/>
  <c r="BG39" i="2"/>
  <c r="AP19" i="2"/>
  <c r="AP26" i="2"/>
  <c r="AR18" i="2"/>
  <c r="AY62" i="2"/>
  <c r="AY39" i="2"/>
  <c r="AY19" i="2"/>
  <c r="BE39" i="2"/>
  <c r="AY37" i="2"/>
  <c r="AJ43" i="3"/>
  <c r="AK43" i="3" s="1"/>
  <c r="BB63" i="2"/>
  <c r="AP21" i="2"/>
  <c r="BF31" i="2"/>
  <c r="BD43" i="2"/>
  <c r="AS22" i="2"/>
  <c r="BD39" i="2"/>
  <c r="BB34" i="2"/>
  <c r="BA37" i="2"/>
  <c r="AQ19" i="2"/>
  <c r="BD37" i="2"/>
  <c r="BB17" i="2"/>
  <c r="AU62" i="2"/>
  <c r="AT22" i="2"/>
  <c r="AV32" i="2"/>
  <c r="AT63" i="2"/>
  <c r="BG31" i="2"/>
  <c r="AT32" i="2"/>
  <c r="BC22" i="2"/>
  <c r="AJ18" i="3"/>
  <c r="AK18" i="3" s="1"/>
  <c r="BC37" i="2"/>
  <c r="BA17" i="2"/>
  <c r="BA43" i="2"/>
  <c r="BC34" i="2"/>
  <c r="BA19" i="2"/>
  <c r="AX31" i="2"/>
  <c r="AQ32" i="2"/>
  <c r="BE62" i="2"/>
  <c r="AQ62" i="2"/>
  <c r="AX38" i="2"/>
  <c r="AV37" i="2"/>
  <c r="AV38" i="2"/>
  <c r="AV19" i="2"/>
  <c r="AU38" i="2"/>
  <c r="BF32" i="2"/>
  <c r="AX21" i="2"/>
  <c r="AP23" i="2"/>
  <c r="AJ31" i="3"/>
  <c r="AK31" i="3" s="1"/>
  <c r="BC23" i="2"/>
  <c r="BD18" i="2"/>
  <c r="BD63" i="2"/>
  <c r="AJ40" i="3"/>
  <c r="AK40" i="3" s="1"/>
  <c r="AR62" i="2"/>
  <c r="AS43" i="2"/>
  <c r="AS38" i="2"/>
  <c r="BA40" i="2"/>
  <c r="AP17" i="2"/>
  <c r="BE31" i="2"/>
  <c r="BF38" i="2"/>
  <c r="AS37" i="2"/>
  <c r="BC62" i="2"/>
  <c r="AY22" i="2"/>
  <c r="AY38" i="2"/>
  <c r="BC21" i="2"/>
  <c r="AR39" i="2"/>
  <c r="AQ18" i="2"/>
  <c r="BG23" i="2"/>
  <c r="AQ38" i="2"/>
  <c r="BE26" i="2"/>
  <c r="AW43" i="2"/>
  <c r="BC63" i="2"/>
  <c r="BC38" i="2"/>
  <c r="BG38" i="2"/>
  <c r="AW32" i="2"/>
  <c r="AV40" i="2"/>
  <c r="AR63" i="2"/>
  <c r="BA18" i="2"/>
  <c r="AT38" i="2"/>
  <c r="AY40" i="2"/>
  <c r="AT34" i="2"/>
  <c r="AX40" i="2"/>
  <c r="AX17" i="2"/>
  <c r="BB19" i="2"/>
  <c r="AU32" i="2"/>
  <c r="AJ32" i="3"/>
  <c r="AK32" i="3" s="1"/>
  <c r="BC19" i="2"/>
  <c r="BA32" i="2"/>
  <c r="AV17" i="2"/>
  <c r="BF23" i="2"/>
  <c r="AW21" i="2"/>
  <c r="AW39" i="2"/>
  <c r="AU17" i="2"/>
  <c r="BB39" i="2"/>
  <c r="AS18" i="2"/>
  <c r="AW19" i="2"/>
  <c r="BD31" i="2"/>
  <c r="AV63" i="2"/>
  <c r="BG62" i="2"/>
  <c r="AR37" i="2"/>
  <c r="BC18" i="2"/>
  <c r="AP31" i="2"/>
  <c r="AU21" i="2"/>
  <c r="AU23" i="2"/>
  <c r="AS39" i="2"/>
  <c r="AS21" i="2"/>
  <c r="AX19" i="2"/>
  <c r="AR26" i="2"/>
  <c r="AQ31" i="2"/>
  <c r="AX18" i="2"/>
  <c r="AY31" i="2"/>
  <c r="AQ43" i="2"/>
  <c r="AV62" i="2"/>
  <c r="BG34" i="2"/>
  <c r="AW37" i="2"/>
  <c r="BB43" i="2"/>
  <c r="AR32" i="2"/>
  <c r="AP22" i="2"/>
  <c r="AP39" i="2"/>
  <c r="AM17" i="3"/>
  <c r="BE21" i="2"/>
  <c r="AU40" i="2"/>
  <c r="BF21" i="2"/>
  <c r="BF40" i="2"/>
  <c r="AY21" i="2"/>
  <c r="AR38" i="2"/>
  <c r="AV39" i="2"/>
  <c r="BF34" i="2"/>
  <c r="AW18" i="2"/>
  <c r="AT62" i="2"/>
  <c r="BC32" i="2"/>
  <c r="AX39" i="2"/>
  <c r="BD32" i="2"/>
  <c r="BD22" i="2"/>
  <c r="AQ40" i="2"/>
  <c r="BA23" i="2"/>
  <c r="AT40" i="2"/>
  <c r="AP37" i="2"/>
  <c r="AR43" i="2"/>
  <c r="BD34" i="2"/>
  <c r="BD40" i="2"/>
  <c r="AS31" i="2"/>
  <c r="BE34" i="2"/>
  <c r="AR31" i="2"/>
  <c r="BB18" i="2"/>
  <c r="BC40" i="2"/>
  <c r="AU19" i="2"/>
  <c r="AU43" i="2"/>
  <c r="BF43" i="2"/>
  <c r="AR22" i="2"/>
  <c r="AR40" i="2"/>
  <c r="BF26" i="2"/>
  <c r="BE32" i="2"/>
  <c r="AV26" i="2"/>
  <c r="AR23" i="2"/>
  <c r="AP34" i="2"/>
  <c r="AU22" i="2"/>
  <c r="AT23" i="2"/>
  <c r="AX23" i="2"/>
  <c r="BE37" i="2"/>
  <c r="AR21" i="2"/>
  <c r="AX22" i="2"/>
  <c r="AV21" i="2"/>
  <c r="AY43" i="2"/>
  <c r="AW31" i="2"/>
  <c r="BD26" i="2"/>
  <c r="AW23" i="2"/>
  <c r="AJ22" i="3"/>
  <c r="AK22" i="3" s="1"/>
  <c r="BB23" i="2"/>
  <c r="BE22" i="2"/>
  <c r="AR17" i="2"/>
  <c r="BB40" i="2"/>
  <c r="AQ17" i="2"/>
  <c r="AY18" i="2"/>
  <c r="AV43" i="2"/>
  <c r="AS19" i="2"/>
  <c r="BA62" i="2"/>
  <c r="BB26" i="2"/>
  <c r="AX37" i="2"/>
  <c r="AP63" i="2"/>
  <c r="AQ34" i="2"/>
  <c r="BD19" i="2"/>
  <c r="AY23" i="2"/>
  <c r="BF39" i="2"/>
  <c r="AJ62" i="3"/>
  <c r="AK62" i="3" s="1"/>
  <c r="AU34" i="2"/>
  <c r="AS17" i="2"/>
  <c r="AT37" i="2"/>
  <c r="AX43" i="2"/>
  <c r="BC17" i="2"/>
  <c r="AQ23" i="2"/>
  <c r="AY34" i="2"/>
  <c r="AW38" i="2"/>
  <c r="BF37" i="2"/>
  <c r="BB32" i="2"/>
  <c r="AX63" i="2"/>
  <c r="BC43" i="2"/>
  <c r="AT19" i="2"/>
  <c r="BA38" i="2"/>
  <c r="AX26" i="2"/>
  <c r="AV31" i="2"/>
  <c r="BF17" i="2"/>
  <c r="AT21" i="2"/>
  <c r="AW22" i="2"/>
  <c r="BD17" i="2"/>
  <c r="AR19" i="2"/>
  <c r="BB38" i="2"/>
  <c r="AT18" i="2"/>
  <c r="AV18" i="2"/>
  <c r="AP62" i="2"/>
  <c r="AS34" i="2"/>
  <c r="AU31" i="2"/>
  <c r="AT26" i="2"/>
  <c r="AQ39" i="2"/>
  <c r="AY32" i="2"/>
  <c r="BE19" i="2"/>
  <c r="BC39" i="2"/>
  <c r="AP40" i="2"/>
  <c r="BG21" i="2"/>
  <c r="AQ21" i="2"/>
  <c r="BA34" i="2"/>
  <c r="BE18" i="2"/>
  <c r="AT31" i="2"/>
  <c r="AJ63" i="3"/>
  <c r="AK63" i="3" s="1"/>
  <c r="AP32" i="2"/>
  <c r="BG26" i="2"/>
  <c r="BG18" i="2"/>
  <c r="BE40" i="2"/>
  <c r="AU63" i="2"/>
  <c r="AP18" i="2"/>
  <c r="BA39" i="2"/>
  <c r="AS63" i="2"/>
  <c r="BE17" i="2"/>
  <c r="BD38" i="2"/>
  <c r="BG19" i="2"/>
  <c r="BF22" i="2"/>
  <c r="AJ37" i="3"/>
  <c r="AK37" i="3" s="1"/>
  <c r="BG43" i="2"/>
  <c r="AS23" i="2"/>
  <c r="AJ39" i="3"/>
  <c r="AK39" i="3" s="1"/>
  <c r="BF18" i="2"/>
  <c r="AS40" i="2"/>
  <c r="AV22" i="2"/>
  <c r="BA31" i="2"/>
  <c r="AL17" i="3"/>
  <c r="F41" i="16"/>
  <c r="E41" i="7" s="1"/>
  <c r="E41" i="177" s="1"/>
  <c r="I52" i="19"/>
  <c r="C52" i="20"/>
  <c r="G52" i="20" s="1"/>
  <c r="O52" i="19"/>
  <c r="F52" i="19"/>
  <c r="K52" i="19" s="1"/>
  <c r="G52" i="19"/>
  <c r="E52" i="19"/>
  <c r="J52" i="19" s="1"/>
  <c r="E30" i="7"/>
  <c r="E30" i="177" s="1"/>
  <c r="E64" i="7"/>
  <c r="E64" i="177" s="1"/>
  <c r="F52" i="7"/>
  <c r="F52" i="177" s="1"/>
  <c r="F66" i="7"/>
  <c r="F66" i="177" s="1"/>
  <c r="D52" i="7"/>
  <c r="D52" i="177" s="1"/>
  <c r="D66" i="7"/>
  <c r="D66" i="177" s="1"/>
  <c r="U70" i="156"/>
  <c r="V70" i="156" s="1"/>
  <c r="W70" i="156" s="1"/>
  <c r="X70" i="156" s="1"/>
  <c r="V48" i="156"/>
  <c r="W48" i="156" s="1"/>
  <c r="X48" i="156" s="1"/>
  <c r="Y48" i="156" s="1"/>
  <c r="V33" i="156"/>
  <c r="W33" i="156" s="1"/>
  <c r="X33" i="156" s="1"/>
  <c r="Y33" i="156" s="1"/>
  <c r="AD74" i="156"/>
  <c r="AE74" i="156" s="1"/>
  <c r="AF74" i="156" s="1"/>
  <c r="AG74" i="156" s="1"/>
  <c r="AD29" i="156"/>
  <c r="AE29" i="156" s="1"/>
  <c r="AF29" i="156" s="1"/>
  <c r="AT73" i="156"/>
  <c r="AU73" i="156" s="1"/>
  <c r="AV73" i="156" s="1"/>
  <c r="AT69" i="156"/>
  <c r="AU69" i="156" s="1"/>
  <c r="AV69" i="156" s="1"/>
  <c r="AT72" i="156"/>
  <c r="AU72" i="156" s="1"/>
  <c r="AT71" i="156"/>
  <c r="AU71" i="156" s="1"/>
  <c r="AT75" i="156"/>
  <c r="AU75" i="156" s="1"/>
  <c r="I18" i="3" l="1"/>
  <c r="AG18" i="3" s="1"/>
  <c r="AA18" i="3" s="1"/>
  <c r="X18" i="3" s="1"/>
  <c r="AO18" i="3" s="1"/>
  <c r="I40" i="3"/>
  <c r="AG40" i="3" s="1"/>
  <c r="AA40" i="3" s="1"/>
  <c r="X40" i="3" s="1"/>
  <c r="AO40" i="3" s="1"/>
  <c r="I32" i="3"/>
  <c r="AG32" i="3" s="1"/>
  <c r="AA32" i="3" s="1"/>
  <c r="X32" i="3" s="1"/>
  <c r="AO32" i="3" s="1"/>
  <c r="I23" i="3"/>
  <c r="AG23" i="3" s="1"/>
  <c r="AA23" i="3" s="1"/>
  <c r="X23" i="3" s="1"/>
  <c r="AO23" i="3" s="1"/>
  <c r="I31" i="3"/>
  <c r="AG31" i="3" s="1"/>
  <c r="AA31" i="3" s="1"/>
  <c r="X31" i="3" s="1"/>
  <c r="AO31" i="3" s="1"/>
  <c r="I19" i="3"/>
  <c r="AG19" i="3" s="1"/>
  <c r="AA19" i="3" s="1"/>
  <c r="X19" i="3" s="1"/>
  <c r="C19" i="4" s="1"/>
  <c r="D19" i="4" s="1"/>
  <c r="E19" i="4" s="1"/>
  <c r="F19" i="4" s="1"/>
  <c r="G19" i="4" s="1"/>
  <c r="H19" i="4" s="1"/>
  <c r="I19" i="4" s="1"/>
  <c r="K19" i="4" s="1"/>
  <c r="M19" i="4" s="1"/>
  <c r="I26" i="3"/>
  <c r="AG26" i="3" s="1"/>
  <c r="AA26" i="3" s="1"/>
  <c r="X26" i="3" s="1"/>
  <c r="C26" i="4" s="1"/>
  <c r="D26" i="4" s="1"/>
  <c r="E26" i="4" s="1"/>
  <c r="F26" i="4" s="1"/>
  <c r="G26" i="4" s="1"/>
  <c r="H26" i="4" s="1"/>
  <c r="I26" i="4" s="1"/>
  <c r="J26" i="4" s="1"/>
  <c r="L26" i="4" s="1"/>
  <c r="I21" i="3"/>
  <c r="AG21" i="3" s="1"/>
  <c r="AA21" i="3" s="1"/>
  <c r="X21" i="3" s="1"/>
  <c r="C21" i="4" s="1"/>
  <c r="D21" i="4" s="1"/>
  <c r="E21" i="4" s="1"/>
  <c r="F21" i="4" s="1"/>
  <c r="G21" i="4" s="1"/>
  <c r="H21" i="4" s="1"/>
  <c r="I21" i="4" s="1"/>
  <c r="K21" i="4" s="1"/>
  <c r="M21" i="4" s="1"/>
  <c r="I43" i="3"/>
  <c r="AG43" i="3" s="1"/>
  <c r="AA43" i="3" s="1"/>
  <c r="X43" i="3" s="1"/>
  <c r="C43" i="4" s="1"/>
  <c r="D43" i="4" s="1"/>
  <c r="E43" i="4" s="1"/>
  <c r="F43" i="4" s="1"/>
  <c r="G43" i="4" s="1"/>
  <c r="H43" i="4" s="1"/>
  <c r="I43" i="4" s="1"/>
  <c r="K43" i="4" s="1"/>
  <c r="M43" i="4" s="1"/>
  <c r="I17" i="3"/>
  <c r="AG17" i="3" s="1"/>
  <c r="AA17" i="3" s="1"/>
  <c r="X17" i="3" s="1"/>
  <c r="AO17" i="3" s="1"/>
  <c r="I38" i="3"/>
  <c r="AG38" i="3" s="1"/>
  <c r="AA38" i="3" s="1"/>
  <c r="X38" i="3" s="1"/>
  <c r="C38" i="4" s="1"/>
  <c r="C38" i="16" s="1"/>
  <c r="C38" i="17" s="1"/>
  <c r="D38" i="17" s="1"/>
  <c r="E38" i="17" s="1"/>
  <c r="F38" i="17" s="1"/>
  <c r="G38" i="17" s="1"/>
  <c r="H38" i="17" s="1"/>
  <c r="I38" i="17" s="1"/>
  <c r="I39" i="3"/>
  <c r="AG39" i="3" s="1"/>
  <c r="AA39" i="3" s="1"/>
  <c r="X39" i="3" s="1"/>
  <c r="C39" i="4" s="1"/>
  <c r="D39" i="4" s="1"/>
  <c r="E39" i="4" s="1"/>
  <c r="F39" i="4" s="1"/>
  <c r="G39" i="4" s="1"/>
  <c r="H39" i="4" s="1"/>
  <c r="I39" i="4" s="1"/>
  <c r="J39" i="4" s="1"/>
  <c r="L39" i="4" s="1"/>
  <c r="I63" i="3"/>
  <c r="AG63" i="3" s="1"/>
  <c r="AA63" i="3" s="1"/>
  <c r="X63" i="3" s="1"/>
  <c r="AO63" i="3" s="1"/>
  <c r="I62" i="3"/>
  <c r="AG62" i="3" s="1"/>
  <c r="AA62" i="3" s="1"/>
  <c r="X62" i="3" s="1"/>
  <c r="AO62" i="3" s="1"/>
  <c r="I34" i="3"/>
  <c r="AG34" i="3" s="1"/>
  <c r="AA34" i="3" s="1"/>
  <c r="X34" i="3" s="1"/>
  <c r="C34" i="4" s="1"/>
  <c r="D34" i="4" s="1"/>
  <c r="E34" i="4" s="1"/>
  <c r="F34" i="4" s="1"/>
  <c r="G34" i="4" s="1"/>
  <c r="H34" i="4" s="1"/>
  <c r="I34" i="4" s="1"/>
  <c r="J34" i="4" s="1"/>
  <c r="L34" i="4" s="1"/>
  <c r="I37" i="3"/>
  <c r="AG37" i="3" s="1"/>
  <c r="AA37" i="3" s="1"/>
  <c r="X37" i="3" s="1"/>
  <c r="AO37" i="3" s="1"/>
  <c r="I22" i="3"/>
  <c r="AG22" i="3" s="1"/>
  <c r="AA22" i="3" s="1"/>
  <c r="X22" i="3" s="1"/>
  <c r="C22" i="4" s="1"/>
  <c r="C22" i="16" s="1"/>
  <c r="C22" i="17" s="1"/>
  <c r="C22" i="19" s="1"/>
  <c r="E22" i="19" s="1"/>
  <c r="J22" i="19" s="1"/>
  <c r="L18" i="3"/>
  <c r="L23" i="3"/>
  <c r="L43" i="3"/>
  <c r="L19" i="3"/>
  <c r="J54" i="17"/>
  <c r="F54" i="7" s="1"/>
  <c r="F54" i="177" s="1"/>
  <c r="F54" i="16"/>
  <c r="E54" i="7" s="1"/>
  <c r="E54" i="177" s="1"/>
  <c r="F44" i="16"/>
  <c r="E44" i="7" s="1"/>
  <c r="E44" i="177" s="1"/>
  <c r="J44" i="17"/>
  <c r="F44" i="7" s="1"/>
  <c r="F44" i="177" s="1"/>
  <c r="J41" i="17"/>
  <c r="F41" i="7" s="1"/>
  <c r="F41" i="177" s="1"/>
  <c r="C52" i="21"/>
  <c r="D52" i="20"/>
  <c r="E52" i="20" s="1"/>
  <c r="F52" i="20" s="1"/>
  <c r="J28" i="17"/>
  <c r="D64" i="7"/>
  <c r="D64" i="177" s="1"/>
  <c r="D30" i="7"/>
  <c r="D30" i="177" s="1"/>
  <c r="F64" i="7"/>
  <c r="F64" i="177" s="1"/>
  <c r="F30" i="7"/>
  <c r="F30" i="177" s="1"/>
  <c r="L64" i="19"/>
  <c r="L30" i="19"/>
  <c r="M30" i="19" s="1" a="1"/>
  <c r="M30" i="19" s="1"/>
  <c r="N30" i="19" s="1"/>
  <c r="L52" i="19"/>
  <c r="M52" i="19" s="1" a="1"/>
  <c r="M52" i="19" s="1"/>
  <c r="N52" i="19" s="1"/>
  <c r="L66" i="19"/>
  <c r="J30" i="7"/>
  <c r="J30" i="177" s="1"/>
  <c r="Y70" i="156"/>
  <c r="Z70" i="156" s="1"/>
  <c r="AA70" i="156" s="1"/>
  <c r="AB70" i="156" s="1"/>
  <c r="Z33" i="156"/>
  <c r="AA33" i="156" s="1"/>
  <c r="AB33" i="156" s="1"/>
  <c r="AC33" i="156" s="1"/>
  <c r="Z48" i="156"/>
  <c r="AA48" i="156" s="1"/>
  <c r="AB48" i="156" s="1"/>
  <c r="AG29" i="156"/>
  <c r="AV75" i="156"/>
  <c r="AV72" i="156"/>
  <c r="AV71" i="156"/>
  <c r="C18" i="4" l="1"/>
  <c r="C18" i="16" s="1"/>
  <c r="C18" i="17" s="1"/>
  <c r="D18" i="17" s="1"/>
  <c r="E18" i="17" s="1"/>
  <c r="F18" i="17" s="1"/>
  <c r="G18" i="17" s="1"/>
  <c r="H18" i="17" s="1"/>
  <c r="I18" i="17" s="1"/>
  <c r="L39" i="3"/>
  <c r="L38" i="3"/>
  <c r="L62" i="3"/>
  <c r="C32" i="4"/>
  <c r="C32" i="16" s="1"/>
  <c r="D32" i="16" s="1"/>
  <c r="E32" i="16" s="1"/>
  <c r="C40" i="4"/>
  <c r="D40" i="4" s="1"/>
  <c r="E40" i="4" s="1"/>
  <c r="F40" i="4" s="1"/>
  <c r="G40" i="4" s="1"/>
  <c r="H40" i="4" s="1"/>
  <c r="I40" i="4" s="1"/>
  <c r="K40" i="4" s="1"/>
  <c r="M40" i="4" s="1"/>
  <c r="L32" i="3"/>
  <c r="L40" i="3"/>
  <c r="L31" i="3"/>
  <c r="C31" i="4"/>
  <c r="C31" i="16" s="1"/>
  <c r="C31" i="17" s="1"/>
  <c r="C31" i="19" s="1"/>
  <c r="I31" i="19" s="1"/>
  <c r="C19" i="16"/>
  <c r="C19" i="17" s="1"/>
  <c r="C19" i="19" s="1"/>
  <c r="F19" i="19" s="1"/>
  <c r="K19" i="19" s="1"/>
  <c r="AO19" i="3"/>
  <c r="AO43" i="3"/>
  <c r="AO38" i="3"/>
  <c r="J21" i="4"/>
  <c r="L21" i="4" s="1"/>
  <c r="L26" i="3"/>
  <c r="C23" i="4"/>
  <c r="D23" i="4" s="1"/>
  <c r="E23" i="4" s="1"/>
  <c r="F23" i="4" s="1"/>
  <c r="G23" i="4" s="1"/>
  <c r="H23" i="4" s="1"/>
  <c r="I23" i="4" s="1"/>
  <c r="J23" i="4" s="1"/>
  <c r="L23" i="4" s="1"/>
  <c r="K26" i="4"/>
  <c r="M26" i="4" s="1"/>
  <c r="AO26" i="3"/>
  <c r="C43" i="16"/>
  <c r="D43" i="16" s="1"/>
  <c r="E43" i="16" s="1"/>
  <c r="C21" i="16"/>
  <c r="C21" i="17" s="1"/>
  <c r="C21" i="19" s="1"/>
  <c r="F21" i="19" s="1"/>
  <c r="K21" i="19" s="1"/>
  <c r="C63" i="4"/>
  <c r="D63" i="4" s="1"/>
  <c r="E63" i="4" s="1"/>
  <c r="F63" i="4" s="1"/>
  <c r="G63" i="4" s="1"/>
  <c r="H63" i="4" s="1"/>
  <c r="I63" i="4" s="1"/>
  <c r="J63" i="4" s="1"/>
  <c r="L63" i="4" s="1"/>
  <c r="C26" i="16"/>
  <c r="D26" i="16" s="1"/>
  <c r="E26" i="16" s="1"/>
  <c r="J19" i="4"/>
  <c r="L19" i="4" s="1"/>
  <c r="L37" i="3"/>
  <c r="D38" i="16"/>
  <c r="E38" i="16" s="1"/>
  <c r="D38" i="4"/>
  <c r="E38" i="4" s="1"/>
  <c r="F38" i="4" s="1"/>
  <c r="G38" i="4" s="1"/>
  <c r="H38" i="4" s="1"/>
  <c r="I38" i="4" s="1"/>
  <c r="K38" i="4" s="1"/>
  <c r="M38" i="4" s="1"/>
  <c r="L22" i="3"/>
  <c r="L21" i="3"/>
  <c r="C22" i="20"/>
  <c r="D22" i="20" s="1"/>
  <c r="E22" i="20" s="1"/>
  <c r="F22" i="20" s="1"/>
  <c r="C39" i="16"/>
  <c r="D39" i="16" s="1"/>
  <c r="E39" i="16" s="1"/>
  <c r="AO34" i="3"/>
  <c r="L17" i="3"/>
  <c r="D22" i="17"/>
  <c r="E22" i="17" s="1"/>
  <c r="F22" i="17" s="1"/>
  <c r="G22" i="17" s="1"/>
  <c r="H22" i="17" s="1"/>
  <c r="I22" i="17" s="1"/>
  <c r="C37" i="4"/>
  <c r="C37" i="16" s="1"/>
  <c r="D37" i="16" s="1"/>
  <c r="E37" i="16" s="1"/>
  <c r="I22" i="19"/>
  <c r="D22" i="16"/>
  <c r="E22" i="16" s="1"/>
  <c r="C34" i="16"/>
  <c r="C34" i="17" s="1"/>
  <c r="C34" i="19" s="1"/>
  <c r="D34" i="19" s="1"/>
  <c r="H34" i="19" s="1"/>
  <c r="K39" i="4"/>
  <c r="M39" i="4" s="1"/>
  <c r="C38" i="19"/>
  <c r="C38" i="20" s="1"/>
  <c r="C38" i="21" s="1"/>
  <c r="C38" i="177" s="1"/>
  <c r="L34" i="3"/>
  <c r="AO22" i="3"/>
  <c r="D22" i="4"/>
  <c r="E22" i="4" s="1"/>
  <c r="F22" i="4" s="1"/>
  <c r="G22" i="4" s="1"/>
  <c r="H22" i="4" s="1"/>
  <c r="I22" i="4" s="1"/>
  <c r="J22" i="4" s="1"/>
  <c r="L22" i="4" s="1"/>
  <c r="J43" i="4"/>
  <c r="L43" i="4" s="1"/>
  <c r="AO21" i="3"/>
  <c r="D22" i="19"/>
  <c r="H22" i="19" s="1"/>
  <c r="G22" i="19"/>
  <c r="K34" i="4"/>
  <c r="M34" i="4" s="1"/>
  <c r="C62" i="4"/>
  <c r="C62" i="16" s="1"/>
  <c r="C62" i="17" s="1"/>
  <c r="D62" i="17" s="1"/>
  <c r="E62" i="17" s="1"/>
  <c r="F62" i="17" s="1"/>
  <c r="G62" i="17" s="1"/>
  <c r="H62" i="17" s="1"/>
  <c r="I62" i="17" s="1"/>
  <c r="AO39" i="3"/>
  <c r="L63" i="3"/>
  <c r="F22" i="19"/>
  <c r="K22" i="19" s="1"/>
  <c r="D18" i="4"/>
  <c r="E18" i="4" s="1"/>
  <c r="F18" i="4" s="1"/>
  <c r="G18" i="4" s="1"/>
  <c r="H18" i="4" s="1"/>
  <c r="I18" i="4" s="1"/>
  <c r="J18" i="4" s="1"/>
  <c r="L18" i="4" s="1"/>
  <c r="D18" i="16"/>
  <c r="E18" i="16" s="1"/>
  <c r="C18" i="19"/>
  <c r="F18" i="19" s="1"/>
  <c r="K18" i="19" s="1"/>
  <c r="C17" i="4"/>
  <c r="C17" i="16" s="1"/>
  <c r="C17" i="17" s="1"/>
  <c r="D17" i="17" s="1"/>
  <c r="E17" i="17" s="1"/>
  <c r="F17" i="17" s="1"/>
  <c r="G17" i="17" s="1"/>
  <c r="H17" i="17" s="1"/>
  <c r="I17" i="17" s="1"/>
  <c r="F28" i="16"/>
  <c r="E28" i="7" s="1"/>
  <c r="E28" i="177" s="1"/>
  <c r="F53" i="16"/>
  <c r="E53" i="7" s="1"/>
  <c r="E53" i="177" s="1"/>
  <c r="P54" i="4"/>
  <c r="D54" i="7" s="1"/>
  <c r="P44" i="4"/>
  <c r="D44" i="7" s="1"/>
  <c r="D44" i="177" s="1"/>
  <c r="L44" i="19"/>
  <c r="M44" i="19" s="1" a="1"/>
  <c r="M44" i="19" s="1"/>
  <c r="N44" i="19" s="1"/>
  <c r="P41" i="4"/>
  <c r="D41" i="7" s="1"/>
  <c r="D41" i="177" s="1"/>
  <c r="L41" i="19"/>
  <c r="M41" i="19" s="1" a="1"/>
  <c r="M41" i="19" s="1"/>
  <c r="N41" i="19" s="1"/>
  <c r="H52" i="21"/>
  <c r="C52" i="177"/>
  <c r="K52" i="177" s="1"/>
  <c r="F28" i="7"/>
  <c r="F28" i="177" s="1"/>
  <c r="D52" i="21"/>
  <c r="E52" i="21" s="1"/>
  <c r="F52" i="21" s="1"/>
  <c r="G52" i="21" s="1"/>
  <c r="C52" i="154"/>
  <c r="C52" i="7"/>
  <c r="P28" i="4"/>
  <c r="H30" i="7"/>
  <c r="H30" i="177" s="1"/>
  <c r="H64" i="7"/>
  <c r="H64" i="177" s="1"/>
  <c r="G64" i="7"/>
  <c r="G64" i="177" s="1"/>
  <c r="G30" i="7"/>
  <c r="G30" i="177" s="1"/>
  <c r="H66" i="7"/>
  <c r="H66" i="177" s="1"/>
  <c r="H52" i="7"/>
  <c r="H52" i="177" s="1"/>
  <c r="G52" i="7"/>
  <c r="G52" i="177" s="1"/>
  <c r="G66" i="7"/>
  <c r="G66" i="177" s="1"/>
  <c r="AC70" i="156"/>
  <c r="AD70" i="156" s="1"/>
  <c r="AE70" i="156" s="1"/>
  <c r="AF70" i="156" s="1"/>
  <c r="AG70" i="156" s="1"/>
  <c r="AC48" i="156"/>
  <c r="AD48" i="156" s="1"/>
  <c r="AE48" i="156" s="1"/>
  <c r="AF48" i="156" s="1"/>
  <c r="AG48" i="156" s="1"/>
  <c r="AD33" i="156"/>
  <c r="AE33" i="156" s="1"/>
  <c r="AF33" i="156" s="1"/>
  <c r="AG33" i="156" s="1"/>
  <c r="AH74" i="156"/>
  <c r="AI74" i="156" s="1"/>
  <c r="AJ74" i="156" s="1"/>
  <c r="AK74" i="156" s="1"/>
  <c r="AH29" i="156"/>
  <c r="AI29" i="156" s="1"/>
  <c r="AJ29" i="156" s="1"/>
  <c r="AK29" i="156" s="1"/>
  <c r="C32" i="17" l="1"/>
  <c r="C32" i="19" s="1"/>
  <c r="I32" i="19" s="1"/>
  <c r="C40" i="16"/>
  <c r="D40" i="16" s="1"/>
  <c r="E40" i="16" s="1"/>
  <c r="D32" i="4"/>
  <c r="E32" i="4" s="1"/>
  <c r="F32" i="4" s="1"/>
  <c r="G32" i="4" s="1"/>
  <c r="H32" i="4" s="1"/>
  <c r="I32" i="4" s="1"/>
  <c r="K32" i="4" s="1"/>
  <c r="M32" i="4" s="1"/>
  <c r="J40" i="4"/>
  <c r="L40" i="4" s="1"/>
  <c r="D31" i="4"/>
  <c r="E31" i="4" s="1"/>
  <c r="F31" i="4" s="1"/>
  <c r="G31" i="4" s="1"/>
  <c r="H31" i="4" s="1"/>
  <c r="I31" i="4" s="1"/>
  <c r="K31" i="4" s="1"/>
  <c r="M31" i="4" s="1"/>
  <c r="G31" i="19"/>
  <c r="D31" i="17"/>
  <c r="E31" i="17" s="1"/>
  <c r="F31" i="17" s="1"/>
  <c r="G31" i="17" s="1"/>
  <c r="H31" i="17" s="1"/>
  <c r="I31" i="17" s="1"/>
  <c r="D34" i="16"/>
  <c r="E34" i="16" s="1"/>
  <c r="D31" i="16"/>
  <c r="E31" i="16" s="1"/>
  <c r="D31" i="19"/>
  <c r="H31" i="19" s="1"/>
  <c r="E31" i="19"/>
  <c r="J31" i="19" s="1"/>
  <c r="C31" i="20"/>
  <c r="D31" i="20" s="1"/>
  <c r="E31" i="20" s="1"/>
  <c r="F31" i="20" s="1"/>
  <c r="F31" i="19"/>
  <c r="K31" i="19" s="1"/>
  <c r="N26" i="4"/>
  <c r="O26" i="4" s="1"/>
  <c r="D19" i="16"/>
  <c r="E19" i="16" s="1"/>
  <c r="G19" i="19"/>
  <c r="I19" i="19"/>
  <c r="D19" i="19"/>
  <c r="H19" i="19" s="1"/>
  <c r="D19" i="17"/>
  <c r="E19" i="17" s="1"/>
  <c r="F19" i="17" s="1"/>
  <c r="G19" i="17" s="1"/>
  <c r="H19" i="17" s="1"/>
  <c r="I19" i="17" s="1"/>
  <c r="N19" i="4"/>
  <c r="O19" i="4" s="1"/>
  <c r="E19" i="19"/>
  <c r="J19" i="19" s="1"/>
  <c r="C19" i="20"/>
  <c r="D19" i="20" s="1"/>
  <c r="E19" i="20" s="1"/>
  <c r="F19" i="20" s="1"/>
  <c r="C21" i="20"/>
  <c r="C21" i="21" s="1"/>
  <c r="C21" i="177" s="1"/>
  <c r="K23" i="4"/>
  <c r="M23" i="4" s="1"/>
  <c r="N23" i="4" s="1"/>
  <c r="O23" i="4" s="1"/>
  <c r="D21" i="17"/>
  <c r="E21" i="17" s="1"/>
  <c r="F21" i="17" s="1"/>
  <c r="G21" i="17" s="1"/>
  <c r="H21" i="17" s="1"/>
  <c r="I21" i="17" s="1"/>
  <c r="D21" i="19"/>
  <c r="H21" i="19" s="1"/>
  <c r="C22" i="21"/>
  <c r="C22" i="177" s="1"/>
  <c r="C63" i="16"/>
  <c r="C63" i="17" s="1"/>
  <c r="C63" i="19" s="1"/>
  <c r="E63" i="19" s="1"/>
  <c r="J63" i="19" s="1"/>
  <c r="N21" i="4"/>
  <c r="O21" i="4" s="1"/>
  <c r="C23" i="16"/>
  <c r="C23" i="17" s="1"/>
  <c r="D23" i="17" s="1"/>
  <c r="E23" i="17" s="1"/>
  <c r="F23" i="17" s="1"/>
  <c r="G23" i="17" s="1"/>
  <c r="H23" i="17" s="1"/>
  <c r="I23" i="17" s="1"/>
  <c r="D21" i="16"/>
  <c r="E21" i="16" s="1"/>
  <c r="K63" i="4"/>
  <c r="M63" i="4" s="1"/>
  <c r="N63" i="4" s="1"/>
  <c r="O63" i="4" s="1"/>
  <c r="J38" i="4"/>
  <c r="L38" i="4" s="1"/>
  <c r="C43" i="17"/>
  <c r="C43" i="19" s="1"/>
  <c r="F43" i="19" s="1"/>
  <c r="K43" i="19" s="1"/>
  <c r="E21" i="19"/>
  <c r="J21" i="19" s="1"/>
  <c r="C26" i="17"/>
  <c r="D26" i="17" s="1"/>
  <c r="E26" i="17" s="1"/>
  <c r="F26" i="17" s="1"/>
  <c r="G26" i="17" s="1"/>
  <c r="H26" i="17" s="1"/>
  <c r="I26" i="17" s="1"/>
  <c r="G21" i="19"/>
  <c r="F34" i="19"/>
  <c r="K34" i="19" s="1"/>
  <c r="I21" i="19"/>
  <c r="C38" i="154"/>
  <c r="D38" i="154" s="1"/>
  <c r="E38" i="154" s="1"/>
  <c r="F38" i="154" s="1"/>
  <c r="D38" i="19"/>
  <c r="H38" i="19" s="1"/>
  <c r="C39" i="17"/>
  <c r="D39" i="17" s="1"/>
  <c r="E39" i="17" s="1"/>
  <c r="F39" i="17" s="1"/>
  <c r="G39" i="17" s="1"/>
  <c r="H39" i="17" s="1"/>
  <c r="I39" i="17" s="1"/>
  <c r="D37" i="4"/>
  <c r="E37" i="4" s="1"/>
  <c r="F37" i="4" s="1"/>
  <c r="G37" i="4" s="1"/>
  <c r="H37" i="4" s="1"/>
  <c r="I37" i="4" s="1"/>
  <c r="J37" i="4" s="1"/>
  <c r="L37" i="4" s="1"/>
  <c r="D38" i="20"/>
  <c r="E38" i="20" s="1"/>
  <c r="F38" i="20" s="1"/>
  <c r="I34" i="19"/>
  <c r="N43" i="4"/>
  <c r="O43" i="4" s="1"/>
  <c r="C34" i="20"/>
  <c r="C34" i="21" s="1"/>
  <c r="C34" i="177" s="1"/>
  <c r="I38" i="19"/>
  <c r="D34" i="17"/>
  <c r="E34" i="17" s="1"/>
  <c r="F34" i="17" s="1"/>
  <c r="G34" i="17" s="1"/>
  <c r="H34" i="17" s="1"/>
  <c r="I34" i="17" s="1"/>
  <c r="C37" i="17"/>
  <c r="C37" i="19" s="1"/>
  <c r="C37" i="20" s="1"/>
  <c r="C37" i="21" s="1"/>
  <c r="C37" i="7" s="1"/>
  <c r="C51" i="174" s="1"/>
  <c r="D62" i="4"/>
  <c r="E62" i="4" s="1"/>
  <c r="F62" i="4" s="1"/>
  <c r="G62" i="4" s="1"/>
  <c r="H62" i="4" s="1"/>
  <c r="I62" i="4" s="1"/>
  <c r="K62" i="4" s="1"/>
  <c r="M62" i="4" s="1"/>
  <c r="E38" i="19"/>
  <c r="J38" i="19" s="1"/>
  <c r="G34" i="19"/>
  <c r="E34" i="19"/>
  <c r="J34" i="19" s="1"/>
  <c r="N34" i="4"/>
  <c r="O34" i="4" s="1"/>
  <c r="D62" i="16"/>
  <c r="E62" i="16" s="1"/>
  <c r="G38" i="19"/>
  <c r="F38" i="19"/>
  <c r="K38" i="19" s="1"/>
  <c r="N39" i="4"/>
  <c r="O39" i="4" s="1"/>
  <c r="D38" i="21"/>
  <c r="E38" i="21" s="1"/>
  <c r="F38" i="21" s="1"/>
  <c r="K22" i="4"/>
  <c r="M22" i="4" s="1"/>
  <c r="C38" i="7"/>
  <c r="C52" i="174" s="1"/>
  <c r="C62" i="19"/>
  <c r="I62" i="19" s="1"/>
  <c r="N40" i="4"/>
  <c r="O40" i="4" s="1"/>
  <c r="G18" i="19"/>
  <c r="I18" i="19"/>
  <c r="K18" i="4"/>
  <c r="M18" i="4" s="1"/>
  <c r="C18" i="20"/>
  <c r="C18" i="21" s="1"/>
  <c r="C18" i="177" s="1"/>
  <c r="E18" i="19"/>
  <c r="J18" i="19" s="1"/>
  <c r="D18" i="19"/>
  <c r="H18" i="19" s="1"/>
  <c r="J31" i="4"/>
  <c r="L31" i="4" s="1"/>
  <c r="C40" i="17"/>
  <c r="D40" i="17" s="1"/>
  <c r="E40" i="17" s="1"/>
  <c r="F40" i="17" s="1"/>
  <c r="G40" i="17" s="1"/>
  <c r="H40" i="17" s="1"/>
  <c r="D32" i="17"/>
  <c r="E32" i="17" s="1"/>
  <c r="F32" i="17" s="1"/>
  <c r="G32" i="17" s="1"/>
  <c r="H32" i="17" s="1"/>
  <c r="I32" i="17" s="1"/>
  <c r="G32" i="19"/>
  <c r="F32" i="19"/>
  <c r="K32" i="19" s="1"/>
  <c r="E32" i="19"/>
  <c r="J32" i="19" s="1"/>
  <c r="D32" i="19"/>
  <c r="H32" i="19" s="1"/>
  <c r="C32" i="20"/>
  <c r="D32" i="20" s="1"/>
  <c r="E32" i="20" s="1"/>
  <c r="F32" i="20" s="1"/>
  <c r="D17" i="4"/>
  <c r="E17" i="4" s="1"/>
  <c r="F17" i="4" s="1"/>
  <c r="G17" i="4" s="1"/>
  <c r="H17" i="4" s="1"/>
  <c r="I17" i="4" s="1"/>
  <c r="K17" i="4" s="1"/>
  <c r="M17" i="4" s="1"/>
  <c r="C17" i="19"/>
  <c r="D17" i="19" s="1"/>
  <c r="H17" i="19" s="1"/>
  <c r="D17" i="16"/>
  <c r="E17" i="16" s="1"/>
  <c r="F45" i="16"/>
  <c r="E45" i="7" s="1"/>
  <c r="E45" i="177" s="1"/>
  <c r="P53" i="4"/>
  <c r="D53" i="7" s="1"/>
  <c r="D53" i="177" s="1"/>
  <c r="L28" i="19"/>
  <c r="L53" i="19"/>
  <c r="G54" i="20"/>
  <c r="H54" i="7" s="1"/>
  <c r="H54" i="177" s="1"/>
  <c r="D54" i="177"/>
  <c r="G53" i="20"/>
  <c r="H53" i="7" s="1"/>
  <c r="H53" i="177" s="1"/>
  <c r="G44" i="20"/>
  <c r="H44" i="7" s="1"/>
  <c r="H44" i="177" s="1"/>
  <c r="G41" i="20"/>
  <c r="H41" i="7" s="1"/>
  <c r="H41" i="177" s="1"/>
  <c r="M52" i="177"/>
  <c r="K52" i="7"/>
  <c r="M52" i="7"/>
  <c r="D28" i="7"/>
  <c r="D28" i="177" s="1"/>
  <c r="C66" i="174"/>
  <c r="D52" i="154"/>
  <c r="E52" i="154" s="1"/>
  <c r="F52" i="154" s="1"/>
  <c r="G52" i="154"/>
  <c r="G28" i="20"/>
  <c r="J66" i="7"/>
  <c r="J66" i="177" s="1"/>
  <c r="AH70" i="156"/>
  <c r="AI70" i="156" s="1"/>
  <c r="AJ70" i="156" s="1"/>
  <c r="AK70" i="156" s="1"/>
  <c r="AH33" i="156"/>
  <c r="AI33" i="156" s="1"/>
  <c r="AJ33" i="156" s="1"/>
  <c r="AK33" i="156" s="1"/>
  <c r="AH48" i="156"/>
  <c r="AI48" i="156" s="1"/>
  <c r="AJ48" i="156" s="1"/>
  <c r="AK48" i="156" s="1"/>
  <c r="J32" i="4" l="1"/>
  <c r="L32" i="4" s="1"/>
  <c r="C31" i="21"/>
  <c r="C31" i="177" s="1"/>
  <c r="F63" i="19"/>
  <c r="K63" i="19" s="1"/>
  <c r="D63" i="19"/>
  <c r="H63" i="19" s="1"/>
  <c r="C63" i="20"/>
  <c r="C63" i="21" s="1"/>
  <c r="C63" i="7" s="1"/>
  <c r="C77" i="174" s="1"/>
  <c r="AE77" i="174" s="1"/>
  <c r="D63" i="16"/>
  <c r="E63" i="16" s="1"/>
  <c r="D63" i="17"/>
  <c r="E63" i="17" s="1"/>
  <c r="F63" i="17" s="1"/>
  <c r="G63" i="17" s="1"/>
  <c r="H63" i="17" s="1"/>
  <c r="I63" i="17" s="1"/>
  <c r="J53" i="17" s="1"/>
  <c r="F53" i="7" s="1"/>
  <c r="F53" i="177" s="1"/>
  <c r="I63" i="19"/>
  <c r="D21" i="20"/>
  <c r="E21" i="20" s="1"/>
  <c r="F21" i="20" s="1"/>
  <c r="C21" i="154"/>
  <c r="D21" i="154" s="1"/>
  <c r="E21" i="154" s="1"/>
  <c r="F21" i="154" s="1"/>
  <c r="C23" i="19"/>
  <c r="F23" i="19" s="1"/>
  <c r="K23" i="19" s="1"/>
  <c r="D21" i="21"/>
  <c r="E21" i="21" s="1"/>
  <c r="F21" i="21" s="1"/>
  <c r="C22" i="154"/>
  <c r="D22" i="154" s="1"/>
  <c r="E22" i="154" s="1"/>
  <c r="F22" i="154" s="1"/>
  <c r="C22" i="7"/>
  <c r="C36" i="174" s="1"/>
  <c r="AE36" i="174" s="1"/>
  <c r="C19" i="21"/>
  <c r="C19" i="7" s="1"/>
  <c r="C33" i="174" s="1"/>
  <c r="C19" i="14" s="1"/>
  <c r="N38" i="4"/>
  <c r="O38" i="4" s="1"/>
  <c r="G63" i="19"/>
  <c r="C21" i="7"/>
  <c r="C35" i="174" s="1"/>
  <c r="C21" i="14" s="1"/>
  <c r="D22" i="21"/>
  <c r="E22" i="21" s="1"/>
  <c r="F22" i="21" s="1"/>
  <c r="D23" i="16"/>
  <c r="E23" i="16" s="1"/>
  <c r="F63" i="16" s="1"/>
  <c r="E63" i="7" s="1"/>
  <c r="E63" i="177" s="1"/>
  <c r="D43" i="17"/>
  <c r="E43" i="17" s="1"/>
  <c r="F43" i="17" s="1"/>
  <c r="G43" i="17" s="1"/>
  <c r="H43" i="17" s="1"/>
  <c r="I43" i="17" s="1"/>
  <c r="I43" i="19"/>
  <c r="E43" i="19"/>
  <c r="J43" i="19" s="1"/>
  <c r="F37" i="19"/>
  <c r="K37" i="19" s="1"/>
  <c r="C43" i="20"/>
  <c r="D43" i="20" s="1"/>
  <c r="E43" i="20" s="1"/>
  <c r="F43" i="20" s="1"/>
  <c r="D43" i="19"/>
  <c r="H43" i="19" s="1"/>
  <c r="G43" i="19"/>
  <c r="D37" i="21"/>
  <c r="E37" i="21" s="1"/>
  <c r="F37" i="21" s="1"/>
  <c r="C26" i="19"/>
  <c r="E26" i="19" s="1"/>
  <c r="J26" i="19" s="1"/>
  <c r="C39" i="19"/>
  <c r="I39" i="19" s="1"/>
  <c r="G37" i="19"/>
  <c r="D34" i="20"/>
  <c r="E34" i="20" s="1"/>
  <c r="F34" i="20" s="1"/>
  <c r="D34" i="21"/>
  <c r="E34" i="21" s="1"/>
  <c r="F34" i="21" s="1"/>
  <c r="D37" i="20"/>
  <c r="E37" i="20" s="1"/>
  <c r="F37" i="20" s="1"/>
  <c r="D37" i="19"/>
  <c r="H37" i="19" s="1"/>
  <c r="K37" i="4"/>
  <c r="M37" i="4" s="1"/>
  <c r="J62" i="4"/>
  <c r="L62" i="4" s="1"/>
  <c r="N62" i="4" s="1"/>
  <c r="O62" i="4" s="1"/>
  <c r="I37" i="19"/>
  <c r="C34" i="7"/>
  <c r="C48" i="174" s="1"/>
  <c r="AE48" i="174" s="1"/>
  <c r="F62" i="19"/>
  <c r="K62" i="19" s="1"/>
  <c r="C34" i="154"/>
  <c r="D34" i="154" s="1"/>
  <c r="E34" i="154" s="1"/>
  <c r="F34" i="154" s="1"/>
  <c r="C37" i="154"/>
  <c r="D37" i="154" s="1"/>
  <c r="E37" i="154" s="1"/>
  <c r="F37" i="154" s="1"/>
  <c r="D37" i="17"/>
  <c r="E37" i="17" s="1"/>
  <c r="F37" i="17" s="1"/>
  <c r="G37" i="17" s="1"/>
  <c r="H37" i="17" s="1"/>
  <c r="I37" i="17" s="1"/>
  <c r="G62" i="19"/>
  <c r="E37" i="19"/>
  <c r="J37" i="19" s="1"/>
  <c r="E62" i="19"/>
  <c r="J62" i="19" s="1"/>
  <c r="C37" i="177"/>
  <c r="D62" i="19"/>
  <c r="H62" i="19" s="1"/>
  <c r="N22" i="4"/>
  <c r="O22" i="4" s="1"/>
  <c r="C62" i="20"/>
  <c r="D62" i="20" s="1"/>
  <c r="E62" i="20" s="1"/>
  <c r="F62" i="20" s="1"/>
  <c r="N32" i="4"/>
  <c r="O32" i="4" s="1"/>
  <c r="N31" i="4"/>
  <c r="O31" i="4" s="1"/>
  <c r="C18" i="7"/>
  <c r="C32" i="174" s="1"/>
  <c r="C18" i="14" s="1"/>
  <c r="D18" i="21"/>
  <c r="E18" i="21" s="1"/>
  <c r="F18" i="21" s="1"/>
  <c r="C31" i="154"/>
  <c r="D31" i="154" s="1"/>
  <c r="E31" i="154" s="1"/>
  <c r="F31" i="154" s="1"/>
  <c r="N18" i="4"/>
  <c r="O18" i="4" s="1"/>
  <c r="C18" i="154"/>
  <c r="D18" i="154" s="1"/>
  <c r="E18" i="154" s="1"/>
  <c r="F18" i="154" s="1"/>
  <c r="D18" i="20"/>
  <c r="E18" i="20" s="1"/>
  <c r="F18" i="20" s="1"/>
  <c r="D63" i="20"/>
  <c r="E63" i="20" s="1"/>
  <c r="F63" i="20" s="1"/>
  <c r="C40" i="19"/>
  <c r="D40" i="19" s="1"/>
  <c r="H40" i="19" s="1"/>
  <c r="C63" i="154"/>
  <c r="D63" i="154" s="1"/>
  <c r="E63" i="154" s="1"/>
  <c r="F63" i="154" s="1"/>
  <c r="C63" i="177"/>
  <c r="D63" i="21"/>
  <c r="E63" i="21" s="1"/>
  <c r="F63" i="21" s="1"/>
  <c r="C32" i="21"/>
  <c r="C32" i="177" s="1"/>
  <c r="I17" i="19"/>
  <c r="J17" i="4"/>
  <c r="L17" i="4" s="1"/>
  <c r="N17" i="4" s="1"/>
  <c r="O17" i="4" s="1"/>
  <c r="G17" i="19"/>
  <c r="F17" i="19"/>
  <c r="K17" i="19" s="1"/>
  <c r="F61" i="16"/>
  <c r="E61" i="7" s="1"/>
  <c r="E61" i="177" s="1"/>
  <c r="C17" i="20"/>
  <c r="C17" i="21" s="1"/>
  <c r="D17" i="21" s="1"/>
  <c r="E17" i="21" s="1"/>
  <c r="F17" i="21" s="1"/>
  <c r="E17" i="19"/>
  <c r="J17" i="19" s="1"/>
  <c r="C38" i="14"/>
  <c r="AD51" i="174"/>
  <c r="C37" i="14"/>
  <c r="AD66" i="174"/>
  <c r="C52" i="14"/>
  <c r="C34" i="15"/>
  <c r="C34" i="156" s="1"/>
  <c r="P45" i="4"/>
  <c r="D45" i="7" s="1"/>
  <c r="D45" i="177" s="1"/>
  <c r="I40" i="17"/>
  <c r="C39" i="15"/>
  <c r="E39" i="15" s="1"/>
  <c r="O54" i="19"/>
  <c r="G54" i="7" s="1"/>
  <c r="G54" i="177" s="1"/>
  <c r="O53" i="19"/>
  <c r="G53" i="7" s="1"/>
  <c r="O44" i="19"/>
  <c r="G44" i="7" s="1"/>
  <c r="O41" i="19"/>
  <c r="G41" i="7" s="1"/>
  <c r="D66" i="174"/>
  <c r="C63" i="15"/>
  <c r="C63" i="156" s="1"/>
  <c r="B77" i="174"/>
  <c r="AD77" i="174"/>
  <c r="H28" i="7"/>
  <c r="H28" i="177" s="1"/>
  <c r="N52" i="177"/>
  <c r="J52" i="7"/>
  <c r="J52" i="177" s="1"/>
  <c r="AE51" i="174"/>
  <c r="G51" i="174"/>
  <c r="B51" i="174"/>
  <c r="B52" i="174"/>
  <c r="C21" i="15"/>
  <c r="AE52" i="174"/>
  <c r="G52" i="174"/>
  <c r="G66" i="174"/>
  <c r="AD52" i="174"/>
  <c r="B66" i="174"/>
  <c r="AE66" i="174"/>
  <c r="O28" i="19"/>
  <c r="C38" i="15"/>
  <c r="C22" i="15"/>
  <c r="I64" i="7"/>
  <c r="I64" i="177" s="1"/>
  <c r="I30" i="7"/>
  <c r="I30" i="177" s="1"/>
  <c r="I66" i="7"/>
  <c r="I66" i="177" s="1"/>
  <c r="I52" i="7"/>
  <c r="I52" i="177" s="1"/>
  <c r="F20" i="16" l="1"/>
  <c r="E20" i="7" s="1"/>
  <c r="E20" i="177" s="1"/>
  <c r="J20" i="17"/>
  <c r="F20" i="7" s="1"/>
  <c r="F20" i="177" s="1"/>
  <c r="G33" i="174"/>
  <c r="I23" i="19"/>
  <c r="C63" i="14"/>
  <c r="C31" i="7"/>
  <c r="C45" i="174" s="1"/>
  <c r="C31" i="14" s="1"/>
  <c r="D31" i="21"/>
  <c r="E31" i="21" s="1"/>
  <c r="F31" i="21" s="1"/>
  <c r="C23" i="20"/>
  <c r="D23" i="20" s="1"/>
  <c r="E23" i="20" s="1"/>
  <c r="F23" i="20" s="1"/>
  <c r="E23" i="19"/>
  <c r="J23" i="19" s="1"/>
  <c r="D23" i="19"/>
  <c r="H23" i="19" s="1"/>
  <c r="G23" i="19"/>
  <c r="B36" i="174"/>
  <c r="AD36" i="174"/>
  <c r="G77" i="174"/>
  <c r="F47" i="16"/>
  <c r="E47" i="7" s="1"/>
  <c r="E47" i="177" s="1"/>
  <c r="C22" i="14"/>
  <c r="C36" i="161" s="1"/>
  <c r="C43" i="21"/>
  <c r="C43" i="154" s="1"/>
  <c r="D43" i="154" s="1"/>
  <c r="E43" i="154" s="1"/>
  <c r="F43" i="154" s="1"/>
  <c r="C19" i="154"/>
  <c r="D19" i="154" s="1"/>
  <c r="E19" i="154" s="1"/>
  <c r="F19" i="154" s="1"/>
  <c r="M43" i="19" a="1"/>
  <c r="M43" i="19" s="1"/>
  <c r="N43" i="19" s="1"/>
  <c r="F21" i="16"/>
  <c r="E21" i="7" s="1"/>
  <c r="E21" i="177" s="1"/>
  <c r="G36" i="174"/>
  <c r="AD33" i="174"/>
  <c r="F31" i="16"/>
  <c r="E31" i="7" s="1"/>
  <c r="E31" i="177" s="1"/>
  <c r="F18" i="16"/>
  <c r="E18" i="7" s="1"/>
  <c r="E18" i="177" s="1"/>
  <c r="B33" i="174"/>
  <c r="C34" i="14"/>
  <c r="C48" i="161" s="1"/>
  <c r="B48" i="161" s="1"/>
  <c r="AE33" i="174"/>
  <c r="F17" i="16"/>
  <c r="E17" i="7" s="1"/>
  <c r="E17" i="177" s="1"/>
  <c r="F26" i="16"/>
  <c r="E26" i="7" s="1"/>
  <c r="E26" i="177" s="1"/>
  <c r="F32" i="16"/>
  <c r="E32" i="7" s="1"/>
  <c r="E32" i="177" s="1"/>
  <c r="F34" i="16"/>
  <c r="E34" i="7" s="1"/>
  <c r="E34" i="177" s="1"/>
  <c r="AD48" i="174"/>
  <c r="C19" i="177"/>
  <c r="F37" i="16"/>
  <c r="E37" i="7" s="1"/>
  <c r="E37" i="177" s="1"/>
  <c r="F62" i="16"/>
  <c r="E62" i="7" s="1"/>
  <c r="E62" i="177" s="1"/>
  <c r="G35" i="174"/>
  <c r="F38" i="16"/>
  <c r="E38" i="7" s="1"/>
  <c r="E38" i="177" s="1"/>
  <c r="AE35" i="174"/>
  <c r="C26" i="20"/>
  <c r="D26" i="20" s="1"/>
  <c r="E26" i="20" s="1"/>
  <c r="F26" i="20" s="1"/>
  <c r="F24" i="16"/>
  <c r="E24" i="7" s="1"/>
  <c r="E24" i="177" s="1"/>
  <c r="B35" i="174"/>
  <c r="F22" i="16"/>
  <c r="E22" i="7" s="1"/>
  <c r="E22" i="177" s="1"/>
  <c r="F43" i="16"/>
  <c r="E43" i="7" s="1"/>
  <c r="E43" i="177" s="1"/>
  <c r="D19" i="21"/>
  <c r="E19" i="21" s="1"/>
  <c r="F19" i="21" s="1"/>
  <c r="F76" i="16"/>
  <c r="E76" i="7" s="1"/>
  <c r="E76" i="177" s="1"/>
  <c r="AD35" i="174"/>
  <c r="F23" i="16"/>
  <c r="E23" i="7" s="1"/>
  <c r="E23" i="177" s="1"/>
  <c r="F77" i="16"/>
  <c r="E77" i="7" s="1"/>
  <c r="E77" i="177" s="1"/>
  <c r="F39" i="16"/>
  <c r="E39" i="7" s="1"/>
  <c r="E39" i="177" s="1"/>
  <c r="F40" i="16"/>
  <c r="E40" i="7" s="1"/>
  <c r="E40" i="177" s="1"/>
  <c r="F19" i="16"/>
  <c r="E19" i="7" s="1"/>
  <c r="E19" i="177" s="1"/>
  <c r="F27" i="16"/>
  <c r="E27" i="7" s="1"/>
  <c r="E27" i="177" s="1"/>
  <c r="F68" i="16"/>
  <c r="E68" i="7" s="1"/>
  <c r="E68" i="177" s="1"/>
  <c r="F25" i="16"/>
  <c r="E25" i="7" s="1"/>
  <c r="E25" i="177" s="1"/>
  <c r="D39" i="19"/>
  <c r="H39" i="19" s="1"/>
  <c r="B48" i="174"/>
  <c r="G26" i="19"/>
  <c r="G39" i="19"/>
  <c r="G48" i="174"/>
  <c r="F26" i="19"/>
  <c r="K26" i="19" s="1"/>
  <c r="F39" i="19"/>
  <c r="K39" i="19" s="1"/>
  <c r="D26" i="19"/>
  <c r="H26" i="19" s="1"/>
  <c r="C39" i="20"/>
  <c r="C39" i="21" s="1"/>
  <c r="C39" i="177" s="1"/>
  <c r="E39" i="19"/>
  <c r="J39" i="19" s="1"/>
  <c r="I26" i="19"/>
  <c r="G37" i="154"/>
  <c r="J37" i="7" s="1"/>
  <c r="J37" i="177" s="1"/>
  <c r="N37" i="4"/>
  <c r="O37" i="4" s="1"/>
  <c r="P68" i="4" s="1"/>
  <c r="D68" i="7" s="1"/>
  <c r="D68" i="177" s="1"/>
  <c r="J40" i="17"/>
  <c r="F40" i="7" s="1"/>
  <c r="F40" i="177" s="1"/>
  <c r="G34" i="154"/>
  <c r="J34" i="7" s="1"/>
  <c r="J34" i="177" s="1"/>
  <c r="C62" i="21"/>
  <c r="C62" i="177" s="1"/>
  <c r="J47" i="17"/>
  <c r="F47" i="7" s="1"/>
  <c r="F47" i="177" s="1"/>
  <c r="AE32" i="174"/>
  <c r="G32" i="174"/>
  <c r="AD32" i="174"/>
  <c r="B32" i="174"/>
  <c r="I40" i="19"/>
  <c r="C32" i="154"/>
  <c r="D32" i="154" s="1"/>
  <c r="E32" i="154" s="1"/>
  <c r="F32" i="154" s="1"/>
  <c r="P61" i="4"/>
  <c r="D61" i="7" s="1"/>
  <c r="D61" i="177" s="1"/>
  <c r="G40" i="19"/>
  <c r="C40" i="20"/>
  <c r="C40" i="21" s="1"/>
  <c r="F40" i="19"/>
  <c r="K40" i="19" s="1"/>
  <c r="E40" i="19"/>
  <c r="J40" i="19" s="1"/>
  <c r="D32" i="21"/>
  <c r="E32" i="21" s="1"/>
  <c r="F32" i="21" s="1"/>
  <c r="C17" i="177"/>
  <c r="C32" i="7"/>
  <c r="C46" i="174" s="1"/>
  <c r="B46" i="174" s="1"/>
  <c r="C17" i="7"/>
  <c r="C31" i="174" s="1"/>
  <c r="C17" i="14" s="1"/>
  <c r="C17" i="154"/>
  <c r="D17" i="154" s="1"/>
  <c r="E17" i="154" s="1"/>
  <c r="F17" i="154" s="1"/>
  <c r="D17" i="20"/>
  <c r="E17" i="20" s="1"/>
  <c r="F17" i="20" s="1"/>
  <c r="C77" i="161"/>
  <c r="C77" i="170" s="1"/>
  <c r="C43" i="15"/>
  <c r="E43" i="15" s="1"/>
  <c r="BD43" i="15" s="1"/>
  <c r="E34" i="15"/>
  <c r="AJ34" i="15" s="1"/>
  <c r="J21" i="17"/>
  <c r="F21" i="7" s="1"/>
  <c r="F21" i="177" s="1"/>
  <c r="J39" i="17"/>
  <c r="F39" i="7" s="1"/>
  <c r="F39" i="177" s="1"/>
  <c r="J76" i="17"/>
  <c r="F76" i="7" s="1"/>
  <c r="F76" i="177" s="1"/>
  <c r="J38" i="17"/>
  <c r="F38" i="7" s="1"/>
  <c r="F38" i="177" s="1"/>
  <c r="J77" i="17"/>
  <c r="F77" i="7" s="1"/>
  <c r="F77" i="177" s="1"/>
  <c r="J18" i="17"/>
  <c r="F18" i="7" s="1"/>
  <c r="F18" i="177" s="1"/>
  <c r="J26" i="17"/>
  <c r="F26" i="7" s="1"/>
  <c r="F26" i="177" s="1"/>
  <c r="J32" i="17"/>
  <c r="F32" i="7" s="1"/>
  <c r="F32" i="177" s="1"/>
  <c r="J24" i="17"/>
  <c r="F24" i="7" s="1"/>
  <c r="F24" i="177" s="1"/>
  <c r="J22" i="17"/>
  <c r="F22" i="7" s="1"/>
  <c r="F22" i="177" s="1"/>
  <c r="J34" i="17"/>
  <c r="F34" i="7" s="1"/>
  <c r="F34" i="177" s="1"/>
  <c r="J63" i="17"/>
  <c r="F63" i="7" s="1"/>
  <c r="F63" i="177" s="1"/>
  <c r="J37" i="17"/>
  <c r="F37" i="7" s="1"/>
  <c r="F37" i="177" s="1"/>
  <c r="J61" i="17"/>
  <c r="F61" i="7" s="1"/>
  <c r="F61" i="177" s="1"/>
  <c r="J68" i="17"/>
  <c r="F68" i="7" s="1"/>
  <c r="F68" i="177" s="1"/>
  <c r="J25" i="17"/>
  <c r="F25" i="7" s="1"/>
  <c r="F25" i="177" s="1"/>
  <c r="J31" i="17"/>
  <c r="F31" i="7" s="1"/>
  <c r="F31" i="177" s="1"/>
  <c r="J27" i="17"/>
  <c r="F27" i="7" s="1"/>
  <c r="F27" i="177" s="1"/>
  <c r="J62" i="17"/>
  <c r="F62" i="7" s="1"/>
  <c r="F62" i="177" s="1"/>
  <c r="J17" i="17"/>
  <c r="F17" i="7" s="1"/>
  <c r="J19" i="17"/>
  <c r="F19" i="7" s="1"/>
  <c r="F19" i="177" s="1"/>
  <c r="J23" i="17"/>
  <c r="F23" i="7" s="1"/>
  <c r="F23" i="177" s="1"/>
  <c r="J43" i="17"/>
  <c r="F43" i="7" s="1"/>
  <c r="F43" i="177" s="1"/>
  <c r="J45" i="17"/>
  <c r="F45" i="7" s="1"/>
  <c r="F45" i="177" s="1"/>
  <c r="L54" i="19"/>
  <c r="M54" i="19" s="1" a="1"/>
  <c r="M54" i="19" s="1"/>
  <c r="N54" i="19" s="1"/>
  <c r="L45" i="19"/>
  <c r="C39" i="156"/>
  <c r="G53" i="177"/>
  <c r="G44" i="154"/>
  <c r="J44" i="7" s="1"/>
  <c r="J44" i="177" s="1"/>
  <c r="H41" i="21"/>
  <c r="I41" i="7" s="1"/>
  <c r="I41" i="177" s="1"/>
  <c r="G44" i="177"/>
  <c r="H44" i="21"/>
  <c r="I44" i="7" s="1"/>
  <c r="I44" i="177" s="1"/>
  <c r="G41" i="177"/>
  <c r="G76" i="154"/>
  <c r="J76" i="7" s="1"/>
  <c r="J76" i="177" s="1"/>
  <c r="E63" i="15"/>
  <c r="AB63" i="15" s="1"/>
  <c r="C19" i="15"/>
  <c r="C19" i="156" s="1"/>
  <c r="G28" i="7"/>
  <c r="G28" i="177" s="1"/>
  <c r="C37" i="15"/>
  <c r="E37" i="15" s="1"/>
  <c r="C32" i="161"/>
  <c r="B32" i="161" s="1"/>
  <c r="C18" i="15"/>
  <c r="E18" i="15" s="1"/>
  <c r="AF18" i="15" s="1"/>
  <c r="C62" i="15"/>
  <c r="C35" i="161"/>
  <c r="C31" i="15"/>
  <c r="C31" i="156" s="1"/>
  <c r="AT39" i="15"/>
  <c r="BB39" i="15"/>
  <c r="V39" i="15"/>
  <c r="AP39" i="15"/>
  <c r="AB39" i="15"/>
  <c r="BF39" i="15"/>
  <c r="Z39" i="15"/>
  <c r="N39" i="15"/>
  <c r="AF39" i="15"/>
  <c r="BJ39" i="15"/>
  <c r="R39" i="15"/>
  <c r="T39" i="15"/>
  <c r="BH39" i="15"/>
  <c r="H39" i="15"/>
  <c r="BD39" i="15"/>
  <c r="AV39" i="15"/>
  <c r="AD39" i="15"/>
  <c r="P39" i="15"/>
  <c r="F39" i="15"/>
  <c r="AZ39" i="15"/>
  <c r="AR39" i="15"/>
  <c r="X39" i="15"/>
  <c r="AH39" i="15"/>
  <c r="AL39" i="15"/>
  <c r="L39" i="15"/>
  <c r="AN39" i="15"/>
  <c r="AJ39" i="15"/>
  <c r="BL39" i="15"/>
  <c r="J39" i="15"/>
  <c r="AX39" i="15"/>
  <c r="C52" i="15"/>
  <c r="C21" i="156"/>
  <c r="E21" i="15"/>
  <c r="E22" i="15"/>
  <c r="C22" i="156"/>
  <c r="C52" i="161"/>
  <c r="C38" i="156"/>
  <c r="E38" i="15"/>
  <c r="AL48" i="156"/>
  <c r="AM48" i="156" s="1"/>
  <c r="AN48" i="156" s="1"/>
  <c r="AO48" i="156" s="1"/>
  <c r="AL74" i="156"/>
  <c r="AM74" i="156" s="1"/>
  <c r="AN74" i="156" s="1"/>
  <c r="AO74" i="156" s="1"/>
  <c r="AL33" i="156"/>
  <c r="AM33" i="156" s="1"/>
  <c r="AN33" i="156" s="1"/>
  <c r="AO33" i="156" s="1"/>
  <c r="AL29" i="156"/>
  <c r="AM29" i="156" s="1"/>
  <c r="AN29" i="156" s="1"/>
  <c r="AO29" i="156" s="1"/>
  <c r="AL70" i="156"/>
  <c r="AM70" i="156" s="1"/>
  <c r="AN70" i="156" s="1"/>
  <c r="L20" i="19" l="1"/>
  <c r="P20" i="4"/>
  <c r="D20" i="7" s="1"/>
  <c r="B45" i="174"/>
  <c r="AD45" i="174"/>
  <c r="AE45" i="174"/>
  <c r="C23" i="21"/>
  <c r="D23" i="21" s="1"/>
  <c r="E23" i="21" s="1"/>
  <c r="F23" i="21" s="1"/>
  <c r="G45" i="174"/>
  <c r="C48" i="170"/>
  <c r="C48" i="171" s="1"/>
  <c r="C43" i="177"/>
  <c r="D43" i="21"/>
  <c r="E43" i="21" s="1"/>
  <c r="F43" i="21" s="1"/>
  <c r="C43" i="7"/>
  <c r="C57" i="174" s="1"/>
  <c r="G57" i="174" s="1"/>
  <c r="C26" i="21"/>
  <c r="D26" i="21" s="1"/>
  <c r="E26" i="21" s="1"/>
  <c r="F26" i="21" s="1"/>
  <c r="E79" i="177"/>
  <c r="L63" i="19"/>
  <c r="M63" i="19" s="1" a="1"/>
  <c r="M63" i="19" s="1"/>
  <c r="N63" i="19" s="1"/>
  <c r="E79" i="7"/>
  <c r="C39" i="154"/>
  <c r="D39" i="154" s="1"/>
  <c r="E39" i="154" s="1"/>
  <c r="F39" i="154" s="1"/>
  <c r="D39" i="20"/>
  <c r="E39" i="20" s="1"/>
  <c r="F39" i="20" s="1"/>
  <c r="C39" i="7"/>
  <c r="C53" i="174" s="1"/>
  <c r="G53" i="174" s="1"/>
  <c r="D39" i="21"/>
  <c r="E39" i="21" s="1"/>
  <c r="F39" i="21" s="1"/>
  <c r="P47" i="4"/>
  <c r="D47" i="7" s="1"/>
  <c r="D47" i="177" s="1"/>
  <c r="P26" i="4"/>
  <c r="D26" i="7" s="1"/>
  <c r="D26" i="177" s="1"/>
  <c r="P19" i="4"/>
  <c r="D19" i="7" s="1"/>
  <c r="D19" i="177" s="1"/>
  <c r="P31" i="4"/>
  <c r="D31" i="7" s="1"/>
  <c r="D31" i="177" s="1"/>
  <c r="P34" i="4"/>
  <c r="D34" i="7" s="1"/>
  <c r="D34" i="177" s="1"/>
  <c r="P32" i="4"/>
  <c r="D32" i="7" s="1"/>
  <c r="D32" i="177" s="1"/>
  <c r="P22" i="4"/>
  <c r="D22" i="7" s="1"/>
  <c r="D22" i="177" s="1"/>
  <c r="P62" i="4"/>
  <c r="D62" i="7" s="1"/>
  <c r="D62" i="177" s="1"/>
  <c r="P25" i="4"/>
  <c r="D25" i="7" s="1"/>
  <c r="D25" i="177" s="1"/>
  <c r="P23" i="4"/>
  <c r="D23" i="7" s="1"/>
  <c r="D23" i="177" s="1"/>
  <c r="P39" i="4"/>
  <c r="D39" i="7" s="1"/>
  <c r="D39" i="177" s="1"/>
  <c r="P37" i="4"/>
  <c r="D37" i="7" s="1"/>
  <c r="D37" i="177" s="1"/>
  <c r="C62" i="154"/>
  <c r="D62" i="154" s="1"/>
  <c r="E62" i="154" s="1"/>
  <c r="F62" i="154" s="1"/>
  <c r="P18" i="4"/>
  <c r="D18" i="7" s="1"/>
  <c r="D18" i="177" s="1"/>
  <c r="P24" i="4"/>
  <c r="D24" i="7" s="1"/>
  <c r="D24" i="177" s="1"/>
  <c r="P17" i="4"/>
  <c r="D17" i="7" s="1"/>
  <c r="D17" i="177" s="1"/>
  <c r="P76" i="4"/>
  <c r="D76" i="7" s="1"/>
  <c r="D76" i="177" s="1"/>
  <c r="P40" i="4"/>
  <c r="D40" i="7" s="1"/>
  <c r="D40" i="177" s="1"/>
  <c r="D62" i="21"/>
  <c r="E62" i="21" s="1"/>
  <c r="F62" i="21" s="1"/>
  <c r="P21" i="4"/>
  <c r="D21" i="7" s="1"/>
  <c r="D21" i="177" s="1"/>
  <c r="P27" i="4"/>
  <c r="D27" i="7" s="1"/>
  <c r="D27" i="177" s="1"/>
  <c r="P63" i="4"/>
  <c r="D63" i="7" s="1"/>
  <c r="D63" i="177" s="1"/>
  <c r="C62" i="7"/>
  <c r="C76" i="174" s="1"/>
  <c r="C62" i="14" s="1"/>
  <c r="P38" i="4"/>
  <c r="D38" i="7" s="1"/>
  <c r="D38" i="177" s="1"/>
  <c r="P77" i="4"/>
  <c r="D77" i="7" s="1"/>
  <c r="D77" i="177" s="1"/>
  <c r="P43" i="4"/>
  <c r="D43" i="7" s="1"/>
  <c r="D43" i="177" s="1"/>
  <c r="L47" i="19"/>
  <c r="L27" i="19"/>
  <c r="M27" i="19" s="1" a="1"/>
  <c r="M27" i="19" s="1"/>
  <c r="N27" i="19" s="1"/>
  <c r="L21" i="19"/>
  <c r="M21" i="19" s="1" a="1"/>
  <c r="M21" i="19" s="1"/>
  <c r="N21" i="19" s="1"/>
  <c r="L19" i="19"/>
  <c r="M19" i="19" s="1" a="1"/>
  <c r="M19" i="19" s="1"/>
  <c r="N19" i="19" s="1"/>
  <c r="L77" i="19"/>
  <c r="M77" i="19" s="1" a="1"/>
  <c r="M77" i="19" s="1"/>
  <c r="N77" i="19" s="1"/>
  <c r="L22" i="19"/>
  <c r="M22" i="19" s="1" a="1"/>
  <c r="M22" i="19" s="1"/>
  <c r="N22" i="19" s="1"/>
  <c r="L76" i="19"/>
  <c r="L34" i="19"/>
  <c r="M34" i="19" s="1" a="1"/>
  <c r="M34" i="19" s="1"/>
  <c r="N34" i="19" s="1"/>
  <c r="L25" i="19"/>
  <c r="L68" i="19"/>
  <c r="L39" i="19"/>
  <c r="M39" i="19" s="1" a="1"/>
  <c r="M39" i="19" s="1"/>
  <c r="N39" i="19" s="1"/>
  <c r="L23" i="19"/>
  <c r="M23" i="19" s="1" a="1"/>
  <c r="M23" i="19" s="1"/>
  <c r="N23" i="19" s="1"/>
  <c r="L24" i="19"/>
  <c r="M24" i="19" s="1" a="1"/>
  <c r="M24" i="19" s="1"/>
  <c r="N24" i="19" s="1"/>
  <c r="L32" i="19"/>
  <c r="M32" i="19" s="1" a="1"/>
  <c r="M32" i="19" s="1"/>
  <c r="N32" i="19" s="1"/>
  <c r="L18" i="19"/>
  <c r="M18" i="19" s="1" a="1"/>
  <c r="M18" i="19" s="1"/>
  <c r="N18" i="19" s="1"/>
  <c r="L26" i="19"/>
  <c r="M26" i="19" s="1" a="1"/>
  <c r="M26" i="19" s="1"/>
  <c r="N26" i="19" s="1"/>
  <c r="D40" i="20"/>
  <c r="E40" i="20" s="1"/>
  <c r="F40" i="20" s="1"/>
  <c r="L62" i="19"/>
  <c r="M62" i="19" s="1" a="1"/>
  <c r="M62" i="19" s="1"/>
  <c r="N62" i="19" s="1"/>
  <c r="L31" i="19"/>
  <c r="M31" i="19" s="1" a="1"/>
  <c r="M31" i="19" s="1"/>
  <c r="N31" i="19" s="1"/>
  <c r="L40" i="19"/>
  <c r="M40" i="19" s="1" a="1"/>
  <c r="M40" i="19" s="1"/>
  <c r="N40" i="19" s="1"/>
  <c r="L38" i="19"/>
  <c r="M38" i="19" s="1" a="1"/>
  <c r="M38" i="19" s="1"/>
  <c r="N38" i="19" s="1"/>
  <c r="L17" i="19"/>
  <c r="M17" i="19" s="1" a="1"/>
  <c r="M17" i="19" s="1"/>
  <c r="N17" i="19" s="1"/>
  <c r="L43" i="19"/>
  <c r="L61" i="19"/>
  <c r="M61" i="19" s="1" a="1"/>
  <c r="M61" i="19" s="1"/>
  <c r="N61" i="19" s="1"/>
  <c r="L37" i="19"/>
  <c r="M37" i="19" s="1" a="1"/>
  <c r="M37" i="19" s="1"/>
  <c r="N37" i="19" s="1"/>
  <c r="AD46" i="174"/>
  <c r="AE31" i="174"/>
  <c r="B31" i="174"/>
  <c r="AE46" i="174"/>
  <c r="G17" i="154"/>
  <c r="J17" i="7" s="1"/>
  <c r="J17" i="177" s="1"/>
  <c r="G46" i="174"/>
  <c r="C32" i="14"/>
  <c r="C46" i="161" s="1"/>
  <c r="B46" i="161" s="1"/>
  <c r="AD31" i="174"/>
  <c r="G31" i="174"/>
  <c r="B77" i="161"/>
  <c r="T43" i="15"/>
  <c r="L43" i="15"/>
  <c r="AL43" i="15"/>
  <c r="F43" i="15"/>
  <c r="C43" i="156"/>
  <c r="AR43" i="15"/>
  <c r="N43" i="15"/>
  <c r="P43" i="15"/>
  <c r="AN43" i="15"/>
  <c r="AP43" i="15"/>
  <c r="BJ34" i="15"/>
  <c r="AN34" i="15"/>
  <c r="AD34" i="15"/>
  <c r="AZ34" i="15"/>
  <c r="L34" i="15"/>
  <c r="BF43" i="15"/>
  <c r="AF43" i="15"/>
  <c r="BB43" i="15"/>
  <c r="BL43" i="15"/>
  <c r="AB43" i="15"/>
  <c r="AX43" i="15"/>
  <c r="AJ43" i="15"/>
  <c r="J43" i="15"/>
  <c r="AH43" i="15"/>
  <c r="AD43" i="15"/>
  <c r="AZ43" i="15"/>
  <c r="X43" i="15"/>
  <c r="V43" i="15"/>
  <c r="R43" i="15"/>
  <c r="BH43" i="15"/>
  <c r="Z43" i="15"/>
  <c r="AV43" i="15"/>
  <c r="H43" i="15"/>
  <c r="AT43" i="15"/>
  <c r="BJ43" i="15"/>
  <c r="J34" i="15"/>
  <c r="AT34" i="15"/>
  <c r="X34" i="15"/>
  <c r="V34" i="15"/>
  <c r="H34" i="15"/>
  <c r="R34" i="15"/>
  <c r="AB34" i="15"/>
  <c r="AR34" i="15"/>
  <c r="AV34" i="15"/>
  <c r="T34" i="15"/>
  <c r="BH34" i="15"/>
  <c r="Z34" i="15"/>
  <c r="AP34" i="15"/>
  <c r="BD34" i="15"/>
  <c r="AF34" i="15"/>
  <c r="AH34" i="15"/>
  <c r="BL34" i="15"/>
  <c r="BF34" i="15"/>
  <c r="N34" i="15"/>
  <c r="BB34" i="15"/>
  <c r="P34" i="15"/>
  <c r="AL34" i="15"/>
  <c r="AX34" i="15"/>
  <c r="C17" i="15"/>
  <c r="F17" i="177"/>
  <c r="F79" i="177" s="1"/>
  <c r="F79" i="7"/>
  <c r="C40" i="177"/>
  <c r="C40" i="154"/>
  <c r="C40" i="7"/>
  <c r="C54" i="174" s="1"/>
  <c r="C40" i="14" s="1"/>
  <c r="D40" i="21"/>
  <c r="E40" i="21" s="1"/>
  <c r="F40" i="21" s="1"/>
  <c r="G45" i="20"/>
  <c r="H45" i="7" s="1"/>
  <c r="H45" i="177" s="1"/>
  <c r="C26" i="15"/>
  <c r="C26" i="156" s="1"/>
  <c r="H28" i="21"/>
  <c r="I28" i="7" s="1"/>
  <c r="H53" i="21"/>
  <c r="I53" i="7" s="1"/>
  <c r="I53" i="177" s="1"/>
  <c r="K53" i="177" s="1"/>
  <c r="H54" i="21"/>
  <c r="I54" i="7" s="1"/>
  <c r="I54" i="177" s="1"/>
  <c r="K54" i="177" s="1"/>
  <c r="K41" i="7"/>
  <c r="AP63" i="15"/>
  <c r="K41" i="177"/>
  <c r="K44" i="177"/>
  <c r="K44" i="7"/>
  <c r="R63" i="15"/>
  <c r="Z63" i="15"/>
  <c r="AJ63" i="15"/>
  <c r="L63" i="15"/>
  <c r="AX63" i="15"/>
  <c r="X63" i="15"/>
  <c r="P63" i="15"/>
  <c r="H63" i="15"/>
  <c r="AL63" i="15"/>
  <c r="J63" i="15"/>
  <c r="BD63" i="15"/>
  <c r="AV63" i="15"/>
  <c r="N63" i="15"/>
  <c r="AR63" i="15"/>
  <c r="BB63" i="15"/>
  <c r="AT63" i="15"/>
  <c r="V63" i="15"/>
  <c r="BH63" i="15"/>
  <c r="AN63" i="15"/>
  <c r="AF63" i="15"/>
  <c r="BJ63" i="15"/>
  <c r="AZ63" i="15"/>
  <c r="AD63" i="15"/>
  <c r="T63" i="15"/>
  <c r="AH63" i="15"/>
  <c r="BF63" i="15"/>
  <c r="BL63" i="15"/>
  <c r="C32" i="15"/>
  <c r="C32" i="156" s="1"/>
  <c r="C33" i="161"/>
  <c r="B33" i="161" s="1"/>
  <c r="C37" i="156"/>
  <c r="E19" i="15"/>
  <c r="AV19" i="15" s="1"/>
  <c r="C51" i="161"/>
  <c r="B51" i="161" s="1"/>
  <c r="L18" i="15"/>
  <c r="AX18" i="15"/>
  <c r="N18" i="15"/>
  <c r="BF18" i="15"/>
  <c r="AP18" i="15"/>
  <c r="AH18" i="15"/>
  <c r="AI64" i="15" s="1"/>
  <c r="C18" i="156"/>
  <c r="P18" i="15"/>
  <c r="H18" i="15"/>
  <c r="I64" i="15" s="1"/>
  <c r="BL18" i="15"/>
  <c r="BM64" i="15" s="1"/>
  <c r="BO64" i="15" s="1"/>
  <c r="BP64" i="15" s="1"/>
  <c r="BR64" i="15" s="1"/>
  <c r="T18" i="15"/>
  <c r="AZ18" i="15"/>
  <c r="AD18" i="15"/>
  <c r="V18" i="15"/>
  <c r="AL18" i="15"/>
  <c r="J18" i="15"/>
  <c r="C23" i="15"/>
  <c r="C23" i="156" s="1"/>
  <c r="AN18" i="15"/>
  <c r="BD18" i="15"/>
  <c r="F18" i="15"/>
  <c r="BJ18" i="15"/>
  <c r="Z18" i="15"/>
  <c r="X18" i="15"/>
  <c r="AJ18" i="15"/>
  <c r="AK64" i="15" s="1"/>
  <c r="AV18" i="15"/>
  <c r="BH18" i="15"/>
  <c r="BB18" i="15"/>
  <c r="BC64" i="15" s="1"/>
  <c r="R18" i="15"/>
  <c r="S64" i="15" s="1"/>
  <c r="AR18" i="15"/>
  <c r="AB18" i="15"/>
  <c r="AC64" i="15" s="1"/>
  <c r="AT18" i="15"/>
  <c r="AU64" i="15" s="1"/>
  <c r="C45" i="161"/>
  <c r="C45" i="170" s="1"/>
  <c r="E31" i="15"/>
  <c r="AL31" i="15" s="1"/>
  <c r="N37" i="15"/>
  <c r="BL37" i="15"/>
  <c r="AL37" i="15"/>
  <c r="J37" i="15"/>
  <c r="AN37" i="15"/>
  <c r="X37" i="15"/>
  <c r="AV37" i="15"/>
  <c r="AX37" i="15"/>
  <c r="AJ37" i="15"/>
  <c r="H37" i="15"/>
  <c r="AP37" i="15"/>
  <c r="L37" i="15"/>
  <c r="F37" i="15"/>
  <c r="AF37" i="15"/>
  <c r="BF37" i="15"/>
  <c r="BD37" i="15"/>
  <c r="AB37" i="15"/>
  <c r="BJ37" i="15"/>
  <c r="BH37" i="15"/>
  <c r="BB37" i="15"/>
  <c r="AR37" i="15"/>
  <c r="P37" i="15"/>
  <c r="Z37" i="15"/>
  <c r="T37" i="15"/>
  <c r="AH37" i="15"/>
  <c r="V37" i="15"/>
  <c r="AZ37" i="15"/>
  <c r="R37" i="15"/>
  <c r="AT37" i="15"/>
  <c r="AD37" i="15"/>
  <c r="C66" i="161"/>
  <c r="C52" i="156"/>
  <c r="E52" i="15"/>
  <c r="B77" i="170"/>
  <c r="C77" i="171"/>
  <c r="J77" i="170"/>
  <c r="K77" i="170"/>
  <c r="B35" i="161"/>
  <c r="C35" i="170"/>
  <c r="R21" i="15"/>
  <c r="L21" i="15"/>
  <c r="T21" i="15"/>
  <c r="H21" i="15"/>
  <c r="AT21" i="15"/>
  <c r="AF21" i="15"/>
  <c r="P21" i="15"/>
  <c r="X21" i="15"/>
  <c r="AB21" i="15"/>
  <c r="BF21" i="15"/>
  <c r="AZ21" i="15"/>
  <c r="V21" i="15"/>
  <c r="BH21" i="15"/>
  <c r="AX21" i="15"/>
  <c r="BB21" i="15"/>
  <c r="AN21" i="15"/>
  <c r="BJ21" i="15"/>
  <c r="N21" i="15"/>
  <c r="J21" i="15"/>
  <c r="Z21" i="15"/>
  <c r="AD21" i="15"/>
  <c r="AJ21" i="15"/>
  <c r="AL21" i="15"/>
  <c r="AV21" i="15"/>
  <c r="AP21" i="15"/>
  <c r="BL21" i="15"/>
  <c r="AH21" i="15"/>
  <c r="BD21" i="15"/>
  <c r="AR21" i="15"/>
  <c r="BD22" i="15"/>
  <c r="N22" i="15"/>
  <c r="P22" i="15"/>
  <c r="AT22" i="15"/>
  <c r="AB22" i="15"/>
  <c r="V22" i="15"/>
  <c r="H22" i="15"/>
  <c r="BF22" i="15"/>
  <c r="BH22" i="15"/>
  <c r="AR22" i="15"/>
  <c r="J22" i="15"/>
  <c r="BL22" i="15"/>
  <c r="AZ22" i="15"/>
  <c r="F22" i="15"/>
  <c r="AP22" i="15"/>
  <c r="X22" i="15"/>
  <c r="AV22" i="15"/>
  <c r="AX22" i="15"/>
  <c r="AL22" i="15"/>
  <c r="AN22" i="15"/>
  <c r="AF22" i="15"/>
  <c r="T22" i="15"/>
  <c r="AJ22" i="15"/>
  <c r="R22" i="15"/>
  <c r="BJ22" i="15"/>
  <c r="Z22" i="15"/>
  <c r="L22" i="15"/>
  <c r="AH22" i="15"/>
  <c r="BB22" i="15"/>
  <c r="AD22" i="15"/>
  <c r="B36" i="161"/>
  <c r="C36" i="170"/>
  <c r="BD38" i="15"/>
  <c r="BB38" i="15"/>
  <c r="Z38" i="15"/>
  <c r="AH38" i="15"/>
  <c r="V38" i="15"/>
  <c r="AR38" i="15"/>
  <c r="AF38" i="15"/>
  <c r="N38" i="15"/>
  <c r="AJ38" i="15"/>
  <c r="AT38" i="15"/>
  <c r="AX38" i="15"/>
  <c r="AL38" i="15"/>
  <c r="H38" i="15"/>
  <c r="R38" i="15"/>
  <c r="L38" i="15"/>
  <c r="P38" i="15"/>
  <c r="AN38" i="15"/>
  <c r="AP38" i="15"/>
  <c r="BL38" i="15"/>
  <c r="X38" i="15"/>
  <c r="BF38" i="15"/>
  <c r="BH38" i="15"/>
  <c r="T38" i="15"/>
  <c r="AD38" i="15"/>
  <c r="AV38" i="15"/>
  <c r="BJ38" i="15"/>
  <c r="AZ38" i="15"/>
  <c r="AB38" i="15"/>
  <c r="J38" i="15"/>
  <c r="B52" i="161"/>
  <c r="C52" i="170"/>
  <c r="C62" i="156"/>
  <c r="E62" i="15"/>
  <c r="C32" i="170"/>
  <c r="AW64" i="15"/>
  <c r="AG64" i="15"/>
  <c r="Q64" i="15"/>
  <c r="AO64" i="15"/>
  <c r="U64" i="15"/>
  <c r="AY64" i="15"/>
  <c r="O64" i="15"/>
  <c r="BI64" i="15"/>
  <c r="AS64" i="15"/>
  <c r="BE64" i="15"/>
  <c r="AE64" i="15"/>
  <c r="BA64" i="15"/>
  <c r="W64" i="15"/>
  <c r="AM64" i="15"/>
  <c r="BG64" i="15"/>
  <c r="M64" i="15"/>
  <c r="BN64" i="15"/>
  <c r="AQ64" i="15"/>
  <c r="K64" i="15"/>
  <c r="BK64" i="15"/>
  <c r="AA64" i="15"/>
  <c r="Y64" i="15"/>
  <c r="BC30" i="15"/>
  <c r="Q30" i="15"/>
  <c r="AG30" i="15"/>
  <c r="AW30" i="15"/>
  <c r="AI30" i="15"/>
  <c r="S30" i="15"/>
  <c r="BI30" i="15"/>
  <c r="AS30" i="15"/>
  <c r="AE30" i="15"/>
  <c r="BA30" i="15"/>
  <c r="AM30" i="15"/>
  <c r="AC30" i="15"/>
  <c r="AU30" i="15"/>
  <c r="U30" i="15"/>
  <c r="AY30" i="15"/>
  <c r="W30" i="15"/>
  <c r="K30" i="15"/>
  <c r="BG30" i="15"/>
  <c r="I30" i="15"/>
  <c r="M30" i="15"/>
  <c r="BM30" i="15"/>
  <c r="AO30" i="15"/>
  <c r="BE30" i="15"/>
  <c r="BK30" i="15"/>
  <c r="AA30" i="15"/>
  <c r="Y30" i="15"/>
  <c r="AK30" i="15"/>
  <c r="O30" i="15"/>
  <c r="AQ30" i="15"/>
  <c r="Q66" i="15"/>
  <c r="Q52" i="15"/>
  <c r="BG66" i="15"/>
  <c r="BG52" i="15"/>
  <c r="I52" i="15"/>
  <c r="I66" i="15"/>
  <c r="M66" i="15"/>
  <c r="M52" i="15"/>
  <c r="BM52" i="15"/>
  <c r="BM66" i="15"/>
  <c r="O52" i="15"/>
  <c r="O66" i="15"/>
  <c r="U52" i="15"/>
  <c r="U66" i="15"/>
  <c r="AY52" i="15"/>
  <c r="AY66" i="15"/>
  <c r="AW52" i="15"/>
  <c r="AW66" i="15"/>
  <c r="BI66" i="15"/>
  <c r="BI52" i="15"/>
  <c r="BC52" i="15"/>
  <c r="BC66" i="15"/>
  <c r="S66" i="15"/>
  <c r="S52" i="15"/>
  <c r="AS52" i="15"/>
  <c r="AS66" i="15"/>
  <c r="AC66" i="15"/>
  <c r="AC52" i="15"/>
  <c r="AU66" i="15"/>
  <c r="AU52" i="15"/>
  <c r="AG66" i="15"/>
  <c r="AG52" i="15"/>
  <c r="AE52" i="15"/>
  <c r="AE66" i="15"/>
  <c r="BA66" i="15"/>
  <c r="BA52" i="15"/>
  <c r="W66" i="15"/>
  <c r="W52" i="15"/>
  <c r="AQ66" i="15"/>
  <c r="AQ52" i="15"/>
  <c r="AM66" i="15"/>
  <c r="AM52" i="15"/>
  <c r="AI66" i="15"/>
  <c r="AI52" i="15"/>
  <c r="K66" i="15"/>
  <c r="K52" i="15"/>
  <c r="AO66" i="15"/>
  <c r="AO52" i="15"/>
  <c r="BE52" i="15"/>
  <c r="BE66" i="15"/>
  <c r="BK66" i="15"/>
  <c r="BK52" i="15"/>
  <c r="AA66" i="15"/>
  <c r="AA52" i="15"/>
  <c r="Y52" i="15"/>
  <c r="Y66" i="15"/>
  <c r="AK66" i="15"/>
  <c r="AK52" i="15"/>
  <c r="AF80" i="174"/>
  <c r="AI80" i="174" s="1"/>
  <c r="H80" i="174" s="1"/>
  <c r="N52" i="7"/>
  <c r="AO70" i="156"/>
  <c r="B48" i="170" l="1"/>
  <c r="J48" i="170"/>
  <c r="G20" i="20"/>
  <c r="H20" i="7" s="1"/>
  <c r="H20" i="177" s="1"/>
  <c r="G20" i="21"/>
  <c r="O20" i="19"/>
  <c r="G20" i="7" s="1"/>
  <c r="G20" i="177" s="1"/>
  <c r="C23" i="177"/>
  <c r="C26" i="177"/>
  <c r="AD53" i="174"/>
  <c r="C26" i="154"/>
  <c r="D26" i="154" s="1"/>
  <c r="E26" i="154" s="1"/>
  <c r="F26" i="154" s="1"/>
  <c r="D20" i="177"/>
  <c r="D79" i="177" s="1"/>
  <c r="K20" i="7"/>
  <c r="K48" i="170"/>
  <c r="C23" i="154"/>
  <c r="D23" i="154" s="1"/>
  <c r="E23" i="154" s="1"/>
  <c r="F23" i="154" s="1"/>
  <c r="C23" i="7"/>
  <c r="C37" i="174" s="1"/>
  <c r="C23" i="14" s="1"/>
  <c r="C37" i="161" s="1"/>
  <c r="C37" i="170" s="1"/>
  <c r="G26" i="20"/>
  <c r="H26" i="7" s="1"/>
  <c r="H26" i="177" s="1"/>
  <c r="AE53" i="174"/>
  <c r="C26" i="7"/>
  <c r="C40" i="174" s="1"/>
  <c r="B40" i="174" s="1"/>
  <c r="B53" i="174"/>
  <c r="C43" i="14"/>
  <c r="C57" i="161" s="1"/>
  <c r="B57" i="161" s="1"/>
  <c r="C39" i="14"/>
  <c r="C53" i="161" s="1"/>
  <c r="B53" i="161" s="1"/>
  <c r="AD57" i="174"/>
  <c r="B57" i="174"/>
  <c r="AE57" i="174"/>
  <c r="G40" i="21"/>
  <c r="G62" i="154"/>
  <c r="J62" i="7" s="1"/>
  <c r="J62" i="177" s="1"/>
  <c r="B76" i="174"/>
  <c r="AD76" i="174"/>
  <c r="AE76" i="174"/>
  <c r="G76" i="174"/>
  <c r="D79" i="7"/>
  <c r="G39" i="21"/>
  <c r="G62" i="21"/>
  <c r="G47" i="21"/>
  <c r="G24" i="21"/>
  <c r="G27" i="21"/>
  <c r="G26" i="21"/>
  <c r="G38" i="21"/>
  <c r="G63" i="21"/>
  <c r="G31" i="21"/>
  <c r="G18" i="21"/>
  <c r="G19" i="21"/>
  <c r="G43" i="21"/>
  <c r="G77" i="21"/>
  <c r="G37" i="21"/>
  <c r="G32" i="21"/>
  <c r="G34" i="21"/>
  <c r="G76" i="21"/>
  <c r="G21" i="21"/>
  <c r="G68" i="21"/>
  <c r="G23" i="21"/>
  <c r="G25" i="21"/>
  <c r="G22" i="21"/>
  <c r="G17" i="21"/>
  <c r="O47" i="19"/>
  <c r="G47" i="7" s="1"/>
  <c r="G47" i="177" s="1"/>
  <c r="G47" i="20"/>
  <c r="H47" i="7" s="1"/>
  <c r="H47" i="177" s="1"/>
  <c r="G27" i="20"/>
  <c r="H27" i="7" s="1"/>
  <c r="H27" i="177" s="1"/>
  <c r="G24" i="20"/>
  <c r="H24" i="7" s="1"/>
  <c r="H24" i="177" s="1"/>
  <c r="G17" i="20"/>
  <c r="H17" i="7" s="1"/>
  <c r="H17" i="177" s="1"/>
  <c r="G34" i="20"/>
  <c r="H34" i="7" s="1"/>
  <c r="H34" i="177" s="1"/>
  <c r="G31" i="20"/>
  <c r="H31" i="7" s="1"/>
  <c r="H31" i="177" s="1"/>
  <c r="G40" i="20"/>
  <c r="H40" i="7" s="1"/>
  <c r="H40" i="177" s="1"/>
  <c r="G18" i="20"/>
  <c r="H18" i="7" s="1"/>
  <c r="H18" i="177" s="1"/>
  <c r="G62" i="20"/>
  <c r="H62" i="7" s="1"/>
  <c r="H62" i="177" s="1"/>
  <c r="G32" i="20"/>
  <c r="H32" i="7" s="1"/>
  <c r="H32" i="177" s="1"/>
  <c r="G23" i="20"/>
  <c r="H23" i="7" s="1"/>
  <c r="H23" i="177" s="1"/>
  <c r="G77" i="20"/>
  <c r="H77" i="7" s="1"/>
  <c r="H77" i="177" s="1"/>
  <c r="G43" i="20"/>
  <c r="H43" i="7" s="1"/>
  <c r="H43" i="177" s="1"/>
  <c r="G25" i="20"/>
  <c r="H25" i="7" s="1"/>
  <c r="H25" i="177" s="1"/>
  <c r="G76" i="20"/>
  <c r="H76" i="7" s="1"/>
  <c r="H76" i="177" s="1"/>
  <c r="G61" i="20"/>
  <c r="H61" i="7" s="1"/>
  <c r="H61" i="177" s="1"/>
  <c r="G22" i="20"/>
  <c r="H22" i="7" s="1"/>
  <c r="H22" i="177" s="1"/>
  <c r="G38" i="20"/>
  <c r="H38" i="7" s="1"/>
  <c r="H38" i="177" s="1"/>
  <c r="G21" i="20"/>
  <c r="H21" i="7" s="1"/>
  <c r="H21" i="177" s="1"/>
  <c r="G37" i="20"/>
  <c r="H37" i="7" s="1"/>
  <c r="H37" i="177" s="1"/>
  <c r="G19" i="20"/>
  <c r="H19" i="7" s="1"/>
  <c r="H19" i="177" s="1"/>
  <c r="G39" i="20"/>
  <c r="H39" i="7" s="1"/>
  <c r="H39" i="177" s="1"/>
  <c r="G63" i="20"/>
  <c r="H63" i="7" s="1"/>
  <c r="H63" i="177" s="1"/>
  <c r="G68" i="20"/>
  <c r="H68" i="7" s="1"/>
  <c r="H68" i="177" s="1"/>
  <c r="O39" i="19"/>
  <c r="G39" i="7" s="1"/>
  <c r="G39" i="177" s="1"/>
  <c r="O62" i="19"/>
  <c r="G62" i="7" s="1"/>
  <c r="G62" i="177" s="1"/>
  <c r="O34" i="19"/>
  <c r="G34" i="7" s="1"/>
  <c r="G34" i="177" s="1"/>
  <c r="O77" i="19"/>
  <c r="G77" i="7" s="1"/>
  <c r="G77" i="177" s="1"/>
  <c r="O26" i="19"/>
  <c r="G26" i="7" s="1"/>
  <c r="G26" i="177" s="1"/>
  <c r="C17" i="156"/>
  <c r="E17" i="15"/>
  <c r="O38" i="19"/>
  <c r="G38" i="7" s="1"/>
  <c r="G38" i="177" s="1"/>
  <c r="O63" i="19"/>
  <c r="G63" i="7" s="1"/>
  <c r="G63" i="177" s="1"/>
  <c r="O21" i="19"/>
  <c r="G21" i="7" s="1"/>
  <c r="G21" i="177" s="1"/>
  <c r="O24" i="19"/>
  <c r="G24" i="7" s="1"/>
  <c r="G24" i="177" s="1"/>
  <c r="O17" i="19"/>
  <c r="G17" i="7" s="1"/>
  <c r="G17" i="177" s="1"/>
  <c r="E26" i="15"/>
  <c r="BD26" i="15" s="1"/>
  <c r="O27" i="19"/>
  <c r="G27" i="7" s="1"/>
  <c r="G27" i="177" s="1"/>
  <c r="O40" i="19"/>
  <c r="G40" i="7" s="1"/>
  <c r="G40" i="177" s="1"/>
  <c r="O37" i="19"/>
  <c r="G37" i="7" s="1"/>
  <c r="G37" i="177" s="1"/>
  <c r="O22" i="19"/>
  <c r="G22" i="7" s="1"/>
  <c r="G22" i="177" s="1"/>
  <c r="O23" i="19"/>
  <c r="G23" i="7" s="1"/>
  <c r="G23" i="177" s="1"/>
  <c r="O32" i="19"/>
  <c r="G32" i="7" s="1"/>
  <c r="G32" i="177" s="1"/>
  <c r="O31" i="19"/>
  <c r="G31" i="7" s="1"/>
  <c r="G31" i="177" s="1"/>
  <c r="O61" i="19"/>
  <c r="G61" i="7" s="1"/>
  <c r="G61" i="177" s="1"/>
  <c r="O18" i="19"/>
  <c r="G18" i="7" s="1"/>
  <c r="G18" i="177" s="1"/>
  <c r="C31" i="161"/>
  <c r="D40" i="154"/>
  <c r="E40" i="154" s="1"/>
  <c r="F40" i="154" s="1"/>
  <c r="G16" i="177"/>
  <c r="I16" i="177"/>
  <c r="H16" i="177"/>
  <c r="J16" i="177"/>
  <c r="D16" i="177"/>
  <c r="O43" i="19"/>
  <c r="G43" i="7" s="1"/>
  <c r="G43" i="177" s="1"/>
  <c r="O25" i="19"/>
  <c r="G25" i="7" s="1"/>
  <c r="G25" i="177" s="1"/>
  <c r="O45" i="19"/>
  <c r="G45" i="7" s="1"/>
  <c r="G45" i="177" s="1"/>
  <c r="O19" i="19"/>
  <c r="G19" i="7" s="1"/>
  <c r="G19" i="177" s="1"/>
  <c r="O76" i="19"/>
  <c r="G76" i="7" s="1"/>
  <c r="G76" i="177" s="1"/>
  <c r="O68" i="19"/>
  <c r="G68" i="7" s="1"/>
  <c r="G68" i="177" s="1"/>
  <c r="AE54" i="174"/>
  <c r="B54" i="174"/>
  <c r="G54" i="174"/>
  <c r="AD54" i="174"/>
  <c r="K53" i="7"/>
  <c r="K54" i="7"/>
  <c r="I28" i="177"/>
  <c r="E32" i="15"/>
  <c r="AT32" i="15" s="1"/>
  <c r="C33" i="170"/>
  <c r="BH19" i="15"/>
  <c r="AZ19" i="15"/>
  <c r="AB19" i="15"/>
  <c r="V19" i="15"/>
  <c r="AL19" i="15"/>
  <c r="AT19" i="15"/>
  <c r="BF19" i="15"/>
  <c r="AR19" i="15"/>
  <c r="AX19" i="15"/>
  <c r="AF19" i="15"/>
  <c r="J19" i="15"/>
  <c r="AH19" i="15"/>
  <c r="AN19" i="15"/>
  <c r="X19" i="15"/>
  <c r="AP19" i="15"/>
  <c r="H19" i="15"/>
  <c r="T19" i="15"/>
  <c r="BL19" i="15"/>
  <c r="P19" i="15"/>
  <c r="AJ19" i="15"/>
  <c r="BB19" i="15"/>
  <c r="R19" i="15"/>
  <c r="AD19" i="15"/>
  <c r="K28" i="7"/>
  <c r="Z19" i="15"/>
  <c r="N19" i="15"/>
  <c r="BJ19" i="15"/>
  <c r="L19" i="15"/>
  <c r="BD19" i="15"/>
  <c r="F19" i="15"/>
  <c r="C46" i="170"/>
  <c r="B46" i="170" s="1"/>
  <c r="C51" i="170"/>
  <c r="B51" i="170" s="1"/>
  <c r="H31" i="15"/>
  <c r="F31" i="15"/>
  <c r="AN31" i="15"/>
  <c r="BF31" i="15"/>
  <c r="AB31" i="15"/>
  <c r="J31" i="15"/>
  <c r="C76" i="161"/>
  <c r="C76" i="170" s="1"/>
  <c r="P31" i="15"/>
  <c r="E23" i="15"/>
  <c r="BD23" i="15" s="1"/>
  <c r="X31" i="15"/>
  <c r="AF31" i="15"/>
  <c r="B45" i="161"/>
  <c r="BB31" i="15"/>
  <c r="AV31" i="15"/>
  <c r="AZ31" i="15"/>
  <c r="T31" i="15"/>
  <c r="BH31" i="15"/>
  <c r="N31" i="15"/>
  <c r="AH31" i="15"/>
  <c r="AR31" i="15"/>
  <c r="AP31" i="15"/>
  <c r="V31" i="15"/>
  <c r="Z31" i="15"/>
  <c r="BD31" i="15"/>
  <c r="AJ31" i="15"/>
  <c r="AX31" i="15"/>
  <c r="AT31" i="15"/>
  <c r="R31" i="15"/>
  <c r="BL31" i="15"/>
  <c r="BJ31" i="15"/>
  <c r="L31" i="15"/>
  <c r="AD31" i="15"/>
  <c r="L77" i="170"/>
  <c r="L48" i="170"/>
  <c r="C66" i="170"/>
  <c r="B66" i="161"/>
  <c r="V52" i="15"/>
  <c r="X52" i="15"/>
  <c r="AZ52" i="15"/>
  <c r="AJ52" i="15"/>
  <c r="BD52" i="15"/>
  <c r="AR52" i="15"/>
  <c r="F52" i="15"/>
  <c r="AP52" i="15"/>
  <c r="N52" i="15"/>
  <c r="BJ52" i="15"/>
  <c r="AL52" i="15"/>
  <c r="R52" i="15"/>
  <c r="L52" i="15"/>
  <c r="AN52" i="15"/>
  <c r="P52" i="15"/>
  <c r="Z52" i="15"/>
  <c r="H52" i="15"/>
  <c r="AD52" i="15"/>
  <c r="BB52" i="15"/>
  <c r="AX52" i="15"/>
  <c r="J52" i="15"/>
  <c r="AV52" i="15"/>
  <c r="BL52" i="15"/>
  <c r="AH52" i="15"/>
  <c r="T52" i="15"/>
  <c r="BH52" i="15"/>
  <c r="BF52" i="15"/>
  <c r="AT52" i="15"/>
  <c r="AF52" i="15"/>
  <c r="AB52" i="15"/>
  <c r="I48" i="171"/>
  <c r="J48" i="171"/>
  <c r="B48" i="171"/>
  <c r="C48" i="164"/>
  <c r="J77" i="171"/>
  <c r="B77" i="171"/>
  <c r="C77" i="164"/>
  <c r="I77" i="171"/>
  <c r="K45" i="170"/>
  <c r="B45" i="170"/>
  <c r="C45" i="171"/>
  <c r="J45" i="170"/>
  <c r="C52" i="171"/>
  <c r="B52" i="170"/>
  <c r="J52" i="170"/>
  <c r="K52" i="170"/>
  <c r="AD62" i="15"/>
  <c r="L62" i="15"/>
  <c r="AP62" i="15"/>
  <c r="BH62" i="15"/>
  <c r="AT62" i="15"/>
  <c r="F62" i="15"/>
  <c r="BJ62" i="15"/>
  <c r="AR62" i="15"/>
  <c r="H62" i="15"/>
  <c r="P62" i="15"/>
  <c r="BB62" i="15"/>
  <c r="AJ62" i="15"/>
  <c r="AF62" i="15"/>
  <c r="Z62" i="15"/>
  <c r="V62" i="15"/>
  <c r="X62" i="15"/>
  <c r="AB62" i="15"/>
  <c r="BL62" i="15"/>
  <c r="J62" i="15"/>
  <c r="R62" i="15"/>
  <c r="AZ62" i="15"/>
  <c r="AH62" i="15"/>
  <c r="N62" i="15"/>
  <c r="AV62" i="15"/>
  <c r="AX62" i="15"/>
  <c r="AN62" i="15"/>
  <c r="BD62" i="15"/>
  <c r="T62" i="15"/>
  <c r="BF62" i="15"/>
  <c r="AL62" i="15"/>
  <c r="N64" i="7"/>
  <c r="AF78" i="174"/>
  <c r="AI78" i="174" s="1"/>
  <c r="H78" i="174" s="1"/>
  <c r="BN30" i="15"/>
  <c r="BO30" i="15"/>
  <c r="BP30" i="15" s="1"/>
  <c r="BR30" i="15" s="1"/>
  <c r="AF44" i="174"/>
  <c r="AI44" i="174" s="1"/>
  <c r="H44" i="174" s="1"/>
  <c r="N30" i="7"/>
  <c r="BN52" i="15"/>
  <c r="BO52" i="15"/>
  <c r="BP52" i="15" s="1"/>
  <c r="BR52" i="15" s="1"/>
  <c r="BO66" i="15"/>
  <c r="BP66" i="15" s="1"/>
  <c r="BR66" i="15" s="1"/>
  <c r="BN66" i="15"/>
  <c r="N66" i="7"/>
  <c r="AF66" i="174"/>
  <c r="AI66" i="174" s="1"/>
  <c r="H66" i="174" s="1"/>
  <c r="AP48" i="156"/>
  <c r="AQ48" i="156" s="1"/>
  <c r="AR48" i="156" s="1"/>
  <c r="AS48" i="156" s="1"/>
  <c r="AP74" i="156"/>
  <c r="AQ74" i="156" s="1"/>
  <c r="AR74" i="156" s="1"/>
  <c r="AS74" i="156" s="1"/>
  <c r="AP70" i="156"/>
  <c r="AQ70" i="156" s="1"/>
  <c r="AR70" i="156" s="1"/>
  <c r="AS70" i="156" s="1"/>
  <c r="AP29" i="156"/>
  <c r="AQ29" i="156" s="1"/>
  <c r="AR29" i="156" s="1"/>
  <c r="AP33" i="156"/>
  <c r="AQ33" i="156" s="1"/>
  <c r="AR33" i="156" s="1"/>
  <c r="B37" i="161" l="1"/>
  <c r="K20" i="177"/>
  <c r="AE37" i="174"/>
  <c r="B37" i="174"/>
  <c r="G37" i="174"/>
  <c r="AD37" i="174"/>
  <c r="G26" i="154"/>
  <c r="J26" i="7" s="1"/>
  <c r="J26" i="177" s="1"/>
  <c r="G23" i="154"/>
  <c r="J23" i="7" s="1"/>
  <c r="J23" i="177" s="1"/>
  <c r="AD40" i="174"/>
  <c r="C26" i="14"/>
  <c r="C40" i="161" s="1"/>
  <c r="C40" i="170" s="1"/>
  <c r="G40" i="174"/>
  <c r="AE40" i="174"/>
  <c r="E93" i="174"/>
  <c r="E96" i="174" s="1"/>
  <c r="C57" i="170"/>
  <c r="J57" i="170" s="1"/>
  <c r="C53" i="170"/>
  <c r="J53" i="170" s="1"/>
  <c r="H47" i="21"/>
  <c r="I47" i="7" s="1"/>
  <c r="K47" i="7" s="1"/>
  <c r="B40" i="161"/>
  <c r="G43" i="154"/>
  <c r="J43" i="7" s="1"/>
  <c r="J43" i="177" s="1"/>
  <c r="G38" i="154"/>
  <c r="J38" i="7" s="1"/>
  <c r="J38" i="177" s="1"/>
  <c r="G21" i="154"/>
  <c r="J21" i="7" s="1"/>
  <c r="J21" i="177" s="1"/>
  <c r="G24" i="154"/>
  <c r="J24" i="7" s="1"/>
  <c r="J24" i="177" s="1"/>
  <c r="K53" i="170"/>
  <c r="L53" i="170" s="1"/>
  <c r="C53" i="171"/>
  <c r="B53" i="171" s="1"/>
  <c r="H79" i="7"/>
  <c r="H79" i="177"/>
  <c r="AP26" i="15"/>
  <c r="BH26" i="15"/>
  <c r="AJ26" i="15"/>
  <c r="N26" i="15"/>
  <c r="X26" i="15"/>
  <c r="AD26" i="15"/>
  <c r="R26" i="15"/>
  <c r="AX26" i="15"/>
  <c r="H26" i="15"/>
  <c r="AH26" i="15"/>
  <c r="AF26" i="15"/>
  <c r="AB26" i="15"/>
  <c r="AN26" i="15"/>
  <c r="J26" i="15"/>
  <c r="AR26" i="15"/>
  <c r="H77" i="21"/>
  <c r="I77" i="7" s="1"/>
  <c r="B31" i="161"/>
  <c r="C31" i="170"/>
  <c r="Z26" i="15"/>
  <c r="BL26" i="15"/>
  <c r="BB26" i="15"/>
  <c r="BF26" i="15"/>
  <c r="AZ26" i="15"/>
  <c r="T26" i="15"/>
  <c r="P26" i="15"/>
  <c r="AV26" i="15"/>
  <c r="AP17" i="15"/>
  <c r="BB17" i="15"/>
  <c r="X17" i="15"/>
  <c r="N17" i="15"/>
  <c r="AB17" i="15"/>
  <c r="BL17" i="15"/>
  <c r="AX17" i="15"/>
  <c r="V17" i="15"/>
  <c r="BH17" i="15"/>
  <c r="AD17" i="15"/>
  <c r="R17" i="15"/>
  <c r="AZ17" i="15"/>
  <c r="AJ17" i="15"/>
  <c r="T17" i="15"/>
  <c r="L17" i="15"/>
  <c r="BF17" i="15"/>
  <c r="AN17" i="15"/>
  <c r="J17" i="15"/>
  <c r="AL17" i="15"/>
  <c r="P17" i="15"/>
  <c r="H17" i="15"/>
  <c r="AT17" i="15"/>
  <c r="AV17" i="15"/>
  <c r="AH17" i="15"/>
  <c r="AR17" i="15"/>
  <c r="AF17" i="15"/>
  <c r="BD17" i="15"/>
  <c r="BJ17" i="15"/>
  <c r="Z17" i="15"/>
  <c r="F26" i="15"/>
  <c r="AL26" i="15"/>
  <c r="L26" i="15"/>
  <c r="BJ26" i="15"/>
  <c r="V26" i="15"/>
  <c r="AT26" i="15"/>
  <c r="H63" i="21"/>
  <c r="I63" i="7" s="1"/>
  <c r="H40" i="21"/>
  <c r="I40" i="7" s="1"/>
  <c r="H38" i="21"/>
  <c r="I38" i="7" s="1"/>
  <c r="H37" i="21"/>
  <c r="I37" i="7" s="1"/>
  <c r="H18" i="21"/>
  <c r="I18" i="7" s="1"/>
  <c r="H61" i="21"/>
  <c r="I61" i="7" s="1"/>
  <c r="H45" i="21"/>
  <c r="I45" i="7" s="1"/>
  <c r="G40" i="154"/>
  <c r="J40" i="7" s="1"/>
  <c r="J40" i="177" s="1"/>
  <c r="H23" i="21"/>
  <c r="I23" i="7" s="1"/>
  <c r="H21" i="21"/>
  <c r="I21" i="7" s="1"/>
  <c r="H31" i="21"/>
  <c r="I31" i="7" s="1"/>
  <c r="H22" i="21"/>
  <c r="I22" i="7" s="1"/>
  <c r="H43" i="21"/>
  <c r="I43" i="7" s="1"/>
  <c r="H24" i="21"/>
  <c r="I24" i="7" s="1"/>
  <c r="G18" i="154"/>
  <c r="J18" i="7" s="1"/>
  <c r="G31" i="154"/>
  <c r="J31" i="7" s="1"/>
  <c r="J31" i="177" s="1"/>
  <c r="G19" i="154"/>
  <c r="J19" i="7" s="1"/>
  <c r="J19" i="177" s="1"/>
  <c r="G22" i="154"/>
  <c r="J22" i="7" s="1"/>
  <c r="J22" i="177" s="1"/>
  <c r="G32" i="154"/>
  <c r="J32" i="7" s="1"/>
  <c r="J32" i="177" s="1"/>
  <c r="G39" i="154"/>
  <c r="J39" i="7" s="1"/>
  <c r="J39" i="177" s="1"/>
  <c r="G61" i="154"/>
  <c r="J61" i="7" s="1"/>
  <c r="J61" i="177" s="1"/>
  <c r="G63" i="154"/>
  <c r="J63" i="7" s="1"/>
  <c r="J63" i="177" s="1"/>
  <c r="H68" i="21"/>
  <c r="I68" i="7" s="1"/>
  <c r="H17" i="21"/>
  <c r="I17" i="7" s="1"/>
  <c r="H27" i="21"/>
  <c r="I27" i="7" s="1"/>
  <c r="H32" i="21"/>
  <c r="I32" i="7" s="1"/>
  <c r="H26" i="21"/>
  <c r="I26" i="7" s="1"/>
  <c r="G79" i="7"/>
  <c r="C40" i="15"/>
  <c r="H76" i="21"/>
  <c r="I76" i="7" s="1"/>
  <c r="H25" i="21"/>
  <c r="I25" i="7" s="1"/>
  <c r="H39" i="21"/>
  <c r="I39" i="7" s="1"/>
  <c r="H62" i="21"/>
  <c r="I62" i="7" s="1"/>
  <c r="H19" i="21"/>
  <c r="I19" i="7" s="1"/>
  <c r="H34" i="21"/>
  <c r="I34" i="7" s="1"/>
  <c r="G79" i="177"/>
  <c r="V23" i="15"/>
  <c r="BH23" i="15"/>
  <c r="M54" i="7"/>
  <c r="N54" i="7" s="1"/>
  <c r="M53" i="7"/>
  <c r="N53" i="7" s="1"/>
  <c r="M44" i="7"/>
  <c r="N44" i="7" s="1"/>
  <c r="M41" i="7"/>
  <c r="N41" i="7" s="1"/>
  <c r="BH32" i="15"/>
  <c r="BF32" i="15"/>
  <c r="AR32" i="15"/>
  <c r="K28" i="177"/>
  <c r="V32" i="15"/>
  <c r="AL32" i="15"/>
  <c r="T32" i="15"/>
  <c r="R32" i="15"/>
  <c r="AP32" i="15"/>
  <c r="AH32" i="15"/>
  <c r="AF32" i="15"/>
  <c r="C46" i="171"/>
  <c r="C46" i="164" s="1"/>
  <c r="AV32" i="15"/>
  <c r="AJ32" i="15"/>
  <c r="AB32" i="15"/>
  <c r="BL32" i="15"/>
  <c r="BB32" i="15"/>
  <c r="Z32" i="15"/>
  <c r="AD32" i="15"/>
  <c r="K51" i="170"/>
  <c r="X32" i="15"/>
  <c r="BD32" i="15"/>
  <c r="H32" i="15"/>
  <c r="J32" i="15"/>
  <c r="AZ32" i="15"/>
  <c r="L32" i="15"/>
  <c r="P32" i="15"/>
  <c r="BJ32" i="15"/>
  <c r="AX32" i="15"/>
  <c r="AN32" i="15"/>
  <c r="N32" i="15"/>
  <c r="C51" i="171"/>
  <c r="J51" i="171" s="1"/>
  <c r="M28" i="7"/>
  <c r="J51" i="170"/>
  <c r="J46" i="170"/>
  <c r="K46" i="170"/>
  <c r="BJ23" i="15"/>
  <c r="N23" i="15"/>
  <c r="AL23" i="15"/>
  <c r="AB23" i="15"/>
  <c r="T23" i="15"/>
  <c r="AT23" i="15"/>
  <c r="AD23" i="15"/>
  <c r="R23" i="15"/>
  <c r="H23" i="15"/>
  <c r="Z23" i="15"/>
  <c r="AP23" i="15"/>
  <c r="AX23" i="15"/>
  <c r="X23" i="15"/>
  <c r="P23" i="15"/>
  <c r="L23" i="15"/>
  <c r="BB23" i="15"/>
  <c r="AZ23" i="15"/>
  <c r="AJ23" i="15"/>
  <c r="J23" i="15"/>
  <c r="AR23" i="15"/>
  <c r="BF23" i="15"/>
  <c r="BL23" i="15"/>
  <c r="AF23" i="15"/>
  <c r="AN23" i="15"/>
  <c r="AH23" i="15"/>
  <c r="AV23" i="15"/>
  <c r="B76" i="161"/>
  <c r="K48" i="171"/>
  <c r="B66" i="170"/>
  <c r="C66" i="171"/>
  <c r="J66" i="170"/>
  <c r="L66" i="170"/>
  <c r="K66" i="170"/>
  <c r="D48" i="164"/>
  <c r="B48" i="164"/>
  <c r="L45" i="170"/>
  <c r="D77" i="164"/>
  <c r="B77" i="164"/>
  <c r="K77" i="171"/>
  <c r="B45" i="171"/>
  <c r="J45" i="171"/>
  <c r="C45" i="164"/>
  <c r="I45" i="171"/>
  <c r="L52" i="170"/>
  <c r="I52" i="171"/>
  <c r="C52" i="164"/>
  <c r="B52" i="171"/>
  <c r="J52" i="171"/>
  <c r="K76" i="170"/>
  <c r="C76" i="171"/>
  <c r="J76" i="170"/>
  <c r="B76" i="170"/>
  <c r="AS33" i="156"/>
  <c r="AS29" i="156"/>
  <c r="B57" i="170" l="1"/>
  <c r="C57" i="171"/>
  <c r="K57" i="170"/>
  <c r="G93" i="174"/>
  <c r="D1" i="174"/>
  <c r="B53" i="170"/>
  <c r="I47" i="177"/>
  <c r="K47" i="177" s="1"/>
  <c r="C53" i="164"/>
  <c r="D53" i="164" s="1"/>
  <c r="J53" i="171"/>
  <c r="I53" i="171"/>
  <c r="I77" i="177"/>
  <c r="K77" i="177" s="1"/>
  <c r="K77" i="7"/>
  <c r="I39" i="177"/>
  <c r="K39" i="177" s="1"/>
  <c r="K39" i="7"/>
  <c r="I17" i="177"/>
  <c r="I79" i="7"/>
  <c r="K17" i="7"/>
  <c r="I43" i="177"/>
  <c r="K43" i="177" s="1"/>
  <c r="K43" i="7"/>
  <c r="I23" i="177"/>
  <c r="K23" i="177" s="1"/>
  <c r="K23" i="7"/>
  <c r="I61" i="177"/>
  <c r="K61" i="177" s="1"/>
  <c r="K61" i="7"/>
  <c r="I40" i="177"/>
  <c r="K40" i="177" s="1"/>
  <c r="K40" i="7"/>
  <c r="I34" i="177"/>
  <c r="K34" i="177" s="1"/>
  <c r="K34" i="7"/>
  <c r="K25" i="7"/>
  <c r="I25" i="177"/>
  <c r="K25" i="177" s="1"/>
  <c r="I26" i="177"/>
  <c r="K26" i="177" s="1"/>
  <c r="K26" i="7"/>
  <c r="I68" i="177"/>
  <c r="K68" i="177" s="1"/>
  <c r="K68" i="7"/>
  <c r="I22" i="177"/>
  <c r="K22" i="177" s="1"/>
  <c r="K22" i="7"/>
  <c r="I18" i="177"/>
  <c r="K18" i="7"/>
  <c r="I63" i="177"/>
  <c r="K63" i="177" s="1"/>
  <c r="K63" i="7"/>
  <c r="I19" i="177"/>
  <c r="K19" i="177" s="1"/>
  <c r="K19" i="7"/>
  <c r="I76" i="177"/>
  <c r="K76" i="177" s="1"/>
  <c r="K76" i="7"/>
  <c r="C54" i="161"/>
  <c r="I32" i="177"/>
  <c r="K32" i="177" s="1"/>
  <c r="K32" i="7"/>
  <c r="J18" i="177"/>
  <c r="J79" i="177" s="1"/>
  <c r="J79" i="7"/>
  <c r="I31" i="177"/>
  <c r="K31" i="177" s="1"/>
  <c r="K31" i="7"/>
  <c r="I37" i="177"/>
  <c r="K37" i="177" s="1"/>
  <c r="K37" i="7"/>
  <c r="I62" i="177"/>
  <c r="K62" i="177" s="1"/>
  <c r="K62" i="7"/>
  <c r="C40" i="156"/>
  <c r="E40" i="15"/>
  <c r="K27" i="7"/>
  <c r="I27" i="177"/>
  <c r="K27" i="177" s="1"/>
  <c r="I24" i="177"/>
  <c r="K24" i="177" s="1"/>
  <c r="K24" i="7"/>
  <c r="I21" i="177"/>
  <c r="K21" i="177" s="1"/>
  <c r="K21" i="7"/>
  <c r="I45" i="177"/>
  <c r="K45" i="177" s="1"/>
  <c r="K45" i="7"/>
  <c r="I38" i="177"/>
  <c r="K38" i="177" s="1"/>
  <c r="K38" i="7"/>
  <c r="AU54" i="15"/>
  <c r="Y54" i="15"/>
  <c r="M54" i="15"/>
  <c r="I53" i="15"/>
  <c r="AE53" i="15"/>
  <c r="AG53" i="15"/>
  <c r="AY53" i="15"/>
  <c r="AI53" i="15"/>
  <c r="AO54" i="15"/>
  <c r="S54" i="15"/>
  <c r="K54" i="15"/>
  <c r="AE54" i="15"/>
  <c r="AQ54" i="15"/>
  <c r="AM54" i="15"/>
  <c r="AW54" i="15"/>
  <c r="BM54" i="15"/>
  <c r="BN54" i="15" s="1"/>
  <c r="Q54" i="15"/>
  <c r="BE54" i="15"/>
  <c r="W54" i="15"/>
  <c r="M54" i="177"/>
  <c r="N54" i="177" s="1"/>
  <c r="BK54" i="15"/>
  <c r="BI54" i="15"/>
  <c r="U53" i="15"/>
  <c r="AC53" i="15"/>
  <c r="BG53" i="15"/>
  <c r="O54" i="15"/>
  <c r="BC54" i="15"/>
  <c r="BE53" i="15"/>
  <c r="W53" i="15"/>
  <c r="AK53" i="15"/>
  <c r="BG54" i="15"/>
  <c r="BA54" i="15"/>
  <c r="AG54" i="15"/>
  <c r="AS54" i="15"/>
  <c r="U54" i="15"/>
  <c r="I54" i="15"/>
  <c r="AI54" i="15"/>
  <c r="AY54" i="15"/>
  <c r="AA53" i="15"/>
  <c r="Q53" i="15"/>
  <c r="M53" i="15"/>
  <c r="AA54" i="15"/>
  <c r="AC54" i="15"/>
  <c r="AK54" i="15"/>
  <c r="S53" i="15"/>
  <c r="AQ53" i="15"/>
  <c r="AU53" i="15"/>
  <c r="Y53" i="15"/>
  <c r="BI53" i="15"/>
  <c r="K53" i="15"/>
  <c r="AO53" i="15"/>
  <c r="AM53" i="15"/>
  <c r="BA53" i="15"/>
  <c r="BM53" i="15"/>
  <c r="BN53" i="15" s="1"/>
  <c r="M53" i="177"/>
  <c r="D67" i="174" s="1"/>
  <c r="AF67" i="174" s="1"/>
  <c r="AI67" i="174" s="1"/>
  <c r="H67" i="174" s="1"/>
  <c r="BC53" i="15"/>
  <c r="BK53" i="15"/>
  <c r="AW53" i="15"/>
  <c r="O53" i="15"/>
  <c r="AS53" i="15"/>
  <c r="AQ41" i="15"/>
  <c r="BM41" i="15"/>
  <c r="BN41" i="15" s="1"/>
  <c r="BE41" i="15"/>
  <c r="Q41" i="15"/>
  <c r="S41" i="15"/>
  <c r="K41" i="15"/>
  <c r="AU41" i="15"/>
  <c r="AK41" i="15"/>
  <c r="AE41" i="15"/>
  <c r="AO41" i="15"/>
  <c r="I41" i="15"/>
  <c r="AG41" i="15"/>
  <c r="O41" i="15"/>
  <c r="AI41" i="15"/>
  <c r="Y41" i="15"/>
  <c r="AA41" i="15"/>
  <c r="BG41" i="15"/>
  <c r="AC41" i="15"/>
  <c r="M41" i="15"/>
  <c r="BK41" i="15"/>
  <c r="U41" i="15"/>
  <c r="BA41" i="15"/>
  <c r="AY44" i="15"/>
  <c r="BC41" i="15"/>
  <c r="AM41" i="15"/>
  <c r="Y44" i="15"/>
  <c r="AK44" i="15"/>
  <c r="W44" i="15"/>
  <c r="AG44" i="15"/>
  <c r="AQ44" i="15"/>
  <c r="BC44" i="15"/>
  <c r="AM44" i="15"/>
  <c r="AA44" i="15"/>
  <c r="I44" i="15"/>
  <c r="K44" i="15"/>
  <c r="AU44" i="15"/>
  <c r="S44" i="15"/>
  <c r="U44" i="15"/>
  <c r="O44" i="15"/>
  <c r="M41" i="177"/>
  <c r="N41" i="177" s="1"/>
  <c r="M44" i="177"/>
  <c r="BG44" i="15"/>
  <c r="AI44" i="15"/>
  <c r="BA44" i="15"/>
  <c r="BM44" i="15"/>
  <c r="AE44" i="15"/>
  <c r="BE44" i="15"/>
  <c r="AS44" i="15"/>
  <c r="BK44" i="15"/>
  <c r="M44" i="15"/>
  <c r="Q44" i="15"/>
  <c r="BI44" i="15"/>
  <c r="AW44" i="15"/>
  <c r="AC44" i="15"/>
  <c r="AO44" i="15"/>
  <c r="AY41" i="15"/>
  <c r="W41" i="15"/>
  <c r="BI41" i="15"/>
  <c r="AW41" i="15"/>
  <c r="I46" i="171"/>
  <c r="M28" i="177"/>
  <c r="B51" i="171"/>
  <c r="B46" i="171"/>
  <c r="J46" i="171"/>
  <c r="C51" i="164"/>
  <c r="B51" i="164" s="1"/>
  <c r="L57" i="170"/>
  <c r="B57" i="171"/>
  <c r="I57" i="171"/>
  <c r="C57" i="164"/>
  <c r="J57" i="171"/>
  <c r="L51" i="170"/>
  <c r="I51" i="171"/>
  <c r="K51" i="171" s="1"/>
  <c r="L46" i="170"/>
  <c r="AI28" i="15"/>
  <c r="BC28" i="15"/>
  <c r="W28" i="15"/>
  <c r="K28" i="15"/>
  <c r="BI28" i="15"/>
  <c r="AQ28" i="15"/>
  <c r="Y28" i="15"/>
  <c r="BK28" i="15"/>
  <c r="S28" i="15"/>
  <c r="AK28" i="15"/>
  <c r="BE28" i="15"/>
  <c r="AW28" i="15"/>
  <c r="AE28" i="15"/>
  <c r="BG28" i="15"/>
  <c r="O28" i="15"/>
  <c r="AS28" i="15"/>
  <c r="AC28" i="15"/>
  <c r="AY28" i="15"/>
  <c r="U28" i="15"/>
  <c r="AU28" i="15"/>
  <c r="AG28" i="15"/>
  <c r="AA28" i="15"/>
  <c r="BM28" i="15"/>
  <c r="BO28" i="15" s="1"/>
  <c r="BP28" i="15" s="1"/>
  <c r="BR28" i="15" s="1"/>
  <c r="I28" i="15"/>
  <c r="B46" i="164"/>
  <c r="D46" i="164"/>
  <c r="L79" i="7"/>
  <c r="BA28" i="15"/>
  <c r="M28" i="15"/>
  <c r="Q28" i="15"/>
  <c r="AO28" i="15"/>
  <c r="AM28" i="15"/>
  <c r="B66" i="171"/>
  <c r="I66" i="171"/>
  <c r="J66" i="171"/>
  <c r="C66" i="164"/>
  <c r="K66" i="171"/>
  <c r="K45" i="171"/>
  <c r="K52" i="171"/>
  <c r="B45" i="164"/>
  <c r="D45" i="164"/>
  <c r="B52" i="164"/>
  <c r="D52" i="164"/>
  <c r="C76" i="164"/>
  <c r="I76" i="171"/>
  <c r="J76" i="171"/>
  <c r="B76" i="171"/>
  <c r="L76" i="170"/>
  <c r="Y78" i="174"/>
  <c r="Y44" i="174"/>
  <c r="BS30" i="15"/>
  <c r="Y80" i="174"/>
  <c r="BS66" i="15"/>
  <c r="BS52" i="15"/>
  <c r="Y66" i="174"/>
  <c r="Z80" i="174"/>
  <c r="E66" i="14" s="1"/>
  <c r="AT48" i="156"/>
  <c r="AU48" i="156" s="1"/>
  <c r="AV48" i="156" s="1"/>
  <c r="AT74" i="156"/>
  <c r="AU74" i="156" s="1"/>
  <c r="AV74" i="156" s="1"/>
  <c r="AT33" i="156"/>
  <c r="AU33" i="156" s="1"/>
  <c r="AV33" i="156" s="1"/>
  <c r="AT29" i="156"/>
  <c r="AU29" i="156" s="1"/>
  <c r="AV29" i="156" s="1"/>
  <c r="AT70" i="156"/>
  <c r="AU70" i="156" s="1"/>
  <c r="AV70" i="156" s="1"/>
  <c r="M20" i="7" l="1"/>
  <c r="N20" i="7" s="1"/>
  <c r="M47" i="7"/>
  <c r="N47" i="7" s="1"/>
  <c r="B53" i="164"/>
  <c r="K53" i="171"/>
  <c r="K79" i="7"/>
  <c r="M38" i="7"/>
  <c r="N38" i="7" s="1"/>
  <c r="M21" i="7"/>
  <c r="N21" i="7" s="1"/>
  <c r="M62" i="7"/>
  <c r="N62" i="7" s="1"/>
  <c r="K18" i="177"/>
  <c r="M25" i="7"/>
  <c r="N25" i="7" s="1"/>
  <c r="M31" i="7"/>
  <c r="N31" i="7" s="1"/>
  <c r="B54" i="161"/>
  <c r="C54" i="170"/>
  <c r="M76" i="7"/>
  <c r="N76" i="7" s="1"/>
  <c r="M63" i="7"/>
  <c r="N63" i="7" s="1"/>
  <c r="M22" i="7"/>
  <c r="N22" i="7" s="1"/>
  <c r="M26" i="7"/>
  <c r="N26" i="7" s="1"/>
  <c r="M34" i="7"/>
  <c r="N34" i="7" s="1"/>
  <c r="M61" i="7"/>
  <c r="N61" i="7" s="1"/>
  <c r="M43" i="7"/>
  <c r="N43" i="7" s="1"/>
  <c r="K17" i="177"/>
  <c r="M20" i="177" s="1"/>
  <c r="I79" i="177"/>
  <c r="M27" i="7"/>
  <c r="N27" i="7" s="1"/>
  <c r="M32" i="7"/>
  <c r="N32" i="7" s="1"/>
  <c r="M39" i="7"/>
  <c r="N39" i="7" s="1"/>
  <c r="M45" i="7"/>
  <c r="N45" i="7" s="1"/>
  <c r="M24" i="7"/>
  <c r="N24" i="7" s="1"/>
  <c r="Z40" i="15"/>
  <c r="R40" i="15"/>
  <c r="AN40" i="15"/>
  <c r="BH40" i="15"/>
  <c r="BD40" i="15"/>
  <c r="AZ40" i="15"/>
  <c r="AP40" i="15"/>
  <c r="AH40" i="15"/>
  <c r="AT40" i="15"/>
  <c r="AD40" i="15"/>
  <c r="AF40" i="15"/>
  <c r="L40" i="15"/>
  <c r="J40" i="15"/>
  <c r="H40" i="15"/>
  <c r="AV40" i="15"/>
  <c r="P40" i="15"/>
  <c r="AR40" i="15"/>
  <c r="N40" i="15"/>
  <c r="BF40" i="15"/>
  <c r="AB40" i="15"/>
  <c r="BL40" i="15"/>
  <c r="AX40" i="15"/>
  <c r="T40" i="15"/>
  <c r="AJ40" i="15"/>
  <c r="BB40" i="15"/>
  <c r="V40" i="15"/>
  <c r="X40" i="15"/>
  <c r="AL40" i="15"/>
  <c r="BJ40" i="15"/>
  <c r="M37" i="7"/>
  <c r="N37" i="7" s="1"/>
  <c r="M19" i="7"/>
  <c r="N19" i="7" s="1"/>
  <c r="M18" i="7"/>
  <c r="M68" i="7"/>
  <c r="N68" i="7" s="1"/>
  <c r="M40" i="7"/>
  <c r="N40" i="7" s="1"/>
  <c r="M23" i="7"/>
  <c r="N23" i="7" s="1"/>
  <c r="M77" i="7"/>
  <c r="N77" i="7" s="1"/>
  <c r="M17" i="7"/>
  <c r="N17" i="7" s="1"/>
  <c r="BO41" i="15"/>
  <c r="BP41" i="15" s="1"/>
  <c r="BR41" i="15" s="1"/>
  <c r="D68" i="174"/>
  <c r="AF68" i="174" s="1"/>
  <c r="AI68" i="174" s="1"/>
  <c r="H68" i="174" s="1"/>
  <c r="N53" i="177"/>
  <c r="BO54" i="15"/>
  <c r="BP54" i="15" s="1"/>
  <c r="BR54" i="15" s="1"/>
  <c r="BO53" i="15"/>
  <c r="BP53" i="15" s="1"/>
  <c r="BR53" i="15" s="1"/>
  <c r="D55" i="174"/>
  <c r="AF55" i="174" s="1"/>
  <c r="AI55" i="174" s="1"/>
  <c r="H55" i="174" s="1"/>
  <c r="BO44" i="15"/>
  <c r="BP44" i="15" s="1"/>
  <c r="BR44" i="15" s="1"/>
  <c r="BN44" i="15"/>
  <c r="N44" i="177"/>
  <c r="D58" i="174"/>
  <c r="AF58" i="174" s="1"/>
  <c r="AI58" i="174" s="1"/>
  <c r="H58" i="174" s="1"/>
  <c r="K46" i="171"/>
  <c r="D42" i="174"/>
  <c r="AF42" i="174" s="1"/>
  <c r="AI42" i="174" s="1"/>
  <c r="H42" i="174" s="1"/>
  <c r="D51" i="164"/>
  <c r="K57" i="171"/>
  <c r="D57" i="164"/>
  <c r="B57" i="164"/>
  <c r="BN28" i="15"/>
  <c r="N28" i="7"/>
  <c r="B66" i="164"/>
  <c r="D66" i="164"/>
  <c r="K76" i="171"/>
  <c r="B76" i="164"/>
  <c r="D76" i="164"/>
  <c r="Z44" i="174"/>
  <c r="E30" i="14" s="1"/>
  <c r="Z78" i="174"/>
  <c r="E64" i="14" s="1"/>
  <c r="Z66" i="174"/>
  <c r="E52" i="14" s="1"/>
  <c r="N20" i="177" l="1"/>
  <c r="D34" i="174"/>
  <c r="AF34" i="174" s="1"/>
  <c r="AI34" i="174" s="1"/>
  <c r="H34" i="174" s="1"/>
  <c r="M47" i="177"/>
  <c r="D61" i="174" s="1"/>
  <c r="AF61" i="174" s="1"/>
  <c r="AI61" i="174" s="1"/>
  <c r="H61" i="174" s="1"/>
  <c r="M79" i="7"/>
  <c r="BK24" i="15"/>
  <c r="BK68" i="15"/>
  <c r="BK63" i="15"/>
  <c r="BK62" i="15"/>
  <c r="BK39" i="15"/>
  <c r="BK61" i="15"/>
  <c r="BK38" i="15"/>
  <c r="BK43" i="15"/>
  <c r="BK18" i="15"/>
  <c r="BK21" i="15"/>
  <c r="BK37" i="15"/>
  <c r="BK45" i="15"/>
  <c r="BK31" i="15"/>
  <c r="BK26" i="15"/>
  <c r="BK23" i="15"/>
  <c r="BK32" i="15"/>
  <c r="BK76" i="15"/>
  <c r="BK34" i="15"/>
  <c r="BK17" i="15"/>
  <c r="BK40" i="15"/>
  <c r="BK27" i="15"/>
  <c r="BK19" i="15"/>
  <c r="BK22" i="15"/>
  <c r="BK25" i="15"/>
  <c r="BE24" i="15"/>
  <c r="BE76" i="15"/>
  <c r="BE40" i="15"/>
  <c r="BE43" i="15"/>
  <c r="BE19" i="15"/>
  <c r="BE21" i="15"/>
  <c r="BE23" i="15"/>
  <c r="BE31" i="15"/>
  <c r="BE25" i="15"/>
  <c r="BE62" i="15"/>
  <c r="BE61" i="15"/>
  <c r="BE17" i="15"/>
  <c r="BE18" i="15"/>
  <c r="BE45" i="15"/>
  <c r="BE68" i="15"/>
  <c r="BE32" i="15"/>
  <c r="BE39" i="15"/>
  <c r="BE22" i="15"/>
  <c r="BE27" i="15"/>
  <c r="BE26" i="15"/>
  <c r="BE63" i="15"/>
  <c r="BE38" i="15"/>
  <c r="BE37" i="15"/>
  <c r="BE34" i="15"/>
  <c r="N18" i="7"/>
  <c r="N79" i="7" s="1"/>
  <c r="AM45" i="15"/>
  <c r="AM25" i="15"/>
  <c r="AM43" i="15"/>
  <c r="AM34" i="15"/>
  <c r="AM26" i="15"/>
  <c r="AM24" i="15"/>
  <c r="AM22" i="15"/>
  <c r="AM27" i="15"/>
  <c r="AM62" i="15"/>
  <c r="AM17" i="15"/>
  <c r="AM31" i="15"/>
  <c r="AM68" i="15"/>
  <c r="AM21" i="15"/>
  <c r="AM38" i="15"/>
  <c r="AM32" i="15"/>
  <c r="AM18" i="15"/>
  <c r="AM19" i="15"/>
  <c r="AM40" i="15"/>
  <c r="AM76" i="15"/>
  <c r="AM23" i="15"/>
  <c r="AM63" i="15"/>
  <c r="AM37" i="15"/>
  <c r="AM61" i="15"/>
  <c r="AM39" i="15"/>
  <c r="AK45" i="15"/>
  <c r="AK31" i="15"/>
  <c r="AK25" i="15"/>
  <c r="AK76" i="15"/>
  <c r="AK32" i="15"/>
  <c r="AK37" i="15"/>
  <c r="AK17" i="15"/>
  <c r="AK61" i="15"/>
  <c r="AK40" i="15"/>
  <c r="AK23" i="15"/>
  <c r="AK24" i="15"/>
  <c r="AK62" i="15"/>
  <c r="AK43" i="15"/>
  <c r="AK68" i="15"/>
  <c r="AK21" i="15"/>
  <c r="AK19" i="15"/>
  <c r="AK39" i="15"/>
  <c r="AK22" i="15"/>
  <c r="AK26" i="15"/>
  <c r="AK27" i="15"/>
  <c r="AK18" i="15"/>
  <c r="AK38" i="15"/>
  <c r="AK63" i="15"/>
  <c r="AK34" i="15"/>
  <c r="AC45" i="15"/>
  <c r="AC61" i="15"/>
  <c r="AC40" i="15"/>
  <c r="AC37" i="15"/>
  <c r="AC34" i="15"/>
  <c r="AC32" i="15"/>
  <c r="AC25" i="15"/>
  <c r="AC68" i="15"/>
  <c r="AC38" i="15"/>
  <c r="AC76" i="15"/>
  <c r="AC21" i="15"/>
  <c r="AC63" i="15"/>
  <c r="AC19" i="15"/>
  <c r="AC43" i="15"/>
  <c r="AC22" i="15"/>
  <c r="AC17" i="15"/>
  <c r="AC62" i="15"/>
  <c r="AC24" i="15"/>
  <c r="AC23" i="15"/>
  <c r="AC39" i="15"/>
  <c r="AC27" i="15"/>
  <c r="AC26" i="15"/>
  <c r="AC31" i="15"/>
  <c r="AC18" i="15"/>
  <c r="Q45" i="15"/>
  <c r="Q25" i="15"/>
  <c r="Q27" i="15"/>
  <c r="Q18" i="15"/>
  <c r="Q38" i="15"/>
  <c r="Q40" i="15"/>
  <c r="Q34" i="15"/>
  <c r="Q24" i="15"/>
  <c r="Q39" i="15"/>
  <c r="Q76" i="15"/>
  <c r="Q19" i="15"/>
  <c r="Q26" i="15"/>
  <c r="Q21" i="15"/>
  <c r="Q22" i="15"/>
  <c r="Q17" i="15"/>
  <c r="Q61" i="15"/>
  <c r="Q32" i="15"/>
  <c r="Q62" i="15"/>
  <c r="Q63" i="15"/>
  <c r="Q37" i="15"/>
  <c r="Q31" i="15"/>
  <c r="Q23" i="15"/>
  <c r="Q68" i="15"/>
  <c r="Q43" i="15"/>
  <c r="M45" i="15"/>
  <c r="M37" i="15"/>
  <c r="M40" i="15"/>
  <c r="M61" i="15"/>
  <c r="M43" i="15"/>
  <c r="M63" i="15"/>
  <c r="M19" i="15"/>
  <c r="M31" i="15"/>
  <c r="M22" i="15"/>
  <c r="M18" i="15"/>
  <c r="M17" i="15"/>
  <c r="M24" i="15"/>
  <c r="M34" i="15"/>
  <c r="M25" i="15"/>
  <c r="M26" i="15"/>
  <c r="M21" i="15"/>
  <c r="M39" i="15"/>
  <c r="M68" i="15"/>
  <c r="M32" i="15"/>
  <c r="M27" i="15"/>
  <c r="M62" i="15"/>
  <c r="M38" i="15"/>
  <c r="M23" i="15"/>
  <c r="M76" i="15"/>
  <c r="AI45" i="15"/>
  <c r="AI22" i="15"/>
  <c r="AI62" i="15"/>
  <c r="AI23" i="15"/>
  <c r="AI19" i="15"/>
  <c r="AI76" i="15"/>
  <c r="AI25" i="15"/>
  <c r="AI26" i="15"/>
  <c r="AI43" i="15"/>
  <c r="AI39" i="15"/>
  <c r="AI17" i="15"/>
  <c r="AI34" i="15"/>
  <c r="AI68" i="15"/>
  <c r="AI40" i="15"/>
  <c r="AI38" i="15"/>
  <c r="AI21" i="15"/>
  <c r="AI61" i="15"/>
  <c r="AI32" i="15"/>
  <c r="AI37" i="15"/>
  <c r="AI63" i="15"/>
  <c r="AI18" i="15"/>
  <c r="AI31" i="15"/>
  <c r="AI27" i="15"/>
  <c r="AI24" i="15"/>
  <c r="BI25" i="15"/>
  <c r="BI43" i="15"/>
  <c r="BI45" i="15"/>
  <c r="BI27" i="15"/>
  <c r="BI38" i="15"/>
  <c r="BI23" i="15"/>
  <c r="BI21" i="15"/>
  <c r="BI39" i="15"/>
  <c r="BI37" i="15"/>
  <c r="BI24" i="15"/>
  <c r="BI68" i="15"/>
  <c r="BI31" i="15"/>
  <c r="BI40" i="15"/>
  <c r="BI62" i="15"/>
  <c r="BI63" i="15"/>
  <c r="BI17" i="15"/>
  <c r="BI22" i="15"/>
  <c r="BI32" i="15"/>
  <c r="BI26" i="15"/>
  <c r="BI34" i="15"/>
  <c r="BI61" i="15"/>
  <c r="BI19" i="15"/>
  <c r="BI18" i="15"/>
  <c r="BI76" i="15"/>
  <c r="B54" i="170"/>
  <c r="K54" i="170"/>
  <c r="C54" i="171"/>
  <c r="J54" i="170"/>
  <c r="M18" i="177"/>
  <c r="D32" i="174" s="1"/>
  <c r="AF32" i="174" s="1"/>
  <c r="AI32" i="174" s="1"/>
  <c r="H32" i="174" s="1"/>
  <c r="BM45" i="15"/>
  <c r="BM61" i="15"/>
  <c r="BM39" i="15"/>
  <c r="BM43" i="15"/>
  <c r="BM32" i="15"/>
  <c r="BM63" i="15"/>
  <c r="BM38" i="15"/>
  <c r="BM25" i="15"/>
  <c r="BM19" i="15"/>
  <c r="BM26" i="15"/>
  <c r="BM37" i="15"/>
  <c r="BM18" i="15"/>
  <c r="BM34" i="15"/>
  <c r="BM62" i="15"/>
  <c r="BM24" i="15"/>
  <c r="BM76" i="15"/>
  <c r="BM68" i="15"/>
  <c r="BM31" i="15"/>
  <c r="BM40" i="15"/>
  <c r="BM23" i="15"/>
  <c r="BM21" i="15"/>
  <c r="BM17" i="15"/>
  <c r="BM22" i="15"/>
  <c r="BM27" i="15"/>
  <c r="K45" i="15"/>
  <c r="K34" i="15"/>
  <c r="K24" i="15"/>
  <c r="K18" i="15"/>
  <c r="K32" i="15"/>
  <c r="K27" i="15"/>
  <c r="K63" i="15"/>
  <c r="K76" i="15"/>
  <c r="K22" i="15"/>
  <c r="K17" i="15"/>
  <c r="K37" i="15"/>
  <c r="K26" i="15"/>
  <c r="K31" i="15"/>
  <c r="K43" i="15"/>
  <c r="K68" i="15"/>
  <c r="K25" i="15"/>
  <c r="K61" i="15"/>
  <c r="K19" i="15"/>
  <c r="K38" i="15"/>
  <c r="K23" i="15"/>
  <c r="K39" i="15"/>
  <c r="K40" i="15"/>
  <c r="K21" i="15"/>
  <c r="K62" i="15"/>
  <c r="Y25" i="15"/>
  <c r="Y45" i="15"/>
  <c r="Y63" i="15"/>
  <c r="Y17" i="15"/>
  <c r="Y61" i="15"/>
  <c r="Y18" i="15"/>
  <c r="Y39" i="15"/>
  <c r="Y32" i="15"/>
  <c r="Y40" i="15"/>
  <c r="Y38" i="15"/>
  <c r="Y27" i="15"/>
  <c r="Y21" i="15"/>
  <c r="Y37" i="15"/>
  <c r="Y62" i="15"/>
  <c r="Y31" i="15"/>
  <c r="Y24" i="15"/>
  <c r="Y23" i="15"/>
  <c r="Y76" i="15"/>
  <c r="Y34" i="15"/>
  <c r="Y19" i="15"/>
  <c r="Y68" i="15"/>
  <c r="Y26" i="15"/>
  <c r="Y43" i="15"/>
  <c r="Y22" i="15"/>
  <c r="U32" i="15"/>
  <c r="U45" i="15"/>
  <c r="U39" i="15"/>
  <c r="U40" i="15"/>
  <c r="U23" i="15"/>
  <c r="U19" i="15"/>
  <c r="U68" i="15"/>
  <c r="U21" i="15"/>
  <c r="U22" i="15"/>
  <c r="U62" i="15"/>
  <c r="U43" i="15"/>
  <c r="U18" i="15"/>
  <c r="U17" i="15"/>
  <c r="U38" i="15"/>
  <c r="U25" i="15"/>
  <c r="U61" i="15"/>
  <c r="U37" i="15"/>
  <c r="U34" i="15"/>
  <c r="U63" i="15"/>
  <c r="U27" i="15"/>
  <c r="U24" i="15"/>
  <c r="U76" i="15"/>
  <c r="U31" i="15"/>
  <c r="U26" i="15"/>
  <c r="BG23" i="15"/>
  <c r="BG45" i="15"/>
  <c r="BG68" i="15"/>
  <c r="BG24" i="15"/>
  <c r="BG61" i="15"/>
  <c r="BG39" i="15"/>
  <c r="BG38" i="15"/>
  <c r="BG34" i="15"/>
  <c r="BG19" i="15"/>
  <c r="BG21" i="15"/>
  <c r="BG27" i="15"/>
  <c r="BG17" i="15"/>
  <c r="BG26" i="15"/>
  <c r="BG18" i="15"/>
  <c r="BG32" i="15"/>
  <c r="BG22" i="15"/>
  <c r="BG62" i="15"/>
  <c r="BG31" i="15"/>
  <c r="BG37" i="15"/>
  <c r="BG63" i="15"/>
  <c r="BG43" i="15"/>
  <c r="BG76" i="15"/>
  <c r="BG25" i="15"/>
  <c r="BG40" i="15"/>
  <c r="AW45" i="15"/>
  <c r="AW34" i="15"/>
  <c r="AW27" i="15"/>
  <c r="AW37" i="15"/>
  <c r="AW39" i="15"/>
  <c r="AW38" i="15"/>
  <c r="AW68" i="15"/>
  <c r="AW17" i="15"/>
  <c r="AW63" i="15"/>
  <c r="AW43" i="15"/>
  <c r="AW40" i="15"/>
  <c r="AW32" i="15"/>
  <c r="AW22" i="15"/>
  <c r="AW24" i="15"/>
  <c r="AW61" i="15"/>
  <c r="AW23" i="15"/>
  <c r="AW26" i="15"/>
  <c r="AW76" i="15"/>
  <c r="AW21" i="15"/>
  <c r="AW18" i="15"/>
  <c r="AW31" i="15"/>
  <c r="AW25" i="15"/>
  <c r="AW62" i="15"/>
  <c r="AW19" i="15"/>
  <c r="AG17" i="15"/>
  <c r="AG22" i="15"/>
  <c r="AG38" i="15"/>
  <c r="AG76" i="15"/>
  <c r="AG37" i="15"/>
  <c r="AG21" i="15"/>
  <c r="AG24" i="15"/>
  <c r="AG63" i="15"/>
  <c r="AG45" i="15"/>
  <c r="AG31" i="15"/>
  <c r="AG26" i="15"/>
  <c r="AG18" i="15"/>
  <c r="AG27" i="15"/>
  <c r="AG62" i="15"/>
  <c r="AG61" i="15"/>
  <c r="AG40" i="15"/>
  <c r="AG68" i="15"/>
  <c r="AG25" i="15"/>
  <c r="AG23" i="15"/>
  <c r="AG43" i="15"/>
  <c r="AG39" i="15"/>
  <c r="AG32" i="15"/>
  <c r="AG19" i="15"/>
  <c r="AG34" i="15"/>
  <c r="AQ45" i="15"/>
  <c r="AQ32" i="15"/>
  <c r="AQ62" i="15"/>
  <c r="AQ31" i="15"/>
  <c r="AQ39" i="15"/>
  <c r="AQ61" i="15"/>
  <c r="AQ43" i="15"/>
  <c r="AQ23" i="15"/>
  <c r="AQ17" i="15"/>
  <c r="AQ19" i="15"/>
  <c r="AQ38" i="15"/>
  <c r="AQ21" i="15"/>
  <c r="AQ68" i="15"/>
  <c r="AQ27" i="15"/>
  <c r="AQ24" i="15"/>
  <c r="AQ63" i="15"/>
  <c r="AQ34" i="15"/>
  <c r="AQ37" i="15"/>
  <c r="AQ25" i="15"/>
  <c r="AQ40" i="15"/>
  <c r="AQ26" i="15"/>
  <c r="AQ18" i="15"/>
  <c r="AQ76" i="15"/>
  <c r="AQ22" i="15"/>
  <c r="AO45" i="15"/>
  <c r="AO24" i="15"/>
  <c r="AO34" i="15"/>
  <c r="AO26" i="15"/>
  <c r="AO19" i="15"/>
  <c r="AO31" i="15"/>
  <c r="AO38" i="15"/>
  <c r="AO22" i="15"/>
  <c r="AO18" i="15"/>
  <c r="AO40" i="15"/>
  <c r="AO21" i="15"/>
  <c r="AO25" i="15"/>
  <c r="AO23" i="15"/>
  <c r="AO39" i="15"/>
  <c r="AO37" i="15"/>
  <c r="AO43" i="15"/>
  <c r="AO61" i="15"/>
  <c r="AO63" i="15"/>
  <c r="AO17" i="15"/>
  <c r="AO62" i="15"/>
  <c r="AO27" i="15"/>
  <c r="AO76" i="15"/>
  <c r="AO32" i="15"/>
  <c r="AO68" i="15"/>
  <c r="W32" i="15"/>
  <c r="W23" i="15"/>
  <c r="W39" i="15"/>
  <c r="W34" i="15"/>
  <c r="W21" i="15"/>
  <c r="W24" i="15"/>
  <c r="W62" i="15"/>
  <c r="W45" i="15"/>
  <c r="W31" i="15"/>
  <c r="W17" i="15"/>
  <c r="W22" i="15"/>
  <c r="W26" i="15"/>
  <c r="W40" i="15"/>
  <c r="W68" i="15"/>
  <c r="W37" i="15"/>
  <c r="W38" i="15"/>
  <c r="W63" i="15"/>
  <c r="W61" i="15"/>
  <c r="W25" i="15"/>
  <c r="W76" i="15"/>
  <c r="W43" i="15"/>
  <c r="W19" i="15"/>
  <c r="W27" i="15"/>
  <c r="W18" i="15"/>
  <c r="AY45" i="15"/>
  <c r="AY32" i="15"/>
  <c r="AY39" i="15"/>
  <c r="AY61" i="15"/>
  <c r="AY17" i="15"/>
  <c r="AY63" i="15"/>
  <c r="AY62" i="15"/>
  <c r="AY24" i="15"/>
  <c r="AY21" i="15"/>
  <c r="AY31" i="15"/>
  <c r="AY37" i="15"/>
  <c r="AY68" i="15"/>
  <c r="AY25" i="15"/>
  <c r="AY27" i="15"/>
  <c r="AY34" i="15"/>
  <c r="AY40" i="15"/>
  <c r="AY38" i="15"/>
  <c r="AY22" i="15"/>
  <c r="AY43" i="15"/>
  <c r="AY18" i="15"/>
  <c r="AY76" i="15"/>
  <c r="AY19" i="15"/>
  <c r="AY26" i="15"/>
  <c r="AY23" i="15"/>
  <c r="O45" i="15"/>
  <c r="O68" i="15"/>
  <c r="O39" i="15"/>
  <c r="O22" i="15"/>
  <c r="O26" i="15"/>
  <c r="O19" i="15"/>
  <c r="O32" i="15"/>
  <c r="O18" i="15"/>
  <c r="O62" i="15"/>
  <c r="O76" i="15"/>
  <c r="O23" i="15"/>
  <c r="O37" i="15"/>
  <c r="O40" i="15"/>
  <c r="O61" i="15"/>
  <c r="O21" i="15"/>
  <c r="O38" i="15"/>
  <c r="O17" i="15"/>
  <c r="O43" i="15"/>
  <c r="O34" i="15"/>
  <c r="O31" i="15"/>
  <c r="O27" i="15"/>
  <c r="O24" i="15"/>
  <c r="O25" i="15"/>
  <c r="O63" i="15"/>
  <c r="I45" i="15"/>
  <c r="I23" i="15"/>
  <c r="I22" i="15"/>
  <c r="I34" i="15"/>
  <c r="I76" i="15"/>
  <c r="I32" i="15"/>
  <c r="I40" i="15"/>
  <c r="I27" i="15"/>
  <c r="I61" i="15"/>
  <c r="I43" i="15"/>
  <c r="I68" i="15"/>
  <c r="I31" i="15"/>
  <c r="I63" i="15"/>
  <c r="I18" i="15"/>
  <c r="I24" i="15"/>
  <c r="I19" i="15"/>
  <c r="I39" i="15"/>
  <c r="I21" i="15"/>
  <c r="I25" i="15"/>
  <c r="I26" i="15"/>
  <c r="I62" i="15"/>
  <c r="I38" i="15"/>
  <c r="I17" i="15"/>
  <c r="I37" i="15"/>
  <c r="AE45" i="15"/>
  <c r="AE19" i="15"/>
  <c r="AE21" i="15"/>
  <c r="AE68" i="15"/>
  <c r="AE32" i="15"/>
  <c r="AE18" i="15"/>
  <c r="AE24" i="15"/>
  <c r="AE27" i="15"/>
  <c r="AE43" i="15"/>
  <c r="AE39" i="15"/>
  <c r="AE17" i="15"/>
  <c r="AE25" i="15"/>
  <c r="AE37" i="15"/>
  <c r="AE34" i="15"/>
  <c r="AE62" i="15"/>
  <c r="AE63" i="15"/>
  <c r="AE23" i="15"/>
  <c r="AE22" i="15"/>
  <c r="AE38" i="15"/>
  <c r="AE40" i="15"/>
  <c r="AE26" i="15"/>
  <c r="AE61" i="15"/>
  <c r="AE76" i="15"/>
  <c r="AE31" i="15"/>
  <c r="BA45" i="15"/>
  <c r="BA24" i="15"/>
  <c r="BA38" i="15"/>
  <c r="BA68" i="15"/>
  <c r="BA25" i="15"/>
  <c r="BA18" i="15"/>
  <c r="BA17" i="15"/>
  <c r="BA40" i="15"/>
  <c r="BA31" i="15"/>
  <c r="BA61" i="15"/>
  <c r="BA26" i="15"/>
  <c r="BA19" i="15"/>
  <c r="BA22" i="15"/>
  <c r="BA63" i="15"/>
  <c r="BA39" i="15"/>
  <c r="BA37" i="15"/>
  <c r="BA23" i="15"/>
  <c r="BA34" i="15"/>
  <c r="BA76" i="15"/>
  <c r="BA62" i="15"/>
  <c r="BA21" i="15"/>
  <c r="BA32" i="15"/>
  <c r="BA27" i="15"/>
  <c r="BA43" i="15"/>
  <c r="S18" i="15"/>
  <c r="S45" i="15"/>
  <c r="S31" i="15"/>
  <c r="S43" i="15"/>
  <c r="S62" i="15"/>
  <c r="S17" i="15"/>
  <c r="S39" i="15"/>
  <c r="S68" i="15"/>
  <c r="S26" i="15"/>
  <c r="S63" i="15"/>
  <c r="S27" i="15"/>
  <c r="S21" i="15"/>
  <c r="S32" i="15"/>
  <c r="S22" i="15"/>
  <c r="S38" i="15"/>
  <c r="S40" i="15"/>
  <c r="S25" i="15"/>
  <c r="S23" i="15"/>
  <c r="S24" i="15"/>
  <c r="S76" i="15"/>
  <c r="S37" i="15"/>
  <c r="S34" i="15"/>
  <c r="S61" i="15"/>
  <c r="S19" i="15"/>
  <c r="M19" i="177"/>
  <c r="D33" i="174" s="1"/>
  <c r="AF33" i="174" s="1"/>
  <c r="AI33" i="174" s="1"/>
  <c r="M40" i="177"/>
  <c r="D54" i="174" s="1"/>
  <c r="AF54" i="174" s="1"/>
  <c r="AI54" i="174" s="1"/>
  <c r="H54" i="174" s="1"/>
  <c r="M39" i="177"/>
  <c r="D53" i="174" s="1"/>
  <c r="AF53" i="174" s="1"/>
  <c r="AI53" i="174" s="1"/>
  <c r="H53" i="174" s="1"/>
  <c r="M31" i="177"/>
  <c r="D45" i="174" s="1"/>
  <c r="AF45" i="174" s="1"/>
  <c r="AI45" i="174" s="1"/>
  <c r="H45" i="174" s="1"/>
  <c r="M76" i="177"/>
  <c r="D90" i="174" s="1"/>
  <c r="AF90" i="174" s="1"/>
  <c r="AI90" i="174" s="1"/>
  <c r="H90" i="174" s="1"/>
  <c r="M38" i="177"/>
  <c r="D52" i="174" s="1"/>
  <c r="AF52" i="174" s="1"/>
  <c r="AI52" i="174" s="1"/>
  <c r="H52" i="174" s="1"/>
  <c r="M26" i="177"/>
  <c r="D40" i="174" s="1"/>
  <c r="AF40" i="174" s="1"/>
  <c r="AI40" i="174" s="1"/>
  <c r="H40" i="174" s="1"/>
  <c r="M21" i="177"/>
  <c r="D35" i="174" s="1"/>
  <c r="AF35" i="174" s="1"/>
  <c r="AI35" i="174" s="1"/>
  <c r="H35" i="174" s="1"/>
  <c r="M61" i="177"/>
  <c r="D75" i="174" s="1"/>
  <c r="AF75" i="174" s="1"/>
  <c r="AI75" i="174" s="1"/>
  <c r="H75" i="174" s="1"/>
  <c r="M22" i="177"/>
  <c r="D36" i="174" s="1"/>
  <c r="AF36" i="174" s="1"/>
  <c r="AI36" i="174" s="1"/>
  <c r="H36" i="174" s="1"/>
  <c r="M45" i="177"/>
  <c r="K79" i="177"/>
  <c r="M34" i="177"/>
  <c r="D48" i="174" s="1"/>
  <c r="AF48" i="174" s="1"/>
  <c r="AI48" i="174" s="1"/>
  <c r="H48" i="174" s="1"/>
  <c r="M25" i="177"/>
  <c r="D39" i="174" s="1"/>
  <c r="AF39" i="174" s="1"/>
  <c r="AI39" i="174" s="1"/>
  <c r="H39" i="174" s="1"/>
  <c r="M32" i="177"/>
  <c r="D46" i="174" s="1"/>
  <c r="AF46" i="174" s="1"/>
  <c r="AI46" i="174" s="1"/>
  <c r="H46" i="174" s="1"/>
  <c r="M37" i="177"/>
  <c r="D51" i="174" s="1"/>
  <c r="AF51" i="174" s="1"/>
  <c r="AI51" i="174" s="1"/>
  <c r="H51" i="174" s="1"/>
  <c r="M63" i="177"/>
  <c r="D77" i="174" s="1"/>
  <c r="AF77" i="174" s="1"/>
  <c r="AI77" i="174" s="1"/>
  <c r="H77" i="174" s="1"/>
  <c r="M24" i="177"/>
  <c r="D38" i="174" s="1"/>
  <c r="AF38" i="174" s="1"/>
  <c r="AI38" i="174" s="1"/>
  <c r="H38" i="174" s="1"/>
  <c r="M77" i="177"/>
  <c r="D91" i="174" s="1"/>
  <c r="AF91" i="174" s="1"/>
  <c r="AI91" i="174" s="1"/>
  <c r="H91" i="174" s="1"/>
  <c r="M62" i="177"/>
  <c r="D76" i="174" s="1"/>
  <c r="AF76" i="174" s="1"/>
  <c r="AI76" i="174" s="1"/>
  <c r="H76" i="174" s="1"/>
  <c r="M23" i="177"/>
  <c r="D37" i="174" s="1"/>
  <c r="AF37" i="174" s="1"/>
  <c r="AI37" i="174" s="1"/>
  <c r="H37" i="174" s="1"/>
  <c r="M43" i="177"/>
  <c r="D57" i="174" s="1"/>
  <c r="AF57" i="174" s="1"/>
  <c r="AI57" i="174" s="1"/>
  <c r="H57" i="174" s="1"/>
  <c r="M68" i="177"/>
  <c r="D82" i="174" s="1"/>
  <c r="AF82" i="174" s="1"/>
  <c r="AI82" i="174" s="1"/>
  <c r="H82" i="174" s="1"/>
  <c r="M17" i="177"/>
  <c r="D31" i="174" s="1"/>
  <c r="AF31" i="174" s="1"/>
  <c r="AI31" i="174" s="1"/>
  <c r="M27" i="177"/>
  <c r="D41" i="174" s="1"/>
  <c r="AF41" i="174" s="1"/>
  <c r="AI41" i="174" s="1"/>
  <c r="H41" i="174" s="1"/>
  <c r="BC45" i="15"/>
  <c r="BC24" i="15"/>
  <c r="BC39" i="15"/>
  <c r="BC26" i="15"/>
  <c r="BC40" i="15"/>
  <c r="BC27" i="15"/>
  <c r="BC62" i="15"/>
  <c r="BC23" i="15"/>
  <c r="BC37" i="15"/>
  <c r="BC76" i="15"/>
  <c r="BC63" i="15"/>
  <c r="BC18" i="15"/>
  <c r="BC25" i="15"/>
  <c r="BC21" i="15"/>
  <c r="BC34" i="15"/>
  <c r="BC19" i="15"/>
  <c r="BC61" i="15"/>
  <c r="BC68" i="15"/>
  <c r="BC38" i="15"/>
  <c r="BC17" i="15"/>
  <c r="BC31" i="15"/>
  <c r="BC43" i="15"/>
  <c r="BC22" i="15"/>
  <c r="BC32" i="15"/>
  <c r="AS41" i="15"/>
  <c r="AS45" i="15"/>
  <c r="AS24" i="15"/>
  <c r="AS21" i="15"/>
  <c r="AS18" i="15"/>
  <c r="AS68" i="15"/>
  <c r="AS76" i="15"/>
  <c r="AS61" i="15"/>
  <c r="AS40" i="15"/>
  <c r="AS26" i="15"/>
  <c r="AS22" i="15"/>
  <c r="AS27" i="15"/>
  <c r="AS38" i="15"/>
  <c r="AS32" i="15"/>
  <c r="AS43" i="15"/>
  <c r="AS25" i="15"/>
  <c r="AS62" i="15"/>
  <c r="AS37" i="15"/>
  <c r="AS31" i="15"/>
  <c r="AS34" i="15"/>
  <c r="AS19" i="15"/>
  <c r="AS39" i="15"/>
  <c r="AS17" i="15"/>
  <c r="AS63" i="15"/>
  <c r="AS23" i="15"/>
  <c r="AU25" i="15"/>
  <c r="AU19" i="15"/>
  <c r="AU45" i="15"/>
  <c r="AU26" i="15"/>
  <c r="AU34" i="15"/>
  <c r="AU23" i="15"/>
  <c r="AU61" i="15"/>
  <c r="AU32" i="15"/>
  <c r="AU68" i="15"/>
  <c r="AU76" i="15"/>
  <c r="AU24" i="15"/>
  <c r="AU62" i="15"/>
  <c r="AU27" i="15"/>
  <c r="AU37" i="15"/>
  <c r="AU17" i="15"/>
  <c r="AU43" i="15"/>
  <c r="AU31" i="15"/>
  <c r="AU21" i="15"/>
  <c r="AU40" i="15"/>
  <c r="AU18" i="15"/>
  <c r="AU63" i="15"/>
  <c r="AU39" i="15"/>
  <c r="AU22" i="15"/>
  <c r="AU38" i="15"/>
  <c r="AA24" i="15"/>
  <c r="AA45" i="15"/>
  <c r="AA34" i="15"/>
  <c r="AA37" i="15"/>
  <c r="AA43" i="15"/>
  <c r="AA23" i="15"/>
  <c r="AA26" i="15"/>
  <c r="AA22" i="15"/>
  <c r="AA18" i="15"/>
  <c r="AA38" i="15"/>
  <c r="AA68" i="15"/>
  <c r="AA19" i="15"/>
  <c r="AA31" i="15"/>
  <c r="AA76" i="15"/>
  <c r="AA17" i="15"/>
  <c r="AA25" i="15"/>
  <c r="AA62" i="15"/>
  <c r="AA63" i="15"/>
  <c r="AA40" i="15"/>
  <c r="AA27" i="15"/>
  <c r="AA21" i="15"/>
  <c r="AA32" i="15"/>
  <c r="AA39" i="15"/>
  <c r="AA61" i="15"/>
  <c r="BS64" i="15"/>
  <c r="BQ30" i="15"/>
  <c r="BQ64" i="15"/>
  <c r="D64" i="156"/>
  <c r="D64" i="15"/>
  <c r="BQ66" i="15"/>
  <c r="BQ52" i="15"/>
  <c r="D52" i="156"/>
  <c r="F52" i="156" s="1"/>
  <c r="H52" i="156" s="1"/>
  <c r="D52" i="15"/>
  <c r="D66" i="15"/>
  <c r="D66" i="156"/>
  <c r="F66" i="156" s="1"/>
  <c r="H66" i="156" s="1"/>
  <c r="D30" i="156"/>
  <c r="F30" i="156" s="1"/>
  <c r="H30" i="156" s="1"/>
  <c r="D30" i="15"/>
  <c r="F30" i="15" s="1"/>
  <c r="N47" i="177" l="1"/>
  <c r="BN17" i="15"/>
  <c r="BO17" i="15"/>
  <c r="BP17" i="15" s="1"/>
  <c r="BR17" i="15" s="1"/>
  <c r="BO31" i="15"/>
  <c r="BP31" i="15" s="1"/>
  <c r="BR31" i="15" s="1"/>
  <c r="BN31" i="15"/>
  <c r="BO62" i="15"/>
  <c r="BP62" i="15" s="1"/>
  <c r="BR62" i="15" s="1"/>
  <c r="BN62" i="15"/>
  <c r="BO26" i="15"/>
  <c r="BP26" i="15" s="1"/>
  <c r="BR26" i="15" s="1"/>
  <c r="BN26" i="15"/>
  <c r="BN63" i="15"/>
  <c r="BO63" i="15"/>
  <c r="BP63" i="15" s="1"/>
  <c r="BR63" i="15" s="1"/>
  <c r="BO61" i="15"/>
  <c r="BP61" i="15" s="1"/>
  <c r="BR61" i="15" s="1"/>
  <c r="BN61" i="15"/>
  <c r="C54" i="164"/>
  <c r="J54" i="171"/>
  <c r="B54" i="171"/>
  <c r="I54" i="171"/>
  <c r="BO21" i="15"/>
  <c r="BP21" i="15" s="1"/>
  <c r="BR21" i="15" s="1"/>
  <c r="BN21" i="15"/>
  <c r="BN68" i="15"/>
  <c r="BO68" i="15"/>
  <c r="BP68" i="15" s="1"/>
  <c r="BR68" i="15" s="1"/>
  <c r="BN34" i="15"/>
  <c r="BO34" i="15"/>
  <c r="BP34" i="15" s="1"/>
  <c r="BR34" i="15" s="1"/>
  <c r="BN19" i="15"/>
  <c r="BO19" i="15"/>
  <c r="BP19" i="15" s="1"/>
  <c r="BR19" i="15" s="1"/>
  <c r="BN32" i="15"/>
  <c r="BO32" i="15"/>
  <c r="BP32" i="15" s="1"/>
  <c r="BR32" i="15" s="1"/>
  <c r="BO45" i="15"/>
  <c r="BP45" i="15" s="1"/>
  <c r="BR45" i="15" s="1"/>
  <c r="BN45" i="15"/>
  <c r="L54" i="170"/>
  <c r="BN27" i="15"/>
  <c r="BO27" i="15"/>
  <c r="BP27" i="15" s="1"/>
  <c r="BR27" i="15" s="1"/>
  <c r="BO23" i="15"/>
  <c r="BP23" i="15" s="1"/>
  <c r="BR23" i="15" s="1"/>
  <c r="BN23" i="15"/>
  <c r="BN76" i="15"/>
  <c r="BO76" i="15"/>
  <c r="BP76" i="15" s="1"/>
  <c r="BR76" i="15" s="1"/>
  <c r="BN18" i="15"/>
  <c r="BO18" i="15"/>
  <c r="BP18" i="15" s="1"/>
  <c r="BR18" i="15" s="1"/>
  <c r="BN25" i="15"/>
  <c r="BO25" i="15"/>
  <c r="BP25" i="15" s="1"/>
  <c r="BR25" i="15" s="1"/>
  <c r="BO43" i="15"/>
  <c r="BP43" i="15" s="1"/>
  <c r="BR43" i="15" s="1"/>
  <c r="BN43" i="15"/>
  <c r="D59" i="174"/>
  <c r="N45" i="177"/>
  <c r="BO22" i="15"/>
  <c r="BP22" i="15" s="1"/>
  <c r="BR22" i="15" s="1"/>
  <c r="BN22" i="15"/>
  <c r="BO40" i="15"/>
  <c r="BP40" i="15" s="1"/>
  <c r="BR40" i="15" s="1"/>
  <c r="BN40" i="15"/>
  <c r="BN24" i="15"/>
  <c r="BO24" i="15"/>
  <c r="BP24" i="15" s="1"/>
  <c r="BR24" i="15" s="1"/>
  <c r="BO37" i="15"/>
  <c r="BP37" i="15" s="1"/>
  <c r="BR37" i="15" s="1"/>
  <c r="BN37" i="15"/>
  <c r="BN38" i="15"/>
  <c r="BO38" i="15"/>
  <c r="BP38" i="15" s="1"/>
  <c r="BR38" i="15" s="1"/>
  <c r="BN39" i="15"/>
  <c r="BO39" i="15"/>
  <c r="BP39" i="15" s="1"/>
  <c r="BR39" i="15" s="1"/>
  <c r="BS44" i="15"/>
  <c r="BS53" i="15"/>
  <c r="BS41" i="15"/>
  <c r="BS28" i="15"/>
  <c r="H31" i="174"/>
  <c r="H64" i="156"/>
  <c r="I30" i="156"/>
  <c r="I66" i="156"/>
  <c r="I52" i="156"/>
  <c r="K54" i="171" l="1"/>
  <c r="AF59" i="174"/>
  <c r="AI59" i="174" s="1"/>
  <c r="H59" i="174" s="1"/>
  <c r="D93" i="174"/>
  <c r="BR77" i="15"/>
  <c r="BS40" i="15" s="1"/>
  <c r="D54" i="164"/>
  <c r="B54" i="164"/>
  <c r="BQ54" i="15"/>
  <c r="BQ53" i="15"/>
  <c r="BQ41" i="15"/>
  <c r="BQ28" i="15"/>
  <c r="I64" i="156"/>
  <c r="J66" i="156"/>
  <c r="K66" i="156" s="1"/>
  <c r="L66" i="156" s="1"/>
  <c r="M66" i="156" s="1"/>
  <c r="BS37" i="15" l="1"/>
  <c r="BS17" i="15"/>
  <c r="BS54" i="15"/>
  <c r="BS31" i="15"/>
  <c r="BS23" i="15"/>
  <c r="BS24" i="15"/>
  <c r="BS21" i="15"/>
  <c r="BS32" i="15"/>
  <c r="BS18" i="15"/>
  <c r="BS39" i="15"/>
  <c r="BS76" i="15"/>
  <c r="BS22" i="15"/>
  <c r="BS62" i="15"/>
  <c r="BS68" i="15"/>
  <c r="BS34" i="15"/>
  <c r="BS45" i="15"/>
  <c r="BS26" i="15"/>
  <c r="BS61" i="15"/>
  <c r="BS25" i="15"/>
  <c r="BS27" i="15"/>
  <c r="BS38" i="15"/>
  <c r="BS43" i="15"/>
  <c r="BS19" i="15"/>
  <c r="BS63" i="15"/>
  <c r="J64" i="156"/>
  <c r="K64" i="156" s="1"/>
  <c r="L64" i="156" s="1"/>
  <c r="J30" i="156"/>
  <c r="K30" i="156" s="1"/>
  <c r="L30" i="156" s="1"/>
  <c r="J52" i="156"/>
  <c r="K52" i="156" s="1"/>
  <c r="L52" i="156" s="1"/>
  <c r="M52" i="156" s="1"/>
  <c r="N66" i="156"/>
  <c r="O66" i="156" s="1"/>
  <c r="P66" i="156" s="1"/>
  <c r="Q66" i="156" s="1"/>
  <c r="BS77" i="15" l="1"/>
  <c r="BQ61" i="15" s="1"/>
  <c r="M64" i="156"/>
  <c r="N64" i="156" s="1"/>
  <c r="G64" i="14"/>
  <c r="D64" i="14"/>
  <c r="E78" i="161"/>
  <c r="M30" i="156"/>
  <c r="N30" i="156" s="1"/>
  <c r="O30" i="156" s="1"/>
  <c r="P30" i="156" s="1"/>
  <c r="N52" i="156"/>
  <c r="O52" i="156" s="1"/>
  <c r="P52" i="156" s="1"/>
  <c r="Q52" i="156" s="1"/>
  <c r="R66" i="156"/>
  <c r="S66" i="156" s="1"/>
  <c r="T66" i="156" s="1"/>
  <c r="U66" i="156" s="1"/>
  <c r="BQ19" i="15" l="1"/>
  <c r="BQ31" i="15"/>
  <c r="BQ32" i="15"/>
  <c r="BQ63" i="15"/>
  <c r="BQ76" i="15"/>
  <c r="BQ45" i="15"/>
  <c r="BQ23" i="15"/>
  <c r="BQ39" i="15"/>
  <c r="BQ27" i="15"/>
  <c r="BQ62" i="15"/>
  <c r="BQ25" i="15"/>
  <c r="BQ26" i="15"/>
  <c r="BQ17" i="15"/>
  <c r="BQ68" i="15"/>
  <c r="BQ38" i="15"/>
  <c r="BQ44" i="15"/>
  <c r="BQ40" i="15"/>
  <c r="BQ37" i="15"/>
  <c r="BQ22" i="15"/>
  <c r="BQ43" i="15"/>
  <c r="BQ18" i="15"/>
  <c r="BQ21" i="15"/>
  <c r="BQ24" i="15"/>
  <c r="BQ34" i="15"/>
  <c r="F78" i="161"/>
  <c r="G78" i="161"/>
  <c r="O64" i="156"/>
  <c r="P64" i="156" s="1"/>
  <c r="Q64" i="156" s="1"/>
  <c r="W78" i="166"/>
  <c r="Y78" i="166" s="1"/>
  <c r="Q30" i="156"/>
  <c r="R52" i="156"/>
  <c r="S52" i="156" s="1"/>
  <c r="T52" i="156" s="1"/>
  <c r="U52" i="156" s="1"/>
  <c r="V66" i="156"/>
  <c r="W66" i="156" s="1"/>
  <c r="X66" i="156" s="1"/>
  <c r="G64" i="15" l="1"/>
  <c r="R30" i="156"/>
  <c r="S30" i="156" s="1"/>
  <c r="T30" i="156" s="1"/>
  <c r="U30" i="156" s="1"/>
  <c r="R64" i="156"/>
  <c r="V52" i="156"/>
  <c r="W52" i="156" s="1"/>
  <c r="X52" i="156" s="1"/>
  <c r="Y52" i="156" s="1"/>
  <c r="G66" i="15"/>
  <c r="G30" i="15"/>
  <c r="G52" i="15"/>
  <c r="Y66" i="156"/>
  <c r="S64" i="156" l="1"/>
  <c r="T64" i="156" s="1"/>
  <c r="Z66" i="156"/>
  <c r="AA66" i="156" s="1"/>
  <c r="AB66" i="156" s="1"/>
  <c r="AC66" i="156" s="1"/>
  <c r="Z52" i="156"/>
  <c r="AA52" i="156" s="1"/>
  <c r="AB52" i="156" s="1"/>
  <c r="V30" i="156" l="1"/>
  <c r="W30" i="156" s="1"/>
  <c r="X30" i="156" s="1"/>
  <c r="Y30" i="156" s="1"/>
  <c r="U64" i="156"/>
  <c r="V64" i="156" s="1"/>
  <c r="W64" i="156" s="1"/>
  <c r="X64" i="156" s="1"/>
  <c r="AC52" i="156"/>
  <c r="Z30" i="156" l="1"/>
  <c r="AA30" i="156" s="1"/>
  <c r="AB30" i="156" s="1"/>
  <c r="AC30" i="156" s="1"/>
  <c r="Y64" i="156"/>
  <c r="Z64" i="156" s="1"/>
  <c r="AA64" i="156" s="1"/>
  <c r="AB64" i="156" s="1"/>
  <c r="AD52" i="156"/>
  <c r="AE52" i="156" s="1"/>
  <c r="AF52" i="156" s="1"/>
  <c r="AG52" i="156" s="1"/>
  <c r="AD66" i="156"/>
  <c r="AE66" i="156" s="1"/>
  <c r="AF66" i="156" s="1"/>
  <c r="AD30" i="156" l="1"/>
  <c r="AE30" i="156" s="1"/>
  <c r="AF30" i="156" s="1"/>
  <c r="AG30" i="156" s="1"/>
  <c r="AC64" i="156"/>
  <c r="AD64" i="156" s="1"/>
  <c r="AE64" i="156" s="1"/>
  <c r="AF64" i="156" s="1"/>
  <c r="AG64" i="156" s="1"/>
  <c r="AG66" i="156"/>
  <c r="AH64" i="156" l="1"/>
  <c r="AH66" i="156"/>
  <c r="AI66" i="156" s="1"/>
  <c r="AJ66" i="156" s="1"/>
  <c r="AK66" i="156" s="1"/>
  <c r="AH30" i="156"/>
  <c r="AI30" i="156" s="1"/>
  <c r="AJ30" i="156" s="1"/>
  <c r="AK30" i="156" s="1"/>
  <c r="AH52" i="156"/>
  <c r="AI52" i="156" s="1"/>
  <c r="AJ52" i="156" s="1"/>
  <c r="AI64" i="156" l="1"/>
  <c r="AJ64" i="156" s="1"/>
  <c r="AK64" i="156" s="1"/>
  <c r="AL64" i="156" s="1"/>
  <c r="AK52" i="156"/>
  <c r="AM64" i="156" l="1"/>
  <c r="AN64" i="156" s="1"/>
  <c r="AL52" i="156"/>
  <c r="AM52" i="156" s="1"/>
  <c r="AN52" i="156" s="1"/>
  <c r="AL66" i="156"/>
  <c r="AM66" i="156" s="1"/>
  <c r="AN66" i="156" s="1"/>
  <c r="AL30" i="156"/>
  <c r="AM30" i="156" s="1"/>
  <c r="AN30" i="156" s="1"/>
  <c r="AO64" i="156" l="1"/>
  <c r="AP64" i="156" s="1"/>
  <c r="AO66" i="156"/>
  <c r="AO52" i="156"/>
  <c r="AO30" i="156"/>
  <c r="G48" i="14"/>
  <c r="G70" i="14"/>
  <c r="D72" i="14"/>
  <c r="E86" i="161"/>
  <c r="D71" i="14"/>
  <c r="E85" i="161"/>
  <c r="D69" i="14"/>
  <c r="E83" i="161"/>
  <c r="D75" i="14"/>
  <c r="E89" i="161"/>
  <c r="D73" i="14"/>
  <c r="E87" i="161"/>
  <c r="AQ64" i="156" l="1"/>
  <c r="AR64" i="156" s="1"/>
  <c r="AS64" i="156" s="1"/>
  <c r="G52" i="14"/>
  <c r="AP66" i="156"/>
  <c r="AQ66" i="156" s="1"/>
  <c r="AR66" i="156" s="1"/>
  <c r="AS66" i="156" s="1"/>
  <c r="AP52" i="156"/>
  <c r="AQ52" i="156" s="1"/>
  <c r="AR52" i="156" s="1"/>
  <c r="AP30" i="156"/>
  <c r="AQ30" i="156" s="1"/>
  <c r="AR30" i="156" s="1"/>
  <c r="E62" i="161"/>
  <c r="E88" i="161"/>
  <c r="E84" i="161"/>
  <c r="F84" i="161" s="1"/>
  <c r="D70" i="14"/>
  <c r="W85" i="166"/>
  <c r="Y85" i="166" s="1"/>
  <c r="W83" i="166"/>
  <c r="Y83" i="166" s="1"/>
  <c r="W89" i="166"/>
  <c r="Y89" i="166" s="1"/>
  <c r="W87" i="166"/>
  <c r="Y87" i="166" s="1"/>
  <c r="W86" i="166"/>
  <c r="Y86" i="166" s="1"/>
  <c r="G33" i="14"/>
  <c r="E47" i="161"/>
  <c r="F87" i="161"/>
  <c r="G87" i="161"/>
  <c r="G83" i="161"/>
  <c r="F83" i="161"/>
  <c r="F86" i="161"/>
  <c r="G86" i="161"/>
  <c r="F89" i="161"/>
  <c r="G89" i="161"/>
  <c r="G85" i="161"/>
  <c r="F85" i="161"/>
  <c r="AS52" i="156" l="1"/>
  <c r="AS30" i="156"/>
  <c r="W62" i="166"/>
  <c r="Y62" i="166" s="1"/>
  <c r="F62" i="161"/>
  <c r="G62" i="161"/>
  <c r="D74" i="14"/>
  <c r="F88" i="161"/>
  <c r="G88" i="161"/>
  <c r="E66" i="161"/>
  <c r="F66" i="161" s="1"/>
  <c r="W84" i="166"/>
  <c r="Y84" i="166" s="1"/>
  <c r="G84" i="161"/>
  <c r="W47" i="166"/>
  <c r="Y47" i="166" s="1"/>
  <c r="H83" i="161"/>
  <c r="J83" i="161" s="1"/>
  <c r="H89" i="161"/>
  <c r="I89" i="161" s="1"/>
  <c r="H85" i="161"/>
  <c r="I85" i="161" s="1"/>
  <c r="F47" i="161"/>
  <c r="G47" i="161"/>
  <c r="H86" i="161"/>
  <c r="H87" i="161"/>
  <c r="AT64" i="156" l="1"/>
  <c r="AU64" i="156" s="1"/>
  <c r="AV64" i="156" s="1"/>
  <c r="E44" i="161"/>
  <c r="G30" i="14"/>
  <c r="AT30" i="156"/>
  <c r="AU30" i="156" s="1"/>
  <c r="AV30" i="156" s="1"/>
  <c r="AT52" i="156"/>
  <c r="AU52" i="156" s="1"/>
  <c r="AV52" i="156" s="1"/>
  <c r="AT66" i="156"/>
  <c r="AU66" i="156" s="1"/>
  <c r="AV66" i="156" s="1"/>
  <c r="W88" i="166"/>
  <c r="Y88" i="166" s="1"/>
  <c r="G66" i="161"/>
  <c r="W66" i="166"/>
  <c r="Y66" i="166" s="1"/>
  <c r="J89" i="161"/>
  <c r="K89" i="161" s="1"/>
  <c r="L89" i="161" s="1"/>
  <c r="J85" i="161"/>
  <c r="K85" i="161" s="1"/>
  <c r="L85" i="161" s="1"/>
  <c r="I83" i="161"/>
  <c r="K83" i="161" s="1"/>
  <c r="L83" i="161" s="1"/>
  <c r="I87" i="161"/>
  <c r="J87" i="161"/>
  <c r="I86" i="161"/>
  <c r="J86" i="161"/>
  <c r="G44" i="161" l="1"/>
  <c r="F44" i="161"/>
  <c r="W44" i="166"/>
  <c r="Y44" i="166" s="1"/>
  <c r="M89" i="161"/>
  <c r="N89" i="161" s="1"/>
  <c r="M83" i="161"/>
  <c r="N83" i="161" s="1"/>
  <c r="P83" i="161" s="1"/>
  <c r="M85" i="161"/>
  <c r="N85" i="161" s="1"/>
  <c r="P85" i="161" s="1"/>
  <c r="K86" i="161"/>
  <c r="M86" i="161" s="1"/>
  <c r="K87" i="161"/>
  <c r="L86" i="161" l="1"/>
  <c r="N86" i="161" s="1"/>
  <c r="P86" i="161" s="1"/>
  <c r="O83" i="161"/>
  <c r="Q83" i="161" s="1"/>
  <c r="S83" i="161" s="1"/>
  <c r="O85" i="161"/>
  <c r="Q85" i="161" s="1"/>
  <c r="O89" i="161"/>
  <c r="P89" i="161"/>
  <c r="L87" i="161"/>
  <c r="M87" i="161"/>
  <c r="N87" i="161" l="1"/>
  <c r="P87" i="161" s="1"/>
  <c r="R83" i="161"/>
  <c r="T83" i="161" s="1"/>
  <c r="U83" i="161" s="1"/>
  <c r="D83" i="170" s="1"/>
  <c r="O86" i="161"/>
  <c r="Q89" i="161"/>
  <c r="S89" i="161" s="1"/>
  <c r="R85" i="161"/>
  <c r="S85" i="161"/>
  <c r="E80" i="161" l="1"/>
  <c r="F80" i="161" s="1"/>
  <c r="R89" i="161"/>
  <c r="T89" i="161" s="1"/>
  <c r="U89" i="161" s="1"/>
  <c r="T85" i="161"/>
  <c r="U85" i="161" s="1"/>
  <c r="Q86" i="161"/>
  <c r="S86" i="161" s="1"/>
  <c r="O87" i="161"/>
  <c r="G29" i="14"/>
  <c r="E43" i="161"/>
  <c r="D66" i="14"/>
  <c r="G66" i="14"/>
  <c r="D89" i="170" l="1"/>
  <c r="D85" i="170"/>
  <c r="W43" i="166"/>
  <c r="Y43" i="166" s="1"/>
  <c r="G80" i="161"/>
  <c r="W80" i="166"/>
  <c r="Y80" i="166" s="1"/>
  <c r="R86" i="161"/>
  <c r="T86" i="161" s="1"/>
  <c r="U86" i="161" s="1"/>
  <c r="G43" i="161"/>
  <c r="F43" i="161"/>
  <c r="Q87" i="161"/>
  <c r="S87" i="161" s="1"/>
  <c r="D86" i="170" l="1"/>
  <c r="F83" i="164"/>
  <c r="R87" i="161"/>
  <c r="T87" i="161" s="1"/>
  <c r="U87" i="161" s="1"/>
  <c r="D87" i="170" s="1"/>
  <c r="F89" i="164"/>
  <c r="F85" i="164"/>
  <c r="F86" i="164" l="1"/>
  <c r="F87" i="164" l="1"/>
  <c r="D51" i="14" l="1"/>
  <c r="D35" i="14" l="1"/>
  <c r="D42" i="14"/>
  <c r="D48" i="14"/>
  <c r="D46" i="14"/>
  <c r="D30" i="14"/>
  <c r="D52" i="14"/>
  <c r="D49" i="14"/>
  <c r="D29" i="14"/>
  <c r="D50" i="14"/>
  <c r="D36" i="14"/>
  <c r="D33" i="14"/>
  <c r="H78" i="161" l="1"/>
  <c r="J78" i="161" s="1"/>
  <c r="H88" i="161"/>
  <c r="H62" i="161"/>
  <c r="H66" i="161"/>
  <c r="H84" i="161"/>
  <c r="H43" i="161"/>
  <c r="J43" i="161" s="1"/>
  <c r="H44" i="161"/>
  <c r="J44" i="161" s="1"/>
  <c r="H47" i="161"/>
  <c r="J47" i="161" s="1"/>
  <c r="H80" i="161"/>
  <c r="I80" i="161" s="1"/>
  <c r="I78" i="161" l="1"/>
  <c r="K78" i="161" s="1"/>
  <c r="M78" i="161" s="1"/>
  <c r="J62" i="161"/>
  <c r="I62" i="161"/>
  <c r="J88" i="161"/>
  <c r="I88" i="161"/>
  <c r="I66" i="161"/>
  <c r="J66" i="161"/>
  <c r="I84" i="161"/>
  <c r="J84" i="161"/>
  <c r="I43" i="161"/>
  <c r="I44" i="161"/>
  <c r="J80" i="161"/>
  <c r="I47" i="161"/>
  <c r="L78" i="161" l="1"/>
  <c r="N78" i="161" s="1"/>
  <c r="P78" i="161" s="1"/>
  <c r="K88" i="161"/>
  <c r="M88" i="161" s="1"/>
  <c r="K62" i="161"/>
  <c r="M62" i="161" s="1"/>
  <c r="K66" i="161"/>
  <c r="M66" i="161" s="1"/>
  <c r="K84" i="161"/>
  <c r="K44" i="161"/>
  <c r="L44" i="161" s="1"/>
  <c r="K80" i="161"/>
  <c r="L80" i="161" s="1"/>
  <c r="K43" i="161"/>
  <c r="M43" i="161" s="1"/>
  <c r="K47" i="161"/>
  <c r="M47" i="161" s="1"/>
  <c r="O78" i="161" l="1"/>
  <c r="Q78" i="161" s="1"/>
  <c r="S78" i="161" s="1"/>
  <c r="L88" i="161"/>
  <c r="N88" i="161" s="1"/>
  <c r="P88" i="161" s="1"/>
  <c r="L62" i="161"/>
  <c r="N62" i="161" s="1"/>
  <c r="P62" i="161" s="1"/>
  <c r="L66" i="161"/>
  <c r="M84" i="161"/>
  <c r="L84" i="161"/>
  <c r="M44" i="161"/>
  <c r="M80" i="161"/>
  <c r="L47" i="161"/>
  <c r="L43" i="161"/>
  <c r="R78" i="161" l="1"/>
  <c r="T78" i="161" s="1"/>
  <c r="U78" i="161" s="1"/>
  <c r="D78" i="170" s="1"/>
  <c r="O62" i="161"/>
  <c r="Q62" i="161" s="1"/>
  <c r="S62" i="161" s="1"/>
  <c r="O88" i="161"/>
  <c r="Q88" i="161" s="1"/>
  <c r="S88" i="161" s="1"/>
  <c r="N66" i="161"/>
  <c r="O66" i="161" s="1"/>
  <c r="N47" i="161"/>
  <c r="P47" i="161" s="1"/>
  <c r="N84" i="161"/>
  <c r="N44" i="161"/>
  <c r="O44" i="161" s="1"/>
  <c r="N43" i="161"/>
  <c r="P43" i="161" s="1"/>
  <c r="N80" i="161"/>
  <c r="P80" i="161" s="1"/>
  <c r="F78" i="170" l="1"/>
  <c r="G78" i="170" s="1"/>
  <c r="R62" i="161"/>
  <c r="T62" i="161" s="1"/>
  <c r="U62" i="161" s="1"/>
  <c r="R88" i="161"/>
  <c r="T88" i="161" s="1"/>
  <c r="U88" i="161" s="1"/>
  <c r="P66" i="161"/>
  <c r="O47" i="161"/>
  <c r="P84" i="161"/>
  <c r="O84" i="161"/>
  <c r="P44" i="161"/>
  <c r="O43" i="161"/>
  <c r="O80" i="161"/>
  <c r="Q78" i="165" l="1"/>
  <c r="Q78" i="166" s="1"/>
  <c r="E78" i="164"/>
  <c r="F78" i="164" s="1"/>
  <c r="F88" i="164"/>
  <c r="D88" i="170"/>
  <c r="D62" i="170"/>
  <c r="Q66" i="161"/>
  <c r="Q47" i="161"/>
  <c r="S47" i="161" s="1"/>
  <c r="Q84" i="161"/>
  <c r="Q44" i="161"/>
  <c r="S44" i="161" s="1"/>
  <c r="Q80" i="161"/>
  <c r="S80" i="161" s="1"/>
  <c r="Q43" i="161"/>
  <c r="R43" i="161" s="1"/>
  <c r="F62" i="170" l="1"/>
  <c r="R66" i="161"/>
  <c r="S66" i="161"/>
  <c r="R47" i="161"/>
  <c r="S84" i="161"/>
  <c r="R84" i="161"/>
  <c r="R44" i="161"/>
  <c r="R80" i="161"/>
  <c r="S43" i="161"/>
  <c r="Q62" i="165" l="1"/>
  <c r="Q62" i="166" s="1"/>
  <c r="E62" i="164"/>
  <c r="F62" i="164" s="1"/>
  <c r="G62" i="170"/>
  <c r="T66" i="161"/>
  <c r="U66" i="161" s="1"/>
  <c r="T47" i="161"/>
  <c r="U47" i="161" s="1"/>
  <c r="T84" i="161"/>
  <c r="U84" i="161" s="1"/>
  <c r="T44" i="161"/>
  <c r="U44" i="161" s="1"/>
  <c r="T43" i="161"/>
  <c r="U43" i="161" s="1"/>
  <c r="T80" i="161"/>
  <c r="U80" i="161" s="1"/>
  <c r="Z78" i="161" l="1"/>
  <c r="D43" i="170"/>
  <c r="D84" i="170"/>
  <c r="D47" i="170"/>
  <c r="D44" i="170"/>
  <c r="D80" i="170"/>
  <c r="D66" i="170"/>
  <c r="Z62" i="161"/>
  <c r="Z88" i="161"/>
  <c r="F43" i="164"/>
  <c r="Z66" i="161"/>
  <c r="Z83" i="161"/>
  <c r="Z84" i="161"/>
  <c r="Z85" i="161"/>
  <c r="Z89" i="161"/>
  <c r="Z86" i="161"/>
  <c r="Z44" i="161"/>
  <c r="Z47" i="161"/>
  <c r="Z87" i="161"/>
  <c r="Z80" i="161"/>
  <c r="Z43" i="161"/>
  <c r="F84" i="170" l="1"/>
  <c r="G84" i="170" s="1"/>
  <c r="F80" i="170"/>
  <c r="F66" i="170"/>
  <c r="G66" i="170" s="1"/>
  <c r="F47" i="170"/>
  <c r="F44" i="170"/>
  <c r="Q84" i="165" l="1"/>
  <c r="Q84" i="166" s="1"/>
  <c r="E84" i="164"/>
  <c r="F84" i="164" s="1"/>
  <c r="Q80" i="165"/>
  <c r="Q80" i="166" s="1"/>
  <c r="E80" i="164"/>
  <c r="F80" i="164" s="1"/>
  <c r="G80" i="170"/>
  <c r="Q66" i="165"/>
  <c r="Q66" i="166" s="1"/>
  <c r="E66" i="164"/>
  <c r="F66" i="164" s="1"/>
  <c r="Q47" i="165"/>
  <c r="Q47" i="166" s="1"/>
  <c r="E47" i="164"/>
  <c r="F47" i="164" s="1"/>
  <c r="G47" i="170"/>
  <c r="Q44" i="165"/>
  <c r="Q44" i="166" s="1"/>
  <c r="E44" i="164"/>
  <c r="F44" i="164" s="1"/>
  <c r="G44" i="170"/>
  <c r="H85" i="164" l="1"/>
  <c r="I85" i="164"/>
  <c r="H43" i="164"/>
  <c r="I43" i="164"/>
  <c r="H89" i="164"/>
  <c r="I89" i="164"/>
  <c r="H87" i="164"/>
  <c r="I87" i="164"/>
  <c r="H86" i="164"/>
  <c r="I86" i="164"/>
  <c r="H83" i="164"/>
  <c r="I83" i="164"/>
  <c r="H88" i="164" l="1"/>
  <c r="I88" i="164"/>
  <c r="J86" i="164" l="1"/>
  <c r="J85" i="164"/>
  <c r="J83" i="164"/>
  <c r="J87" i="164"/>
  <c r="J89" i="164"/>
  <c r="J43" i="164"/>
  <c r="K83" i="164" l="1"/>
  <c r="L83" i="164"/>
  <c r="L85" i="164"/>
  <c r="K85" i="164"/>
  <c r="K89" i="164"/>
  <c r="L89" i="164"/>
  <c r="K86" i="164"/>
  <c r="L86" i="164"/>
  <c r="L87" i="164"/>
  <c r="K87" i="164"/>
  <c r="L43" i="164"/>
  <c r="K43" i="164"/>
  <c r="M86" i="164" l="1"/>
  <c r="M89" i="164"/>
  <c r="M83" i="164"/>
  <c r="M43" i="164"/>
  <c r="M87" i="164"/>
  <c r="M85" i="164"/>
  <c r="J88" i="164" l="1"/>
  <c r="O89" i="164"/>
  <c r="N89" i="164"/>
  <c r="O85" i="164"/>
  <c r="N85" i="164"/>
  <c r="N83" i="164"/>
  <c r="O83" i="164"/>
  <c r="O86" i="164"/>
  <c r="N86" i="164"/>
  <c r="N87" i="164"/>
  <c r="O87" i="164"/>
  <c r="O43" i="164"/>
  <c r="N43" i="164"/>
  <c r="L88" i="164" l="1"/>
  <c r="K88" i="164"/>
  <c r="P86" i="164"/>
  <c r="P43" i="164"/>
  <c r="P85" i="164"/>
  <c r="P89" i="164"/>
  <c r="P87" i="164"/>
  <c r="P83" i="164"/>
  <c r="M88" i="164" l="1"/>
  <c r="O88" i="164" s="1"/>
  <c r="R89" i="164"/>
  <c r="Q89" i="164"/>
  <c r="R86" i="164"/>
  <c r="Q86" i="164"/>
  <c r="R83" i="164"/>
  <c r="Q83" i="164"/>
  <c r="R85" i="164"/>
  <c r="Q85" i="164"/>
  <c r="R43" i="164"/>
  <c r="Q43" i="164"/>
  <c r="Q87" i="164"/>
  <c r="R87" i="164"/>
  <c r="N88" i="164" l="1"/>
  <c r="P88" i="164" s="1"/>
  <c r="Q88" i="164" s="1"/>
  <c r="S83" i="164"/>
  <c r="S87" i="164"/>
  <c r="S43" i="164"/>
  <c r="S85" i="164"/>
  <c r="S86" i="164"/>
  <c r="S89" i="164"/>
  <c r="R88" i="164" l="1"/>
  <c r="S88" i="164" s="1"/>
  <c r="U88" i="164" s="1"/>
  <c r="U83" i="164"/>
  <c r="T83" i="164"/>
  <c r="U89" i="164"/>
  <c r="T89" i="164"/>
  <c r="U87" i="164"/>
  <c r="T87" i="164"/>
  <c r="U86" i="164"/>
  <c r="T86" i="164"/>
  <c r="U85" i="164"/>
  <c r="T85" i="164"/>
  <c r="U43" i="164"/>
  <c r="T43" i="164"/>
  <c r="T88" i="164" l="1"/>
  <c r="V88" i="164" s="1"/>
  <c r="W88" i="164" s="1"/>
  <c r="T88" i="165" s="1"/>
  <c r="T88" i="166" s="1"/>
  <c r="V87" i="164"/>
  <c r="W87" i="164" s="1"/>
  <c r="T87" i="165" s="1"/>
  <c r="T87" i="166" s="1"/>
  <c r="V85" i="164"/>
  <c r="W85" i="164" s="1"/>
  <c r="T85" i="165" s="1"/>
  <c r="T85" i="166" s="1"/>
  <c r="V43" i="164"/>
  <c r="W43" i="164" s="1"/>
  <c r="T43" i="165" s="1"/>
  <c r="T43" i="166" s="1"/>
  <c r="V86" i="164"/>
  <c r="W86" i="164" s="1"/>
  <c r="T86" i="165" s="1"/>
  <c r="T86" i="166" s="1"/>
  <c r="V89" i="164"/>
  <c r="W89" i="164" s="1"/>
  <c r="T89" i="165" s="1"/>
  <c r="T89" i="166" s="1"/>
  <c r="V83" i="164"/>
  <c r="W83" i="164" s="1"/>
  <c r="T83" i="165" s="1"/>
  <c r="T83" i="166" s="1"/>
  <c r="AA88" i="166" l="1"/>
  <c r="X88" i="166"/>
  <c r="Z88" i="166" s="1"/>
  <c r="X89" i="166"/>
  <c r="Z89" i="166" s="1"/>
  <c r="AA89" i="166"/>
  <c r="X87" i="166"/>
  <c r="Z87" i="166" s="1"/>
  <c r="AA87" i="166"/>
  <c r="AA86" i="166"/>
  <c r="X86" i="166"/>
  <c r="Z86" i="166" s="1"/>
  <c r="X43" i="166"/>
  <c r="Z43" i="166" s="1"/>
  <c r="AA43" i="166"/>
  <c r="X83" i="166"/>
  <c r="Z83" i="166" s="1"/>
  <c r="AA83" i="166"/>
  <c r="AA85" i="166"/>
  <c r="X85" i="166"/>
  <c r="Z85" i="166" s="1"/>
  <c r="X87" i="164" l="1"/>
  <c r="X89" i="164"/>
  <c r="X43" i="164"/>
  <c r="X86" i="164"/>
  <c r="X85" i="164"/>
  <c r="X83" i="164"/>
  <c r="X88" i="164" l="1"/>
  <c r="C32" i="171" l="1"/>
  <c r="C32" i="164" s="1"/>
  <c r="B32" i="170"/>
  <c r="K32" i="170"/>
  <c r="J32" i="170"/>
  <c r="L32" i="170" l="1"/>
  <c r="B32" i="164"/>
  <c r="D32" i="164"/>
  <c r="I32" i="171"/>
  <c r="B32" i="171"/>
  <c r="J32" i="171"/>
  <c r="K32" i="171" l="1"/>
  <c r="C35" i="171"/>
  <c r="C35" i="164" s="1"/>
  <c r="J35" i="170"/>
  <c r="K35" i="170"/>
  <c r="B35" i="170"/>
  <c r="C34" i="171"/>
  <c r="C34" i="164" s="1"/>
  <c r="B34" i="170"/>
  <c r="K34" i="170"/>
  <c r="J34" i="170"/>
  <c r="C36" i="171"/>
  <c r="C36" i="164" s="1"/>
  <c r="B36" i="170"/>
  <c r="K36" i="170"/>
  <c r="J36" i="170"/>
  <c r="C40" i="171"/>
  <c r="C40" i="164" s="1"/>
  <c r="B40" i="170"/>
  <c r="K40" i="170"/>
  <c r="J40" i="170"/>
  <c r="C37" i="171"/>
  <c r="C37" i="164" s="1"/>
  <c r="J37" i="170"/>
  <c r="B37" i="170"/>
  <c r="K37" i="170"/>
  <c r="C39" i="171"/>
  <c r="C39" i="164" s="1"/>
  <c r="J39" i="170"/>
  <c r="K39" i="170"/>
  <c r="B39" i="170"/>
  <c r="C38" i="171"/>
  <c r="C38" i="164" s="1"/>
  <c r="B38" i="170"/>
  <c r="K38" i="170"/>
  <c r="J38" i="170"/>
  <c r="L34" i="170" l="1"/>
  <c r="L39" i="170"/>
  <c r="L40" i="170"/>
  <c r="L38" i="170"/>
  <c r="L37" i="170"/>
  <c r="L36" i="170"/>
  <c r="L35" i="170"/>
  <c r="B40" i="164"/>
  <c r="D40" i="164"/>
  <c r="D38" i="164"/>
  <c r="B38" i="164"/>
  <c r="B36" i="164"/>
  <c r="D36" i="164"/>
  <c r="D39" i="164"/>
  <c r="B39" i="164"/>
  <c r="D34" i="164"/>
  <c r="B34" i="164"/>
  <c r="D37" i="164"/>
  <c r="B37" i="164"/>
  <c r="D35" i="164"/>
  <c r="B35" i="164"/>
  <c r="C33" i="171"/>
  <c r="C33" i="164" s="1"/>
  <c r="J33" i="170"/>
  <c r="K33" i="170"/>
  <c r="B33" i="170"/>
  <c r="J38" i="171"/>
  <c r="I38" i="171"/>
  <c r="B38" i="171"/>
  <c r="I36" i="171"/>
  <c r="B36" i="171"/>
  <c r="J36" i="171"/>
  <c r="J39" i="171"/>
  <c r="I39" i="171"/>
  <c r="B39" i="171"/>
  <c r="J34" i="171"/>
  <c r="B34" i="171"/>
  <c r="I34" i="171"/>
  <c r="I40" i="171"/>
  <c r="B40" i="171"/>
  <c r="J40" i="171"/>
  <c r="B37" i="171"/>
  <c r="J37" i="171"/>
  <c r="I37" i="171"/>
  <c r="J35" i="171"/>
  <c r="I35" i="171"/>
  <c r="B35" i="171"/>
  <c r="K34" i="171" l="1"/>
  <c r="K40" i="171"/>
  <c r="K39" i="171"/>
  <c r="K38" i="171"/>
  <c r="K37" i="171"/>
  <c r="K36" i="171"/>
  <c r="K35" i="171"/>
  <c r="L33" i="170"/>
  <c r="D33" i="164"/>
  <c r="B33" i="164"/>
  <c r="B33" i="171"/>
  <c r="J33" i="171"/>
  <c r="I33" i="171"/>
  <c r="K33" i="171" l="1"/>
  <c r="C31" i="171" l="1"/>
  <c r="C31" i="164" s="1"/>
  <c r="J31" i="170"/>
  <c r="K31" i="170"/>
  <c r="B31" i="170"/>
  <c r="L31" i="170" l="1"/>
  <c r="B31" i="164"/>
  <c r="D31" i="164"/>
  <c r="D131" i="164" s="1"/>
  <c r="J31" i="171"/>
  <c r="I31" i="171"/>
  <c r="B31" i="171"/>
  <c r="M84" i="170" l="1"/>
  <c r="H84" i="170" s="1"/>
  <c r="D84" i="171" s="1"/>
  <c r="F84" i="171" s="1"/>
  <c r="M80" i="170"/>
  <c r="H80" i="170" s="1"/>
  <c r="D80" i="171" s="1"/>
  <c r="F80" i="171" s="1"/>
  <c r="M78" i="170"/>
  <c r="H78" i="170" s="1"/>
  <c r="D78" i="171" s="1"/>
  <c r="F78" i="171" s="1"/>
  <c r="M62" i="170"/>
  <c r="H62" i="170" s="1"/>
  <c r="D62" i="171" s="1"/>
  <c r="F62" i="171" s="1"/>
  <c r="M66" i="170"/>
  <c r="H66" i="170" s="1"/>
  <c r="D66" i="171" s="1"/>
  <c r="M47" i="170"/>
  <c r="H47" i="170" s="1"/>
  <c r="D47" i="171" s="1"/>
  <c r="M44" i="170"/>
  <c r="H44" i="170" s="1"/>
  <c r="D44" i="171" s="1"/>
  <c r="F44" i="171" s="1"/>
  <c r="M92" i="170"/>
  <c r="H92" i="170" s="1"/>
  <c r="D92" i="171" s="1"/>
  <c r="F92" i="171" s="1"/>
  <c r="K31" i="171"/>
  <c r="F66" i="171" l="1"/>
  <c r="F47" i="171"/>
  <c r="L84" i="171" l="1"/>
  <c r="G84" i="171" s="1"/>
  <c r="L80" i="171"/>
  <c r="G80" i="171" s="1"/>
  <c r="L78" i="171"/>
  <c r="G78" i="171" s="1"/>
  <c r="L66" i="171"/>
  <c r="G66" i="171" s="1"/>
  <c r="L62" i="171"/>
  <c r="G62" i="171" s="1"/>
  <c r="L47" i="171"/>
  <c r="G47" i="171" s="1"/>
  <c r="L44" i="171"/>
  <c r="G44" i="171" s="1"/>
  <c r="L92" i="171"/>
  <c r="G92" i="171" s="1"/>
  <c r="G92" i="164" s="1"/>
  <c r="S84" i="165" l="1"/>
  <c r="S84" i="166" s="1"/>
  <c r="G84" i="164"/>
  <c r="S80" i="165"/>
  <c r="S80" i="166" s="1"/>
  <c r="G80" i="164"/>
  <c r="G78" i="164"/>
  <c r="S78" i="165"/>
  <c r="S78" i="166" s="1"/>
  <c r="G66" i="164"/>
  <c r="S66" i="165"/>
  <c r="S66" i="166" s="1"/>
  <c r="G62" i="164"/>
  <c r="S62" i="165"/>
  <c r="S62" i="166" s="1"/>
  <c r="G47" i="164"/>
  <c r="S47" i="165"/>
  <c r="S47" i="166" s="1"/>
  <c r="S44" i="165"/>
  <c r="S44" i="166" s="1"/>
  <c r="G44" i="164"/>
  <c r="P44" i="165" l="1"/>
  <c r="P44" i="166" s="1"/>
  <c r="P78" i="165"/>
  <c r="P78" i="166" s="1"/>
  <c r="P47" i="165"/>
  <c r="P47" i="166" s="1"/>
  <c r="P62" i="165"/>
  <c r="P62" i="166" s="1"/>
  <c r="P66" i="165"/>
  <c r="P66" i="166" s="1"/>
  <c r="P80" i="165"/>
  <c r="P80" i="166" s="1"/>
  <c r="P84" i="165"/>
  <c r="P84" i="166" s="1"/>
  <c r="H84" i="164"/>
  <c r="I84" i="164"/>
  <c r="I80" i="164"/>
  <c r="H80" i="164"/>
  <c r="H78" i="164"/>
  <c r="I78" i="164"/>
  <c r="H66" i="164"/>
  <c r="I66" i="164"/>
  <c r="H62" i="164"/>
  <c r="I62" i="164"/>
  <c r="H47" i="164"/>
  <c r="I47" i="164"/>
  <c r="I44" i="164"/>
  <c r="H44" i="164"/>
  <c r="J84" i="164" l="1"/>
  <c r="J80" i="164"/>
  <c r="J78" i="164"/>
  <c r="L78" i="164" s="1"/>
  <c r="J66" i="164"/>
  <c r="J62" i="164"/>
  <c r="J47" i="164"/>
  <c r="J44" i="164"/>
  <c r="L84" i="164" l="1"/>
  <c r="K84" i="164"/>
  <c r="L80" i="164"/>
  <c r="K80" i="164"/>
  <c r="K78" i="164"/>
  <c r="L66" i="164"/>
  <c r="K66" i="164"/>
  <c r="L62" i="164"/>
  <c r="K62" i="164"/>
  <c r="K47" i="164"/>
  <c r="L47" i="164"/>
  <c r="L44" i="164"/>
  <c r="K44" i="164"/>
  <c r="M84" i="164" l="1"/>
  <c r="M80" i="164"/>
  <c r="M78" i="164"/>
  <c r="O78" i="164" s="1"/>
  <c r="M66" i="164"/>
  <c r="M62" i="164"/>
  <c r="M44" i="164"/>
  <c r="O44" i="164" s="1"/>
  <c r="M47" i="164"/>
  <c r="O84" i="164" l="1"/>
  <c r="N84" i="164"/>
  <c r="N80" i="164"/>
  <c r="O80" i="164"/>
  <c r="N78" i="164"/>
  <c r="O66" i="164"/>
  <c r="N66" i="164"/>
  <c r="O62" i="164"/>
  <c r="N62" i="164"/>
  <c r="N44" i="164"/>
  <c r="O47" i="164"/>
  <c r="N47" i="164"/>
  <c r="P84" i="164" l="1"/>
  <c r="P80" i="164"/>
  <c r="P78" i="164"/>
  <c r="R78" i="164" s="1"/>
  <c r="P66" i="164"/>
  <c r="P62" i="164"/>
  <c r="P44" i="164"/>
  <c r="Q44" i="164" s="1"/>
  <c r="P47" i="164"/>
  <c r="R47" i="164" s="1"/>
  <c r="R44" i="164" l="1"/>
  <c r="Q84" i="164"/>
  <c r="R84" i="164"/>
  <c r="R80" i="164"/>
  <c r="Q80" i="164"/>
  <c r="Q78" i="164"/>
  <c r="R66" i="164"/>
  <c r="Q66" i="164"/>
  <c r="Q62" i="164"/>
  <c r="R62" i="164"/>
  <c r="Q47" i="164"/>
  <c r="S84" i="164" l="1"/>
  <c r="S80" i="164"/>
  <c r="S78" i="164"/>
  <c r="U78" i="164" s="1"/>
  <c r="S66" i="164"/>
  <c r="S62" i="164"/>
  <c r="S47" i="164"/>
  <c r="S44" i="164"/>
  <c r="T84" i="164" l="1"/>
  <c r="U84" i="164"/>
  <c r="T80" i="164"/>
  <c r="U80" i="164"/>
  <c r="T78" i="164"/>
  <c r="U66" i="164"/>
  <c r="T66" i="164"/>
  <c r="U62" i="164"/>
  <c r="T62" i="164"/>
  <c r="U47" i="164"/>
  <c r="T47" i="164"/>
  <c r="T44" i="164"/>
  <c r="U44" i="164"/>
  <c r="V84" i="164" l="1"/>
  <c r="W84" i="164" s="1"/>
  <c r="V80" i="164"/>
  <c r="W80" i="164" s="1"/>
  <c r="V78" i="164"/>
  <c r="W78" i="164" s="1"/>
  <c r="T78" i="165" s="1"/>
  <c r="T78" i="166" s="1"/>
  <c r="V66" i="164"/>
  <c r="W66" i="164" s="1"/>
  <c r="V62" i="164"/>
  <c r="W62" i="164" s="1"/>
  <c r="V44" i="164"/>
  <c r="W44" i="164" s="1"/>
  <c r="T44" i="165" s="1"/>
  <c r="T44" i="166" s="1"/>
  <c r="V47" i="164"/>
  <c r="W47" i="164" s="1"/>
  <c r="T47" i="165" s="1"/>
  <c r="T47" i="166" s="1"/>
  <c r="T84" i="165" l="1"/>
  <c r="T84" i="166" s="1"/>
  <c r="X84" i="164"/>
  <c r="T80" i="165"/>
  <c r="T80" i="166" s="1"/>
  <c r="X80" i="164"/>
  <c r="X78" i="164"/>
  <c r="AA78" i="166"/>
  <c r="X78" i="166"/>
  <c r="Z78" i="166" s="1"/>
  <c r="T66" i="165"/>
  <c r="T66" i="166" s="1"/>
  <c r="X66" i="164"/>
  <c r="T62" i="165"/>
  <c r="T62" i="166" s="1"/>
  <c r="X62" i="164"/>
  <c r="AA47" i="166"/>
  <c r="X47" i="166"/>
  <c r="Z47" i="166" s="1"/>
  <c r="X44" i="164"/>
  <c r="X47" i="164"/>
  <c r="X44" i="166"/>
  <c r="Z44" i="166" s="1"/>
  <c r="AA44" i="166"/>
  <c r="AA84" i="166" l="1"/>
  <c r="X84" i="166"/>
  <c r="Z84" i="166" s="1"/>
  <c r="AA80" i="166"/>
  <c r="X80" i="166"/>
  <c r="Z80" i="166" s="1"/>
  <c r="X66" i="166"/>
  <c r="Z66" i="166" s="1"/>
  <c r="AA66" i="166"/>
  <c r="AA62" i="166"/>
  <c r="X62" i="166"/>
  <c r="Z62" i="166" s="1"/>
  <c r="AP42" i="156" l="1"/>
  <c r="F23" i="15"/>
  <c r="F17" i="15"/>
  <c r="F21" i="15"/>
  <c r="F25" i="15"/>
  <c r="F27" i="15"/>
  <c r="F32" i="15"/>
  <c r="F34" i="15"/>
  <c r="F38" i="15"/>
  <c r="F40" i="15"/>
  <c r="F63" i="15"/>
  <c r="AD51" i="156"/>
  <c r="AE51" i="156"/>
  <c r="AF51" i="156"/>
  <c r="F22" i="156"/>
  <c r="F34" i="156"/>
  <c r="F63" i="156"/>
  <c r="F37" i="156"/>
  <c r="F76" i="156"/>
  <c r="F17" i="156"/>
  <c r="F21" i="156"/>
  <c r="F18" i="156"/>
  <c r="F32" i="156"/>
  <c r="F27" i="156"/>
  <c r="F23" i="156"/>
  <c r="F40" i="156"/>
  <c r="F61" i="156"/>
  <c r="F25" i="156"/>
  <c r="F68" i="156"/>
  <c r="F26" i="156"/>
  <c r="F38" i="156"/>
  <c r="F31" i="156"/>
  <c r="F62" i="156"/>
  <c r="F19" i="156"/>
  <c r="F39" i="156"/>
  <c r="F43" i="156"/>
  <c r="G45" i="15" l="1"/>
  <c r="G54" i="15"/>
  <c r="G53" i="15"/>
  <c r="G44" i="15"/>
  <c r="G41" i="15"/>
  <c r="G25" i="15"/>
  <c r="G23" i="15"/>
  <c r="G34" i="15"/>
  <c r="G28" i="15"/>
  <c r="G38" i="15"/>
  <c r="G24" i="15"/>
  <c r="G68" i="15"/>
  <c r="G17" i="15"/>
  <c r="G40" i="15"/>
  <c r="G19" i="15"/>
  <c r="G22" i="15"/>
  <c r="G43" i="15"/>
  <c r="G18" i="15"/>
  <c r="G32" i="15"/>
  <c r="G21" i="15"/>
  <c r="G39" i="15"/>
  <c r="G31" i="15"/>
  <c r="G62" i="15"/>
  <c r="G61" i="15"/>
  <c r="G76" i="15"/>
  <c r="G26" i="15"/>
  <c r="G27" i="15"/>
  <c r="G37" i="15"/>
  <c r="G63" i="15"/>
  <c r="N61" i="177" l="1"/>
  <c r="N21" i="177"/>
  <c r="L79" i="177"/>
  <c r="N22" i="177" l="1"/>
  <c r="N62" i="177"/>
  <c r="N18" i="177"/>
  <c r="N32" i="177"/>
  <c r="N77" i="177"/>
  <c r="N27" i="177"/>
  <c r="N24" i="177"/>
  <c r="N63" i="177"/>
  <c r="N40" i="177"/>
  <c r="N19" i="177"/>
  <c r="N31" i="177"/>
  <c r="N37" i="177"/>
  <c r="N23" i="177"/>
  <c r="N39" i="177"/>
  <c r="N25" i="177"/>
  <c r="N76" i="177"/>
  <c r="N38" i="177"/>
  <c r="N28" i="177"/>
  <c r="N43" i="177"/>
  <c r="N34" i="177"/>
  <c r="N26" i="177"/>
  <c r="N68" i="177"/>
  <c r="N17" i="177"/>
  <c r="M79" i="177"/>
  <c r="N79" i="177" l="1"/>
  <c r="H33" i="174"/>
  <c r="H93" i="174" s="1"/>
  <c r="AI28" i="174"/>
  <c r="Y34" i="174" l="1"/>
  <c r="Z34" i="174" s="1"/>
  <c r="E20" i="14" s="1"/>
  <c r="Y61" i="174"/>
  <c r="Z61" i="174" s="1"/>
  <c r="E47" i="14" s="1"/>
  <c r="G47" i="14" s="1"/>
  <c r="Y59" i="174"/>
  <c r="Y68" i="174"/>
  <c r="Y67" i="174"/>
  <c r="Z58" i="174"/>
  <c r="E44" i="14" s="1"/>
  <c r="Y58" i="174"/>
  <c r="Z55" i="174"/>
  <c r="E41" i="14" s="1"/>
  <c r="Y55" i="174"/>
  <c r="Y41" i="174"/>
  <c r="Y31" i="174"/>
  <c r="Y32" i="174"/>
  <c r="Y33" i="174"/>
  <c r="Y82" i="174"/>
  <c r="Y91" i="174"/>
  <c r="Y75" i="174"/>
  <c r="Y52" i="174"/>
  <c r="Y36" i="174"/>
  <c r="Y45" i="174"/>
  <c r="Y76" i="174"/>
  <c r="Y57" i="174"/>
  <c r="Y77" i="174"/>
  <c r="Y46" i="174"/>
  <c r="Y53" i="174"/>
  <c r="Y48" i="174"/>
  <c r="Y40" i="174"/>
  <c r="Y54" i="174"/>
  <c r="Y38" i="174"/>
  <c r="Y42" i="174"/>
  <c r="Y39" i="174"/>
  <c r="Y90" i="174"/>
  <c r="Y37" i="174"/>
  <c r="Y51" i="174"/>
  <c r="Y35" i="174"/>
  <c r="G20" i="14" l="1"/>
  <c r="E34" i="161"/>
  <c r="D20" i="14"/>
  <c r="E61" i="161"/>
  <c r="D47" i="14"/>
  <c r="Z68" i="174"/>
  <c r="E54" i="14" s="1"/>
  <c r="Z67" i="174"/>
  <c r="E53" i="14" s="1"/>
  <c r="Z59" i="174"/>
  <c r="E45" i="14" s="1"/>
  <c r="Z41" i="174"/>
  <c r="E27" i="14" s="1"/>
  <c r="Z33" i="174"/>
  <c r="E19" i="14" s="1"/>
  <c r="Z32" i="174"/>
  <c r="E18" i="14" s="1"/>
  <c r="Z31" i="174"/>
  <c r="E17" i="14" s="1"/>
  <c r="Z91" i="174"/>
  <c r="E77" i="14" s="1"/>
  <c r="Z46" i="174"/>
  <c r="E32" i="14" s="1"/>
  <c r="Z53" i="174"/>
  <c r="E39" i="14" s="1"/>
  <c r="Z37" i="174"/>
  <c r="E23" i="14" s="1"/>
  <c r="Z52" i="174"/>
  <c r="E38" i="14" s="1"/>
  <c r="Z48" i="174"/>
  <c r="E34" i="14" s="1"/>
  <c r="Z54" i="174"/>
  <c r="E40" i="14" s="1"/>
  <c r="Z38" i="174"/>
  <c r="E24" i="14" s="1"/>
  <c r="Z77" i="174"/>
  <c r="E63" i="14" s="1"/>
  <c r="Z76" i="174"/>
  <c r="E62" i="14" s="1"/>
  <c r="Z42" i="174"/>
  <c r="E28" i="14" s="1"/>
  <c r="Z36" i="174"/>
  <c r="E22" i="14" s="1"/>
  <c r="Z39" i="174"/>
  <c r="E25" i="14" s="1"/>
  <c r="Z57" i="174"/>
  <c r="E43" i="14" s="1"/>
  <c r="Z51" i="174"/>
  <c r="E37" i="14" s="1"/>
  <c r="Z45" i="174"/>
  <c r="E31" i="14" s="1"/>
  <c r="Y93" i="174"/>
  <c r="I96" i="174" s="1"/>
  <c r="Z90" i="174"/>
  <c r="E76" i="14" s="1"/>
  <c r="Z40" i="174"/>
  <c r="E26" i="14" s="1"/>
  <c r="Z75" i="174"/>
  <c r="E61" i="14" s="1"/>
  <c r="Z82" i="174"/>
  <c r="E68" i="14" s="1"/>
  <c r="Z35" i="174"/>
  <c r="E21" i="14" s="1"/>
  <c r="G34" i="161" l="1"/>
  <c r="F34" i="161"/>
  <c r="F61" i="161"/>
  <c r="G61" i="161"/>
  <c r="D44" i="15"/>
  <c r="D44" i="156"/>
  <c r="D41" i="156"/>
  <c r="H41" i="156" s="1"/>
  <c r="D41" i="15"/>
  <c r="D22" i="15"/>
  <c r="D25" i="156"/>
  <c r="D24" i="156"/>
  <c r="D63" i="15"/>
  <c r="D43" i="15"/>
  <c r="D43" i="156"/>
  <c r="Z93" i="174"/>
  <c r="Z96" i="174" s="1"/>
  <c r="D53" i="156" l="1"/>
  <c r="H53" i="156" s="1"/>
  <c r="D45" i="156"/>
  <c r="H45" i="156" s="1"/>
  <c r="I45" i="156" s="1"/>
  <c r="D45" i="15"/>
  <c r="D53" i="15"/>
  <c r="D54" i="156"/>
  <c r="H54" i="156" s="1"/>
  <c r="D54" i="15"/>
  <c r="P44" i="156"/>
  <c r="H44" i="156"/>
  <c r="I41" i="156"/>
  <c r="D25" i="15"/>
  <c r="D22" i="156"/>
  <c r="H22" i="156" s="1"/>
  <c r="D63" i="156"/>
  <c r="H63" i="156" s="1"/>
  <c r="D26" i="156"/>
  <c r="H26" i="156" s="1"/>
  <c r="D26" i="15"/>
  <c r="D24" i="15"/>
  <c r="D27" i="15"/>
  <c r="D27" i="156"/>
  <c r="D23" i="15"/>
  <c r="D23" i="156"/>
  <c r="D40" i="15"/>
  <c r="D40" i="156"/>
  <c r="D34" i="15"/>
  <c r="D34" i="156"/>
  <c r="D39" i="15"/>
  <c r="D39" i="156"/>
  <c r="D62" i="15"/>
  <c r="D62" i="156"/>
  <c r="D31" i="15"/>
  <c r="D31" i="156"/>
  <c r="D38" i="15"/>
  <c r="D38" i="156"/>
  <c r="D37" i="15"/>
  <c r="D37" i="156"/>
  <c r="D19" i="15"/>
  <c r="D19" i="156"/>
  <c r="D76" i="15"/>
  <c r="D76" i="156"/>
  <c r="D28" i="15"/>
  <c r="D28" i="156"/>
  <c r="D68" i="15"/>
  <c r="D68" i="156"/>
  <c r="H25" i="156"/>
  <c r="D61" i="156"/>
  <c r="D61" i="15"/>
  <c r="H43" i="156"/>
  <c r="D21" i="15"/>
  <c r="D21" i="156"/>
  <c r="D18" i="15"/>
  <c r="D18" i="156"/>
  <c r="D32" i="15"/>
  <c r="D32" i="156"/>
  <c r="D17" i="15"/>
  <c r="D17" i="156"/>
  <c r="H24" i="156"/>
  <c r="I54" i="156" l="1"/>
  <c r="I53" i="156"/>
  <c r="I44" i="156"/>
  <c r="I25" i="156"/>
  <c r="H28" i="156"/>
  <c r="H21" i="156"/>
  <c r="I43" i="156"/>
  <c r="H61" i="156"/>
  <c r="H68" i="156"/>
  <c r="I63" i="156"/>
  <c r="H76" i="156"/>
  <c r="H34" i="156"/>
  <c r="I24" i="156"/>
  <c r="H39" i="156"/>
  <c r="H32" i="156"/>
  <c r="I22" i="156"/>
  <c r="H19" i="156"/>
  <c r="H37" i="156"/>
  <c r="H31" i="156"/>
  <c r="H62" i="156"/>
  <c r="H27" i="156"/>
  <c r="I26" i="156"/>
  <c r="H17" i="156"/>
  <c r="H18" i="156"/>
  <c r="H38" i="156"/>
  <c r="H40" i="156"/>
  <c r="H23" i="156"/>
  <c r="I23" i="156" l="1"/>
  <c r="I38" i="156"/>
  <c r="I17" i="156"/>
  <c r="I62" i="156"/>
  <c r="I37" i="156"/>
  <c r="I19" i="156"/>
  <c r="I34" i="156"/>
  <c r="I76" i="156"/>
  <c r="I68" i="156"/>
  <c r="I61" i="156"/>
  <c r="I21" i="156"/>
  <c r="I39" i="156"/>
  <c r="I31" i="156"/>
  <c r="I40" i="156"/>
  <c r="I18" i="156"/>
  <c r="I27" i="156"/>
  <c r="I32" i="156"/>
  <c r="I28" i="156"/>
  <c r="J45" i="156" l="1"/>
  <c r="K45" i="156" s="1"/>
  <c r="L45" i="156" s="1"/>
  <c r="M45" i="156" s="1"/>
  <c r="J54" i="156"/>
  <c r="K54" i="156" s="1"/>
  <c r="L54" i="156" s="1"/>
  <c r="J53" i="156"/>
  <c r="K53" i="156" s="1"/>
  <c r="L53" i="156" s="1"/>
  <c r="J44" i="156"/>
  <c r="K44" i="156" s="1"/>
  <c r="L44" i="156" s="1"/>
  <c r="M44" i="156" s="1"/>
  <c r="J41" i="156"/>
  <c r="K41" i="156" s="1"/>
  <c r="L41" i="156" s="1"/>
  <c r="M41" i="156" s="1"/>
  <c r="J76" i="156"/>
  <c r="K76" i="156" s="1"/>
  <c r="L76" i="156" s="1"/>
  <c r="M76" i="156" s="1"/>
  <c r="J37" i="156"/>
  <c r="K37" i="156" s="1"/>
  <c r="L37" i="156" s="1"/>
  <c r="M37" i="156" s="1"/>
  <c r="J34" i="156"/>
  <c r="K34" i="156" s="1"/>
  <c r="L34" i="156" s="1"/>
  <c r="M34" i="156" s="1"/>
  <c r="J26" i="156"/>
  <c r="K26" i="156" s="1"/>
  <c r="L26" i="156" s="1"/>
  <c r="J38" i="156"/>
  <c r="K38" i="156" s="1"/>
  <c r="L38" i="156" s="1"/>
  <c r="M38" i="156" s="1"/>
  <c r="J61" i="156"/>
  <c r="K61" i="156" s="1"/>
  <c r="L61" i="156" s="1"/>
  <c r="M61" i="156" s="1"/>
  <c r="J18" i="156"/>
  <c r="K18" i="156" s="1"/>
  <c r="L18" i="156" s="1"/>
  <c r="M18" i="156" s="1"/>
  <c r="J32" i="156"/>
  <c r="K32" i="156" s="1"/>
  <c r="L32" i="156" s="1"/>
  <c r="M32" i="156" s="1"/>
  <c r="J40" i="156"/>
  <c r="K40" i="156" s="1"/>
  <c r="L40" i="156" s="1"/>
  <c r="M40" i="156" s="1"/>
  <c r="J68" i="156"/>
  <c r="K68" i="156" s="1"/>
  <c r="L68" i="156" s="1"/>
  <c r="M68" i="156" s="1"/>
  <c r="J62" i="156"/>
  <c r="K62" i="156" s="1"/>
  <c r="L62" i="156" s="1"/>
  <c r="M62" i="156" s="1"/>
  <c r="J27" i="156"/>
  <c r="K27" i="156" s="1"/>
  <c r="L27" i="156" s="1"/>
  <c r="M27" i="156" s="1"/>
  <c r="J28" i="156"/>
  <c r="K28" i="156" s="1"/>
  <c r="L28" i="156" s="1"/>
  <c r="M28" i="156" s="1"/>
  <c r="J23" i="156"/>
  <c r="K23" i="156" s="1"/>
  <c r="L23" i="156" s="1"/>
  <c r="M23" i="156" s="1"/>
  <c r="J43" i="156"/>
  <c r="K43" i="156" s="1"/>
  <c r="L43" i="156" s="1"/>
  <c r="J31" i="156"/>
  <c r="K31" i="156" s="1"/>
  <c r="L31" i="156" s="1"/>
  <c r="M31" i="156" s="1"/>
  <c r="J39" i="156"/>
  <c r="K39" i="156" s="1"/>
  <c r="L39" i="156" s="1"/>
  <c r="M39" i="156" s="1"/>
  <c r="J21" i="156"/>
  <c r="K21" i="156" s="1"/>
  <c r="L21" i="156" s="1"/>
  <c r="J24" i="156"/>
  <c r="J17" i="156"/>
  <c r="K17" i="156" s="1"/>
  <c r="L17" i="156" s="1"/>
  <c r="J25" i="156"/>
  <c r="J63" i="156"/>
  <c r="J22" i="156"/>
  <c r="J19" i="156"/>
  <c r="M53" i="156" l="1"/>
  <c r="M54" i="156"/>
  <c r="G76" i="14"/>
  <c r="E51" i="161"/>
  <c r="E52" i="161"/>
  <c r="M17" i="156"/>
  <c r="M26" i="156"/>
  <c r="K22" i="156"/>
  <c r="L22" i="156" s="1"/>
  <c r="M22" i="156" s="1"/>
  <c r="K24" i="156"/>
  <c r="L24" i="156" s="1"/>
  <c r="M24" i="156" s="1"/>
  <c r="M43" i="156"/>
  <c r="K63" i="156"/>
  <c r="L63" i="156" s="1"/>
  <c r="M63" i="156" s="1"/>
  <c r="M21" i="156"/>
  <c r="K25" i="156"/>
  <c r="L25" i="156" s="1"/>
  <c r="M25" i="156" s="1"/>
  <c r="K19" i="156"/>
  <c r="L19" i="156" s="1"/>
  <c r="M19" i="156" s="1"/>
  <c r="E68" i="161" l="1"/>
  <c r="N54" i="156"/>
  <c r="N45" i="156"/>
  <c r="O45" i="156" s="1"/>
  <c r="P45" i="156" s="1"/>
  <c r="N53" i="156"/>
  <c r="O53" i="156" s="1"/>
  <c r="P53" i="156" s="1"/>
  <c r="D19" i="14"/>
  <c r="W51" i="166"/>
  <c r="Y51" i="166" s="1"/>
  <c r="G23" i="14"/>
  <c r="D26" i="14"/>
  <c r="D34" i="14"/>
  <c r="G37" i="14"/>
  <c r="D37" i="14"/>
  <c r="W90" i="166"/>
  <c r="Y90" i="166" s="1"/>
  <c r="E91" i="161"/>
  <c r="E90" i="161"/>
  <c r="G90" i="161" s="1"/>
  <c r="D76" i="14"/>
  <c r="E75" i="161"/>
  <c r="G75" i="161" s="1"/>
  <c r="D61" i="14"/>
  <c r="G61" i="14"/>
  <c r="G24" i="14"/>
  <c r="D27" i="14"/>
  <c r="E35" i="161"/>
  <c r="G35" i="161" s="1"/>
  <c r="D21" i="14"/>
  <c r="G21" i="14"/>
  <c r="G25" i="14"/>
  <c r="W53" i="166"/>
  <c r="Y53" i="166" s="1"/>
  <c r="N19" i="156"/>
  <c r="O19" i="156" s="1"/>
  <c r="P19" i="156" s="1"/>
  <c r="N44" i="156"/>
  <c r="O44" i="156" s="1"/>
  <c r="N41" i="156"/>
  <c r="O41" i="156" s="1"/>
  <c r="P41" i="156" s="1"/>
  <c r="Q41" i="156" s="1"/>
  <c r="D38" i="14"/>
  <c r="G38" i="14"/>
  <c r="W52" i="166"/>
  <c r="Y52" i="166" s="1"/>
  <c r="G63" i="14"/>
  <c r="D63" i="14"/>
  <c r="E77" i="161"/>
  <c r="D43" i="14"/>
  <c r="G43" i="14"/>
  <c r="E57" i="161"/>
  <c r="N26" i="156"/>
  <c r="O26" i="156" s="1"/>
  <c r="P26" i="156" s="1"/>
  <c r="Q26" i="156" s="1"/>
  <c r="N28" i="156"/>
  <c r="O28" i="156" s="1"/>
  <c r="P28" i="156" s="1"/>
  <c r="Q28" i="156" s="1"/>
  <c r="N24" i="156"/>
  <c r="O24" i="156" s="1"/>
  <c r="P24" i="156" s="1"/>
  <c r="Q24" i="156" s="1"/>
  <c r="N38" i="156"/>
  <c r="O38" i="156" s="1"/>
  <c r="P38" i="156" s="1"/>
  <c r="Q38" i="156" s="1"/>
  <c r="N37" i="156"/>
  <c r="O37" i="156" s="1"/>
  <c r="P37" i="156" s="1"/>
  <c r="Q37" i="156" s="1"/>
  <c r="N22" i="156"/>
  <c r="O22" i="156" s="1"/>
  <c r="P22" i="156" s="1"/>
  <c r="N62" i="156"/>
  <c r="O62" i="156" s="1"/>
  <c r="P62" i="156" s="1"/>
  <c r="Q62" i="156" s="1"/>
  <c r="N17" i="156"/>
  <c r="O17" i="156" s="1"/>
  <c r="P17" i="156" s="1"/>
  <c r="Q17" i="156" s="1"/>
  <c r="N63" i="156"/>
  <c r="O63" i="156" s="1"/>
  <c r="P63" i="156" s="1"/>
  <c r="N18" i="156"/>
  <c r="O18" i="156" s="1"/>
  <c r="P18" i="156" s="1"/>
  <c r="Q18" i="156" s="1"/>
  <c r="N27" i="156"/>
  <c r="O27" i="156" s="1"/>
  <c r="P27" i="156" s="1"/>
  <c r="Q27" i="156" s="1"/>
  <c r="N76" i="156"/>
  <c r="O76" i="156" s="1"/>
  <c r="P76" i="156" s="1"/>
  <c r="Q76" i="156" s="1"/>
  <c r="N31" i="156"/>
  <c r="O31" i="156" s="1"/>
  <c r="P31" i="156" s="1"/>
  <c r="Q31" i="156" s="1"/>
  <c r="N25" i="156"/>
  <c r="O25" i="156" s="1"/>
  <c r="P25" i="156" s="1"/>
  <c r="N43" i="156"/>
  <c r="O43" i="156" s="1"/>
  <c r="P43" i="156" s="1"/>
  <c r="Q43" i="156" s="1"/>
  <c r="N68" i="156"/>
  <c r="O68" i="156" s="1"/>
  <c r="P68" i="156" s="1"/>
  <c r="Q68" i="156" s="1"/>
  <c r="N61" i="156"/>
  <c r="O61" i="156" s="1"/>
  <c r="P61" i="156" s="1"/>
  <c r="Q61" i="156" s="1"/>
  <c r="N32" i="156"/>
  <c r="O32" i="156" s="1"/>
  <c r="P32" i="156" s="1"/>
  <c r="Q32" i="156" s="1"/>
  <c r="N40" i="156"/>
  <c r="O40" i="156" s="1"/>
  <c r="P40" i="156" s="1"/>
  <c r="Q40" i="156" s="1"/>
  <c r="N39" i="156"/>
  <c r="O39" i="156" s="1"/>
  <c r="P39" i="156" s="1"/>
  <c r="Q39" i="156" s="1"/>
  <c r="N21" i="156"/>
  <c r="O21" i="156" s="1"/>
  <c r="P21" i="156" s="1"/>
  <c r="Q21" i="156" s="1"/>
  <c r="N34" i="156"/>
  <c r="O34" i="156" s="1"/>
  <c r="P34" i="156" s="1"/>
  <c r="Q34" i="156" s="1"/>
  <c r="N23" i="156"/>
  <c r="O23" i="156" s="1"/>
  <c r="P23" i="156" s="1"/>
  <c r="Q23" i="156" s="1"/>
  <c r="G52" i="161"/>
  <c r="F52" i="161"/>
  <c r="W75" i="166"/>
  <c r="Y75" i="166" s="1"/>
  <c r="G51" i="161"/>
  <c r="F51" i="161"/>
  <c r="W35" i="166"/>
  <c r="Y35" i="166" s="1"/>
  <c r="Q53" i="156" l="1"/>
  <c r="G22" i="14"/>
  <c r="D22" i="14"/>
  <c r="E36" i="161"/>
  <c r="W68" i="166"/>
  <c r="Y68" i="166" s="1"/>
  <c r="D54" i="14"/>
  <c r="E37" i="161"/>
  <c r="G37" i="161" s="1"/>
  <c r="O54" i="156"/>
  <c r="P54" i="156" s="1"/>
  <c r="R18" i="156" s="1"/>
  <c r="S18" i="156" s="1"/>
  <c r="T18" i="156" s="1"/>
  <c r="U18" i="156" s="1"/>
  <c r="G19" i="14"/>
  <c r="E59" i="161"/>
  <c r="D45" i="14"/>
  <c r="Q45" i="156"/>
  <c r="G68" i="161"/>
  <c r="F68" i="161"/>
  <c r="W33" i="166"/>
  <c r="Y33" i="166" s="1"/>
  <c r="E33" i="161"/>
  <c r="G33" i="161" s="1"/>
  <c r="W40" i="166"/>
  <c r="Y40" i="166" s="1"/>
  <c r="D53" i="14"/>
  <c r="E67" i="161"/>
  <c r="G26" i="14"/>
  <c r="D23" i="14"/>
  <c r="E40" i="161"/>
  <c r="F40" i="161" s="1"/>
  <c r="G34" i="14"/>
  <c r="F90" i="161"/>
  <c r="E48" i="161"/>
  <c r="G48" i="161" s="1"/>
  <c r="G77" i="14"/>
  <c r="W54" i="166"/>
  <c r="Y54" i="166" s="1"/>
  <c r="F75" i="161"/>
  <c r="D24" i="14"/>
  <c r="D77" i="14"/>
  <c r="W91" i="166"/>
  <c r="Y91" i="166" s="1"/>
  <c r="E38" i="161"/>
  <c r="G38" i="161" s="1"/>
  <c r="G27" i="14"/>
  <c r="F35" i="161"/>
  <c r="G39" i="14"/>
  <c r="E53" i="161"/>
  <c r="F53" i="161" s="1"/>
  <c r="D40" i="14"/>
  <c r="G40" i="14"/>
  <c r="D39" i="14"/>
  <c r="E41" i="161"/>
  <c r="E39" i="161"/>
  <c r="G39" i="161" s="1"/>
  <c r="W39" i="166"/>
  <c r="Y39" i="166" s="1"/>
  <c r="D25" i="14"/>
  <c r="E54" i="161"/>
  <c r="D41" i="14"/>
  <c r="E55" i="161"/>
  <c r="G32" i="14"/>
  <c r="D32" i="14"/>
  <c r="E46" i="161"/>
  <c r="G68" i="14"/>
  <c r="E82" i="161"/>
  <c r="D68" i="14"/>
  <c r="D28" i="14"/>
  <c r="E42" i="161"/>
  <c r="G28" i="14"/>
  <c r="E45" i="161"/>
  <c r="D31" i="14"/>
  <c r="G31" i="14"/>
  <c r="D18" i="14"/>
  <c r="E32" i="161"/>
  <c r="G18" i="14"/>
  <c r="D44" i="14"/>
  <c r="E58" i="161"/>
  <c r="G44" i="14"/>
  <c r="G62" i="14"/>
  <c r="D62" i="14"/>
  <c r="E76" i="161"/>
  <c r="Q44" i="156"/>
  <c r="R44" i="156" s="1"/>
  <c r="S44" i="156" s="1"/>
  <c r="T44" i="156" s="1"/>
  <c r="R41" i="156"/>
  <c r="S41" i="156" s="1"/>
  <c r="T41" i="156" s="1"/>
  <c r="G57" i="161"/>
  <c r="F57" i="161"/>
  <c r="F91" i="161"/>
  <c r="G91" i="161"/>
  <c r="G77" i="161"/>
  <c r="F77" i="161"/>
  <c r="W77" i="166"/>
  <c r="Y77" i="166" s="1"/>
  <c r="W57" i="166"/>
  <c r="Y57" i="166" s="1"/>
  <c r="Q63" i="156"/>
  <c r="Q19" i="156"/>
  <c r="Q25" i="156"/>
  <c r="Q22" i="156"/>
  <c r="R40" i="156" l="1"/>
  <c r="S40" i="156" s="1"/>
  <c r="T40" i="156" s="1"/>
  <c r="U40" i="156" s="1"/>
  <c r="R37" i="156"/>
  <c r="S37" i="156" s="1"/>
  <c r="T37" i="156" s="1"/>
  <c r="U37" i="156" s="1"/>
  <c r="R43" i="156"/>
  <c r="S43" i="156" s="1"/>
  <c r="T43" i="156" s="1"/>
  <c r="U43" i="156" s="1"/>
  <c r="R53" i="156"/>
  <c r="S53" i="156" s="1"/>
  <c r="T53" i="156" s="1"/>
  <c r="R24" i="156"/>
  <c r="S24" i="156" s="1"/>
  <c r="T24" i="156" s="1"/>
  <c r="U24" i="156" s="1"/>
  <c r="R17" i="156"/>
  <c r="S17" i="156" s="1"/>
  <c r="T17" i="156" s="1"/>
  <c r="U17" i="156" s="1"/>
  <c r="R19" i="156"/>
  <c r="S19" i="156" s="1"/>
  <c r="T19" i="156" s="1"/>
  <c r="U19" i="156" s="1"/>
  <c r="R34" i="156"/>
  <c r="S34" i="156" s="1"/>
  <c r="T34" i="156" s="1"/>
  <c r="U34" i="156" s="1"/>
  <c r="R25" i="156"/>
  <c r="S25" i="156" s="1"/>
  <c r="T25" i="156" s="1"/>
  <c r="U25" i="156" s="1"/>
  <c r="R26" i="156"/>
  <c r="S26" i="156" s="1"/>
  <c r="T26" i="156" s="1"/>
  <c r="U26" i="156" s="1"/>
  <c r="R76" i="156"/>
  <c r="S76" i="156" s="1"/>
  <c r="T76" i="156" s="1"/>
  <c r="U76" i="156" s="1"/>
  <c r="R31" i="156"/>
  <c r="S31" i="156" s="1"/>
  <c r="T31" i="156" s="1"/>
  <c r="U31" i="156" s="1"/>
  <c r="R22" i="156"/>
  <c r="S22" i="156" s="1"/>
  <c r="T22" i="156" s="1"/>
  <c r="U22" i="156" s="1"/>
  <c r="R62" i="156"/>
  <c r="S62" i="156" s="1"/>
  <c r="T62" i="156" s="1"/>
  <c r="U62" i="156" s="1"/>
  <c r="R21" i="156"/>
  <c r="S21" i="156" s="1"/>
  <c r="T21" i="156" s="1"/>
  <c r="U21" i="156" s="1"/>
  <c r="R39" i="156"/>
  <c r="S39" i="156" s="1"/>
  <c r="T39" i="156" s="1"/>
  <c r="U39" i="156" s="1"/>
  <c r="R28" i="156"/>
  <c r="S28" i="156" s="1"/>
  <c r="T28" i="156" s="1"/>
  <c r="U28" i="156" s="1"/>
  <c r="R38" i="156"/>
  <c r="S38" i="156" s="1"/>
  <c r="T38" i="156" s="1"/>
  <c r="U38" i="156" s="1"/>
  <c r="R27" i="156"/>
  <c r="S27" i="156" s="1"/>
  <c r="T27" i="156" s="1"/>
  <c r="U27" i="156" s="1"/>
  <c r="R63" i="156"/>
  <c r="S63" i="156" s="1"/>
  <c r="T63" i="156" s="1"/>
  <c r="U63" i="156" s="1"/>
  <c r="R23" i="156"/>
  <c r="S23" i="156" s="1"/>
  <c r="T23" i="156" s="1"/>
  <c r="U23" i="156" s="1"/>
  <c r="R32" i="156"/>
  <c r="S32" i="156" s="1"/>
  <c r="T32" i="156" s="1"/>
  <c r="U32" i="156" s="1"/>
  <c r="R61" i="156"/>
  <c r="S61" i="156" s="1"/>
  <c r="T61" i="156" s="1"/>
  <c r="U61" i="156" s="1"/>
  <c r="R68" i="156"/>
  <c r="S68" i="156" s="1"/>
  <c r="T68" i="156" s="1"/>
  <c r="U68" i="156" s="1"/>
  <c r="R45" i="156"/>
  <c r="S45" i="156" s="1"/>
  <c r="T45" i="156" s="1"/>
  <c r="U45" i="156" s="1"/>
  <c r="Q54" i="156"/>
  <c r="R54" i="156" s="1"/>
  <c r="S54" i="156" s="1"/>
  <c r="T54" i="156" s="1"/>
  <c r="G36" i="161"/>
  <c r="F36" i="161"/>
  <c r="W36" i="166"/>
  <c r="Y36" i="166" s="1"/>
  <c r="F37" i="161"/>
  <c r="W59" i="166"/>
  <c r="Y59" i="166" s="1"/>
  <c r="F33" i="161"/>
  <c r="G59" i="161"/>
  <c r="F59" i="161"/>
  <c r="G40" i="161"/>
  <c r="W37" i="166"/>
  <c r="Y37" i="166" s="1"/>
  <c r="W67" i="166"/>
  <c r="Y67" i="166" s="1"/>
  <c r="F67" i="161"/>
  <c r="G67" i="161"/>
  <c r="F48" i="161"/>
  <c r="W48" i="166"/>
  <c r="Y48" i="166" s="1"/>
  <c r="W38" i="166"/>
  <c r="Y38" i="166" s="1"/>
  <c r="F38" i="161"/>
  <c r="G53" i="161"/>
  <c r="F39" i="161"/>
  <c r="W41" i="166"/>
  <c r="Y41" i="166" s="1"/>
  <c r="F41" i="161"/>
  <c r="G41" i="161"/>
  <c r="G54" i="161"/>
  <c r="F54" i="161"/>
  <c r="W58" i="166"/>
  <c r="Y58" i="166" s="1"/>
  <c r="W82" i="166"/>
  <c r="Y82" i="166" s="1"/>
  <c r="F32" i="161"/>
  <c r="G32" i="161"/>
  <c r="W32" i="166"/>
  <c r="Y32" i="166" s="1"/>
  <c r="F82" i="161"/>
  <c r="G82" i="161"/>
  <c r="G76" i="161"/>
  <c r="F76" i="161"/>
  <c r="W46" i="166"/>
  <c r="Y46" i="166" s="1"/>
  <c r="W76" i="166"/>
  <c r="Y76" i="166" s="1"/>
  <c r="G46" i="161"/>
  <c r="F46" i="161"/>
  <c r="W45" i="166"/>
  <c r="Y45" i="166" s="1"/>
  <c r="G45" i="161"/>
  <c r="F45" i="161"/>
  <c r="W55" i="166"/>
  <c r="Y55" i="166" s="1"/>
  <c r="F58" i="161"/>
  <c r="G58" i="161"/>
  <c r="W42" i="166"/>
  <c r="Y42" i="166" s="1"/>
  <c r="F55" i="161"/>
  <c r="G55" i="161"/>
  <c r="G42" i="161"/>
  <c r="F42" i="161"/>
  <c r="U44" i="156"/>
  <c r="U41" i="156"/>
  <c r="V38" i="156" l="1"/>
  <c r="W38" i="156" s="1"/>
  <c r="X38" i="156" s="1"/>
  <c r="Y38" i="156" s="1"/>
  <c r="U54" i="156"/>
  <c r="V54" i="156" s="1"/>
  <c r="U53" i="156"/>
  <c r="V53" i="156" s="1"/>
  <c r="V22" i="156"/>
  <c r="W22" i="156" s="1"/>
  <c r="X22" i="156" s="1"/>
  <c r="Y22" i="156" s="1"/>
  <c r="V45" i="156"/>
  <c r="W45" i="156" s="1"/>
  <c r="X45" i="156" s="1"/>
  <c r="Y45" i="156" s="1"/>
  <c r="V31" i="156"/>
  <c r="W31" i="156" s="1"/>
  <c r="X31" i="156" s="1"/>
  <c r="Y31" i="156" s="1"/>
  <c r="V25" i="156"/>
  <c r="W25" i="156" s="1"/>
  <c r="X25" i="156" s="1"/>
  <c r="Y25" i="156" s="1"/>
  <c r="V40" i="156"/>
  <c r="W40" i="156" s="1"/>
  <c r="X40" i="156" s="1"/>
  <c r="Y40" i="156" s="1"/>
  <c r="V37" i="156"/>
  <c r="W37" i="156" s="1"/>
  <c r="X37" i="156" s="1"/>
  <c r="Y37" i="156" s="1"/>
  <c r="V28" i="156"/>
  <c r="W28" i="156" s="1"/>
  <c r="X28" i="156" s="1"/>
  <c r="Y28" i="156" s="1"/>
  <c r="V62" i="156"/>
  <c r="W62" i="156" s="1"/>
  <c r="X62" i="156" s="1"/>
  <c r="Y62" i="156" s="1"/>
  <c r="V61" i="156"/>
  <c r="W61" i="156" s="1"/>
  <c r="X61" i="156" s="1"/>
  <c r="Y61" i="156" s="1"/>
  <c r="V43" i="156"/>
  <c r="W43" i="156" s="1"/>
  <c r="X43" i="156" s="1"/>
  <c r="Y43" i="156" s="1"/>
  <c r="V63" i="156"/>
  <c r="W63" i="156" s="1"/>
  <c r="X63" i="156" s="1"/>
  <c r="Y63" i="156" s="1"/>
  <c r="V19" i="156"/>
  <c r="W19" i="156" s="1"/>
  <c r="X19" i="156" s="1"/>
  <c r="Y19" i="156" s="1"/>
  <c r="V32" i="156"/>
  <c r="W32" i="156" s="1"/>
  <c r="X32" i="156" s="1"/>
  <c r="Y32" i="156" s="1"/>
  <c r="V34" i="156"/>
  <c r="W34" i="156" s="1"/>
  <c r="X34" i="156" s="1"/>
  <c r="Y34" i="156" s="1"/>
  <c r="V44" i="156"/>
  <c r="W44" i="156" s="1"/>
  <c r="X44" i="156" s="1"/>
  <c r="Y44" i="156" s="1"/>
  <c r="V41" i="156"/>
  <c r="W41" i="156" s="1"/>
  <c r="X41" i="156" s="1"/>
  <c r="Y41" i="156" s="1"/>
  <c r="V68" i="156"/>
  <c r="W68" i="156" s="1"/>
  <c r="X68" i="156" s="1"/>
  <c r="Y68" i="156" s="1"/>
  <c r="V26" i="156"/>
  <c r="W26" i="156" s="1"/>
  <c r="X26" i="156" s="1"/>
  <c r="Y26" i="156" s="1"/>
  <c r="V76" i="156"/>
  <c r="W76" i="156" s="1"/>
  <c r="X76" i="156" s="1"/>
  <c r="Y76" i="156" s="1"/>
  <c r="V27" i="156"/>
  <c r="W27" i="156" s="1"/>
  <c r="X27" i="156" s="1"/>
  <c r="Y27" i="156" s="1"/>
  <c r="V24" i="156"/>
  <c r="W24" i="156" s="1"/>
  <c r="X24" i="156" s="1"/>
  <c r="Y24" i="156" s="1"/>
  <c r="V39" i="156"/>
  <c r="W39" i="156" s="1"/>
  <c r="X39" i="156" s="1"/>
  <c r="Y39" i="156" s="1"/>
  <c r="V23" i="156"/>
  <c r="W23" i="156" s="1"/>
  <c r="X23" i="156" s="1"/>
  <c r="Y23" i="156" s="1"/>
  <c r="V21" i="156"/>
  <c r="W21" i="156" s="1"/>
  <c r="X21" i="156" s="1"/>
  <c r="Y21" i="156" s="1"/>
  <c r="V18" i="156"/>
  <c r="W18" i="156" s="1"/>
  <c r="X18" i="156" s="1"/>
  <c r="Y18" i="156" s="1"/>
  <c r="V17" i="156"/>
  <c r="W17" i="156" s="1"/>
  <c r="X17" i="156" s="1"/>
  <c r="Y17" i="156" s="1"/>
  <c r="W54" i="156" l="1"/>
  <c r="X54" i="156" s="1"/>
  <c r="Y54" i="156" s="1"/>
  <c r="W53" i="156"/>
  <c r="X53" i="156" s="1"/>
  <c r="Z44" i="156"/>
  <c r="AA44" i="156" s="1"/>
  <c r="AB44" i="156" s="1"/>
  <c r="Z41" i="156"/>
  <c r="AA41" i="156" s="1"/>
  <c r="AB41" i="156" s="1"/>
  <c r="Z63" i="156" l="1"/>
  <c r="AA63" i="156" s="1"/>
  <c r="AB63" i="156" s="1"/>
  <c r="AC63" i="156" s="1"/>
  <c r="Z27" i="156"/>
  <c r="AA27" i="156" s="1"/>
  <c r="AB27" i="156" s="1"/>
  <c r="AC27" i="156" s="1"/>
  <c r="Z43" i="156"/>
  <c r="AA43" i="156" s="1"/>
  <c r="AB43" i="156" s="1"/>
  <c r="AC43" i="156" s="1"/>
  <c r="Z26" i="156"/>
  <c r="AA26" i="156" s="1"/>
  <c r="AB26" i="156" s="1"/>
  <c r="AC26" i="156" s="1"/>
  <c r="Z39" i="156"/>
  <c r="AA39" i="156" s="1"/>
  <c r="AB39" i="156" s="1"/>
  <c r="AC39" i="156" s="1"/>
  <c r="Z21" i="156"/>
  <c r="AA21" i="156" s="1"/>
  <c r="AB21" i="156" s="1"/>
  <c r="AC21" i="156" s="1"/>
  <c r="Z24" i="156"/>
  <c r="AA24" i="156" s="1"/>
  <c r="AB24" i="156" s="1"/>
  <c r="AC24" i="156" s="1"/>
  <c r="Z17" i="156"/>
  <c r="AA17" i="156" s="1"/>
  <c r="AB17" i="156" s="1"/>
  <c r="AC17" i="156" s="1"/>
  <c r="Z37" i="156"/>
  <c r="AA37" i="156" s="1"/>
  <c r="AB37" i="156" s="1"/>
  <c r="AC37" i="156" s="1"/>
  <c r="Z23" i="156"/>
  <c r="AA23" i="156" s="1"/>
  <c r="AB23" i="156" s="1"/>
  <c r="AC23" i="156" s="1"/>
  <c r="Z18" i="156"/>
  <c r="AA18" i="156" s="1"/>
  <c r="AB18" i="156" s="1"/>
  <c r="AC18" i="156" s="1"/>
  <c r="Z38" i="156"/>
  <c r="AA38" i="156" s="1"/>
  <c r="AB38" i="156" s="1"/>
  <c r="AC38" i="156" s="1"/>
  <c r="Z76" i="156"/>
  <c r="AA76" i="156" s="1"/>
  <c r="AB76" i="156" s="1"/>
  <c r="AC76" i="156" s="1"/>
  <c r="Z40" i="156"/>
  <c r="AA40" i="156" s="1"/>
  <c r="AB40" i="156" s="1"/>
  <c r="AC40" i="156" s="1"/>
  <c r="Z68" i="156"/>
  <c r="AA68" i="156" s="1"/>
  <c r="AB68" i="156" s="1"/>
  <c r="AC68" i="156" s="1"/>
  <c r="Z61" i="156"/>
  <c r="AA61" i="156" s="1"/>
  <c r="AB61" i="156" s="1"/>
  <c r="AC61" i="156" s="1"/>
  <c r="Z45" i="156"/>
  <c r="AA45" i="156" s="1"/>
  <c r="AB45" i="156" s="1"/>
  <c r="AC45" i="156" s="1"/>
  <c r="Z19" i="156"/>
  <c r="AA19" i="156" s="1"/>
  <c r="AB19" i="156" s="1"/>
  <c r="AC19" i="156" s="1"/>
  <c r="Z31" i="156"/>
  <c r="AA31" i="156" s="1"/>
  <c r="AB31" i="156" s="1"/>
  <c r="AC31" i="156" s="1"/>
  <c r="Z62" i="156"/>
  <c r="AA62" i="156" s="1"/>
  <c r="AB62" i="156" s="1"/>
  <c r="AC62" i="156" s="1"/>
  <c r="Z25" i="156"/>
  <c r="AA25" i="156" s="1"/>
  <c r="AB25" i="156" s="1"/>
  <c r="AC25" i="156" s="1"/>
  <c r="Z34" i="156"/>
  <c r="AA34" i="156" s="1"/>
  <c r="AB34" i="156" s="1"/>
  <c r="AC34" i="156" s="1"/>
  <c r="Z32" i="156"/>
  <c r="AA32" i="156" s="1"/>
  <c r="AB32" i="156" s="1"/>
  <c r="AC32" i="156" s="1"/>
  <c r="Z28" i="156"/>
  <c r="AA28" i="156" s="1"/>
  <c r="AB28" i="156" s="1"/>
  <c r="AC28" i="156" s="1"/>
  <c r="Z54" i="156"/>
  <c r="AA54" i="156" s="1"/>
  <c r="AB54" i="156" s="1"/>
  <c r="Z22" i="156"/>
  <c r="AA22" i="156" s="1"/>
  <c r="AB22" i="156" s="1"/>
  <c r="AC22" i="156" s="1"/>
  <c r="Y53" i="156"/>
  <c r="Z53" i="156" s="1"/>
  <c r="AA53" i="156" s="1"/>
  <c r="AB53" i="156" s="1"/>
  <c r="AC44" i="156"/>
  <c r="AD44" i="156" s="1"/>
  <c r="AE44" i="156" s="1"/>
  <c r="AF44" i="156" s="1"/>
  <c r="AC41" i="156"/>
  <c r="AD41" i="156" s="1"/>
  <c r="AE41" i="156" s="1"/>
  <c r="AF41" i="156" s="1"/>
  <c r="AD61" i="156" l="1"/>
  <c r="AE61" i="156" s="1"/>
  <c r="AF61" i="156" s="1"/>
  <c r="AG61" i="156" s="1"/>
  <c r="AD39" i="156"/>
  <c r="AE39" i="156" s="1"/>
  <c r="AF39" i="156" s="1"/>
  <c r="AG39" i="156" s="1"/>
  <c r="AD23" i="156"/>
  <c r="AE23" i="156" s="1"/>
  <c r="AF23" i="156" s="1"/>
  <c r="AG23" i="156" s="1"/>
  <c r="AD32" i="156"/>
  <c r="AE32" i="156" s="1"/>
  <c r="AF32" i="156" s="1"/>
  <c r="AG32" i="156" s="1"/>
  <c r="AD62" i="156"/>
  <c r="AE62" i="156" s="1"/>
  <c r="AF62" i="156" s="1"/>
  <c r="AG62" i="156" s="1"/>
  <c r="AD34" i="156"/>
  <c r="AE34" i="156" s="1"/>
  <c r="AF34" i="156" s="1"/>
  <c r="AG34" i="156" s="1"/>
  <c r="AD63" i="156"/>
  <c r="AE63" i="156" s="1"/>
  <c r="AF63" i="156" s="1"/>
  <c r="AG63" i="156" s="1"/>
  <c r="AD38" i="156"/>
  <c r="AE38" i="156" s="1"/>
  <c r="AF38" i="156" s="1"/>
  <c r="AG38" i="156" s="1"/>
  <c r="AD43" i="156"/>
  <c r="AE43" i="156" s="1"/>
  <c r="AF43" i="156" s="1"/>
  <c r="AG43" i="156" s="1"/>
  <c r="AD76" i="156"/>
  <c r="AE76" i="156" s="1"/>
  <c r="AF76" i="156" s="1"/>
  <c r="AG76" i="156" s="1"/>
  <c r="AD21" i="156"/>
  <c r="AE21" i="156" s="1"/>
  <c r="AF21" i="156" s="1"/>
  <c r="AG21" i="156" s="1"/>
  <c r="AD28" i="156"/>
  <c r="AE28" i="156" s="1"/>
  <c r="AF28" i="156" s="1"/>
  <c r="AG28" i="156" s="1"/>
  <c r="AD24" i="156"/>
  <c r="AE24" i="156" s="1"/>
  <c r="AF24" i="156" s="1"/>
  <c r="AG24" i="156" s="1"/>
  <c r="AD19" i="156"/>
  <c r="AE19" i="156" s="1"/>
  <c r="AF19" i="156" s="1"/>
  <c r="AG19" i="156" s="1"/>
  <c r="AD31" i="156"/>
  <c r="AE31" i="156" s="1"/>
  <c r="AF31" i="156" s="1"/>
  <c r="AG31" i="156" s="1"/>
  <c r="AD37" i="156"/>
  <c r="AE37" i="156" s="1"/>
  <c r="AF37" i="156" s="1"/>
  <c r="AG37" i="156" s="1"/>
  <c r="AD40" i="156"/>
  <c r="AE40" i="156" s="1"/>
  <c r="AF40" i="156" s="1"/>
  <c r="AG40" i="156" s="1"/>
  <c r="AD18" i="156"/>
  <c r="AE18" i="156" s="1"/>
  <c r="AF18" i="156" s="1"/>
  <c r="AG18" i="156" s="1"/>
  <c r="AD27" i="156"/>
  <c r="AE27" i="156" s="1"/>
  <c r="AF27" i="156" s="1"/>
  <c r="AG27" i="156" s="1"/>
  <c r="AD25" i="156"/>
  <c r="AE25" i="156" s="1"/>
  <c r="AF25" i="156" s="1"/>
  <c r="AG25" i="156" s="1"/>
  <c r="AD17" i="156"/>
  <c r="AE17" i="156" s="1"/>
  <c r="AF17" i="156" s="1"/>
  <c r="AG17" i="156" s="1"/>
  <c r="AD26" i="156"/>
  <c r="AE26" i="156" s="1"/>
  <c r="AF26" i="156" s="1"/>
  <c r="AG26" i="156" s="1"/>
  <c r="AC54" i="156"/>
  <c r="AD54" i="156" s="1"/>
  <c r="AE54" i="156" s="1"/>
  <c r="AF54" i="156" s="1"/>
  <c r="AD68" i="156"/>
  <c r="AE68" i="156" s="1"/>
  <c r="AF68" i="156" s="1"/>
  <c r="AG68" i="156" s="1"/>
  <c r="AD22" i="156"/>
  <c r="AE22" i="156" s="1"/>
  <c r="AF22" i="156" s="1"/>
  <c r="AG22" i="156" s="1"/>
  <c r="AC53" i="156"/>
  <c r="AD53" i="156" s="1"/>
  <c r="AE53" i="156" s="1"/>
  <c r="AF53" i="156" s="1"/>
  <c r="AD45" i="156"/>
  <c r="AE45" i="156" s="1"/>
  <c r="AF45" i="156" s="1"/>
  <c r="AG45" i="156" s="1"/>
  <c r="AG44" i="156"/>
  <c r="AH44" i="156" s="1"/>
  <c r="AI44" i="156" s="1"/>
  <c r="AJ44" i="156" s="1"/>
  <c r="AG41" i="156"/>
  <c r="AH41" i="156" s="1"/>
  <c r="AI41" i="156" s="1"/>
  <c r="AJ41" i="156" s="1"/>
  <c r="AH37" i="156" l="1"/>
  <c r="AI37" i="156" s="1"/>
  <c r="AJ37" i="156" s="1"/>
  <c r="AK37" i="156" s="1"/>
  <c r="AH39" i="156"/>
  <c r="AI39" i="156" s="1"/>
  <c r="AJ39" i="156" s="1"/>
  <c r="AK39" i="156" s="1"/>
  <c r="AH26" i="156"/>
  <c r="AI26" i="156" s="1"/>
  <c r="AJ26" i="156" s="1"/>
  <c r="AK26" i="156" s="1"/>
  <c r="AH21" i="156"/>
  <c r="AI21" i="156" s="1"/>
  <c r="AJ21" i="156" s="1"/>
  <c r="AK21" i="156" s="1"/>
  <c r="AH28" i="156"/>
  <c r="AI28" i="156" s="1"/>
  <c r="AJ28" i="156" s="1"/>
  <c r="AK28" i="156" s="1"/>
  <c r="AH38" i="156"/>
  <c r="AI38" i="156" s="1"/>
  <c r="AJ38" i="156" s="1"/>
  <c r="AK38" i="156" s="1"/>
  <c r="AH61" i="156"/>
  <c r="AI61" i="156" s="1"/>
  <c r="AJ61" i="156" s="1"/>
  <c r="AK61" i="156" s="1"/>
  <c r="AH19" i="156"/>
  <c r="AI19" i="156" s="1"/>
  <c r="AJ19" i="156" s="1"/>
  <c r="AK19" i="156" s="1"/>
  <c r="AH25" i="156"/>
  <c r="AI25" i="156" s="1"/>
  <c r="AJ25" i="156" s="1"/>
  <c r="AK25" i="156" s="1"/>
  <c r="AH27" i="156"/>
  <c r="AI27" i="156" s="1"/>
  <c r="AJ27" i="156" s="1"/>
  <c r="AK27" i="156" s="1"/>
  <c r="AH17" i="156"/>
  <c r="AI17" i="156" s="1"/>
  <c r="AJ17" i="156" s="1"/>
  <c r="AK17" i="156" s="1"/>
  <c r="AH34" i="156"/>
  <c r="AI34" i="156" s="1"/>
  <c r="AJ34" i="156" s="1"/>
  <c r="AK34" i="156" s="1"/>
  <c r="AH32" i="156"/>
  <c r="AI32" i="156" s="1"/>
  <c r="AJ32" i="156" s="1"/>
  <c r="AK32" i="156" s="1"/>
  <c r="AH23" i="156"/>
  <c r="AI23" i="156" s="1"/>
  <c r="AJ23" i="156" s="1"/>
  <c r="AK23" i="156" s="1"/>
  <c r="AH76" i="156"/>
  <c r="AI76" i="156" s="1"/>
  <c r="AJ76" i="156" s="1"/>
  <c r="AK76" i="156" s="1"/>
  <c r="AH18" i="156"/>
  <c r="AI18" i="156" s="1"/>
  <c r="AJ18" i="156" s="1"/>
  <c r="AK18" i="156" s="1"/>
  <c r="AH62" i="156"/>
  <c r="AI62" i="156" s="1"/>
  <c r="AJ62" i="156" s="1"/>
  <c r="AK62" i="156" s="1"/>
  <c r="AH40" i="156"/>
  <c r="AI40" i="156" s="1"/>
  <c r="AJ40" i="156" s="1"/>
  <c r="AK40" i="156" s="1"/>
  <c r="AH43" i="156"/>
  <c r="AI43" i="156" s="1"/>
  <c r="AJ43" i="156" s="1"/>
  <c r="AK43" i="156" s="1"/>
  <c r="AH31" i="156"/>
  <c r="AI31" i="156" s="1"/>
  <c r="AJ31" i="156" s="1"/>
  <c r="AK31" i="156" s="1"/>
  <c r="AH24" i="156"/>
  <c r="AI24" i="156" s="1"/>
  <c r="AJ24" i="156" s="1"/>
  <c r="AK24" i="156" s="1"/>
  <c r="AH63" i="156"/>
  <c r="AI63" i="156" s="1"/>
  <c r="AJ63" i="156" s="1"/>
  <c r="AK63" i="156" s="1"/>
  <c r="AH68" i="156"/>
  <c r="AI68" i="156" s="1"/>
  <c r="AJ68" i="156" s="1"/>
  <c r="AK68" i="156" s="1"/>
  <c r="AG53" i="156"/>
  <c r="AH53" i="156" s="1"/>
  <c r="AI53" i="156" s="1"/>
  <c r="AJ53" i="156" s="1"/>
  <c r="AH22" i="156"/>
  <c r="AI22" i="156" s="1"/>
  <c r="AJ22" i="156" s="1"/>
  <c r="AK22" i="156" s="1"/>
  <c r="AG54" i="156"/>
  <c r="AH54" i="156" s="1"/>
  <c r="AI54" i="156" s="1"/>
  <c r="AJ54" i="156" s="1"/>
  <c r="AH45" i="156"/>
  <c r="AI45" i="156" s="1"/>
  <c r="AJ45" i="156" s="1"/>
  <c r="AK45" i="156" s="1"/>
  <c r="AK44" i="156"/>
  <c r="AK41" i="156"/>
  <c r="AL43" i="156" l="1"/>
  <c r="AM43" i="156" s="1"/>
  <c r="AN43" i="156" s="1"/>
  <c r="AO43" i="156" s="1"/>
  <c r="AK53" i="156"/>
  <c r="AL53" i="156" s="1"/>
  <c r="AK54" i="156"/>
  <c r="AL54" i="156" s="1"/>
  <c r="AL22" i="156"/>
  <c r="AM22" i="156" s="1"/>
  <c r="AN22" i="156" s="1"/>
  <c r="AO22" i="156" s="1"/>
  <c r="AL45" i="156"/>
  <c r="AM45" i="156" s="1"/>
  <c r="AN45" i="156" s="1"/>
  <c r="AO45" i="156" s="1"/>
  <c r="AL37" i="156"/>
  <c r="AM37" i="156" s="1"/>
  <c r="AN37" i="156" s="1"/>
  <c r="AO37" i="156" s="1"/>
  <c r="AL19" i="156"/>
  <c r="AM19" i="156" s="1"/>
  <c r="AN19" i="156" s="1"/>
  <c r="AO19" i="156" s="1"/>
  <c r="AL23" i="156"/>
  <c r="AM23" i="156" s="1"/>
  <c r="AN23" i="156" s="1"/>
  <c r="AO23" i="156" s="1"/>
  <c r="AL39" i="156"/>
  <c r="AM39" i="156" s="1"/>
  <c r="AN39" i="156" s="1"/>
  <c r="AO39" i="156" s="1"/>
  <c r="AL27" i="156"/>
  <c r="AM27" i="156" s="1"/>
  <c r="AN27" i="156" s="1"/>
  <c r="AO27" i="156" s="1"/>
  <c r="AL40" i="156"/>
  <c r="AM40" i="156" s="1"/>
  <c r="AN40" i="156" s="1"/>
  <c r="AO40" i="156" s="1"/>
  <c r="AL21" i="156"/>
  <c r="AM21" i="156" s="1"/>
  <c r="AN21" i="156" s="1"/>
  <c r="AO21" i="156" s="1"/>
  <c r="AL28" i="156"/>
  <c r="AM28" i="156" s="1"/>
  <c r="AN28" i="156" s="1"/>
  <c r="AO28" i="156" s="1"/>
  <c r="AL62" i="156"/>
  <c r="AM62" i="156" s="1"/>
  <c r="AN62" i="156" s="1"/>
  <c r="AO62" i="156" s="1"/>
  <c r="AL32" i="156"/>
  <c r="AM32" i="156" s="1"/>
  <c r="AN32" i="156" s="1"/>
  <c r="AO32" i="156" s="1"/>
  <c r="AL17" i="156"/>
  <c r="AM17" i="156" s="1"/>
  <c r="AN17" i="156" s="1"/>
  <c r="AO17" i="156" s="1"/>
  <c r="AL24" i="156"/>
  <c r="AM24" i="156" s="1"/>
  <c r="AN24" i="156" s="1"/>
  <c r="AO24" i="156" s="1"/>
  <c r="AL38" i="156"/>
  <c r="AM38" i="156" s="1"/>
  <c r="AN38" i="156" s="1"/>
  <c r="AO38" i="156" s="1"/>
  <c r="AL26" i="156"/>
  <c r="AM26" i="156" s="1"/>
  <c r="AN26" i="156" s="1"/>
  <c r="AO26" i="156" s="1"/>
  <c r="AL34" i="156"/>
  <c r="AM34" i="156" s="1"/>
  <c r="AN34" i="156" s="1"/>
  <c r="AO34" i="156" s="1"/>
  <c r="AL31" i="156"/>
  <c r="AM31" i="156" s="1"/>
  <c r="AN31" i="156" s="1"/>
  <c r="AO31" i="156" s="1"/>
  <c r="AL76" i="156"/>
  <c r="AM76" i="156" s="1"/>
  <c r="AN76" i="156" s="1"/>
  <c r="AO76" i="156" s="1"/>
  <c r="AL41" i="156"/>
  <c r="AM41" i="156" s="1"/>
  <c r="AN41" i="156" s="1"/>
  <c r="AO41" i="156" s="1"/>
  <c r="AL44" i="156"/>
  <c r="AM44" i="156" s="1"/>
  <c r="AN44" i="156" s="1"/>
  <c r="AL61" i="156"/>
  <c r="AM61" i="156" s="1"/>
  <c r="AN61" i="156" s="1"/>
  <c r="AO61" i="156" s="1"/>
  <c r="AL25" i="156"/>
  <c r="AM25" i="156" s="1"/>
  <c r="AN25" i="156" s="1"/>
  <c r="AO25" i="156" s="1"/>
  <c r="AL68" i="156"/>
  <c r="AM68" i="156" s="1"/>
  <c r="AN68" i="156" s="1"/>
  <c r="AO68" i="156" s="1"/>
  <c r="AL18" i="156"/>
  <c r="AM18" i="156" s="1"/>
  <c r="AN18" i="156" s="1"/>
  <c r="AO18" i="156" s="1"/>
  <c r="AL63" i="156"/>
  <c r="AM63" i="156" s="1"/>
  <c r="AN63" i="156" s="1"/>
  <c r="AO63" i="156" s="1"/>
  <c r="AM54" i="156" l="1"/>
  <c r="AN54" i="156" s="1"/>
  <c r="AO54" i="156" s="1"/>
  <c r="AM53" i="156"/>
  <c r="AN53" i="156" s="1"/>
  <c r="AO44" i="156"/>
  <c r="AP44" i="156" s="1"/>
  <c r="AQ44" i="156" s="1"/>
  <c r="AR44" i="156" s="1"/>
  <c r="AP41" i="156"/>
  <c r="AQ41" i="156" s="1"/>
  <c r="AR41" i="156" s="1"/>
  <c r="AP76" i="156" l="1"/>
  <c r="AQ76" i="156" s="1"/>
  <c r="AR76" i="156" s="1"/>
  <c r="AS76" i="156" s="1"/>
  <c r="AP26" i="156"/>
  <c r="AQ26" i="156" s="1"/>
  <c r="AR26" i="156" s="1"/>
  <c r="AS26" i="156" s="1"/>
  <c r="AP32" i="156"/>
  <c r="AQ32" i="156" s="1"/>
  <c r="AR32" i="156" s="1"/>
  <c r="AS32" i="156" s="1"/>
  <c r="AP61" i="156"/>
  <c r="AQ61" i="156" s="1"/>
  <c r="AR61" i="156" s="1"/>
  <c r="AS61" i="156" s="1"/>
  <c r="AP34" i="156"/>
  <c r="AQ34" i="156" s="1"/>
  <c r="AR34" i="156" s="1"/>
  <c r="AS34" i="156" s="1"/>
  <c r="AP19" i="156"/>
  <c r="AQ19" i="156" s="1"/>
  <c r="AR19" i="156" s="1"/>
  <c r="AS19" i="156" s="1"/>
  <c r="AP17" i="156"/>
  <c r="AQ17" i="156" s="1"/>
  <c r="AR17" i="156" s="1"/>
  <c r="AS17" i="156" s="1"/>
  <c r="AP38" i="156"/>
  <c r="AQ38" i="156" s="1"/>
  <c r="AR38" i="156" s="1"/>
  <c r="AS38" i="156" s="1"/>
  <c r="AP27" i="156"/>
  <c r="AQ27" i="156" s="1"/>
  <c r="AR27" i="156" s="1"/>
  <c r="AS27" i="156" s="1"/>
  <c r="AP54" i="156"/>
  <c r="AQ54" i="156" s="1"/>
  <c r="AR54" i="156" s="1"/>
  <c r="AP43" i="156"/>
  <c r="AQ43" i="156" s="1"/>
  <c r="AR43" i="156" s="1"/>
  <c r="AS43" i="156" s="1"/>
  <c r="AP37" i="156"/>
  <c r="AQ37" i="156" s="1"/>
  <c r="AR37" i="156" s="1"/>
  <c r="AS37" i="156" s="1"/>
  <c r="AP63" i="156"/>
  <c r="AQ63" i="156" s="1"/>
  <c r="AR63" i="156" s="1"/>
  <c r="AS63" i="156" s="1"/>
  <c r="AP25" i="156"/>
  <c r="AQ25" i="156" s="1"/>
  <c r="AR25" i="156" s="1"/>
  <c r="AS25" i="156" s="1"/>
  <c r="AP28" i="156"/>
  <c r="AQ28" i="156" s="1"/>
  <c r="AR28" i="156" s="1"/>
  <c r="AS28" i="156" s="1"/>
  <c r="AP39" i="156"/>
  <c r="AQ39" i="156" s="1"/>
  <c r="AR39" i="156" s="1"/>
  <c r="AS39" i="156" s="1"/>
  <c r="AP40" i="156"/>
  <c r="AQ40" i="156" s="1"/>
  <c r="AR40" i="156" s="1"/>
  <c r="AS40" i="156" s="1"/>
  <c r="AP24" i="156"/>
  <c r="AQ24" i="156" s="1"/>
  <c r="AR24" i="156" s="1"/>
  <c r="AS24" i="156" s="1"/>
  <c r="AP21" i="156"/>
  <c r="AQ21" i="156" s="1"/>
  <c r="AR21" i="156" s="1"/>
  <c r="AS21" i="156" s="1"/>
  <c r="AP18" i="156"/>
  <c r="AQ18" i="156" s="1"/>
  <c r="AR18" i="156" s="1"/>
  <c r="AS18" i="156" s="1"/>
  <c r="AP31" i="156"/>
  <c r="AQ31" i="156" s="1"/>
  <c r="AR31" i="156" s="1"/>
  <c r="AS31" i="156" s="1"/>
  <c r="AP62" i="156"/>
  <c r="AQ62" i="156" s="1"/>
  <c r="AR62" i="156" s="1"/>
  <c r="AS62" i="156" s="1"/>
  <c r="AP23" i="156"/>
  <c r="AQ23" i="156" s="1"/>
  <c r="AR23" i="156" s="1"/>
  <c r="AS23" i="156" s="1"/>
  <c r="AP45" i="156"/>
  <c r="AQ45" i="156" s="1"/>
  <c r="AR45" i="156" s="1"/>
  <c r="AS45" i="156" s="1"/>
  <c r="AP68" i="156"/>
  <c r="AQ68" i="156" s="1"/>
  <c r="AR68" i="156" s="1"/>
  <c r="AS68" i="156" s="1"/>
  <c r="AP22" i="156"/>
  <c r="AQ22" i="156" s="1"/>
  <c r="AR22" i="156" s="1"/>
  <c r="AS22" i="156" s="1"/>
  <c r="AO53" i="156"/>
  <c r="AP53" i="156" s="1"/>
  <c r="AQ53" i="156" s="1"/>
  <c r="AR53" i="156" s="1"/>
  <c r="AS44" i="156"/>
  <c r="AT44" i="156" s="1"/>
  <c r="AU44" i="156" s="1"/>
  <c r="AV44" i="156" s="1"/>
  <c r="AS41" i="156"/>
  <c r="AT41" i="156" s="1"/>
  <c r="AU41" i="156" s="1"/>
  <c r="AV41" i="156" s="1"/>
  <c r="AT28" i="156" l="1"/>
  <c r="AU28" i="156" s="1"/>
  <c r="AV28" i="156" s="1"/>
  <c r="AT24" i="156"/>
  <c r="AU24" i="156" s="1"/>
  <c r="AV24" i="156" s="1"/>
  <c r="AT18" i="156"/>
  <c r="AU18" i="156" s="1"/>
  <c r="AV18" i="156" s="1"/>
  <c r="AT34" i="156"/>
  <c r="AU34" i="156" s="1"/>
  <c r="AV34" i="156" s="1"/>
  <c r="AT26" i="156"/>
  <c r="AU26" i="156" s="1"/>
  <c r="AV26" i="156" s="1"/>
  <c r="AT25" i="156"/>
  <c r="AU25" i="156" s="1"/>
  <c r="AV25" i="156" s="1"/>
  <c r="AT61" i="156"/>
  <c r="AU61" i="156" s="1"/>
  <c r="AV61" i="156" s="1"/>
  <c r="AT40" i="156"/>
  <c r="AU40" i="156" s="1"/>
  <c r="AV40" i="156" s="1"/>
  <c r="AT43" i="156"/>
  <c r="AU43" i="156" s="1"/>
  <c r="AV43" i="156" s="1"/>
  <c r="AT27" i="156"/>
  <c r="AU27" i="156" s="1"/>
  <c r="AV27" i="156" s="1"/>
  <c r="AT21" i="156"/>
  <c r="AU21" i="156" s="1"/>
  <c r="AV21" i="156" s="1"/>
  <c r="AT17" i="156"/>
  <c r="AU17" i="156" s="1"/>
  <c r="AV17" i="156" s="1"/>
  <c r="AT63" i="156"/>
  <c r="AU63" i="156" s="1"/>
  <c r="AV63" i="156" s="1"/>
  <c r="AT62" i="156"/>
  <c r="AU62" i="156" s="1"/>
  <c r="AV62" i="156" s="1"/>
  <c r="AT38" i="156"/>
  <c r="AU38" i="156" s="1"/>
  <c r="AV38" i="156" s="1"/>
  <c r="AT32" i="156"/>
  <c r="AU32" i="156" s="1"/>
  <c r="AV32" i="156" s="1"/>
  <c r="AT76" i="156"/>
  <c r="AU76" i="156" s="1"/>
  <c r="AV76" i="156" s="1"/>
  <c r="AT23" i="156"/>
  <c r="AU23" i="156" s="1"/>
  <c r="AV23" i="156" s="1"/>
  <c r="AT37" i="156"/>
  <c r="AU37" i="156" s="1"/>
  <c r="AV37" i="156" s="1"/>
  <c r="AT31" i="156"/>
  <c r="AU31" i="156" s="1"/>
  <c r="AV31" i="156" s="1"/>
  <c r="AT39" i="156"/>
  <c r="AU39" i="156" s="1"/>
  <c r="AV39" i="156" s="1"/>
  <c r="AT19" i="156"/>
  <c r="AU19" i="156" s="1"/>
  <c r="AV19" i="156" s="1"/>
  <c r="AS54" i="156"/>
  <c r="AT54" i="156" s="1"/>
  <c r="AU54" i="156" s="1"/>
  <c r="AV54" i="156" s="1"/>
  <c r="AT68" i="156"/>
  <c r="AU68" i="156" s="1"/>
  <c r="AV68" i="156" s="1"/>
  <c r="AS53" i="156"/>
  <c r="AT53" i="156" s="1"/>
  <c r="AU53" i="156" s="1"/>
  <c r="AV53" i="156" s="1"/>
  <c r="AT22" i="156"/>
  <c r="AU22" i="156" s="1"/>
  <c r="AV22" i="156" s="1"/>
  <c r="AT45" i="156"/>
  <c r="AU45" i="156" s="1"/>
  <c r="AV45" i="156" s="1"/>
  <c r="E79" i="14" l="1"/>
  <c r="G17" i="14"/>
  <c r="D17" i="14"/>
  <c r="D79" i="14" s="1"/>
  <c r="E31" i="161"/>
  <c r="G31" i="161" l="1"/>
  <c r="G131" i="161" s="1"/>
  <c r="E131" i="161"/>
  <c r="F31" i="161"/>
  <c r="H34" i="161" s="1"/>
  <c r="G79" i="14"/>
  <c r="C4" i="14"/>
  <c r="I34" i="161" l="1"/>
  <c r="J34" i="161"/>
  <c r="H61" i="161"/>
  <c r="J61" i="161" s="1"/>
  <c r="H68" i="161"/>
  <c r="J68" i="161" s="1"/>
  <c r="H59" i="161"/>
  <c r="H67" i="161"/>
  <c r="J67" i="161" s="1"/>
  <c r="H55" i="161"/>
  <c r="J55" i="161" s="1"/>
  <c r="H58" i="161"/>
  <c r="H40" i="161"/>
  <c r="H57" i="161"/>
  <c r="H77" i="161"/>
  <c r="H42" i="161"/>
  <c r="H35" i="161"/>
  <c r="H45" i="161"/>
  <c r="H46" i="161"/>
  <c r="W31" i="166"/>
  <c r="Y31" i="166" s="1"/>
  <c r="H31" i="161"/>
  <c r="H36" i="161"/>
  <c r="H91" i="161"/>
  <c r="H39" i="161"/>
  <c r="H38" i="161"/>
  <c r="H33" i="161"/>
  <c r="H53" i="161"/>
  <c r="H32" i="161"/>
  <c r="H76" i="161"/>
  <c r="H82" i="161"/>
  <c r="H54" i="161"/>
  <c r="H51" i="161"/>
  <c r="H52" i="161"/>
  <c r="H90" i="161"/>
  <c r="H48" i="161"/>
  <c r="H75" i="161"/>
  <c r="H41" i="161"/>
  <c r="H37" i="161"/>
  <c r="I61" i="161" l="1"/>
  <c r="I68" i="161"/>
  <c r="J59" i="161"/>
  <c r="I59" i="161"/>
  <c r="I67" i="161"/>
  <c r="I55" i="161"/>
  <c r="K55" i="161" s="1"/>
  <c r="M55" i="161" s="1"/>
  <c r="J58" i="161"/>
  <c r="I58" i="161"/>
  <c r="J42" i="161"/>
  <c r="I42" i="161"/>
  <c r="J46" i="161"/>
  <c r="I46" i="161"/>
  <c r="J77" i="161"/>
  <c r="I77" i="161"/>
  <c r="J45" i="161"/>
  <c r="I45" i="161"/>
  <c r="I57" i="161"/>
  <c r="J57" i="161"/>
  <c r="J35" i="161"/>
  <c r="I35" i="161"/>
  <c r="J40" i="161"/>
  <c r="I40" i="161"/>
  <c r="J90" i="161"/>
  <c r="I90" i="161"/>
  <c r="J82" i="161"/>
  <c r="I82" i="161"/>
  <c r="J33" i="161"/>
  <c r="I33" i="161"/>
  <c r="J36" i="161"/>
  <c r="I36" i="161"/>
  <c r="J37" i="161"/>
  <c r="I37" i="161"/>
  <c r="J52" i="161"/>
  <c r="I52" i="161"/>
  <c r="J76" i="161"/>
  <c r="I76" i="161"/>
  <c r="J38" i="161"/>
  <c r="I38" i="161"/>
  <c r="H131" i="161"/>
  <c r="J31" i="161"/>
  <c r="I31" i="161"/>
  <c r="J75" i="161"/>
  <c r="I75" i="161"/>
  <c r="J51" i="161"/>
  <c r="I51" i="161"/>
  <c r="J32" i="161"/>
  <c r="I32" i="161"/>
  <c r="J39" i="161"/>
  <c r="I39" i="161"/>
  <c r="J41" i="161"/>
  <c r="I41" i="161"/>
  <c r="J48" i="161"/>
  <c r="I48" i="161"/>
  <c r="J54" i="161"/>
  <c r="I54" i="161"/>
  <c r="J53" i="161"/>
  <c r="I53" i="161"/>
  <c r="J91" i="161"/>
  <c r="I91" i="161"/>
  <c r="K34" i="161" l="1"/>
  <c r="M34" i="161" s="1"/>
  <c r="K61" i="161"/>
  <c r="M61" i="161" s="1"/>
  <c r="K68" i="161"/>
  <c r="M68" i="161" s="1"/>
  <c r="K67" i="161"/>
  <c r="M67" i="161" s="1"/>
  <c r="K59" i="161"/>
  <c r="M59" i="161" s="1"/>
  <c r="K58" i="161"/>
  <c r="M58" i="161" s="1"/>
  <c r="L55" i="161"/>
  <c r="N55" i="161" s="1"/>
  <c r="K40" i="161"/>
  <c r="M40" i="161" s="1"/>
  <c r="K77" i="161"/>
  <c r="L77" i="161" s="1"/>
  <c r="K42" i="161"/>
  <c r="M42" i="161" s="1"/>
  <c r="K35" i="161"/>
  <c r="M35" i="161" s="1"/>
  <c r="K45" i="161"/>
  <c r="M45" i="161" s="1"/>
  <c r="K46" i="161"/>
  <c r="L46" i="161" s="1"/>
  <c r="K82" i="161"/>
  <c r="M82" i="161" s="1"/>
  <c r="K53" i="161"/>
  <c r="L53" i="161" s="1"/>
  <c r="K57" i="161"/>
  <c r="M57" i="161" s="1"/>
  <c r="K38" i="161"/>
  <c r="K52" i="161"/>
  <c r="K36" i="161"/>
  <c r="K48" i="161"/>
  <c r="K39" i="161"/>
  <c r="K51" i="161"/>
  <c r="I131" i="161"/>
  <c r="K31" i="161"/>
  <c r="J131" i="161"/>
  <c r="K37" i="161"/>
  <c r="K33" i="161"/>
  <c r="K90" i="161"/>
  <c r="K76" i="161"/>
  <c r="K91" i="161"/>
  <c r="K54" i="161"/>
  <c r="K41" i="161"/>
  <c r="K32" i="161"/>
  <c r="K75" i="161"/>
  <c r="L34" i="161" l="1"/>
  <c r="L61" i="161"/>
  <c r="L68" i="161"/>
  <c r="L67" i="161"/>
  <c r="L59" i="161"/>
  <c r="L58" i="161"/>
  <c r="P55" i="161"/>
  <c r="O55" i="161"/>
  <c r="M46" i="161"/>
  <c r="L40" i="161"/>
  <c r="M77" i="161"/>
  <c r="L42" i="161"/>
  <c r="N42" i="161" s="1"/>
  <c r="P42" i="161" s="1"/>
  <c r="L45" i="161"/>
  <c r="L35" i="161"/>
  <c r="M53" i="161"/>
  <c r="L82" i="161"/>
  <c r="L57" i="161"/>
  <c r="M41" i="161"/>
  <c r="L41" i="161"/>
  <c r="M90" i="161"/>
  <c r="L90" i="161"/>
  <c r="M31" i="161"/>
  <c r="K131" i="161"/>
  <c r="L31" i="161"/>
  <c r="M48" i="161"/>
  <c r="L48" i="161"/>
  <c r="M54" i="161"/>
  <c r="L54" i="161"/>
  <c r="M33" i="161"/>
  <c r="L33" i="161"/>
  <c r="M36" i="161"/>
  <c r="L36" i="161"/>
  <c r="M91" i="161"/>
  <c r="L91" i="161"/>
  <c r="M37" i="161"/>
  <c r="L37" i="161"/>
  <c r="M51" i="161"/>
  <c r="L51" i="161"/>
  <c r="M52" i="161"/>
  <c r="L52" i="161"/>
  <c r="M75" i="161"/>
  <c r="L75" i="161"/>
  <c r="M32" i="161"/>
  <c r="L32" i="161"/>
  <c r="M76" i="161"/>
  <c r="L76" i="161"/>
  <c r="M39" i="161"/>
  <c r="L39" i="161"/>
  <c r="M38" i="161"/>
  <c r="L38" i="161"/>
  <c r="N34" i="161" l="1"/>
  <c r="P34" i="161" s="1"/>
  <c r="N61" i="161"/>
  <c r="P61" i="161" s="1"/>
  <c r="N45" i="161"/>
  <c r="P45" i="161" s="1"/>
  <c r="N40" i="161"/>
  <c r="P40" i="161" s="1"/>
  <c r="N35" i="161"/>
  <c r="O35" i="161" s="1"/>
  <c r="N57" i="161"/>
  <c r="P57" i="161" s="1"/>
  <c r="N77" i="161"/>
  <c r="P77" i="161" s="1"/>
  <c r="N68" i="161"/>
  <c r="P68" i="161" s="1"/>
  <c r="N67" i="161"/>
  <c r="P67" i="161" s="1"/>
  <c r="N46" i="161"/>
  <c r="O46" i="161" s="1"/>
  <c r="N59" i="161"/>
  <c r="P59" i="161" s="1"/>
  <c r="N58" i="161"/>
  <c r="P58" i="161" s="1"/>
  <c r="Q55" i="161"/>
  <c r="S55" i="161" s="1"/>
  <c r="O42" i="161"/>
  <c r="Q42" i="161" s="1"/>
  <c r="R42" i="161" s="1"/>
  <c r="N39" i="161"/>
  <c r="P39" i="161" s="1"/>
  <c r="N52" i="161"/>
  <c r="P52" i="161" s="1"/>
  <c r="N82" i="161"/>
  <c r="O82" i="161" s="1"/>
  <c r="N38" i="161"/>
  <c r="P38" i="161" s="1"/>
  <c r="N32" i="161"/>
  <c r="P32" i="161" s="1"/>
  <c r="N37" i="161"/>
  <c r="N36" i="161"/>
  <c r="N90" i="161"/>
  <c r="N54" i="161"/>
  <c r="L131" i="161"/>
  <c r="N31" i="161"/>
  <c r="N75" i="161"/>
  <c r="N91" i="161"/>
  <c r="N41" i="161"/>
  <c r="N76" i="161"/>
  <c r="N51" i="161"/>
  <c r="N53" i="161"/>
  <c r="N33" i="161"/>
  <c r="N48" i="161"/>
  <c r="M131" i="161"/>
  <c r="O34" i="161" l="1"/>
  <c r="O61" i="161"/>
  <c r="O40" i="161"/>
  <c r="P35" i="161"/>
  <c r="O45" i="161"/>
  <c r="O77" i="161"/>
  <c r="O57" i="161"/>
  <c r="O67" i="161"/>
  <c r="O68" i="161"/>
  <c r="P46" i="161"/>
  <c r="O59" i="161"/>
  <c r="O58" i="161"/>
  <c r="R55" i="161"/>
  <c r="T55" i="161" s="1"/>
  <c r="U55" i="161" s="1"/>
  <c r="O52" i="161"/>
  <c r="O39" i="161"/>
  <c r="P82" i="161"/>
  <c r="O38" i="161"/>
  <c r="O32" i="161"/>
  <c r="S42" i="161"/>
  <c r="T42" i="161" s="1"/>
  <c r="U42" i="161" s="1"/>
  <c r="D42" i="170" s="1"/>
  <c r="F42" i="170" s="1"/>
  <c r="G42" i="170" s="1"/>
  <c r="P91" i="161"/>
  <c r="O91" i="161"/>
  <c r="P54" i="161"/>
  <c r="O54" i="161"/>
  <c r="P36" i="161"/>
  <c r="O36" i="161"/>
  <c r="P48" i="161"/>
  <c r="O48" i="161"/>
  <c r="P75" i="161"/>
  <c r="O75" i="161"/>
  <c r="P37" i="161"/>
  <c r="O37" i="161"/>
  <c r="P33" i="161"/>
  <c r="O33" i="161"/>
  <c r="P53" i="161"/>
  <c r="O53" i="161"/>
  <c r="N131" i="161"/>
  <c r="P31" i="161"/>
  <c r="O31" i="161"/>
  <c r="P76" i="161"/>
  <c r="O76" i="161"/>
  <c r="P51" i="161"/>
  <c r="O51" i="161"/>
  <c r="P41" i="161"/>
  <c r="O41" i="161"/>
  <c r="P90" i="161"/>
  <c r="O90" i="161"/>
  <c r="Q34" i="161" l="1"/>
  <c r="R34" i="161" s="1"/>
  <c r="Q61" i="161"/>
  <c r="S61" i="161" s="1"/>
  <c r="Q35" i="161"/>
  <c r="R35" i="161" s="1"/>
  <c r="Q45" i="161"/>
  <c r="Q40" i="161"/>
  <c r="Q57" i="161"/>
  <c r="R57" i="161" s="1"/>
  <c r="Q77" i="161"/>
  <c r="S77" i="161" s="1"/>
  <c r="Q68" i="161"/>
  <c r="S68" i="161" s="1"/>
  <c r="Q67" i="161"/>
  <c r="S67" i="161" s="1"/>
  <c r="Q46" i="161"/>
  <c r="Q59" i="161"/>
  <c r="S59" i="161" s="1"/>
  <c r="Q58" i="161"/>
  <c r="S58" i="161" s="1"/>
  <c r="D55" i="170"/>
  <c r="Q41" i="161"/>
  <c r="S41" i="161" s="1"/>
  <c r="Q76" i="161"/>
  <c r="S76" i="161" s="1"/>
  <c r="Q39" i="161"/>
  <c r="R39" i="161" s="1"/>
  <c r="Q82" i="161"/>
  <c r="Q42" i="165"/>
  <c r="Q42" i="166" s="1"/>
  <c r="E42" i="164"/>
  <c r="F42" i="164" s="1"/>
  <c r="Q33" i="161"/>
  <c r="Q32" i="161"/>
  <c r="Q75" i="161"/>
  <c r="Q36" i="161"/>
  <c r="O131" i="161"/>
  <c r="Q31" i="161"/>
  <c r="P131" i="161"/>
  <c r="Q37" i="161"/>
  <c r="Q91" i="161"/>
  <c r="Q53" i="161"/>
  <c r="Q90" i="161"/>
  <c r="Q51" i="161"/>
  <c r="Q38" i="161"/>
  <c r="Q52" i="161"/>
  <c r="Q48" i="161"/>
  <c r="Q54" i="161"/>
  <c r="S34" i="161" l="1"/>
  <c r="R61" i="161"/>
  <c r="S35" i="161"/>
  <c r="S40" i="161"/>
  <c r="R40" i="161"/>
  <c r="S45" i="161"/>
  <c r="R45" i="161"/>
  <c r="S57" i="161"/>
  <c r="R77" i="161"/>
  <c r="R68" i="161"/>
  <c r="R67" i="161"/>
  <c r="R46" i="161"/>
  <c r="S46" i="161"/>
  <c r="R59" i="161"/>
  <c r="R58" i="161"/>
  <c r="T58" i="161" s="1"/>
  <c r="U58" i="161" s="1"/>
  <c r="F55" i="170"/>
  <c r="R41" i="161"/>
  <c r="S39" i="161"/>
  <c r="R76" i="161"/>
  <c r="R82" i="161"/>
  <c r="S82" i="161"/>
  <c r="S54" i="161"/>
  <c r="R54" i="161"/>
  <c r="S37" i="161"/>
  <c r="R37" i="161"/>
  <c r="S36" i="161"/>
  <c r="R36" i="161"/>
  <c r="S32" i="161"/>
  <c r="R32" i="161"/>
  <c r="S48" i="161"/>
  <c r="R48" i="161"/>
  <c r="S75" i="161"/>
  <c r="R75" i="161"/>
  <c r="S33" i="161"/>
  <c r="R33" i="161"/>
  <c r="S38" i="161"/>
  <c r="R38" i="161"/>
  <c r="S51" i="161"/>
  <c r="R51" i="161"/>
  <c r="Q131" i="161"/>
  <c r="S31" i="161"/>
  <c r="R31" i="161"/>
  <c r="R53" i="161"/>
  <c r="S53" i="161"/>
  <c r="S52" i="161"/>
  <c r="R52" i="161"/>
  <c r="S90" i="161"/>
  <c r="R90" i="161"/>
  <c r="S91" i="161"/>
  <c r="R91" i="161"/>
  <c r="T34" i="161" l="1"/>
  <c r="U34" i="161" s="1"/>
  <c r="D34" i="170" s="1"/>
  <c r="F34" i="170" s="1"/>
  <c r="T61" i="161"/>
  <c r="U61" i="161" s="1"/>
  <c r="D61" i="170" s="1"/>
  <c r="T57" i="161"/>
  <c r="U57" i="161" s="1"/>
  <c r="D57" i="170" s="1"/>
  <c r="F57" i="170" s="1"/>
  <c r="E57" i="164" s="1"/>
  <c r="F57" i="164" s="1"/>
  <c r="T35" i="161"/>
  <c r="U35" i="161" s="1"/>
  <c r="D35" i="170" s="1"/>
  <c r="F35" i="170" s="1"/>
  <c r="T40" i="161"/>
  <c r="U40" i="161" s="1"/>
  <c r="D40" i="170" s="1"/>
  <c r="F40" i="170" s="1"/>
  <c r="T45" i="161"/>
  <c r="U45" i="161" s="1"/>
  <c r="D45" i="170" s="1"/>
  <c r="F45" i="170" s="1"/>
  <c r="T77" i="161"/>
  <c r="U77" i="161" s="1"/>
  <c r="D77" i="170" s="1"/>
  <c r="F77" i="170" s="1"/>
  <c r="E77" i="164" s="1"/>
  <c r="F77" i="164" s="1"/>
  <c r="T67" i="161"/>
  <c r="U67" i="161" s="1"/>
  <c r="D67" i="170" s="1"/>
  <c r="F67" i="170" s="1"/>
  <c r="G67" i="170" s="1"/>
  <c r="T68" i="161"/>
  <c r="U68" i="161" s="1"/>
  <c r="D68" i="170" s="1"/>
  <c r="F68" i="170" s="1"/>
  <c r="G68" i="170" s="1"/>
  <c r="T59" i="161"/>
  <c r="U59" i="161" s="1"/>
  <c r="D59" i="170" s="1"/>
  <c r="F59" i="170" s="1"/>
  <c r="G59" i="170" s="1"/>
  <c r="T46" i="161"/>
  <c r="U46" i="161" s="1"/>
  <c r="D46" i="170" s="1"/>
  <c r="F46" i="170" s="1"/>
  <c r="D58" i="170"/>
  <c r="Q55" i="165"/>
  <c r="Q55" i="166" s="1"/>
  <c r="E55" i="164"/>
  <c r="F55" i="164" s="1"/>
  <c r="G55" i="170"/>
  <c r="T76" i="161"/>
  <c r="U76" i="161" s="1"/>
  <c r="D76" i="170" s="1"/>
  <c r="T90" i="161"/>
  <c r="U90" i="161" s="1"/>
  <c r="D90" i="170" s="1"/>
  <c r="T82" i="161"/>
  <c r="U82" i="161" s="1"/>
  <c r="D82" i="170" s="1"/>
  <c r="R131" i="161"/>
  <c r="T31" i="161"/>
  <c r="T48" i="161"/>
  <c r="U48" i="161" s="1"/>
  <c r="T36" i="161"/>
  <c r="U36" i="161" s="1"/>
  <c r="T75" i="161"/>
  <c r="U75" i="161" s="1"/>
  <c r="S131" i="161"/>
  <c r="T91" i="161"/>
  <c r="U91" i="161" s="1"/>
  <c r="T32" i="161"/>
  <c r="U32" i="161" s="1"/>
  <c r="T37" i="161"/>
  <c r="U37" i="161" s="1"/>
  <c r="T54" i="161"/>
  <c r="U54" i="161" s="1"/>
  <c r="T38" i="161"/>
  <c r="U38" i="161" s="1"/>
  <c r="T53" i="161"/>
  <c r="U53" i="161" s="1"/>
  <c r="T52" i="161"/>
  <c r="U52" i="161" s="1"/>
  <c r="T39" i="161"/>
  <c r="U39" i="161" s="1"/>
  <c r="T51" i="161"/>
  <c r="U51" i="161" s="1"/>
  <c r="T33" i="161"/>
  <c r="U33" i="161" s="1"/>
  <c r="T41" i="161"/>
  <c r="U41" i="161" s="1"/>
  <c r="G34" i="170" l="1"/>
  <c r="Q34" i="165"/>
  <c r="Q34" i="166" s="1"/>
  <c r="E34" i="164"/>
  <c r="F34" i="164" s="1"/>
  <c r="F61" i="170"/>
  <c r="G61" i="170" s="1"/>
  <c r="G57" i="170"/>
  <c r="Q57" i="165"/>
  <c r="Q57" i="166" s="1"/>
  <c r="G45" i="170"/>
  <c r="Q45" i="165"/>
  <c r="Q45" i="166" s="1"/>
  <c r="E45" i="164"/>
  <c r="F45" i="164" s="1"/>
  <c r="G40" i="170"/>
  <c r="E40" i="164"/>
  <c r="F40" i="164" s="1"/>
  <c r="Q40" i="165"/>
  <c r="Q40" i="166" s="1"/>
  <c r="G35" i="170"/>
  <c r="E35" i="164"/>
  <c r="F35" i="164" s="1"/>
  <c r="Q35" i="165"/>
  <c r="Q35" i="166" s="1"/>
  <c r="Q77" i="165"/>
  <c r="Q77" i="166" s="1"/>
  <c r="G77" i="170"/>
  <c r="E59" i="164"/>
  <c r="F59" i="164" s="1"/>
  <c r="Q59" i="165"/>
  <c r="Q59" i="166" s="1"/>
  <c r="G46" i="170"/>
  <c r="Q46" i="165"/>
  <c r="Q46" i="166" s="1"/>
  <c r="E46" i="164"/>
  <c r="F46" i="164" s="1"/>
  <c r="Q68" i="165"/>
  <c r="Q68" i="166" s="1"/>
  <c r="E68" i="164"/>
  <c r="F68" i="164" s="1"/>
  <c r="Q67" i="165"/>
  <c r="Q67" i="166" s="1"/>
  <c r="E67" i="164"/>
  <c r="F67" i="164" s="1"/>
  <c r="F58" i="170"/>
  <c r="F82" i="170"/>
  <c r="G82" i="170" s="1"/>
  <c r="D41" i="170"/>
  <c r="D52" i="170"/>
  <c r="F90" i="170"/>
  <c r="D32" i="170"/>
  <c r="D36" i="170"/>
  <c r="D91" i="170"/>
  <c r="D75" i="170"/>
  <c r="D48" i="170"/>
  <c r="D53" i="170"/>
  <c r="D51" i="170"/>
  <c r="D54" i="170"/>
  <c r="F76" i="170"/>
  <c r="G76" i="170" s="1"/>
  <c r="T131" i="161"/>
  <c r="U31" i="161"/>
  <c r="D33" i="170"/>
  <c r="D39" i="170"/>
  <c r="D38" i="170"/>
  <c r="D37" i="170"/>
  <c r="X34" i="166" l="1"/>
  <c r="Z34" i="166" s="1"/>
  <c r="AA34" i="166"/>
  <c r="Z61" i="161"/>
  <c r="Z34" i="161"/>
  <c r="Q61" i="165"/>
  <c r="Q61" i="166" s="1"/>
  <c r="E61" i="164"/>
  <c r="F61" i="164" s="1"/>
  <c r="Z68" i="161"/>
  <c r="Z59" i="161"/>
  <c r="Z58" i="161"/>
  <c r="Z67" i="161"/>
  <c r="Q58" i="165"/>
  <c r="Q58" i="166" s="1"/>
  <c r="E58" i="164"/>
  <c r="F58" i="164" s="1"/>
  <c r="G58" i="170"/>
  <c r="Z32" i="161"/>
  <c r="Z55" i="161"/>
  <c r="Z51" i="161"/>
  <c r="Z38" i="161"/>
  <c r="Z37" i="161"/>
  <c r="Z39" i="161"/>
  <c r="Z33" i="161"/>
  <c r="Z48" i="161"/>
  <c r="Z91" i="161"/>
  <c r="Z54" i="161"/>
  <c r="Z53" i="161"/>
  <c r="Z75" i="161"/>
  <c r="E82" i="164"/>
  <c r="F82" i="164" s="1"/>
  <c r="Q82" i="165"/>
  <c r="Q82" i="166" s="1"/>
  <c r="Z52" i="161"/>
  <c r="F38" i="170"/>
  <c r="G38" i="170" s="1"/>
  <c r="F33" i="170"/>
  <c r="E76" i="164"/>
  <c r="F76" i="164" s="1"/>
  <c r="Q76" i="165"/>
  <c r="Q76" i="166" s="1"/>
  <c r="F51" i="170"/>
  <c r="G51" i="170" s="1"/>
  <c r="F48" i="170"/>
  <c r="F91" i="170"/>
  <c r="F32" i="170"/>
  <c r="F52" i="170"/>
  <c r="G52" i="170" s="1"/>
  <c r="F37" i="170"/>
  <c r="G37" i="170" s="1"/>
  <c r="F39" i="170"/>
  <c r="G39" i="170" s="1"/>
  <c r="Z31" i="161"/>
  <c r="U131" i="161"/>
  <c r="F2" i="161" s="1"/>
  <c r="D31" i="170"/>
  <c r="Z57" i="161"/>
  <c r="Z77" i="161"/>
  <c r="Z42" i="161"/>
  <c r="Z40" i="161"/>
  <c r="Z46" i="161"/>
  <c r="Z35" i="161"/>
  <c r="Z45" i="161"/>
  <c r="Z82" i="161"/>
  <c r="Z76" i="161"/>
  <c r="Z90" i="161"/>
  <c r="F54" i="170"/>
  <c r="G54" i="170" s="1"/>
  <c r="F53" i="170"/>
  <c r="G53" i="170" s="1"/>
  <c r="F75" i="170"/>
  <c r="G75" i="170" s="1"/>
  <c r="F36" i="170"/>
  <c r="Q90" i="165"/>
  <c r="Q90" i="166" s="1"/>
  <c r="E90" i="164"/>
  <c r="F90" i="164" s="1"/>
  <c r="F41" i="170"/>
  <c r="Z36" i="161"/>
  <c r="G90" i="170"/>
  <c r="Z41" i="161"/>
  <c r="AA61" i="166" l="1"/>
  <c r="X61" i="166"/>
  <c r="Z61" i="166" s="1"/>
  <c r="Z131" i="161"/>
  <c r="E75" i="164"/>
  <c r="F75" i="164" s="1"/>
  <c r="Q75" i="165"/>
  <c r="Q75" i="166" s="1"/>
  <c r="Q54" i="165"/>
  <c r="Q54" i="166" s="1"/>
  <c r="E54" i="164"/>
  <c r="F54" i="164" s="1"/>
  <c r="K27" i="170"/>
  <c r="D131" i="170"/>
  <c r="F31" i="170"/>
  <c r="G31" i="170" s="1"/>
  <c r="Q91" i="165"/>
  <c r="Q91" i="166" s="1"/>
  <c r="E91" i="164"/>
  <c r="F91" i="164" s="1"/>
  <c r="E33" i="164"/>
  <c r="F33" i="164" s="1"/>
  <c r="Q33" i="165"/>
  <c r="Q33" i="166" s="1"/>
  <c r="Q41" i="165"/>
  <c r="Q41" i="166" s="1"/>
  <c r="E41" i="164"/>
  <c r="F41" i="164" s="1"/>
  <c r="E52" i="164"/>
  <c r="F52" i="164" s="1"/>
  <c r="Q52" i="165"/>
  <c r="Q52" i="166" s="1"/>
  <c r="G91" i="170"/>
  <c r="Q51" i="165"/>
  <c r="Q51" i="166" s="1"/>
  <c r="E51" i="164"/>
  <c r="F51" i="164" s="1"/>
  <c r="G33" i="170"/>
  <c r="E37" i="164"/>
  <c r="F37" i="164" s="1"/>
  <c r="Q37" i="165"/>
  <c r="Q37" i="166" s="1"/>
  <c r="Q32" i="165"/>
  <c r="Q32" i="166" s="1"/>
  <c r="E32" i="164"/>
  <c r="F32" i="164" s="1"/>
  <c r="Q48" i="165"/>
  <c r="Q48" i="166" s="1"/>
  <c r="E48" i="164"/>
  <c r="F48" i="164" s="1"/>
  <c r="E36" i="164"/>
  <c r="F36" i="164" s="1"/>
  <c r="Q36" i="165"/>
  <c r="Q36" i="166" s="1"/>
  <c r="G41" i="170"/>
  <c r="G36" i="170"/>
  <c r="E53" i="164"/>
  <c r="F53" i="164" s="1"/>
  <c r="Q53" i="165"/>
  <c r="Q53" i="166" s="1"/>
  <c r="E39" i="164"/>
  <c r="F39" i="164" s="1"/>
  <c r="Q39" i="165"/>
  <c r="Q39" i="166" s="1"/>
  <c r="G32" i="170"/>
  <c r="G48" i="170"/>
  <c r="Q38" i="165"/>
  <c r="Q38" i="166" s="1"/>
  <c r="E38" i="164"/>
  <c r="F38" i="164" s="1"/>
  <c r="G131" i="170" l="1"/>
  <c r="F131" i="170"/>
  <c r="Q31" i="165"/>
  <c r="Q31" i="166" s="1"/>
  <c r="Q131" i="166" s="1"/>
  <c r="L27" i="170"/>
  <c r="M34" i="170" s="1"/>
  <c r="H34" i="170" s="1"/>
  <c r="D34" i="171" s="1"/>
  <c r="E31" i="164"/>
  <c r="F34" i="171" l="1"/>
  <c r="M59" i="170"/>
  <c r="H59" i="170" s="1"/>
  <c r="D59" i="171" s="1"/>
  <c r="M61" i="170"/>
  <c r="H61" i="170" s="1"/>
  <c r="D61" i="171" s="1"/>
  <c r="F59" i="171"/>
  <c r="M67" i="170"/>
  <c r="H67" i="170" s="1"/>
  <c r="D67" i="171" s="1"/>
  <c r="F67" i="171" s="1"/>
  <c r="M68" i="170"/>
  <c r="H68" i="170" s="1"/>
  <c r="D68" i="171" s="1"/>
  <c r="M55" i="170"/>
  <c r="H55" i="170" s="1"/>
  <c r="D55" i="171" s="1"/>
  <c r="F55" i="171" s="1"/>
  <c r="M58" i="170"/>
  <c r="H58" i="170" s="1"/>
  <c r="D58" i="171" s="1"/>
  <c r="Q131" i="165"/>
  <c r="N131" i="166"/>
  <c r="E131" i="164"/>
  <c r="F31" i="164"/>
  <c r="M118" i="170"/>
  <c r="H118" i="170" s="1"/>
  <c r="D118" i="171" s="1"/>
  <c r="M121" i="170"/>
  <c r="H121" i="170" s="1"/>
  <c r="D121" i="171" s="1"/>
  <c r="M101" i="170"/>
  <c r="H101" i="170" s="1"/>
  <c r="D101" i="171" s="1"/>
  <c r="M103" i="170"/>
  <c r="H103" i="170" s="1"/>
  <c r="D103" i="171" s="1"/>
  <c r="M127" i="170"/>
  <c r="H127" i="170" s="1"/>
  <c r="D127" i="171" s="1"/>
  <c r="M108" i="170"/>
  <c r="H108" i="170" s="1"/>
  <c r="D108" i="171" s="1"/>
  <c r="M93" i="170"/>
  <c r="H93" i="170" s="1"/>
  <c r="D93" i="171" s="1"/>
  <c r="M99" i="170"/>
  <c r="H99" i="170" s="1"/>
  <c r="D99" i="171" s="1"/>
  <c r="M95" i="170"/>
  <c r="H95" i="170" s="1"/>
  <c r="D95" i="171" s="1"/>
  <c r="M125" i="170"/>
  <c r="H125" i="170" s="1"/>
  <c r="D125" i="171" s="1"/>
  <c r="M107" i="170"/>
  <c r="H107" i="170" s="1"/>
  <c r="D107" i="171" s="1"/>
  <c r="M110" i="170"/>
  <c r="H110" i="170" s="1"/>
  <c r="D110" i="171" s="1"/>
  <c r="M104" i="170"/>
  <c r="H104" i="170" s="1"/>
  <c r="D104" i="171" s="1"/>
  <c r="M120" i="170"/>
  <c r="H120" i="170" s="1"/>
  <c r="D120" i="171" s="1"/>
  <c r="M96" i="170"/>
  <c r="H96" i="170" s="1"/>
  <c r="D96" i="171" s="1"/>
  <c r="M114" i="170"/>
  <c r="H114" i="170" s="1"/>
  <c r="D114" i="171" s="1"/>
  <c r="M129" i="170"/>
  <c r="H129" i="170" s="1"/>
  <c r="D129" i="171" s="1"/>
  <c r="M100" i="170"/>
  <c r="H100" i="170" s="1"/>
  <c r="D100" i="171" s="1"/>
  <c r="M117" i="170"/>
  <c r="H117" i="170" s="1"/>
  <c r="D117" i="171" s="1"/>
  <c r="M111" i="170"/>
  <c r="H111" i="170" s="1"/>
  <c r="D111" i="171" s="1"/>
  <c r="M106" i="170"/>
  <c r="H106" i="170" s="1"/>
  <c r="D106" i="171" s="1"/>
  <c r="M97" i="170"/>
  <c r="H97" i="170" s="1"/>
  <c r="D97" i="171" s="1"/>
  <c r="M94" i="170"/>
  <c r="H94" i="170" s="1"/>
  <c r="D94" i="171" s="1"/>
  <c r="M102" i="170"/>
  <c r="H102" i="170" s="1"/>
  <c r="D102" i="171" s="1"/>
  <c r="M124" i="170"/>
  <c r="H124" i="170" s="1"/>
  <c r="D124" i="171" s="1"/>
  <c r="M130" i="170"/>
  <c r="H130" i="170" s="1"/>
  <c r="D130" i="171" s="1"/>
  <c r="M119" i="170"/>
  <c r="H119" i="170" s="1"/>
  <c r="D119" i="171" s="1"/>
  <c r="M126" i="170"/>
  <c r="H126" i="170" s="1"/>
  <c r="D126" i="171" s="1"/>
  <c r="M115" i="170"/>
  <c r="H115" i="170" s="1"/>
  <c r="D115" i="171" s="1"/>
  <c r="M123" i="170"/>
  <c r="H123" i="170" s="1"/>
  <c r="D123" i="171" s="1"/>
  <c r="M116" i="170"/>
  <c r="H116" i="170" s="1"/>
  <c r="D116" i="171" s="1"/>
  <c r="M82" i="170"/>
  <c r="H82" i="170" s="1"/>
  <c r="D82" i="171" s="1"/>
  <c r="M57" i="170"/>
  <c r="H57" i="170" s="1"/>
  <c r="D57" i="171" s="1"/>
  <c r="M35" i="170"/>
  <c r="H35" i="170" s="1"/>
  <c r="D35" i="171" s="1"/>
  <c r="M54" i="170"/>
  <c r="H54" i="170" s="1"/>
  <c r="D54" i="171" s="1"/>
  <c r="M41" i="170"/>
  <c r="H41" i="170" s="1"/>
  <c r="D41" i="171" s="1"/>
  <c r="M75" i="170"/>
  <c r="H75" i="170" s="1"/>
  <c r="D75" i="171" s="1"/>
  <c r="M128" i="170"/>
  <c r="H128" i="170" s="1"/>
  <c r="D128" i="171" s="1"/>
  <c r="M105" i="170"/>
  <c r="H105" i="170" s="1"/>
  <c r="D105" i="171" s="1"/>
  <c r="M36" i="170"/>
  <c r="H36" i="170" s="1"/>
  <c r="D36" i="171" s="1"/>
  <c r="M91" i="170"/>
  <c r="H91" i="170" s="1"/>
  <c r="D91" i="171" s="1"/>
  <c r="M48" i="170"/>
  <c r="H48" i="170" s="1"/>
  <c r="D48" i="171" s="1"/>
  <c r="M32" i="170"/>
  <c r="H32" i="170" s="1"/>
  <c r="D32" i="171" s="1"/>
  <c r="M53" i="170"/>
  <c r="H53" i="170" s="1"/>
  <c r="D53" i="171" s="1"/>
  <c r="M46" i="170"/>
  <c r="H46" i="170" s="1"/>
  <c r="D46" i="171" s="1"/>
  <c r="M98" i="170"/>
  <c r="H98" i="170" s="1"/>
  <c r="D98" i="171" s="1"/>
  <c r="M113" i="170"/>
  <c r="H113" i="170" s="1"/>
  <c r="D113" i="171" s="1"/>
  <c r="M122" i="170"/>
  <c r="H122" i="170" s="1"/>
  <c r="D122" i="171" s="1"/>
  <c r="M77" i="170"/>
  <c r="H77" i="170" s="1"/>
  <c r="D77" i="171" s="1"/>
  <c r="M40" i="170"/>
  <c r="H40" i="170" s="1"/>
  <c r="D40" i="171" s="1"/>
  <c r="M31" i="170"/>
  <c r="H31" i="170" s="1"/>
  <c r="M45" i="170"/>
  <c r="H45" i="170" s="1"/>
  <c r="D45" i="171" s="1"/>
  <c r="M52" i="170"/>
  <c r="H52" i="170" s="1"/>
  <c r="D52" i="171" s="1"/>
  <c r="M76" i="170"/>
  <c r="H76" i="170" s="1"/>
  <c r="D76" i="171" s="1"/>
  <c r="M109" i="170"/>
  <c r="H109" i="170" s="1"/>
  <c r="D109" i="171" s="1"/>
  <c r="M112" i="170"/>
  <c r="H112" i="170" s="1"/>
  <c r="D112" i="171" s="1"/>
  <c r="M33" i="170"/>
  <c r="H33" i="170" s="1"/>
  <c r="D33" i="171" s="1"/>
  <c r="M38" i="170"/>
  <c r="H38" i="170" s="1"/>
  <c r="D38" i="171" s="1"/>
  <c r="M42" i="170"/>
  <c r="H42" i="170" s="1"/>
  <c r="D42" i="171" s="1"/>
  <c r="M39" i="170"/>
  <c r="H39" i="170" s="1"/>
  <c r="D39" i="171" s="1"/>
  <c r="M37" i="170"/>
  <c r="H37" i="170" s="1"/>
  <c r="D37" i="171" s="1"/>
  <c r="M51" i="170"/>
  <c r="H51" i="170" s="1"/>
  <c r="D51" i="171" s="1"/>
  <c r="M90" i="170"/>
  <c r="H90" i="170" s="1"/>
  <c r="D90" i="171" s="1"/>
  <c r="F61" i="171" l="1"/>
  <c r="F68" i="171"/>
  <c r="F58" i="171"/>
  <c r="F112" i="171"/>
  <c r="F36" i="171"/>
  <c r="F126" i="171"/>
  <c r="F114" i="171"/>
  <c r="F110" i="171"/>
  <c r="F131" i="164"/>
  <c r="F109" i="171"/>
  <c r="F113" i="171"/>
  <c r="F32" i="171"/>
  <c r="F105" i="171"/>
  <c r="F54" i="171"/>
  <c r="F116" i="171"/>
  <c r="F119" i="171"/>
  <c r="F94" i="171"/>
  <c r="F117" i="171"/>
  <c r="F96" i="171"/>
  <c r="F107" i="171"/>
  <c r="F93" i="171"/>
  <c r="F101" i="171"/>
  <c r="F45" i="171"/>
  <c r="F53" i="171"/>
  <c r="F82" i="171"/>
  <c r="F111" i="171"/>
  <c r="F103" i="171"/>
  <c r="F42" i="171"/>
  <c r="F51" i="171"/>
  <c r="F76" i="171"/>
  <c r="F98" i="171"/>
  <c r="F48" i="171"/>
  <c r="F128" i="171"/>
  <c r="F35" i="171"/>
  <c r="F123" i="171"/>
  <c r="F130" i="171"/>
  <c r="F97" i="171"/>
  <c r="F100" i="171"/>
  <c r="F120" i="171"/>
  <c r="F125" i="171"/>
  <c r="F108" i="171"/>
  <c r="F121" i="171"/>
  <c r="F39" i="171"/>
  <c r="F122" i="171"/>
  <c r="F41" i="171"/>
  <c r="F102" i="171"/>
  <c r="F99" i="171"/>
  <c r="F90" i="171"/>
  <c r="D31" i="171"/>
  <c r="H131" i="170"/>
  <c r="F38" i="171"/>
  <c r="F40" i="171"/>
  <c r="F37" i="171"/>
  <c r="F33" i="171"/>
  <c r="F52" i="171"/>
  <c r="F77" i="171"/>
  <c r="F46" i="171"/>
  <c r="F91" i="171"/>
  <c r="F75" i="171"/>
  <c r="F57" i="171"/>
  <c r="F115" i="171"/>
  <c r="F124" i="171"/>
  <c r="F106" i="171"/>
  <c r="F129" i="171"/>
  <c r="F104" i="171"/>
  <c r="F95" i="171"/>
  <c r="F127" i="171"/>
  <c r="F118" i="171"/>
  <c r="D131" i="171" l="1"/>
  <c r="J27" i="171"/>
  <c r="L34" i="171" s="1"/>
  <c r="G34" i="171" s="1"/>
  <c r="F31" i="171"/>
  <c r="S34" i="165" l="1"/>
  <c r="G34" i="164"/>
  <c r="L59" i="171"/>
  <c r="G59" i="171" s="1"/>
  <c r="G59" i="164" s="1"/>
  <c r="L61" i="171"/>
  <c r="G61" i="171" s="1"/>
  <c r="L67" i="171"/>
  <c r="G67" i="171" s="1"/>
  <c r="S67" i="165" s="1"/>
  <c r="S67" i="166" s="1"/>
  <c r="L68" i="171"/>
  <c r="G68" i="171" s="1"/>
  <c r="L55" i="171"/>
  <c r="G55" i="171" s="1"/>
  <c r="S55" i="165" s="1"/>
  <c r="S55" i="166" s="1"/>
  <c r="L58" i="171"/>
  <c r="G58" i="171" s="1"/>
  <c r="L126" i="171"/>
  <c r="G126" i="171" s="1"/>
  <c r="L113" i="171"/>
  <c r="G113" i="171" s="1"/>
  <c r="L116" i="171"/>
  <c r="G116" i="171" s="1"/>
  <c r="L93" i="171"/>
  <c r="G93" i="171" s="1"/>
  <c r="L103" i="171"/>
  <c r="G103" i="171" s="1"/>
  <c r="L123" i="171"/>
  <c r="G123" i="171" s="1"/>
  <c r="L120" i="171"/>
  <c r="G120" i="171" s="1"/>
  <c r="L108" i="171"/>
  <c r="G108" i="171" s="1"/>
  <c r="L39" i="171"/>
  <c r="G39" i="171" s="1"/>
  <c r="L99" i="171"/>
  <c r="G99" i="171" s="1"/>
  <c r="L129" i="171"/>
  <c r="G129" i="171" s="1"/>
  <c r="L118" i="171"/>
  <c r="G118" i="171" s="1"/>
  <c r="L119" i="171"/>
  <c r="G119" i="171" s="1"/>
  <c r="L101" i="171"/>
  <c r="G101" i="171" s="1"/>
  <c r="L42" i="171"/>
  <c r="G42" i="171" s="1"/>
  <c r="L76" i="171"/>
  <c r="G76" i="171" s="1"/>
  <c r="L48" i="171"/>
  <c r="G48" i="171" s="1"/>
  <c r="L121" i="171"/>
  <c r="G121" i="171" s="1"/>
  <c r="L122" i="171"/>
  <c r="G122" i="171" s="1"/>
  <c r="L102" i="171"/>
  <c r="G102" i="171" s="1"/>
  <c r="L90" i="171"/>
  <c r="G90" i="171" s="1"/>
  <c r="L38" i="171"/>
  <c r="G38" i="171" s="1"/>
  <c r="L52" i="171"/>
  <c r="G52" i="171" s="1"/>
  <c r="L46" i="171"/>
  <c r="G46" i="171" s="1"/>
  <c r="L75" i="171"/>
  <c r="G75" i="171" s="1"/>
  <c r="L106" i="171"/>
  <c r="G106" i="171" s="1"/>
  <c r="L127" i="171"/>
  <c r="G127" i="171" s="1"/>
  <c r="L36" i="171"/>
  <c r="G36" i="171" s="1"/>
  <c r="L107" i="171"/>
  <c r="G107" i="171" s="1"/>
  <c r="L111" i="171"/>
  <c r="G111" i="171" s="1"/>
  <c r="L130" i="171"/>
  <c r="G130" i="171" s="1"/>
  <c r="L125" i="171"/>
  <c r="G125" i="171" s="1"/>
  <c r="L115" i="171"/>
  <c r="G115" i="171" s="1"/>
  <c r="L104" i="171"/>
  <c r="G104" i="171" s="1"/>
  <c r="L114" i="171"/>
  <c r="G114" i="171" s="1"/>
  <c r="L105" i="171"/>
  <c r="G105" i="171" s="1"/>
  <c r="L94" i="171"/>
  <c r="G94" i="171" s="1"/>
  <c r="L96" i="171"/>
  <c r="G96" i="171" s="1"/>
  <c r="L45" i="171"/>
  <c r="G45" i="171" s="1"/>
  <c r="L51" i="171"/>
  <c r="G51" i="171" s="1"/>
  <c r="L98" i="171"/>
  <c r="G98" i="171" s="1"/>
  <c r="L97" i="171"/>
  <c r="G97" i="171" s="1"/>
  <c r="L40" i="171"/>
  <c r="G40" i="171" s="1"/>
  <c r="L77" i="171"/>
  <c r="G77" i="171" s="1"/>
  <c r="L57" i="171"/>
  <c r="G57" i="171" s="1"/>
  <c r="L112" i="171"/>
  <c r="G112" i="171" s="1"/>
  <c r="L110" i="171"/>
  <c r="G110" i="171" s="1"/>
  <c r="L32" i="171"/>
  <c r="G32" i="171" s="1"/>
  <c r="L54" i="171"/>
  <c r="G54" i="171" s="1"/>
  <c r="L117" i="171"/>
  <c r="G117" i="171" s="1"/>
  <c r="L53" i="171"/>
  <c r="G53" i="171" s="1"/>
  <c r="L35" i="171"/>
  <c r="G35" i="171" s="1"/>
  <c r="L37" i="171"/>
  <c r="G37" i="171" s="1"/>
  <c r="L109" i="171"/>
  <c r="G109" i="171" s="1"/>
  <c r="L100" i="171"/>
  <c r="G100" i="171" s="1"/>
  <c r="L82" i="171"/>
  <c r="G82" i="171" s="1"/>
  <c r="L128" i="171"/>
  <c r="G128" i="171" s="1"/>
  <c r="L41" i="171"/>
  <c r="G41" i="171" s="1"/>
  <c r="L33" i="171"/>
  <c r="G33" i="171" s="1"/>
  <c r="L91" i="171"/>
  <c r="G91" i="171" s="1"/>
  <c r="L124" i="171"/>
  <c r="G124" i="171" s="1"/>
  <c r="L95" i="171"/>
  <c r="G95" i="171" s="1"/>
  <c r="F131" i="171"/>
  <c r="L31" i="171"/>
  <c r="G31" i="171" s="1"/>
  <c r="H34" i="164" l="1"/>
  <c r="I34" i="164"/>
  <c r="S34" i="166"/>
  <c r="P34" i="165"/>
  <c r="P34" i="166" s="1"/>
  <c r="S59" i="165"/>
  <c r="S59" i="166" s="1"/>
  <c r="G61" i="164"/>
  <c r="S61" i="165"/>
  <c r="P55" i="165"/>
  <c r="P55" i="166" s="1"/>
  <c r="P67" i="165"/>
  <c r="P67" i="166" s="1"/>
  <c r="G67" i="164"/>
  <c r="H67" i="164" s="1"/>
  <c r="H59" i="164"/>
  <c r="I59" i="164"/>
  <c r="S68" i="165"/>
  <c r="S68" i="166" s="1"/>
  <c r="G68" i="164"/>
  <c r="G55" i="164"/>
  <c r="H55" i="164" s="1"/>
  <c r="G58" i="164"/>
  <c r="S58" i="165"/>
  <c r="S58" i="166" s="1"/>
  <c r="G131" i="171"/>
  <c r="S31" i="165"/>
  <c r="S31" i="166" s="1"/>
  <c r="G31" i="164"/>
  <c r="G32" i="164"/>
  <c r="S32" i="165"/>
  <c r="S32" i="166" s="1"/>
  <c r="G76" i="164"/>
  <c r="S76" i="165"/>
  <c r="S76" i="166" s="1"/>
  <c r="S53" i="165"/>
  <c r="S53" i="166" s="1"/>
  <c r="G53" i="164"/>
  <c r="S45" i="165"/>
  <c r="S45" i="166" s="1"/>
  <c r="G45" i="164"/>
  <c r="S52" i="165"/>
  <c r="S52" i="166" s="1"/>
  <c r="G52" i="164"/>
  <c r="G42" i="164"/>
  <c r="S42" i="165"/>
  <c r="S42" i="166" s="1"/>
  <c r="S82" i="165"/>
  <c r="S82" i="166" s="1"/>
  <c r="G82" i="164"/>
  <c r="G77" i="164"/>
  <c r="S77" i="165"/>
  <c r="S77" i="166" s="1"/>
  <c r="S46" i="165"/>
  <c r="S46" i="166" s="1"/>
  <c r="G46" i="164"/>
  <c r="S40" i="165"/>
  <c r="S40" i="166" s="1"/>
  <c r="G40" i="164"/>
  <c r="S41" i="165"/>
  <c r="S41" i="166" s="1"/>
  <c r="G41" i="164"/>
  <c r="S38" i="165"/>
  <c r="S38" i="166" s="1"/>
  <c r="G38" i="164"/>
  <c r="S91" i="165"/>
  <c r="S91" i="166" s="1"/>
  <c r="G91" i="164"/>
  <c r="G35" i="164"/>
  <c r="S35" i="165"/>
  <c r="S35" i="166" s="1"/>
  <c r="S51" i="165"/>
  <c r="S51" i="166" s="1"/>
  <c r="G51" i="164"/>
  <c r="S36" i="165"/>
  <c r="S36" i="166" s="1"/>
  <c r="G36" i="164"/>
  <c r="S33" i="165"/>
  <c r="S33" i="166" s="1"/>
  <c r="G33" i="164"/>
  <c r="S37" i="165"/>
  <c r="S37" i="166" s="1"/>
  <c r="G37" i="164"/>
  <c r="S54" i="165"/>
  <c r="S54" i="166" s="1"/>
  <c r="G54" i="164"/>
  <c r="S57" i="165"/>
  <c r="S57" i="166" s="1"/>
  <c r="G57" i="164"/>
  <c r="G75" i="164"/>
  <c r="S75" i="165"/>
  <c r="S75" i="166" s="1"/>
  <c r="S90" i="165"/>
  <c r="S90" i="166" s="1"/>
  <c r="G90" i="164"/>
  <c r="G48" i="164"/>
  <c r="S48" i="165"/>
  <c r="S48" i="166" s="1"/>
  <c r="S39" i="165"/>
  <c r="S39" i="166" s="1"/>
  <c r="G39" i="164"/>
  <c r="P59" i="165" l="1"/>
  <c r="P59" i="166" s="1"/>
  <c r="H61" i="164"/>
  <c r="I61" i="164"/>
  <c r="S61" i="166"/>
  <c r="S131" i="166" s="1"/>
  <c r="P61" i="165"/>
  <c r="P61" i="166" s="1"/>
  <c r="P51" i="165"/>
  <c r="P51" i="166" s="1"/>
  <c r="P35" i="165"/>
  <c r="P35" i="166" s="1"/>
  <c r="P32" i="165"/>
  <c r="P32" i="166" s="1"/>
  <c r="P31" i="165"/>
  <c r="P31" i="166" s="1"/>
  <c r="P48" i="165"/>
  <c r="P48" i="166" s="1"/>
  <c r="P40" i="165"/>
  <c r="P40" i="166" s="1"/>
  <c r="P75" i="165"/>
  <c r="P75" i="166" s="1"/>
  <c r="P57" i="165"/>
  <c r="P57" i="166" s="1"/>
  <c r="P54" i="165"/>
  <c r="P54" i="166" s="1"/>
  <c r="P36" i="165"/>
  <c r="P36" i="166" s="1"/>
  <c r="P45" i="165"/>
  <c r="P45" i="166" s="1"/>
  <c r="P53" i="165"/>
  <c r="P53" i="166" s="1"/>
  <c r="P91" i="165"/>
  <c r="P91" i="166" s="1"/>
  <c r="P39" i="165"/>
  <c r="P39" i="166" s="1"/>
  <c r="P58" i="165"/>
  <c r="P58" i="166" s="1"/>
  <c r="P90" i="165"/>
  <c r="P90" i="166" s="1"/>
  <c r="P46" i="165"/>
  <c r="P46" i="166" s="1"/>
  <c r="P77" i="165"/>
  <c r="P77" i="166" s="1"/>
  <c r="P33" i="165"/>
  <c r="P33" i="166" s="1"/>
  <c r="P52" i="165"/>
  <c r="P52" i="166" s="1"/>
  <c r="P76" i="165"/>
  <c r="P76" i="166" s="1"/>
  <c r="P38" i="165"/>
  <c r="P38" i="166" s="1"/>
  <c r="P41" i="165"/>
  <c r="P41" i="166" s="1"/>
  <c r="P68" i="165"/>
  <c r="P68" i="166" s="1"/>
  <c r="P82" i="165"/>
  <c r="P82" i="166" s="1"/>
  <c r="P42" i="165"/>
  <c r="P42" i="166" s="1"/>
  <c r="P37" i="165"/>
  <c r="P37" i="166" s="1"/>
  <c r="I67" i="164"/>
  <c r="H68" i="164"/>
  <c r="I68" i="164"/>
  <c r="I55" i="164"/>
  <c r="H58" i="164"/>
  <c r="I58" i="164"/>
  <c r="H32" i="164"/>
  <c r="I32" i="164"/>
  <c r="H75" i="164"/>
  <c r="I75" i="164"/>
  <c r="H90" i="164"/>
  <c r="I90" i="164"/>
  <c r="H37" i="164"/>
  <c r="I37" i="164"/>
  <c r="H36" i="164"/>
  <c r="I36" i="164"/>
  <c r="H38" i="164"/>
  <c r="I38" i="164"/>
  <c r="H40" i="164"/>
  <c r="I40" i="164"/>
  <c r="H45" i="164"/>
  <c r="I45" i="164"/>
  <c r="G131" i="164"/>
  <c r="H31" i="164"/>
  <c r="I31" i="164"/>
  <c r="H39" i="164"/>
  <c r="I39" i="164"/>
  <c r="H57" i="164"/>
  <c r="I57" i="164"/>
  <c r="H35" i="164"/>
  <c r="I35" i="164"/>
  <c r="H77" i="164"/>
  <c r="I77" i="164"/>
  <c r="H42" i="164"/>
  <c r="I42" i="164"/>
  <c r="H76" i="164"/>
  <c r="I76" i="164"/>
  <c r="S131" i="165"/>
  <c r="H48" i="164"/>
  <c r="I48" i="164"/>
  <c r="H54" i="164"/>
  <c r="I54" i="164"/>
  <c r="H33" i="164"/>
  <c r="I33" i="164"/>
  <c r="H51" i="164"/>
  <c r="I51" i="164"/>
  <c r="H91" i="164"/>
  <c r="I91" i="164"/>
  <c r="H41" i="164"/>
  <c r="I41" i="164"/>
  <c r="H46" i="164"/>
  <c r="I46" i="164"/>
  <c r="H82" i="164"/>
  <c r="I82" i="164"/>
  <c r="H52" i="164"/>
  <c r="I52" i="164"/>
  <c r="H53" i="164"/>
  <c r="I53" i="164"/>
  <c r="J34" i="164" l="1"/>
  <c r="L34" i="164" s="1"/>
  <c r="J61" i="164"/>
  <c r="J59" i="164"/>
  <c r="L59" i="164" s="1"/>
  <c r="J68" i="164"/>
  <c r="J67" i="164"/>
  <c r="L67" i="164" s="1"/>
  <c r="J58" i="164"/>
  <c r="J55" i="164"/>
  <c r="L55" i="164" s="1"/>
  <c r="J53" i="164"/>
  <c r="L53" i="164" s="1"/>
  <c r="J41" i="164"/>
  <c r="K41" i="164" s="1"/>
  <c r="J54" i="164"/>
  <c r="L54" i="164" s="1"/>
  <c r="J82" i="164"/>
  <c r="L82" i="164" s="1"/>
  <c r="J42" i="164"/>
  <c r="J35" i="164"/>
  <c r="J39" i="164"/>
  <c r="J51" i="164"/>
  <c r="I131" i="164"/>
  <c r="J45" i="164"/>
  <c r="J38" i="164"/>
  <c r="J37" i="164"/>
  <c r="J75" i="164"/>
  <c r="J52" i="164"/>
  <c r="J46" i="164"/>
  <c r="J91" i="164"/>
  <c r="J33" i="164"/>
  <c r="J48" i="164"/>
  <c r="J76" i="164"/>
  <c r="J77" i="164"/>
  <c r="J57" i="164"/>
  <c r="H131" i="164"/>
  <c r="J31" i="164"/>
  <c r="J40" i="164"/>
  <c r="J36" i="164"/>
  <c r="J90" i="164"/>
  <c r="J32" i="164"/>
  <c r="K34" i="164" l="1"/>
  <c r="K61" i="164"/>
  <c r="L61" i="164"/>
  <c r="K59" i="164"/>
  <c r="L68" i="164"/>
  <c r="K68" i="164"/>
  <c r="K67" i="164"/>
  <c r="L58" i="164"/>
  <c r="K58" i="164"/>
  <c r="K55" i="164"/>
  <c r="L41" i="164"/>
  <c r="K53" i="164"/>
  <c r="K54" i="164"/>
  <c r="K82" i="164"/>
  <c r="L48" i="164"/>
  <c r="K48" i="164"/>
  <c r="L52" i="164"/>
  <c r="K52" i="164"/>
  <c r="L37" i="164"/>
  <c r="K37" i="164"/>
  <c r="L51" i="164"/>
  <c r="K51" i="164"/>
  <c r="L35" i="164"/>
  <c r="K35" i="164"/>
  <c r="L40" i="164"/>
  <c r="K40" i="164"/>
  <c r="L57" i="164"/>
  <c r="K57" i="164"/>
  <c r="L33" i="164"/>
  <c r="K33" i="164"/>
  <c r="L38" i="164"/>
  <c r="K38" i="164"/>
  <c r="L42" i="164"/>
  <c r="K42" i="164"/>
  <c r="L32" i="164"/>
  <c r="K32" i="164"/>
  <c r="L90" i="164"/>
  <c r="K90" i="164"/>
  <c r="L77" i="164"/>
  <c r="K77" i="164"/>
  <c r="L91" i="164"/>
  <c r="K91" i="164"/>
  <c r="K45" i="164"/>
  <c r="L45" i="164"/>
  <c r="L36" i="164"/>
  <c r="K36" i="164"/>
  <c r="J131" i="164"/>
  <c r="L31" i="164"/>
  <c r="K31" i="164"/>
  <c r="L76" i="164"/>
  <c r="K76" i="164"/>
  <c r="K46" i="164"/>
  <c r="L46" i="164"/>
  <c r="L75" i="164"/>
  <c r="K75" i="164"/>
  <c r="L39" i="164"/>
  <c r="K39" i="164"/>
  <c r="M34" i="164" l="1"/>
  <c r="O34" i="164" s="1"/>
  <c r="M61" i="164"/>
  <c r="M59" i="164"/>
  <c r="O59" i="164" s="1"/>
  <c r="M68" i="164"/>
  <c r="O68" i="164" s="1"/>
  <c r="M67" i="164"/>
  <c r="O67" i="164" s="1"/>
  <c r="M58" i="164"/>
  <c r="O58" i="164" s="1"/>
  <c r="M55" i="164"/>
  <c r="O55" i="164" s="1"/>
  <c r="M53" i="164"/>
  <c r="N53" i="164" s="1"/>
  <c r="M77" i="164"/>
  <c r="M40" i="164"/>
  <c r="M51" i="164"/>
  <c r="M52" i="164"/>
  <c r="M32" i="164"/>
  <c r="M39" i="164"/>
  <c r="K131" i="164"/>
  <c r="M31" i="164"/>
  <c r="M54" i="164"/>
  <c r="M38" i="164"/>
  <c r="M57" i="164"/>
  <c r="M36" i="164"/>
  <c r="L131" i="164"/>
  <c r="M82" i="164"/>
  <c r="M90" i="164"/>
  <c r="M42" i="164"/>
  <c r="M35" i="164"/>
  <c r="M37" i="164"/>
  <c r="M48" i="164"/>
  <c r="M45" i="164"/>
  <c r="M46" i="164"/>
  <c r="M91" i="164"/>
  <c r="M75" i="164"/>
  <c r="M76" i="164"/>
  <c r="M33" i="164"/>
  <c r="M41" i="164"/>
  <c r="N34" i="164" l="1"/>
  <c r="O61" i="164"/>
  <c r="N61" i="164"/>
  <c r="N59" i="164"/>
  <c r="N68" i="164"/>
  <c r="N67" i="164"/>
  <c r="N58" i="164"/>
  <c r="N55" i="164"/>
  <c r="O53" i="164"/>
  <c r="O41" i="164"/>
  <c r="N41" i="164"/>
  <c r="O37" i="164"/>
  <c r="N37" i="164"/>
  <c r="O82" i="164"/>
  <c r="N82" i="164"/>
  <c r="O38" i="164"/>
  <c r="N38" i="164"/>
  <c r="O39" i="164"/>
  <c r="N39" i="164"/>
  <c r="O40" i="164"/>
  <c r="N40" i="164"/>
  <c r="O91" i="164"/>
  <c r="N91" i="164"/>
  <c r="O46" i="164"/>
  <c r="N46" i="164"/>
  <c r="O35" i="164"/>
  <c r="N35" i="164"/>
  <c r="O54" i="164"/>
  <c r="N54" i="164"/>
  <c r="O32" i="164"/>
  <c r="N32" i="164"/>
  <c r="O77" i="164"/>
  <c r="N77" i="164"/>
  <c r="N33" i="164"/>
  <c r="O33" i="164"/>
  <c r="O45" i="164"/>
  <c r="N45" i="164"/>
  <c r="O42" i="164"/>
  <c r="N42" i="164"/>
  <c r="O36" i="164"/>
  <c r="N36" i="164"/>
  <c r="O31" i="164"/>
  <c r="M131" i="164"/>
  <c r="N31" i="164"/>
  <c r="O52" i="164"/>
  <c r="N52" i="164"/>
  <c r="O76" i="164"/>
  <c r="N76" i="164"/>
  <c r="O75" i="164"/>
  <c r="N75" i="164"/>
  <c r="O48" i="164"/>
  <c r="N48" i="164"/>
  <c r="O90" i="164"/>
  <c r="N90" i="164"/>
  <c r="O57" i="164"/>
  <c r="N57" i="164"/>
  <c r="N51" i="164"/>
  <c r="O51" i="164"/>
  <c r="P34" i="164" l="1"/>
  <c r="R34" i="164" s="1"/>
  <c r="P61" i="164"/>
  <c r="P59" i="164"/>
  <c r="R59" i="164" s="1"/>
  <c r="P68" i="164"/>
  <c r="P67" i="164"/>
  <c r="R67" i="164" s="1"/>
  <c r="P58" i="164"/>
  <c r="P55" i="164"/>
  <c r="R55" i="164" s="1"/>
  <c r="P51" i="164"/>
  <c r="R51" i="164" s="1"/>
  <c r="P36" i="164"/>
  <c r="Q36" i="164" s="1"/>
  <c r="P77" i="164"/>
  <c r="Q77" i="164" s="1"/>
  <c r="P45" i="164"/>
  <c r="P54" i="164"/>
  <c r="P40" i="164"/>
  <c r="P38" i="164"/>
  <c r="P37" i="164"/>
  <c r="P46" i="164"/>
  <c r="P57" i="164"/>
  <c r="P48" i="164"/>
  <c r="P76" i="164"/>
  <c r="N131" i="164"/>
  <c r="P31" i="164"/>
  <c r="P53" i="164"/>
  <c r="P42" i="164"/>
  <c r="P32" i="164"/>
  <c r="P35" i="164"/>
  <c r="P91" i="164"/>
  <c r="P39" i="164"/>
  <c r="P82" i="164"/>
  <c r="P41" i="164"/>
  <c r="P90" i="164"/>
  <c r="P75" i="164"/>
  <c r="P52" i="164"/>
  <c r="O131" i="164"/>
  <c r="P33" i="164"/>
  <c r="Q34" i="164" l="1"/>
  <c r="R61" i="164"/>
  <c r="Q61" i="164"/>
  <c r="Q59" i="164"/>
  <c r="R68" i="164"/>
  <c r="Q68" i="164"/>
  <c r="Q67" i="164"/>
  <c r="R58" i="164"/>
  <c r="Q58" i="164"/>
  <c r="Q55" i="164"/>
  <c r="Q51" i="164"/>
  <c r="R36" i="164"/>
  <c r="R77" i="164"/>
  <c r="R52" i="164"/>
  <c r="Q52" i="164"/>
  <c r="Q91" i="164"/>
  <c r="R91" i="164"/>
  <c r="Q53" i="164"/>
  <c r="R53" i="164"/>
  <c r="Q46" i="164"/>
  <c r="R46" i="164"/>
  <c r="R38" i="164"/>
  <c r="Q38" i="164"/>
  <c r="R75" i="164"/>
  <c r="Q75" i="164"/>
  <c r="R41" i="164"/>
  <c r="Q41" i="164"/>
  <c r="R35" i="164"/>
  <c r="Q35" i="164"/>
  <c r="Q76" i="164"/>
  <c r="R76" i="164"/>
  <c r="R40" i="164"/>
  <c r="Q40" i="164"/>
  <c r="R33" i="164"/>
  <c r="Q33" i="164"/>
  <c r="R90" i="164"/>
  <c r="Q90" i="164"/>
  <c r="Q82" i="164"/>
  <c r="R82" i="164"/>
  <c r="R32" i="164"/>
  <c r="Q32" i="164"/>
  <c r="R48" i="164"/>
  <c r="Q48" i="164"/>
  <c r="R54" i="164"/>
  <c r="Q54" i="164"/>
  <c r="Q39" i="164"/>
  <c r="R39" i="164"/>
  <c r="R42" i="164"/>
  <c r="Q42" i="164"/>
  <c r="P131" i="164"/>
  <c r="R31" i="164"/>
  <c r="Q31" i="164"/>
  <c r="Q57" i="164"/>
  <c r="R57" i="164"/>
  <c r="Q37" i="164"/>
  <c r="R37" i="164"/>
  <c r="R45" i="164"/>
  <c r="Q45" i="164"/>
  <c r="S34" i="164" l="1"/>
  <c r="U34" i="164" s="1"/>
  <c r="S61" i="164"/>
  <c r="S59" i="164"/>
  <c r="U59" i="164" s="1"/>
  <c r="S68" i="164"/>
  <c r="U68" i="164" s="1"/>
  <c r="S67" i="164"/>
  <c r="T67" i="164" s="1"/>
  <c r="S58" i="164"/>
  <c r="U58" i="164" s="1"/>
  <c r="S55" i="164"/>
  <c r="U55" i="164" s="1"/>
  <c r="S77" i="164"/>
  <c r="T77" i="164" s="1"/>
  <c r="S45" i="164"/>
  <c r="T45" i="164" s="1"/>
  <c r="S39" i="164"/>
  <c r="T39" i="164" s="1"/>
  <c r="S36" i="164"/>
  <c r="S35" i="164"/>
  <c r="S75" i="164"/>
  <c r="S42" i="164"/>
  <c r="S48" i="164"/>
  <c r="S33" i="164"/>
  <c r="S46" i="164"/>
  <c r="S91" i="164"/>
  <c r="S54" i="164"/>
  <c r="S82" i="164"/>
  <c r="S76" i="164"/>
  <c r="S41" i="164"/>
  <c r="S38" i="164"/>
  <c r="S52" i="164"/>
  <c r="S57" i="164"/>
  <c r="Q131" i="164"/>
  <c r="S31" i="164"/>
  <c r="S37" i="164"/>
  <c r="R131" i="164"/>
  <c r="S32" i="164"/>
  <c r="S90" i="164"/>
  <c r="S40" i="164"/>
  <c r="S51" i="164"/>
  <c r="S53" i="164"/>
  <c r="T34" i="164" l="1"/>
  <c r="U61" i="164"/>
  <c r="T61" i="164"/>
  <c r="T59" i="164"/>
  <c r="U67" i="164"/>
  <c r="T68" i="164"/>
  <c r="T58" i="164"/>
  <c r="T55" i="164"/>
  <c r="U39" i="164"/>
  <c r="U77" i="164"/>
  <c r="U45" i="164"/>
  <c r="T37" i="164"/>
  <c r="U37" i="164"/>
  <c r="U52" i="164"/>
  <c r="T52" i="164"/>
  <c r="T82" i="164"/>
  <c r="U82" i="164"/>
  <c r="U91" i="164"/>
  <c r="T91" i="164"/>
  <c r="U42" i="164"/>
  <c r="T42" i="164"/>
  <c r="U90" i="164"/>
  <c r="T90" i="164"/>
  <c r="T31" i="164"/>
  <c r="V34" i="164" s="1"/>
  <c r="W34" i="164" s="1"/>
  <c r="U31" i="164"/>
  <c r="S131" i="164"/>
  <c r="U38" i="164"/>
  <c r="T38" i="164"/>
  <c r="T54" i="164"/>
  <c r="U54" i="164"/>
  <c r="T46" i="164"/>
  <c r="U46" i="164"/>
  <c r="T75" i="164"/>
  <c r="U75" i="164"/>
  <c r="U53" i="164"/>
  <c r="T53" i="164"/>
  <c r="U32" i="164"/>
  <c r="T32" i="164"/>
  <c r="T41" i="164"/>
  <c r="U41" i="164"/>
  <c r="T33" i="164"/>
  <c r="U33" i="164"/>
  <c r="U35" i="164"/>
  <c r="T35" i="164"/>
  <c r="U40" i="164"/>
  <c r="T40" i="164"/>
  <c r="U51" i="164"/>
  <c r="T51" i="164"/>
  <c r="T57" i="164"/>
  <c r="U57" i="164"/>
  <c r="U76" i="164"/>
  <c r="T76" i="164"/>
  <c r="U48" i="164"/>
  <c r="T48" i="164"/>
  <c r="T36" i="164"/>
  <c r="U36" i="164"/>
  <c r="T34" i="165" l="1"/>
  <c r="T34" i="166" s="1"/>
  <c r="V61" i="164"/>
  <c r="W61" i="164" s="1"/>
  <c r="V59" i="164"/>
  <c r="W59" i="164" s="1"/>
  <c r="T59" i="165" s="1"/>
  <c r="T59" i="166" s="1"/>
  <c r="V68" i="164"/>
  <c r="W68" i="164" s="1"/>
  <c r="V67" i="164"/>
  <c r="W67" i="164" s="1"/>
  <c r="T67" i="165" s="1"/>
  <c r="T67" i="166" s="1"/>
  <c r="V58" i="164"/>
  <c r="W58" i="164" s="1"/>
  <c r="V55" i="164"/>
  <c r="W55" i="164" s="1"/>
  <c r="T55" i="165" s="1"/>
  <c r="T55" i="166" s="1"/>
  <c r="V77" i="164"/>
  <c r="W77" i="164" s="1"/>
  <c r="T77" i="165" s="1"/>
  <c r="T77" i="166" s="1"/>
  <c r="V32" i="164"/>
  <c r="W32" i="164" s="1"/>
  <c r="T32" i="165" s="1"/>
  <c r="T32" i="166" s="1"/>
  <c r="V57" i="164"/>
  <c r="W57" i="164" s="1"/>
  <c r="T57" i="165" s="1"/>
  <c r="T57" i="166" s="1"/>
  <c r="V33" i="164"/>
  <c r="W33" i="164" s="1"/>
  <c r="T33" i="165" s="1"/>
  <c r="T33" i="166" s="1"/>
  <c r="V91" i="164"/>
  <c r="W91" i="164" s="1"/>
  <c r="V52" i="164"/>
  <c r="W52" i="164" s="1"/>
  <c r="V35" i="164"/>
  <c r="W35" i="164" s="1"/>
  <c r="V75" i="164"/>
  <c r="W75" i="164" s="1"/>
  <c r="V54" i="164"/>
  <c r="W54" i="164" s="1"/>
  <c r="U131" i="164"/>
  <c r="V45" i="164"/>
  <c r="W45" i="164" s="1"/>
  <c r="V76" i="164"/>
  <c r="W76" i="164" s="1"/>
  <c r="V39" i="164"/>
  <c r="W39" i="164" s="1"/>
  <c r="V53" i="164"/>
  <c r="W53" i="164" s="1"/>
  <c r="V38" i="164"/>
  <c r="W38" i="164" s="1"/>
  <c r="T131" i="164"/>
  <c r="V31" i="164"/>
  <c r="V42" i="164"/>
  <c r="W42" i="164" s="1"/>
  <c r="V51" i="164"/>
  <c r="W51" i="164" s="1"/>
  <c r="V36" i="164"/>
  <c r="W36" i="164" s="1"/>
  <c r="V48" i="164"/>
  <c r="W48" i="164" s="1"/>
  <c r="V40" i="164"/>
  <c r="W40" i="164" s="1"/>
  <c r="V41" i="164"/>
  <c r="W41" i="164" s="1"/>
  <c r="V46" i="164"/>
  <c r="W46" i="164" s="1"/>
  <c r="V90" i="164"/>
  <c r="W90" i="164" s="1"/>
  <c r="V82" i="164"/>
  <c r="W82" i="164" s="1"/>
  <c r="V37" i="164"/>
  <c r="W37" i="164" s="1"/>
  <c r="T61" i="165" l="1"/>
  <c r="T61" i="166" s="1"/>
  <c r="X59" i="166"/>
  <c r="Z59" i="166" s="1"/>
  <c r="AA59" i="166"/>
  <c r="T68" i="165"/>
  <c r="T68" i="166" s="1"/>
  <c r="X67" i="166"/>
  <c r="Z67" i="166" s="1"/>
  <c r="AA67" i="166"/>
  <c r="T58" i="165"/>
  <c r="T58" i="166" s="1"/>
  <c r="AA55" i="166"/>
  <c r="X55" i="166"/>
  <c r="Z55" i="166" s="1"/>
  <c r="T36" i="165"/>
  <c r="T36" i="166" s="1"/>
  <c r="T42" i="165"/>
  <c r="T42" i="166" s="1"/>
  <c r="T53" i="165"/>
  <c r="T53" i="166" s="1"/>
  <c r="X57" i="166"/>
  <c r="Z57" i="166" s="1"/>
  <c r="AA57" i="166"/>
  <c r="T75" i="165"/>
  <c r="T75" i="166" s="1"/>
  <c r="T52" i="165"/>
  <c r="T52" i="166" s="1"/>
  <c r="T46" i="165"/>
  <c r="T46" i="166" s="1"/>
  <c r="T51" i="165"/>
  <c r="T51" i="166" s="1"/>
  <c r="T39" i="165"/>
  <c r="T39" i="166" s="1"/>
  <c r="T45" i="165"/>
  <c r="T45" i="166" s="1"/>
  <c r="T35" i="165"/>
  <c r="T35" i="166" s="1"/>
  <c r="T91" i="165"/>
  <c r="T91" i="166" s="1"/>
  <c r="T37" i="165"/>
  <c r="T37" i="166" s="1"/>
  <c r="V131" i="164"/>
  <c r="W31" i="164"/>
  <c r="T82" i="165"/>
  <c r="T82" i="166" s="1"/>
  <c r="T40" i="165"/>
  <c r="T40" i="166" s="1"/>
  <c r="T76" i="165"/>
  <c r="T76" i="166" s="1"/>
  <c r="T41" i="165"/>
  <c r="T41" i="166" s="1"/>
  <c r="T90" i="165"/>
  <c r="T90" i="166" s="1"/>
  <c r="T48" i="165"/>
  <c r="T48" i="166" s="1"/>
  <c r="X77" i="166"/>
  <c r="Z77" i="166" s="1"/>
  <c r="AA77" i="166"/>
  <c r="T38" i="165"/>
  <c r="T38" i="166" s="1"/>
  <c r="T54" i="165"/>
  <c r="T54" i="166" s="1"/>
  <c r="X33" i="166"/>
  <c r="Z33" i="166" s="1"/>
  <c r="AA33" i="166"/>
  <c r="X32" i="166"/>
  <c r="Z32" i="166" s="1"/>
  <c r="AA32" i="166"/>
  <c r="X61" i="164" l="1"/>
  <c r="X34" i="164"/>
  <c r="X68" i="164"/>
  <c r="X59" i="164"/>
  <c r="X68" i="166"/>
  <c r="Z68" i="166" s="1"/>
  <c r="AA68" i="166"/>
  <c r="X58" i="164"/>
  <c r="X67" i="164"/>
  <c r="AA58" i="166"/>
  <c r="X58" i="166"/>
  <c r="Z58" i="166" s="1"/>
  <c r="X48" i="164"/>
  <c r="X55" i="164"/>
  <c r="X54" i="164"/>
  <c r="X40" i="164"/>
  <c r="X41" i="164"/>
  <c r="X38" i="164"/>
  <c r="W131" i="164"/>
  <c r="T31" i="165"/>
  <c r="T31" i="166" s="1"/>
  <c r="T131" i="166" s="1"/>
  <c r="X31" i="164"/>
  <c r="X57" i="164"/>
  <c r="X32" i="164"/>
  <c r="X33" i="164"/>
  <c r="X77" i="164"/>
  <c r="X91" i="164"/>
  <c r="X45" i="164"/>
  <c r="X51" i="164"/>
  <c r="X52" i="164"/>
  <c r="X42" i="164"/>
  <c r="X48" i="166"/>
  <c r="Z48" i="166" s="1"/>
  <c r="AA48" i="166"/>
  <c r="AA40" i="166"/>
  <c r="X40" i="166"/>
  <c r="Z40" i="166" s="1"/>
  <c r="X91" i="166"/>
  <c r="Z91" i="166" s="1"/>
  <c r="AA91" i="166"/>
  <c r="AA45" i="166"/>
  <c r="X45" i="166"/>
  <c r="Z45" i="166" s="1"/>
  <c r="X51" i="166"/>
  <c r="Z51" i="166" s="1"/>
  <c r="AA51" i="166"/>
  <c r="AA52" i="166"/>
  <c r="X52" i="166"/>
  <c r="Z52" i="166" s="1"/>
  <c r="AA42" i="166"/>
  <c r="X42" i="166"/>
  <c r="Z42" i="166" s="1"/>
  <c r="X90" i="164"/>
  <c r="X76" i="164"/>
  <c r="X82" i="164"/>
  <c r="X37" i="164"/>
  <c r="X35" i="164"/>
  <c r="X39" i="164"/>
  <c r="X46" i="164"/>
  <c r="X75" i="164"/>
  <c r="X53" i="164"/>
  <c r="X36" i="164"/>
  <c r="X38" i="166"/>
  <c r="Z38" i="166" s="1"/>
  <c r="AA38" i="166"/>
  <c r="X41" i="166"/>
  <c r="Z41" i="166" s="1"/>
  <c r="AA41" i="166"/>
  <c r="X54" i="166"/>
  <c r="Z54" i="166" s="1"/>
  <c r="AA54" i="166"/>
  <c r="X90" i="166"/>
  <c r="Z90" i="166" s="1"/>
  <c r="AA90" i="166"/>
  <c r="AA76" i="166"/>
  <c r="X76" i="166"/>
  <c r="Z76" i="166" s="1"/>
  <c r="AA82" i="166"/>
  <c r="X82" i="166"/>
  <c r="Z82" i="166" s="1"/>
  <c r="X37" i="166"/>
  <c r="Z37" i="166" s="1"/>
  <c r="AA37" i="166"/>
  <c r="AA35" i="166"/>
  <c r="X35" i="166"/>
  <c r="Z35" i="166" s="1"/>
  <c r="X39" i="166"/>
  <c r="Z39" i="166" s="1"/>
  <c r="AA39" i="166"/>
  <c r="X46" i="166"/>
  <c r="Z46" i="166" s="1"/>
  <c r="AA46" i="166"/>
  <c r="X75" i="166"/>
  <c r="Z75" i="166" s="1"/>
  <c r="AA75" i="166"/>
  <c r="AA53" i="166"/>
  <c r="X53" i="166"/>
  <c r="Z53" i="166" s="1"/>
  <c r="AA36" i="166"/>
  <c r="X36" i="166"/>
  <c r="Z36" i="166" s="1"/>
  <c r="X131" i="164" l="1"/>
  <c r="T131" i="165"/>
  <c r="AA31" i="166" l="1"/>
  <c r="X31" i="166"/>
  <c r="Z31" i="16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9" authorId="0" shapeId="0" xr:uid="{426AE6B0-0AF1-4004-BA6D-1EDF47DE89C6}">
      <text>
        <r>
          <rPr>
            <b/>
            <sz val="9"/>
            <color indexed="81"/>
            <rFont val="Tahoma"/>
            <family val="2"/>
          </rPr>
          <t>מספר שורות למוסדות</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<sst xmlns="http://schemas.openxmlformats.org/spreadsheetml/2006/main" count="5209" uniqueCount="816">
  <si>
    <t>AllowFilterCheckBox</t>
  </si>
  <si>
    <t>AllowFormattingCheckBox</t>
  </si>
  <si>
    <t>AllowColumnFormattingCheckBox</t>
  </si>
  <si>
    <t>AllowRowFormattingCheckBox</t>
  </si>
  <si>
    <t>a</t>
  </si>
  <si>
    <t>b</t>
  </si>
  <si>
    <t>c</t>
  </si>
  <si>
    <t>d</t>
  </si>
  <si>
    <t>e</t>
  </si>
  <si>
    <t>f</t>
  </si>
  <si>
    <t>g</t>
  </si>
  <si>
    <t>h</t>
  </si>
  <si>
    <t>i</t>
  </si>
  <si>
    <t>j</t>
  </si>
  <si>
    <t>k</t>
  </si>
  <si>
    <t>l</t>
  </si>
  <si>
    <t>m</t>
  </si>
  <si>
    <t>n</t>
  </si>
  <si>
    <t>o</t>
  </si>
  <si>
    <t>p</t>
  </si>
  <si>
    <t>q</t>
  </si>
  <si>
    <t>r</t>
  </si>
  <si>
    <t>s</t>
  </si>
  <si>
    <t>t</t>
  </si>
  <si>
    <t>u</t>
  </si>
  <si>
    <t>v</t>
  </si>
  <si>
    <t>w</t>
  </si>
  <si>
    <t>x</t>
  </si>
  <si>
    <t>y</t>
  </si>
  <si>
    <t>z</t>
  </si>
  <si>
    <t>הזנות ראשויות</t>
  </si>
  <si>
    <t>כן</t>
  </si>
  <si>
    <t>לא</t>
  </si>
  <si>
    <t>נא הזן הכנסות</t>
  </si>
  <si>
    <t>הדרכה למשתמש</t>
  </si>
  <si>
    <t>תאריך בניית המודל</t>
  </si>
  <si>
    <t>תאריך עדכון מודל</t>
  </si>
  <si>
    <r>
      <rPr>
        <b/>
        <sz val="20"/>
        <color theme="1"/>
        <rFont val="Calibri"/>
        <family val="2"/>
        <scheme val="minor"/>
      </rPr>
      <t>הערה חשובה:</t>
    </r>
    <r>
      <rPr>
        <b/>
        <sz val="16"/>
        <color theme="1"/>
        <rFont val="Calibri"/>
        <family val="2"/>
        <scheme val="minor"/>
      </rPr>
      <t xml:space="preserve"> בעת עריכת המודל - חל </t>
    </r>
    <r>
      <rPr>
        <b/>
        <u/>
        <sz val="16"/>
        <color theme="1"/>
        <rFont val="Calibri"/>
        <family val="2"/>
        <scheme val="minor"/>
      </rPr>
      <t>איסור מוחלט</t>
    </r>
    <r>
      <rPr>
        <b/>
        <sz val="16"/>
        <color theme="1"/>
        <rFont val="Calibri"/>
        <family val="2"/>
        <scheme val="minor"/>
      </rPr>
      <t xml:space="preserve"> לבצע </t>
    </r>
    <r>
      <rPr>
        <i/>
        <u/>
        <sz val="16"/>
        <color theme="1"/>
        <rFont val="Calibri"/>
        <family val="2"/>
        <scheme val="minor"/>
      </rPr>
      <t>גזירה</t>
    </r>
    <r>
      <rPr>
        <i/>
        <sz val="16"/>
        <color theme="1"/>
        <rFont val="Calibri"/>
        <family val="2"/>
        <scheme val="minor"/>
      </rPr>
      <t xml:space="preserve"> והדבקה</t>
    </r>
    <r>
      <rPr>
        <b/>
        <sz val="16"/>
        <color theme="1"/>
        <rFont val="Calibri"/>
        <family val="2"/>
        <scheme val="minor"/>
      </rPr>
      <t xml:space="preserve"> או </t>
    </r>
    <r>
      <rPr>
        <i/>
        <sz val="16"/>
        <color theme="1"/>
        <rFont val="Calibri"/>
        <family val="2"/>
        <scheme val="minor"/>
      </rPr>
      <t>העברה של תא ממקום למקום על ידי גרירה</t>
    </r>
    <r>
      <rPr>
        <b/>
        <sz val="16"/>
        <color theme="1"/>
        <rFont val="Calibri"/>
        <family val="2"/>
        <scheme val="minor"/>
      </rPr>
      <t>.</t>
    </r>
  </si>
  <si>
    <t>הוראת שעה/מעבר:</t>
  </si>
  <si>
    <t>הדרכה להזנת נתונים</t>
  </si>
  <si>
    <t>צבע התא</t>
  </si>
  <si>
    <t>מטרת התא</t>
  </si>
  <si>
    <t>דגש</t>
  </si>
  <si>
    <t>צהוב</t>
  </si>
  <si>
    <t>הזנת נתונים</t>
  </si>
  <si>
    <t>נדרש להזין מידע בהתאם להנחיות מבחן התמיכה, אי הזנה של תא יכולה להביא לידי שגיאה בתוצאות במודל. למעט גיליון "ניוד מופעים לפרפירה" בו אי הזנת נתון במספר הרצות משמעו 0 הרצות.</t>
  </si>
  <si>
    <t>חום</t>
  </si>
  <si>
    <t>הצגת מידע</t>
  </si>
  <si>
    <t>תא שאיננו מיועד להזנה. תא זה מציג מידע עפ"י נוסחה קבועה ואין לשנות אותה.</t>
  </si>
  <si>
    <t>אדום</t>
  </si>
  <si>
    <t>התראת שגיאה</t>
  </si>
  <si>
    <t>קיימת שגיאה בהזנת נתונים באחד מהתאים המיועדים להזנה, נדרש להזין את הנתונים הנדרשים לפני קביעת גובה תמיכה סופי.</t>
  </si>
  <si>
    <t>את רשימת המוסדות יש להזין בגיליונות השמאליים של הקובץ עם השם "גיליון הזנה" הממוספרים מ-1 עד 60.
נדרש להזין את שם המוסד במקום שם הגיליון.
במידה והוחלט לא להשתמש בגיליון לאחר כתיבת השם, נדרש לשנות חזרה את שם הגיליון לשם המצוין בתא M3 של כל גיליון.
*כל מוסד חייב שיסומן עבורו אם הפעילות שלו תואמת את פעילות התקנה.</t>
  </si>
  <si>
    <t>ניהול גרסאות</t>
  </si>
  <si>
    <t>מספר גרסה</t>
  </si>
  <si>
    <t>תאריך עדכון גרסה</t>
  </si>
  <si>
    <t>תאריך גרסה של מבחן תמיכה</t>
  </si>
  <si>
    <t>התאמות נוספות של מבחן תמיכה</t>
  </si>
  <si>
    <t>מרכזי עדות</t>
  </si>
  <si>
    <t>שנת תקציב</t>
  </si>
  <si>
    <t xml:space="preserve">גובה תמיכה </t>
  </si>
  <si>
    <t>גובה תמיכה בשנה קודמת</t>
  </si>
  <si>
    <t>מדד בסיס</t>
  </si>
  <si>
    <t xml:space="preserve">מדד חדש </t>
  </si>
  <si>
    <t>משקולות</t>
  </si>
  <si>
    <t>פרמטר</t>
  </si>
  <si>
    <t>משקל</t>
  </si>
  <si>
    <t>ארועים</t>
  </si>
  <si>
    <t>תערוכות</t>
  </si>
  <si>
    <t>אתר אינטרנט</t>
  </si>
  <si>
    <t>הוצאה לאור של עלונים</t>
  </si>
  <si>
    <t>הוצאה לאור של ספרי עיון</t>
  </si>
  <si>
    <t>הכנסות עצמיות</t>
  </si>
  <si>
    <t>תיעוד ושימור</t>
  </si>
  <si>
    <t>תנאי סף</t>
  </si>
  <si>
    <t>תנאי רלוונטי רק למוסדות שהתקציב השנתי ששימש לפעילות בכל תחומי מורשת נמוך מ:</t>
  </si>
  <si>
    <t xml:space="preserve">אחוז ההוצאות ששימשו לפעילות של מרכזי עדות ישראל מתוך סך ההוצאות הכספיות המוכחות </t>
  </si>
  <si>
    <t>מספר האירועים שהמוסד מקיים עולה על:</t>
  </si>
  <si>
    <t>שנות פעילות של המוסד</t>
  </si>
  <si>
    <t>ניקוד</t>
  </si>
  <si>
    <t>כינוס</t>
  </si>
  <si>
    <t>הרצאה</t>
  </si>
  <si>
    <t>יום עיון</t>
  </si>
  <si>
    <t>הפקה מורכבת</t>
  </si>
  <si>
    <t>הפקה מורכבת מקורית</t>
  </si>
  <si>
    <t>ארוע רב משתתפים</t>
  </si>
  <si>
    <t>מקדם הכפלה עבור יום עיון או הרצאה שנערכו על ידי מרצה בעל תואר שלישי בתחום בו ניתנה הפעילות</t>
  </si>
  <si>
    <t>ניקוד עבור הפקה שהיא קופרודוקציה:</t>
  </si>
  <si>
    <t>ניקוד מקסימלי</t>
  </si>
  <si>
    <t>ניקוד עבור תערוכה קבועה</t>
  </si>
  <si>
    <t>אין הגבלה</t>
  </si>
  <si>
    <t>ניקוד עבור תערוכה מתחלפת</t>
  </si>
  <si>
    <t>מספר הפריטים המוצגים בתערוכה המזכים בנקודה:</t>
  </si>
  <si>
    <t>מספר נקודות מקסימאלי לפריטים</t>
  </si>
  <si>
    <t>מספר נקודות מקסימאלי לחודשים</t>
  </si>
  <si>
    <t>תערוכה גדולה מוגדרת כאשר:</t>
  </si>
  <si>
    <t>גודל מרכז הפעילות (במ"ר)</t>
  </si>
  <si>
    <t>מספר פריטים</t>
  </si>
  <si>
    <t>משך זמן (בחודשים)</t>
  </si>
  <si>
    <t>מקדם ניקוד לתערוכה גדולה:</t>
  </si>
  <si>
    <t>ניקוד מקסימאלי לגוף עבור סעיף זה:</t>
  </si>
  <si>
    <t>5% ב- 2016</t>
  </si>
  <si>
    <t>מספר דפים סטטים באתר, גדול מ-</t>
  </si>
  <si>
    <t>איכות האתר</t>
  </si>
  <si>
    <t>מקדם הכפלה לאיכות האתר</t>
  </si>
  <si>
    <t>נאותה</t>
  </si>
  <si>
    <t>טובה</t>
  </si>
  <si>
    <t>טובה מאוד</t>
  </si>
  <si>
    <t>נגישות לבעלי מוגבלויות</t>
  </si>
  <si>
    <t>מוסד שמרכז הפעילות נגיש לאנשים עם מוגבלויות, יזכה במספר נקודות:</t>
  </si>
  <si>
    <t>העסקת בעלי מוגבליות</t>
  </si>
  <si>
    <t>המוסד יזכה בנקודה, עבור כל שכיר שהוא אדם בעל מוגבלות (כמשמעו בחוק), ובלבד שסך המשרות הנ"ל לא יפחת מ-</t>
  </si>
  <si>
    <t>עלונים</t>
  </si>
  <si>
    <t>תדירות הופעת העלון</t>
  </si>
  <si>
    <t>מספר עמודי תוכן</t>
  </si>
  <si>
    <t>היקף מוכח של תפוצת העלון</t>
  </si>
  <si>
    <t>תדירות הוצאת העלון</t>
  </si>
  <si>
    <t>אחד בשנה</t>
  </si>
  <si>
    <t>שניים בשנה</t>
  </si>
  <si>
    <t>שלוש בשנה</t>
  </si>
  <si>
    <t>מעל 4 בשנה</t>
  </si>
  <si>
    <t>מספר העמודים בעלון מעל:</t>
  </si>
  <si>
    <t>מוסד שהוציא לאור גרסה מקוונת של עלון, יוכפל הניקוד שלו במקדם:</t>
  </si>
  <si>
    <t>ניקוד מקסימאלי עבור היקף מוכח של תפוצת העלון</t>
  </si>
  <si>
    <t>ספרי עיון</t>
  </si>
  <si>
    <t>מספר העמודים בספר העיון גדול מ:</t>
  </si>
  <si>
    <t>תיעוד ושימור החומר הארכיונאי</t>
  </si>
  <si>
    <t>היקף החומר הארכיוני בתחום המורשת אשר ברשותו הועלה לאתר האינטרנט של המוסד:</t>
  </si>
  <si>
    <t>מעל 20%</t>
  </si>
  <si>
    <t>מעל 50%</t>
  </si>
  <si>
    <t>עמידה בתוכנית העבודה</t>
  </si>
  <si>
    <t>סטייה מתוכנית העבודה בשיעור של עד:</t>
  </si>
  <si>
    <t>גרעון תקציבי א'</t>
  </si>
  <si>
    <t>מוסד שהגרעון שלו בשנה הקודמת היה קטן מ:</t>
  </si>
  <si>
    <t>ובנוסף, הגרעון המצטבר שלו יורד מ:</t>
  </si>
  <si>
    <t>ובנוסף התמיכה של המשרד בשנה קודמת עולה על:</t>
  </si>
  <si>
    <t>ניקודו היחסי יוגדל בשיעור של:</t>
  </si>
  <si>
    <t>גרעון תקציבי ב'</t>
  </si>
  <si>
    <t>מוסד שהגרעון שלו בשנה הקודמת היה גדול מ:</t>
  </si>
  <si>
    <t>או, הגרעון המצטבר שלו עולה על:</t>
  </si>
  <si>
    <t>לא זכאי לתמיכה כל עוד לא הציג תוכנית הבראה</t>
  </si>
  <si>
    <t>הוראת מעבר</t>
  </si>
  <si>
    <t>לא יפחת שיעור התמיכה במוסד בשנת</t>
  </si>
  <si>
    <t>ביחס לשנת קודמת</t>
  </si>
  <si>
    <t>הזנה שגויה</t>
  </si>
  <si>
    <t>מספר סידורי</t>
  </si>
  <si>
    <t>שם המוסד</t>
  </si>
  <si>
    <t>איכות אתר האינטרנט</t>
  </si>
  <si>
    <t>מספר כינוסים</t>
  </si>
  <si>
    <t>מספר הרצאות</t>
  </si>
  <si>
    <t>מתוכם מספר הרצאות שנערכו על ידי מישהו בעל תואר שלישי בתחום בו ניתנה הפעילות:</t>
  </si>
  <si>
    <t>מספר ימי עיון</t>
  </si>
  <si>
    <t>מתוכם מספר ימי עיון שנערכו על ידי מישהו בעל תואר שלישי בתחום בו ניתנה הפעילות:</t>
  </si>
  <si>
    <t>מספר הפקות מורכבות</t>
  </si>
  <si>
    <t>מתוכם הפקות מורכבות שהם קופרודוקציה</t>
  </si>
  <si>
    <t>מספר הפקות מורכבות מקוריות</t>
  </si>
  <si>
    <t>מתוכם הפקות מורכבות מקוריות שהם קופרודוקציה</t>
  </si>
  <si>
    <t>ניקוד על תערוכות</t>
  </si>
  <si>
    <t>מספר דפים סטטיים</t>
  </si>
  <si>
    <t xml:space="preserve">איכות האתר </t>
  </si>
  <si>
    <t>מספר עמודי התוכן</t>
  </si>
  <si>
    <t>היקף מוכח של תפוצה</t>
  </si>
  <si>
    <t>האם יש גרסה אינטרנטית</t>
  </si>
  <si>
    <t>האם מופץ ל-500 איש לפחות?</t>
  </si>
  <si>
    <t>ניקוד ספרי עיון</t>
  </si>
  <si>
    <t>נתונים כללים</t>
  </si>
  <si>
    <t>עובר תנאי סף</t>
  </si>
  <si>
    <t>חריגות שכר</t>
  </si>
  <si>
    <t>שעור גרעון שנתי מהכנסות (%)</t>
  </si>
  <si>
    <t>שעור גרעון מצטבר מהכנסות (%)</t>
  </si>
  <si>
    <r>
      <t xml:space="preserve">מעבר תנאי סף: 
המוסד לא הגיש את כלל המסמכים הדרושים (=לא)
אישור מיוחד לעמידה בתנאי סף (=כן)
</t>
    </r>
    <r>
      <rPr>
        <b/>
        <u/>
        <sz val="9"/>
        <color theme="1"/>
        <rFont val="David"/>
        <family val="2"/>
        <charset val="177"/>
      </rPr>
      <t>הערה חשובה</t>
    </r>
    <r>
      <rPr>
        <sz val="9"/>
        <color theme="1"/>
        <rFont val="David"/>
        <family val="2"/>
        <charset val="177"/>
      </rPr>
      <t>: יש להזין אישור מיוחד רק במידת הצורך, שכן נתון זה מגביל את סכום המקסימאלי לו זכאי המוסד</t>
    </r>
  </si>
  <si>
    <t>תמיכה ציבורית עולה על 25% מהתקציב או גדולה מ-1 מש"ח</t>
  </si>
  <si>
    <t>חריגת שכר</t>
  </si>
  <si>
    <t>עובר תנאי?</t>
  </si>
  <si>
    <t>שיעור תמיכה יחסי בשנה קודמת</t>
  </si>
  <si>
    <t>שיעור יחסי</t>
  </si>
  <si>
    <t>מספר דפים סטטים</t>
  </si>
  <si>
    <t>ניקוד על דפים סטטים</t>
  </si>
  <si>
    <t>נתון עזר</t>
  </si>
  <si>
    <t>המוסד הפיק עלון אחד לפחות, בתפוצה של 500 איש</t>
  </si>
  <si>
    <t>ניקוד תדירות</t>
  </si>
  <si>
    <t>ניקוד עמודי תוכן</t>
  </si>
  <si>
    <t>ניקוד היקף תפוצה</t>
  </si>
  <si>
    <t>בתחום המורשת: שיעור הכנסות העצמיות מכלל ההכנסות</t>
  </si>
  <si>
    <t>שיעור יחסי ראשוני</t>
  </si>
  <si>
    <t>שיעור יחסי מתוקנן</t>
  </si>
  <si>
    <t>גובה התמיכה</t>
  </si>
  <si>
    <t>סה"כ</t>
  </si>
  <si>
    <t>בדוק נתוני הזנה</t>
  </si>
  <si>
    <t>מספר שאינו שלילי</t>
  </si>
  <si>
    <t>מגנון הייצוב</t>
  </si>
  <si>
    <t>שיעור יחסי
לפני ייצוב</t>
  </si>
  <si>
    <t>הפעילות נתמכת לראשונה בתחום מקצועי זה (ברירת מחדל - לא)</t>
  </si>
  <si>
    <t>שיעור התמיכה בשנת ההערכה</t>
  </si>
  <si>
    <t>שיעור תמיכה לאחר ייצוב</t>
  </si>
  <si>
    <t>שיעור יחסי לאחר ייצוב</t>
  </si>
  <si>
    <t>סכום יחסי לאחר ייצוב</t>
  </si>
  <si>
    <t>בקרת נתון שיעור יחסי לפני ייצוב</t>
  </si>
  <si>
    <t>בקרת נתון שיעור תמיכה שנה קודמת</t>
  </si>
  <si>
    <t>בקרת נתון זכאי להגנה</t>
  </si>
  <si>
    <t>0/1</t>
  </si>
  <si>
    <t>בקרת נתונים</t>
  </si>
  <si>
    <t>בקרת סה"כ</t>
  </si>
  <si>
    <t>שיעור תמיכה לאחר גרעון</t>
  </si>
  <si>
    <t>שיעור התמיכה</t>
  </si>
  <si>
    <t>הרצה 1</t>
  </si>
  <si>
    <t xml:space="preserve"> סכום בסיסי</t>
  </si>
  <si>
    <t>ביחס לשנה הקודמת לו</t>
  </si>
  <si>
    <t>חישוב לאחר הגבלת סכום לארכיונים שאינם עומדים בתנאי סף</t>
  </si>
  <si>
    <t>אינדיקציה</t>
  </si>
  <si>
    <t>גובה התמיכה לאחר הוראת מעבר</t>
  </si>
  <si>
    <t>הגנה</t>
  </si>
  <si>
    <t>שיעור התמיכה לאחר גרעון</t>
  </si>
  <si>
    <t>שיעור התמיכה בשנה קודמת</t>
  </si>
  <si>
    <t>שיעור התמיכה ביחס לשנה קודמת</t>
  </si>
  <si>
    <t>משתנה עזר- האם זקוק להגנה (1/0) הרצה 1</t>
  </si>
  <si>
    <t>תמיכה ראשוני- הרצה 1</t>
  </si>
  <si>
    <t>תמיכה מתוקנן - הרצה 1</t>
  </si>
  <si>
    <t>סכום התמיכה ביחס לשנה קודמת</t>
  </si>
  <si>
    <t>משתנה עזר- האם זקוק להגנה (1/0) הרצה 2</t>
  </si>
  <si>
    <t>תמיכה ראשוני- הרצה 2</t>
  </si>
  <si>
    <t>תמיכה מתוקנן - הרצה 2</t>
  </si>
  <si>
    <t>משתנה עזר- האם זקוק להגנה (1/0) הרצה 3</t>
  </si>
  <si>
    <t>תמיכה ראשוני- הרצה 3</t>
  </si>
  <si>
    <t>תמיכה מתוקנן - הרצה 3</t>
  </si>
  <si>
    <t>משתנה עזר- האם זקוק להגנה (1/0) הרצה 4</t>
  </si>
  <si>
    <t>תמיכה ראשוני- הרצה 4</t>
  </si>
  <si>
    <t>תמיכה מתוקנן - הרצה 4</t>
  </si>
  <si>
    <t>משתנה עזר- האם זקוק להגנה (1/0) הרצה 5</t>
  </si>
  <si>
    <t>תמיכה ראשוני- הרצה 5</t>
  </si>
  <si>
    <t>תמיכה מתוקנן - הרצה 5</t>
  </si>
  <si>
    <t>משתנה עזר- האם זקוק להגנה (1/0) הרצה 6</t>
  </si>
  <si>
    <t>תמיכה ראשוני- הרצה 6</t>
  </si>
  <si>
    <t>תמיכה מתוקנן - הרצה 6</t>
  </si>
  <si>
    <t>משתנה עזר- האם זקוק להגנה (1/0) הרצה 7</t>
  </si>
  <si>
    <t>תמיכה ראשוני- הרצה 7</t>
  </si>
  <si>
    <t>תמיכה מתוקנן - הרצה 7</t>
  </si>
  <si>
    <t>משתנה עזר- האם זקוק להגנה (1/0) הרצה 8</t>
  </si>
  <si>
    <t>תמיכה ראשוני- הרצה 8</t>
  </si>
  <si>
    <t>תמיכה מתוקנן - הרצה 8</t>
  </si>
  <si>
    <t>משתנה עזר- האם זקוק להגנה (1/0) הרצה 9</t>
  </si>
  <si>
    <t>תמיכה ראשוני- הרצה 9</t>
  </si>
  <si>
    <t>תמיכה מתוקנן - הרצה 9</t>
  </si>
  <si>
    <t>משתנה עזר- האם זקוק להגנה (1/0) הרצה 10</t>
  </si>
  <si>
    <t>תמיכה ראשוני- הרצה 10</t>
  </si>
  <si>
    <t>תמיכה מתוקנן - הרצה 10</t>
  </si>
  <si>
    <t>גובה תמיכה לאחר הגנה</t>
  </si>
  <si>
    <t>סכום תמיכה לאחר הגנה</t>
  </si>
  <si>
    <t>יתרת תקציב לאחר חלוקה</t>
  </si>
  <si>
    <t>סיכום</t>
  </si>
  <si>
    <t>שיעור תמיכה</t>
  </si>
  <si>
    <t>גובה התמיכה בש"ח בשנה הקודמת</t>
  </si>
  <si>
    <t>שעור שינוי (%)</t>
  </si>
  <si>
    <t>חסר נתון</t>
  </si>
  <si>
    <t>גובה סכום התמיכה המבוקש</t>
  </si>
  <si>
    <t>גובה תמיכה מומלצת</t>
  </si>
  <si>
    <t>האם קיימת הגבלה ראשונית?</t>
  </si>
  <si>
    <t xml:space="preserve">תמיכה מקסימאלית </t>
  </si>
  <si>
    <t>גובה תמיכה לאחר הגבלה לסכום מבוקש</t>
  </si>
  <si>
    <t>תמיכה יחסית לאחר הגבלה לסכום מבוקש</t>
  </si>
  <si>
    <t>שיעור תמיכה יחסי</t>
  </si>
  <si>
    <t>בקרת גובה התמיכה</t>
  </si>
  <si>
    <t>נתון עזר 2</t>
  </si>
  <si>
    <t>תמיכה מקסימאלית 2</t>
  </si>
  <si>
    <t>תמיכה 2</t>
  </si>
  <si>
    <t>נתון עזר 3</t>
  </si>
  <si>
    <t>תמיכה מקסימאלית 3</t>
  </si>
  <si>
    <t>תמיכה 3</t>
  </si>
  <si>
    <t>נתון עזר 4</t>
  </si>
  <si>
    <t>תמיכה מקסימאלית 4</t>
  </si>
  <si>
    <t>תמיכה 4</t>
  </si>
  <si>
    <t>נתון עזר 5</t>
  </si>
  <si>
    <t>תמיכה מקסימאלית 5</t>
  </si>
  <si>
    <t>תמיכה 5</t>
  </si>
  <si>
    <t>סכום תמיכה לגופים חוץ מהגוף המקוזז</t>
  </si>
  <si>
    <t>סה"כ קיזוזים בגין איחורים</t>
  </si>
  <si>
    <t>גובה התמיכה המומלצת</t>
  </si>
  <si>
    <t>ימי איחור</t>
  </si>
  <si>
    <t>גובה סכום מקוזז</t>
  </si>
  <si>
    <t>סכום תמיכה ראשוני לאחר קיזוז</t>
  </si>
  <si>
    <t>גובה תמיכה לאחר קיזוזים</t>
  </si>
  <si>
    <t>הגוף מקוזז בוועדה</t>
  </si>
  <si>
    <t>הגוף מקוזז באיחורים</t>
  </si>
  <si>
    <t>הגוף מקוזז</t>
  </si>
  <si>
    <t>סכום תוספת</t>
  </si>
  <si>
    <t>מספר שלם שאינו שלילי</t>
  </si>
  <si>
    <t>גובה התמיכה המומלץ</t>
  </si>
  <si>
    <t>סה"כ קיזוזים</t>
  </si>
  <si>
    <t>גובה סכום התמיכה המבוקש לאחר הפחתת קיזוזים</t>
  </si>
  <si>
    <t>תמיכה ראשונית</t>
  </si>
  <si>
    <t>תמיכה לאחר הגבלה לסכום מבוקש (2)</t>
  </si>
  <si>
    <t>מגיש בקשה</t>
  </si>
  <si>
    <t>מספר העמותה</t>
  </si>
  <si>
    <t>שם הגוף</t>
  </si>
  <si>
    <t>מהות הבקשה</t>
  </si>
  <si>
    <t>נימוקים</t>
  </si>
  <si>
    <t>קיזוזים בגין ימי איחור</t>
  </si>
  <si>
    <t>קיזוזים בגין החלטות ועדה</t>
  </si>
  <si>
    <t>סכום התמיכה המומלץ אחרי קיזוז</t>
  </si>
  <si>
    <t>מאושר בהתאם למבחן התמיכה</t>
  </si>
  <si>
    <t>פער שנה קודמת מול שנה נוכחית</t>
  </si>
  <si>
    <t>פער באחוזים שנה קודמת מול שנה נוכחית</t>
  </si>
  <si>
    <t>שינוי חריג בסכום שנה קודמת מול שנה נוכחית</t>
  </si>
  <si>
    <t>שינוי חריג באחוזים שנה קודמת מול שנה נוכחית</t>
  </si>
  <si>
    <t>רלוונטי לוועדה</t>
  </si>
  <si>
    <t>גובה תמיכה מאושר בתקנה</t>
  </si>
  <si>
    <t>לא נתמך ב-2017</t>
  </si>
  <si>
    <t>תחילת שנת ההערכה</t>
  </si>
  <si>
    <t>סוף שנת ההערכה</t>
  </si>
  <si>
    <t>יש לשנות את שם הגליון לשם המוסד</t>
  </si>
  <si>
    <t>פעילות המוסד תואם את פעילות התקנה</t>
  </si>
  <si>
    <t>מס' סידורי של המוסד</t>
  </si>
  <si>
    <t>נתוני עזר</t>
  </si>
  <si>
    <t>האם המוסד עובר את תנאי הסף? (כן/לא)</t>
  </si>
  <si>
    <t>האם התמיכה ציבורית במוסד עולה על 25% מהתקציב או גדולה מ-1 מיליון ₪?</t>
  </si>
  <si>
    <t>עודף (גרעון) שנתי (₪)</t>
  </si>
  <si>
    <t>עודף (גרעון) מצטבר (₪)</t>
  </si>
  <si>
    <t>סך הכנסות המוסד (תקציב שנתי)  (₪)</t>
  </si>
  <si>
    <t>סך הכנסות (תקציב שנתי) בכל תחומי המורשת (₪)</t>
  </si>
  <si>
    <t>סך הכנסות (תקציב שנתי) בתחום מרכזי עדות ישראל (₪)</t>
  </si>
  <si>
    <t>סך הוצאות שנתיות המוסד (₪)</t>
  </si>
  <si>
    <t>סך הוצאות שנתיות ששימשו לפעילות בתחום מרכזי עדות (₪)</t>
  </si>
  <si>
    <t>שנת התחלת הפעילות של המוסד</t>
  </si>
  <si>
    <t>הפעילות שבעדה מבוקשת התמיכה אינה מתוקצבת בדרך אחרת מתקציב המדינה (לא= מקבל תקציב בדרך אחרת)</t>
  </si>
  <si>
    <t>קריטריונים לניקוד</t>
  </si>
  <si>
    <r>
      <t>אתר אינטרנט</t>
    </r>
    <r>
      <rPr>
        <sz val="12"/>
        <color theme="1"/>
        <rFont val="David"/>
        <family val="2"/>
        <charset val="177"/>
      </rPr>
      <t xml:space="preserve"> </t>
    </r>
    <r>
      <rPr>
        <sz val="10"/>
        <color theme="1"/>
        <rFont val="David"/>
        <family val="2"/>
        <charset val="177"/>
      </rPr>
      <t>- אין להזין גם הקמה של אתר חדש, וגם נתונים אודות אתר קיים</t>
    </r>
  </si>
  <si>
    <t>הכנסות עצמיות בתחום מרכזי עדות ישראל (₪)</t>
  </si>
  <si>
    <t>סך ההכנסות בתחום מרכזי עדות ישראל (₪)</t>
  </si>
  <si>
    <t>המוסד הגיש בקשה לקבלת תמיכה במוסדות ציבור- כתבי עת</t>
  </si>
  <si>
    <t>המוסד נתמך ב-2017 ו-2018</t>
  </si>
  <si>
    <t>סוג פעילות</t>
  </si>
  <si>
    <t>מספר מ"ר של התצוגה</t>
  </si>
  <si>
    <t>מדובר בתערוכת קבועה/ מתחלפת?</t>
  </si>
  <si>
    <t>ניקוד לתערוכה</t>
  </si>
  <si>
    <t>שם הספר</t>
  </si>
  <si>
    <t>תאריך הוצאה לאור
(שנה/חודש/יום)
(דוגמא 1/10/16)</t>
  </si>
  <si>
    <t>היקף מספר העמודים</t>
  </si>
  <si>
    <t>זכויות היוצרים של ספר העיון שייכות למוסד</t>
  </si>
  <si>
    <t>ניקוד לספר</t>
  </si>
  <si>
    <t>תאריך הוצאה לאור</t>
  </si>
  <si>
    <t xml:space="preserve">קבועה </t>
  </si>
  <si>
    <t>מתחלפת</t>
  </si>
  <si>
    <t>נתון עזר- ניקוד לתערוכות מתחלפות</t>
  </si>
  <si>
    <t>מורשת יהדות קוצ'ין</t>
  </si>
  <si>
    <t>יהודי כלכותה</t>
  </si>
  <si>
    <t>חנוכיות מקוצ'ין</t>
  </si>
  <si>
    <t>משפחות מקוצ'ין</t>
  </si>
  <si>
    <t>רחובות היהודים בקראלה</t>
  </si>
  <si>
    <t>חיי הקהילה במושב נבטים</t>
  </si>
  <si>
    <t>יהדות אתיופיה</t>
  </si>
  <si>
    <t>יהדות הודו</t>
  </si>
  <si>
    <t>עצי מורשת</t>
  </si>
  <si>
    <t>א</t>
  </si>
  <si>
    <t>קיים הסדר זכויות יוצרים</t>
  </si>
  <si>
    <t>מאושר בהתאם למבחן התמיכה. שינוי בתחשיב הבסיסי מושפע מירידה בהכנסות עצמיות ומשינויים שערך המוסד בתחום שימור חומר ארכיוני ובתחום הוצאת עלונים.</t>
  </si>
  <si>
    <t>מאושר בהתאם למבחן התמיכה. שינוי בתחשיב הבסיסי מושפע מירידה בהכנסות עצמיות ומשינויים שערך המוסד בתחום שימור חומר ארכיוני.</t>
  </si>
  <si>
    <t>מאושר בהתאם למבחן התמיכה. שינוי בתחשיב הבסיס מושפע מירידה בשנת ההערכה בפעילות הוצאת עלונים ובמשתנה שימור חומר ארכיוני, לצד עלייה במשתנה הוצאה לאור של ספרי עיון.</t>
  </si>
  <si>
    <t>מאושר בהתאם למבחן התמיכה. שינוי בתחשיב הבסיס מושפע מעלייה בשנת ההערכה במשתנה תיעוד חומר ארכיוני, הוצאה לאור של ספרי עיון והוצאה לאור של עלונים, לצד ירידה במשתנה תערוכות.</t>
  </si>
  <si>
    <t>מאושר בהתאם למבחן התמיכה. שינוי בתחשיב הבסיס מושפע מירידה בשנת ההערכה בתחום אתר האינטרנט ובמשתנה הוצאת עלונים.</t>
  </si>
  <si>
    <t>מאושר בהתאם למבחן התמיכה. שינוי בתחשיב הבסיס מושפע מהיעדר קיומו של אתר אינטרנט שעיקרו מורשת עדות ישראל.</t>
  </si>
  <si>
    <t>מאושר בהתאם למבחן התמיכה. שינוי בתחשיב הבסיס מושפע מירידה בשנת ההערכה במשתני הוצאת ספרי עיון, הוצאת עלונים ותיעוד ושימור חומר ארכיוני, לצד עלייה בקיום ארועי תרבות ובהכנסות עצמיות.</t>
  </si>
  <si>
    <t>מאושר בהתאם למבחן התמיכה. שינוי בתחשיב הבסיס מושפע מירידה בשנת ההערכה בתחום הוצאת ספרי עיון והוצאת עלונים, לצד עלייה במשתנה קיום ארועי תרבות ובמשתנה הכנסות עצמיות.</t>
  </si>
  <si>
    <t>מאושר בהתאם למבחן התמיכה. שינוי בתחשיב הבסיס מושפע מעלייה בשנת ההערכה במשתנה הוצאת עלונים ובמשתנה הכנסות עצמיות.</t>
  </si>
  <si>
    <t>מאושר בהתאם למבחן התמיכה. שינוי בתחשיב הבסיס מושפע מעלייה בשנת ההערכה במשתנה הכנסות עצמיות ובשמתנה קיום תערוכות, לצד ירידה במשתנה הוצאת עלונים.</t>
  </si>
  <si>
    <t>מאושר בהתאם למבחן התמיכה. שינוי בתחשיב הבסיס מושפע מעלייה בשנת ההערכה במשתנה אתר אינטרנט ובמשתנה קיום תערוכות, לצד ירידה במשתנה קיום ארועי תרבות ובמשתנה שימור חומר ארכיוני.</t>
  </si>
  <si>
    <t>מאושר בהתאם למבחן התמיכה. שינוי בתחשיב הבסיס מושפע מעלייה בשנת ההערכה בכלל המשתנים הנבחנים.</t>
  </si>
  <si>
    <t>מאושר בהתאם למבחן התמיכה. שינוי בתחשיב הבסיס מושפע מירידה בשנת ההערכה בתחום הוצאת ספרי עיון ומהיעדרו של אתר אינטרנט, לצד עלייה בתחום קיום ארועי תרבות.</t>
  </si>
  <si>
    <t>מאושר בהתאם למבחן התמיכה. שינוי בתחשיב הבסיס מושפע מירידה בשנת ההערכה בתחום קיום ארועי תרבות בתחום מורשת עדות ישראל, לצד דירוג העלונים שהוציא המוסד כפרסומים שעיקר עיסוקם אינו מורשת עדות ישראל.</t>
  </si>
  <si>
    <t>מאושר בהתאם למבחן התמיכה. שינוי בתחשיב הבסיס מושפע מעלייה בשנת ההערכה במשתנה הוצאת ספרי עיון ומשתנה תיעוד ושימור חומר ארכיוני, לצד ירידה בתחום הוצאת עלונים.</t>
  </si>
  <si>
    <t xml:space="preserve">מאושר בהתאם למבחן התמיכה. שינוי בתחשיב הבסיס מושפע מהיעדר קיומו של אתר אינטרנט שעיקר עיסוקו מורשת עדות ישראל. </t>
  </si>
  <si>
    <t>מאושר בהתאם למבחן התמיכה. שינוי בתחשיב הבסיס מושפע מירידה בשנת ההערכה במשתנה הכנסות עצמיות.</t>
  </si>
  <si>
    <t>מאושר בהתאם להחלטת וועדת תמיכות ובהתאם למבחן התמיכה.</t>
  </si>
  <si>
    <t>מספר בקשה</t>
  </si>
  <si>
    <t>תיאור בקשה קצר</t>
  </si>
  <si>
    <t>סטאטוס</t>
  </si>
  <si>
    <t>מזהה מגיש הבקשה</t>
  </si>
  <si>
    <t>מס' מגיש (ספק)</t>
  </si>
  <si>
    <t>שם מגיש הבקשה</t>
  </si>
  <si>
    <t>שנת בקשה</t>
  </si>
  <si>
    <t>סכום מבוקש</t>
  </si>
  <si>
    <t>סכום מעודכן</t>
  </si>
  <si>
    <t>מס' תקנה</t>
  </si>
  <si>
    <t>תיאור תקנה תקציבית</t>
  </si>
  <si>
    <t>.</t>
  </si>
  <si>
    <t>מס' בקשה שנת תמיכה</t>
  </si>
  <si>
    <t>מס' בקשה שנה קודמת</t>
  </si>
  <si>
    <t>השנה האחרונה בה ניתנה הגנה לצורך 80% (מנגנון הגנה ביחס לשנה קודמת)</t>
  </si>
  <si>
    <t>זכאות להגנה של 80% (מנגנון הגנה ביחס לשנה קודמת)</t>
  </si>
  <si>
    <t>זיהוי מספר הבקשה לאותו גוף</t>
  </si>
  <si>
    <t>סכום תמיכה בשנה קודמת</t>
  </si>
  <si>
    <t>סכום תמיכה מומלץ</t>
  </si>
  <si>
    <t>שיעור שינוי מו שנה קודמת</t>
  </si>
  <si>
    <t>סיבות לשינוי מול שנה קודמת</t>
  </si>
  <si>
    <t>סוגי בקרות</t>
  </si>
  <si>
    <t>מספר</t>
  </si>
  <si>
    <t>מספר שלם</t>
  </si>
  <si>
    <t>מספר חיובי</t>
  </si>
  <si>
    <t>מספר שלם חיובי</t>
  </si>
  <si>
    <t>טקסט</t>
  </si>
  <si>
    <t>טקסט מרשימה סגורה</t>
  </si>
  <si>
    <t>מספר בקרה</t>
  </si>
  <si>
    <t>רלוונטי למבחן עמידה בתנאי סף? 1=רלוונטי. 0= לא רלוונטי אבל נדרשת בקרה על הזנת נתונים. 99= לא רלוונטי ולא נדרשת בקה על הזנת נתונים</t>
  </si>
  <si>
    <t>רשימה סגורה</t>
  </si>
  <si>
    <t>מעבר תנאי סף- במידה ולא רלוונטי להשאיר ריק</t>
  </si>
  <si>
    <t>מס"ד</t>
  </si>
  <si>
    <t>האם המוסד נתמך בפעם הראשונה לפי מבחנים אלו?</t>
  </si>
  <si>
    <t>המוסד עומד בתנאי סף אחרים</t>
  </si>
  <si>
    <t>ריק</t>
  </si>
  <si>
    <t>מעבר תנאי סף</t>
  </si>
  <si>
    <t>הערות</t>
  </si>
  <si>
    <t>בקרה ראשית</t>
  </si>
  <si>
    <t>הועדה קבעה על פי המלצת המדור שהמוסד הוא מרכז עדות, שמקיים פעילות בתחום המורשת של עדות ישראל כהגדרתו במבחנים אלה, כמסגרת נפרדת ומובחנת ובלבד שתקציבה של הפעילות האמורה נבדל מתקציבו הכולל של המוסד ויש לגביה הנהלה מקצועית נפרדת;</t>
  </si>
  <si>
    <t>הוועדה קבעה על פי המלצת המדור שהמוסד פועל כמרכז עדות כהגדרתו במבחנים אלה מיום 1 בינואר של שנת ההערכה לפחות</t>
  </si>
  <si>
    <t>המוסד פועל שלא למטרת רווח, מאוגד ורשום כעמותה לפי חוק העמותות, הקדש ציבורי הרשום אצל רשם ההקדשות לפי חוק הנאמנות , חברה לתועלת הציבור הרשומה אצל רשם ההקדשות לפי חוק החברות,או אגודה עות'מנית, לפי העניין.</t>
  </si>
  <si>
    <t>אחת ממטרותיו העיקריות הרשומות בתקנון או במסמכי היסוד של המוסד היא אחת מהפעולות בתחום מורשת של עדות ישראל</t>
  </si>
  <si>
    <t>4 (1)</t>
  </si>
  <si>
    <t>4 (2)</t>
  </si>
  <si>
    <t>4 (3)</t>
  </si>
  <si>
    <t>4 (4)</t>
  </si>
  <si>
    <t>הפעילות שבעדה מבוקשת התמיכה מתבצעת בישראל</t>
  </si>
  <si>
    <t>4 (5)</t>
  </si>
  <si>
    <t>4 (6)</t>
  </si>
  <si>
    <t>4 (7)</t>
  </si>
  <si>
    <t>הפעילות שבעדה מבוקשת תמיכה אינה חלק מתכנית לימודים פורמלית או מלימודים פורמליים</t>
  </si>
  <si>
    <t>סוג הפעילות שבעדה מבוקשת תמיכה לפי מבחנים אלה אינו מתוקצב בדרך אחרת מתקציב המדינה;</t>
  </si>
  <si>
    <t>4 (8)</t>
  </si>
  <si>
    <t>המוסד הגיש למשרד תכנית מפורטת של הפעילות נשוא בקשת התמיכה לשנת התמיכה בהתאם לסעיף 7 במבחנים אלה, לרבות התייחסות למשתנים המפורטים במבחנים אלה</t>
  </si>
  <si>
    <t>4 (9)</t>
  </si>
  <si>
    <t>המוסד הגיש בקשה בהתאם לנדרש לפי מבחנים אלה, להנחיות היועץ המשפטי לממשלה ולהוראות הנוהל</t>
  </si>
  <si>
    <t>4 (10)</t>
  </si>
  <si>
    <t>4 (11)</t>
  </si>
  <si>
    <t>במסגרת הבקשה לתמיכה בעד פעילות הנתמכת לפי מבחנים אלה, לא יבקש המוסד תמיכה בעד הוצאות שהוצאו בעד כל פעילות אחרת</t>
  </si>
  <si>
    <t>4 (12)</t>
  </si>
  <si>
    <t>המוסד עומד בדרישות הנוהל ובכלל זה יעמיד את עצמו לביקורת המשרד, בהתאם לדינים החלים עליו, הוראות הנוהל והחלטות הממשלה, זאת להבטחת עמידותו בתנאים למתן תמיכה</t>
  </si>
  <si>
    <t>4 (13)</t>
  </si>
  <si>
    <t>4 (14)</t>
  </si>
  <si>
    <t>4 (15)</t>
  </si>
  <si>
    <t>המוסד מקיים את הוראות החוק המתאימות לפעילותו, מקפיד על כללי ניהול תקין ושומר על שקיפות מלאה באורחות התנהלותו באופן ההולם את מטרותיו הציבוריות</t>
  </si>
  <si>
    <t>המוסד פועל ביעילות ובתקורה מינימלית, שמאפשרת את פעולתו התקינה והראויה, לרבות בהתאם לנוהל ולהנחיות החשב הכללי במשרד האוצר לעניין הוצאות הנהלה וכלליות;</t>
  </si>
  <si>
    <t>הוא השלים את הגשת כל הדוחות הנדרשים לצורך ניקודו על פי מבחנים אלה, כשהם מלאים ותקינים, כנדרש מאת המינהל, עד יום 1 במרס של השנה התקציבית הקודמת;</t>
  </si>
  <si>
    <t>המוסד הגיש במהלך שנת התמיכה, דוחות ביצוע שוטפים, דוחות פעילות רבעוניים שוטפים ודוחות שנתיים המעידים על עמידתו בתכנית העבודה ובתנאי הזכאות לקבלת התמיכה</t>
  </si>
  <si>
    <t>4 (17)</t>
  </si>
  <si>
    <t>עלות הפעילות הנתמכת</t>
  </si>
  <si>
    <t>עלות הפעילות שבעדה ניתנת התמיכה ושקיים המוסד בשנת הערכה</t>
  </si>
  <si>
    <t>עמידה בתנאי סף 4 (10)</t>
  </si>
  <si>
    <t>אישור מיוחד</t>
  </si>
  <si>
    <t>יהודית אנגלד</t>
  </si>
  <si>
    <t>גליגולו של ספר תורה</t>
  </si>
  <si>
    <t>מרדכי בן פורת - אדם ופועלו</t>
  </si>
  <si>
    <t>ביסורי גאולה</t>
  </si>
  <si>
    <t>לצייר געגוע</t>
  </si>
  <si>
    <t>נוסטלגיה מאלג'יר</t>
  </si>
  <si>
    <t>סימבולים וברברים</t>
  </si>
  <si>
    <t>בתי כנסת בקוצ'ין</t>
  </si>
  <si>
    <t>מקוצ'ין לארץ ישראל</t>
  </si>
  <si>
    <t>כתובות עתיקות</t>
  </si>
  <si>
    <t>הביאנלה בירושלים בניו יורק</t>
  </si>
  <si>
    <t>תווים לפיוטי ימים נוראים</t>
  </si>
  <si>
    <t>אני קוצ'יני</t>
  </si>
  <si>
    <t>שני ציורים מוארים על ההוואי היהודי במצרים</t>
  </si>
  <si>
    <t>החמסין האחרון</t>
  </si>
  <si>
    <t>יחד שבטי ישראל</t>
  </si>
  <si>
    <t>מורשת הרמב"ם</t>
  </si>
  <si>
    <t>אומנות אתיופית עכשווית</t>
  </si>
  <si>
    <t>אומנות אתיופית היום</t>
  </si>
  <si>
    <t>קהילת יאנינה</t>
  </si>
  <si>
    <t>קהילת רודוס</t>
  </si>
  <si>
    <t>רקמת הזכרונות- ספורו של אהרון פסח יליד שאלוניקי</t>
  </si>
  <si>
    <t>דיואן שבזי כרך ראשון</t>
  </si>
  <si>
    <t>ברוח ובמעש</t>
  </si>
  <si>
    <t>חיי שלום</t>
  </si>
  <si>
    <t>מהררי קדם</t>
  </si>
  <si>
    <t>הבית על ההר</t>
  </si>
  <si>
    <t>יהודי לוב-רבנים וכלי קודש</t>
  </si>
  <si>
    <t>יהודי לוב-בעלי מלאכה ומוצריהם</t>
  </si>
  <si>
    <t>יהודי לוב-שואה ופוגרומים</t>
  </si>
  <si>
    <t>דברי שלום</t>
  </si>
  <si>
    <t>שקיעה לובית</t>
  </si>
  <si>
    <t>געגועים בצבע</t>
  </si>
  <si>
    <t>כלים ומלבושים בוכריים עתיקים</t>
  </si>
  <si>
    <t>תרבות שירת הזוהר</t>
  </si>
  <si>
    <t>יש מנחם לה - זיכרונות וסיפורים</t>
  </si>
  <si>
    <t>נערה ושמה תרנג'ה</t>
  </si>
  <si>
    <t>ואמא שלי אומרת</t>
  </si>
  <si>
    <t>הדרך אל שביל הזהב</t>
  </si>
  <si>
    <t>יהדות טוניס</t>
  </si>
  <si>
    <t>יהדות בוכרה וגיאורגיה</t>
  </si>
  <si>
    <t>שואה וגבורה</t>
  </si>
  <si>
    <t>תערוכת בתי הכנסת</t>
  </si>
  <si>
    <t>אוסף ההגדות</t>
  </si>
  <si>
    <t>מזרח אירופה</t>
  </si>
  <si>
    <t>ציורי ירושלים</t>
  </si>
  <si>
    <t>אוסף ההקלטות והאולפן</t>
  </si>
  <si>
    <t>כתבי יד ופריטי דפוס עתיקים ונדירים</t>
  </si>
  <si>
    <t>החתונה היהודית</t>
  </si>
  <si>
    <t>תערוכת עדות ישראל</t>
  </si>
  <si>
    <t>מיסטיקה ומאגיה - קמיעות וחפצי קודש</t>
  </si>
  <si>
    <t>מיסטיקה ומאגיה - קמיעות וחפצי קודש - ירושלים</t>
  </si>
  <si>
    <t>יהדות הבלקן</t>
  </si>
  <si>
    <t>תערוכת עדות ישראל - ירושלים</t>
  </si>
  <si>
    <t>עם אחד פנים רבות</t>
  </si>
  <si>
    <t>תערוכת בתי כנסת העולם</t>
  </si>
  <si>
    <t>תערוכת קבע</t>
  </si>
  <si>
    <t>מוסר שומרון כרך 6</t>
  </si>
  <si>
    <t>מוסף שומרון 5</t>
  </si>
  <si>
    <t xml:space="preserve">ספריה עתיקה </t>
  </si>
  <si>
    <t>שם עולם - מחקר בנושא השואה 2025</t>
  </si>
  <si>
    <t>מועד</t>
  </si>
  <si>
    <t>מכון שואה ואמונה - שם עולם, לעיון,</t>
  </si>
  <si>
    <t>19-42-02-14</t>
  </si>
  <si>
    <t>מחקר מורשת ואיגודים</t>
  </si>
  <si>
    <t>תמיכה בפעילות מחקר</t>
  </si>
  <si>
    <t>כושרות (ע"ר)</t>
  </si>
  <si>
    <t>תמיכה ממוסד תרבות העוסק במחקר לשנת 2025</t>
  </si>
  <si>
    <t>מכון מש"ה - לחקר משנת הרמב"ם מייסוד</t>
  </si>
  <si>
    <t>חתיכות של שלום</t>
  </si>
  <si>
    <t>טיוט</t>
  </si>
  <si>
    <t>תיאטרון למען השלום (ע"ר)</t>
  </si>
  <si>
    <t>מחקר ופרסום מחקר, מחקרים בעיר דוד הקדומה</t>
  </si>
  <si>
    <t>א.ל.ע.ד. - אל עיר דוד</t>
  </si>
  <si>
    <t>פעילות מחקר 2025</t>
  </si>
  <si>
    <t>אורות הגליל</t>
  </si>
  <si>
    <t>תמיכה שוטפת לשנת 2025</t>
  </si>
  <si>
    <t>חויב</t>
  </si>
  <si>
    <t>איגוד מנהלי תרבות ברשויות המקומיות</t>
  </si>
  <si>
    <t>תמיכה שוטפת בפעילות הגוף</t>
  </si>
  <si>
    <t>מוסד ביאליק מיסודה של ההסתרות הציונ</t>
  </si>
  <si>
    <t>מחקר</t>
  </si>
  <si>
    <t>"וזאת לראיה" מפעלי תרבות ותורה להנצ</t>
  </si>
  <si>
    <t>פורום מוסדות תרבות- איגודים 2025</t>
  </si>
  <si>
    <t>פורום מוסדות תרבות ואמנות בישראל (ע</t>
  </si>
  <si>
    <t>שוטף</t>
  </si>
  <si>
    <t>פורום עמותות תרבות ערביות (ע"ר)</t>
  </si>
  <si>
    <t>מוסדות תרבות העוסקים במחקר</t>
  </si>
  <si>
    <t>מכון שוקן למחקר היהדות ליד בית המדר</t>
  </si>
  <si>
    <t>תחומין</t>
  </si>
  <si>
    <t>צומת-צוותי מדע ותורה</t>
  </si>
  <si>
    <t>בקשת תמיכה לאיגוד המוזאונים</t>
  </si>
  <si>
    <t>איגוד המוזיאונים ואיקו"ם ישראל</t>
  </si>
  <si>
    <t>תמיכה כללית</t>
  </si>
  <si>
    <t>מרכז מורשת יהדות בבל</t>
  </si>
  <si>
    <t>תמיכה שוטפת</t>
  </si>
  <si>
    <t>איגוד מקצועות האנימציה (ע"ר)</t>
  </si>
  <si>
    <t>פעילויות מורשת לכלל העדות</t>
  </si>
  <si>
    <t>חיבה - התנועה למורשת ישראל )ע"ר(</t>
  </si>
  <si>
    <t>תמיכה שוטפת בפעילות העמותה לשנת 2025</t>
  </si>
  <si>
    <t>בת"י - איגוד במאי התיאטרון בישראל (</t>
  </si>
  <si>
    <t>תמיכה בפעילות האיגוד לשנת 2025</t>
  </si>
  <si>
    <t>הפורום הדוקומנטרי בישראל (ע"ר)</t>
  </si>
  <si>
    <t>פעילות 2025 תרבות מורשת עדות ישראל</t>
  </si>
  <si>
    <t>מוסיקה מזרח-מערב }ע"ר{</t>
  </si>
  <si>
    <t>תמיכה שוטפת 2025</t>
  </si>
  <si>
    <t>האיגוד הישראלי לארכיונאות ולמידע (ע</t>
  </si>
  <si>
    <t>תמיכה בפעילות איגוד העורכים</t>
  </si>
  <si>
    <t>איגוד העורכים - איגוד מקצועות הפוסט</t>
  </si>
  <si>
    <t>מרכז למורשת עדות ומסורות ישראל</t>
  </si>
  <si>
    <t>הקם (חל"צ)</t>
  </si>
  <si>
    <t>תמיכה שוטפת במרכז האתני הרב תחומי</t>
  </si>
  <si>
    <t>תאטרון מחול ענבל - מרכז אתני רב תחו</t>
  </si>
  <si>
    <t>מורשת עדות כפר ביתא ישראל 2025</t>
  </si>
  <si>
    <t>עמותת הנני - קהילות משימתיות של יוצ</t>
  </si>
  <si>
    <t>"אור שלום" ע"ש ר' שלום טייאר זצוק"ל</t>
  </si>
  <si>
    <t>תמיכה בפעילות האיגוד והקונגרס ה-1919</t>
  </si>
  <si>
    <t>האיגוד העולמי למדעי היהדות (ע"ר)</t>
  </si>
  <si>
    <t>הנצחת מורשת התרבותית של יהודי צפ"א</t>
  </si>
  <si>
    <t>קרן המרכז העולמי לקהילות יהודי צפון</t>
  </si>
  <si>
    <t>תמיכה בפעילות המכון ומחקריו</t>
  </si>
  <si>
    <t>מכון הרב פראנק (ע"ר)</t>
  </si>
  <si>
    <t>תמיכה שוטפת במכון מחקר תורני</t>
  </si>
  <si>
    <t>מכון לרבני ישובים (ע"ר)</t>
  </si>
  <si>
    <t>איגודים מקצועיים - 2025</t>
  </si>
  <si>
    <t>שח"ם, ארגון השחקנים והשחקניות בישרא</t>
  </si>
  <si>
    <t>מכוני מחקר 2025</t>
  </si>
  <si>
    <t>מרכז להפצת תורה ויראה בנגב</t>
  </si>
  <si>
    <t>בקשת תמיכה איגודים מקצועיים 2025</t>
  </si>
  <si>
    <t>החברה ההיסטורית הישראלית (ע"ר)</t>
  </si>
  <si>
    <t>הוצאת התלמוד עם "הלכה ברורה ובירור הלכה"</t>
  </si>
  <si>
    <t>מכון הלכה ברורה וברור הלכה (ע"ר)</t>
  </si>
  <si>
    <t>מכון שלמה אומן ז"ל (ע"ר)</t>
  </si>
  <si>
    <t>מכון מעליות (ע"ר)</t>
  </si>
  <si>
    <t>בקשת תמיכה לשנת 2025</t>
  </si>
  <si>
    <t>איגוד הבמאיות והבמאים (ע"ר)</t>
  </si>
  <si>
    <t>בקשת תמיכה לשימור מורשת 2025</t>
  </si>
  <si>
    <t>אגודת ישיבת קרלין סטולין בית אהרון</t>
  </si>
  <si>
    <t>יישומים הלכטניים</t>
  </si>
  <si>
    <t>מחקרים תורניים בעלי חשיבות לאומית</t>
  </si>
  <si>
    <t>אוצר ערכי החסידות (ע"ר)</t>
  </si>
  <si>
    <t>תמיכה לשנת 2025</t>
  </si>
  <si>
    <t>איגוד התסריטאים- איגוד תסריטאי הקול</t>
  </si>
  <si>
    <t>תמיכה באגוד אמני ישראל</t>
  </si>
  <si>
    <t>א.מ.י. - אגודת אמני ישראל</t>
  </si>
  <si>
    <t>מכוני מחקר תורניים בעלי חשיבות לאומית</t>
  </si>
  <si>
    <t>המכון ע"ש מרן הרב צבי יהודה קוק זצ"</t>
  </si>
  <si>
    <t>תמיכה במכון להורות נתן</t>
  </si>
  <si>
    <t>מכון להורות נתן (ע"ר)</t>
  </si>
  <si>
    <t>הליכות הארץ - משמרת המצוות במשקים ה</t>
  </si>
  <si>
    <t>מכון מחקר תורני</t>
  </si>
  <si>
    <t>ישיבת בית מאיר ע"ש מרן הגאון ר מאיר</t>
  </si>
  <si>
    <t>תמיכה במכון בן מלך</t>
  </si>
  <si>
    <t>רשת כוללים ומוסדות תורה בן מלך (ע"ר</t>
  </si>
  <si>
    <t>בקשת תמיכה בפעילות איגוד מקצועי 2025</t>
  </si>
  <si>
    <t>איגוד המפיקים לקולנוע וטלוויזיה ביש</t>
  </si>
  <si>
    <t>תמיכה שוטפת עבור המכון</t>
  </si>
  <si>
    <t>כולל דעת תורה - ומכון להוצאת ספרים,</t>
  </si>
  <si>
    <t>תמיכה בחקר משפט התורה</t>
  </si>
  <si>
    <t>מכון להפצת משפט התורה (ע"ר)</t>
  </si>
  <si>
    <t>מכון מחקר - חי בהם 2025</t>
  </si>
  <si>
    <t>חי בהם תורה לאנשים עובדים (ע"ר)</t>
  </si>
  <si>
    <t>מכון דורות - מחקר תורני 2025</t>
  </si>
  <si>
    <t>מכון דורות פוריות ומשפחה (ע"ר)</t>
  </si>
  <si>
    <t>תמיכה במכון הכתב למחקר תורני (ע"ר)</t>
  </si>
  <si>
    <t>מכון הכתב (ע"ר)</t>
  </si>
  <si>
    <t>תמיכה שוטפת עבור מחקרים תורניים</t>
  </si>
  <si>
    <t>קרן מורשת ספרד והמזרח (ע"ר)</t>
  </si>
  <si>
    <t>תמיכה שוטפת בפעילות המכון</t>
  </si>
  <si>
    <t>כת"ר - מכון לכלכלה ע"פ התורה (ע"ר)</t>
  </si>
  <si>
    <t>תמיכה איגודים מקצועיים - 2025</t>
  </si>
  <si>
    <t>אקט איגוד עובדים בקולנוע ובטלוויזיה</t>
  </si>
  <si>
    <t>תמיכה שוטפת בפעילות האיגוד המקצועי של הא</t>
  </si>
  <si>
    <t>האיגוד המקצועי של האמנים הפלסטיים ב</t>
  </si>
  <si>
    <t>תמיכה במכון מחקר תורני בעל חשיבות לאומית</t>
  </si>
  <si>
    <t>דרכי הוראה לרבנים (ע"ר)</t>
  </si>
  <si>
    <t>מורשת עדות ישראל 2025</t>
  </si>
  <si>
    <t>נחל נבע מקור חכמה - אגודה להחיאת הי</t>
  </si>
  <si>
    <t>אלמז שימור מורשת יהדות אתיופיה 2025</t>
  </si>
  <si>
    <t>אלמז אמנות בישראל )ע"ר(</t>
  </si>
  <si>
    <t>בקשת תמיכה למכון חתם סופר</t>
  </si>
  <si>
    <t>הישיבה הגדולה אהל שמעון מערלוי ירוש</t>
  </si>
  <si>
    <t>מכון הרי פישל לדרישת התלמוד ומשפט ה</t>
  </si>
  <si>
    <t>שימור המורשת המופלאה של יהדות בוכרה בישר</t>
  </si>
  <si>
    <t>קונגרס יהודי בוכרה (ע"ר)</t>
  </si>
  <si>
    <t>כולנא בית למורשת</t>
  </si>
  <si>
    <t>צעירים בירוחם )ע"ר(</t>
  </si>
  <si>
    <t>מכון הברמן למחקרי ספרות תמיכה שוטפת</t>
  </si>
  <si>
    <t>מכון הברמן למחקרי ספרות )ע"ר(</t>
  </si>
  <si>
    <t>עמותת המכון הישראלי לפרסומים תלמודי</t>
  </si>
  <si>
    <t>תמיכה שוטפת עבור מחקר , שימור והפצת מורש</t>
  </si>
  <si>
    <t>"אעלה בתמר"</t>
  </si>
  <si>
    <t>פורום תרבות- איגודים מקצועיים 2025</t>
  </si>
  <si>
    <t>תמיכה שוטפת במכוני מחקר תורניים</t>
  </si>
  <si>
    <t>התורה והארץ (ע"ר)</t>
  </si>
  <si>
    <t>תורה ומדינה - מכון מחקר (ע"ר)</t>
  </si>
  <si>
    <t>שרשרת הדורות שימור מורשת יהדות תימן 2025</t>
  </si>
  <si>
    <t>שרשרת הדורות - דור לדור יביע אומר ב</t>
  </si>
  <si>
    <t>תמיכה בהוצאת עיתון א.ב חדשות השומרונים</t>
  </si>
  <si>
    <t>"א.ב.- חדשות השומרונים" -דו שבועון,</t>
  </si>
  <si>
    <t>תמיכה בפעילות מחקרית במכון מרחבים</t>
  </si>
  <si>
    <t>מרחבים - מרכז תורני ליהדות וחינוך (</t>
  </si>
  <si>
    <t>תמיכה במכוני מחקר תורניים 2025</t>
  </si>
  <si>
    <t>בית המדרש להלכה בהתישבות - אמונת אי</t>
  </si>
  <si>
    <t>מורשת "אור החיים" הקדוש (ע"ר)</t>
  </si>
  <si>
    <t>תמיכה 2025</t>
  </si>
  <si>
    <t>אוצרות שלמה להוצאת וההדרת כתבי מרן</t>
  </si>
  <si>
    <t>הפעלת המכון 2025</t>
  </si>
  <si>
    <t>מכון בית אהרן וישראל למחקר כת"י והו</t>
  </si>
  <si>
    <t>אורות חמדה )ע"ר(</t>
  </si>
  <si>
    <t>המשך הוצאה לאור של הספר "שתילי זיתים"</t>
  </si>
  <si>
    <t>מכון שתילי זתים - לחקר מורשת תימן ע</t>
  </si>
  <si>
    <t>תקציב שוטף 2025</t>
  </si>
  <si>
    <t>מכון "ראש פינה" בירושלים (ע"ר)</t>
  </si>
  <si>
    <t>פרסום מחקרים בנושא המשפט העברי</t>
  </si>
  <si>
    <t>מכון משפטי ארץ (ע"ר)</t>
  </si>
  <si>
    <t>תמיכה במכון הרב מצליח 2025</t>
  </si>
  <si>
    <t>מוסדות ישיבת כסא רחמים ספרדית (ע"ר)</t>
  </si>
  <si>
    <t>חכמת שלמה - קלוגר (ע"ר)</t>
  </si>
  <si>
    <t>מכון מחקר עטרת ירושלים 2025</t>
  </si>
  <si>
    <t>עטרת ירושלים (ע"ר)</t>
  </si>
  <si>
    <t>מורשת עדות צפת 2025</t>
  </si>
  <si>
    <t>אסנט - היבטים פנימיים של סגנון החיי</t>
  </si>
  <si>
    <t>מכון התלמוד הישראלי השלם ע"ש הרב הר</t>
  </si>
  <si>
    <t>הוצאת אנציקלופדיה תלמודית בע"מ (חל"</t>
  </si>
  <si>
    <t>מכון מחקר תורני לפיד 2025</t>
  </si>
  <si>
    <t>לפיד - אפיקי דעת, שדרות (ע"ר)</t>
  </si>
  <si>
    <t>מרכז מורשת הרב ניסים 2025</t>
  </si>
  <si>
    <t>מרכז מורשת הרב ניסים הראשון לציון ה</t>
  </si>
  <si>
    <t>תמיכה במכון מחקר תורני על סדר טהרות</t>
  </si>
  <si>
    <t>טהרות בעיון (ע"ר)</t>
  </si>
  <si>
    <t>פיתוח והנחלת מורשת יהודי תימן</t>
  </si>
  <si>
    <t>האגודה לטיפוח חברה ותרבות, תיעוד ומ</t>
  </si>
  <si>
    <t>עריכה תורנית ומחקרית תלמוד ירושלמי השלם</t>
  </si>
  <si>
    <t>דרכי שמחה (ע"ר)</t>
  </si>
  <si>
    <t>מורשת עדות ישראל</t>
  </si>
  <si>
    <t>התאחדות עולי מצרים בישראל )ע"ר(</t>
  </si>
  <si>
    <t>מכון מחקר תורני - עמותת סולמות</t>
  </si>
  <si>
    <t>סולמות - יהדות חינוך וחוויה (ע"ר)</t>
  </si>
  <si>
    <t>מורשת יהדות לוב</t>
  </si>
  <si>
    <t>הארגון העולמי של יהודים יוצאי לוב (</t>
  </si>
  <si>
    <t>המכון למצוות התלויות בארץ (ע"ר)</t>
  </si>
  <si>
    <t>בקשת תמיכה 2025</t>
  </si>
  <si>
    <t>ברית יוצאי מרוקו בישראל )ע"ר(</t>
  </si>
  <si>
    <t>מורשת יהדות רומניה לשנת 2025</t>
  </si>
  <si>
    <t>מוסדות שטפנשט (ע"ר)</t>
  </si>
  <si>
    <t>תמיכה בפעילות בנושא מורשת ישראל</t>
  </si>
  <si>
    <t>מוסדות חסידי בעלזא בני-ברק</t>
  </si>
  <si>
    <t>מכון פוע"ה - פוריות ורפואה עפ"י ההל</t>
  </si>
  <si>
    <t>מכוני מחקר תורניים 2025</t>
  </si>
  <si>
    <t>תורת חב"ד לבני הישיבות שעל ידי צעיר</t>
  </si>
  <si>
    <t>בקשה עבור מכוני מחקר תורניים- מרכז מורשת</t>
  </si>
  <si>
    <t>תמיכה באירועי תרבות ומורשת עדות</t>
  </si>
  <si>
    <t>הפדרציה העולמית של יהדות מרוקו (ע"ר</t>
  </si>
  <si>
    <t>תמיכה למחקר תורני בעל משמעות לאומית 2025</t>
  </si>
  <si>
    <t>בית ועד הר-חברון (ע"ר)</t>
  </si>
  <si>
    <t>מעמק חברון- מכון חקר תורני (ע"ר)</t>
  </si>
  <si>
    <t>לימוד והפצת הרמב"ם המבואר (ע"ר)</t>
  </si>
  <si>
    <t>בית מדרש לישראל והאנושות אור תורה</t>
  </si>
  <si>
    <t>אור תורה סטון (ע"ר)</t>
  </si>
  <si>
    <t>תמיכה במחקרים שלל אריאל מפעלי תורה</t>
  </si>
  <si>
    <t>אריאל מפעלי תורה יהדות וחברה בישראל</t>
  </si>
  <si>
    <t>שוטף מכון הר ברכה 2025</t>
  </si>
  <si>
    <t>ישיבת הר ברכה (ע"ר)</t>
  </si>
  <si>
    <t>מכון מחקר</t>
  </si>
  <si>
    <t>בשורת הארץ ע"ש יוסף, נפתלי ודבורה ב</t>
  </si>
  <si>
    <t>מחקר תורני</t>
  </si>
  <si>
    <t>כולל צדקת שלום גדרה (ע"ר)</t>
  </si>
  <si>
    <t>תמיכה במכוני מחקר תורניים</t>
  </si>
  <si>
    <t>מוסדות חינוך וחסד פרי גידולים (ע"ר)</t>
  </si>
  <si>
    <t>מחקרי מכון המקדש תשפ"ה / 2025</t>
  </si>
  <si>
    <t>"המכון ללימוד מחקר ובנין המקדש"</t>
  </si>
  <si>
    <t>הישיבה הגבוהה אור-עציון (ע"ר)</t>
  </si>
  <si>
    <t>תמיכה שוטפת בעמותה במחקר תורני וכו</t>
  </si>
  <si>
    <t>מכון ירושלים בתי מדרש לאברכים (ע"ר)</t>
  </si>
  <si>
    <t>חוסן ישועות לתורת מרן הרב קוק זצ"ל</t>
  </si>
  <si>
    <t>תמיכה במכון יחווה דעת להוציא לאור הלכה ב</t>
  </si>
  <si>
    <t>מכון "יחוה דעת" לפרסומים תורניים הל</t>
  </si>
  <si>
    <t>זרע שמשון (ע"ר)</t>
  </si>
  <si>
    <t>דבר חיים (ע"ר)</t>
  </si>
  <si>
    <t>בית תלמוד לרבנים בישראל (ע"ר)</t>
  </si>
  <si>
    <t>בקשה לתמיכה במכוני מחקר תורניים</t>
  </si>
  <si>
    <t>ישיבת חכמי ירושלים שערי חסד (ע"ר)</t>
  </si>
  <si>
    <t>המרכז האתני למוזיקה, פולקלור ומורשת</t>
  </si>
  <si>
    <t>מורשת עדות ישראל לשנת 2024</t>
  </si>
  <si>
    <t>בקשה להקמה והפעלת אתר מורשת יהדות יפו</t>
  </si>
  <si>
    <t>תמיכה בקבוצת תאטרון נשים אתיופיות לא מקצ</t>
  </si>
  <si>
    <t>מורשת עדות ישראל 2024</t>
  </si>
  <si>
    <t>שרשרת הדורות שימור מורשת יהדות תימן 2024</t>
  </si>
  <si>
    <t>אלמז שימור מורשת יהדות אתיופיה 2024</t>
  </si>
  <si>
    <t>פעולות תרבות לשימור מורשת עולי מצרים</t>
  </si>
  <si>
    <t>שימור מורשת יהדות בוכרה בישראל</t>
  </si>
  <si>
    <t>תמיכה שוטפת, מחקר, ציוד, שכר מדריכים</t>
  </si>
  <si>
    <t>תמיכה בפיתוח והנחלת מורשת יהדות תימן</t>
  </si>
  <si>
    <t>תמיכה שוטפת בפעילות העמותה לשימור מורשת</t>
  </si>
  <si>
    <t>הנחלת מורשת יהדות מרוקו תרבותה וערכיה</t>
  </si>
  <si>
    <t>תמיכה שוטפת לשנת 2024</t>
  </si>
  <si>
    <t>בקשת תמיכה לשימור מורשת 2024</t>
  </si>
  <si>
    <t>מרכז מורשת עדות נדחי ישראל</t>
  </si>
  <si>
    <t>פעילות שוטפת מרכז אתני רב תחומי ענבל</t>
  </si>
  <si>
    <t>קבלת תמיכה כספית לפעיליות העמותה</t>
  </si>
  <si>
    <t>פעילות תרבות בתחום מורשת של עדות ישראל</t>
  </si>
  <si>
    <t>מורשת עדות צפת</t>
  </si>
  <si>
    <t>תמיכה בהוצאת לאור של א.ב חדשות השומרונים</t>
  </si>
  <si>
    <t>מורשת עדות- עמותת הנני 2024</t>
  </si>
  <si>
    <t>כולנא- בית למורשת ומסורת</t>
  </si>
  <si>
    <t>עמותת הליכות עם ישראל 5800007425 תמיכה</t>
  </si>
  <si>
    <t>שימור מסורת ותרבות של יהודים יוצאי לוב</t>
  </si>
  <si>
    <t>תמיכת עדות</t>
  </si>
  <si>
    <t>בקשת תמיכה 2024</t>
  </si>
  <si>
    <t>מדרשת הגולן - מורשת עדות ישראל</t>
  </si>
  <si>
    <t>הפדרציה העולמית של יהדות תוניסיה בישראל</t>
  </si>
  <si>
    <t>שימור מסורת ותרבות יוצאי ליטא</t>
  </si>
  <si>
    <t>בקשת תמיכה לפעילות מורשת עדות ישראל</t>
  </si>
  <si>
    <t>תמיכה בפעילות המרכז לשנת העבודה 2024</t>
  </si>
  <si>
    <t>אירועים לשימור מורשת יהדות אתיופיה</t>
  </si>
  <si>
    <t>אושר</t>
  </si>
  <si>
    <t>מה יפו פעמי בת ציון- תל אביב (ע"ר)</t>
  </si>
  <si>
    <t>המרכז לתיאטרון של עכו (ע"ר)</t>
  </si>
  <si>
    <t>מרכז לתרבות ולשימור מורשת יהדות קוצ</t>
  </si>
  <si>
    <t>שבי ישראל - למען אחינו האובדים (ע"ר</t>
  </si>
  <si>
    <t>המרכז לתרבות האנדלוסית ולפיוט בישרא</t>
  </si>
  <si>
    <t>הליכות עם ישראל )ע"ר(</t>
  </si>
  <si>
    <t>מורשת אבות - לימוד מקצועות הקודש (ע</t>
  </si>
  <si>
    <t>מועצה לשימור אתרי מורשת בישראל (ע"ר</t>
  </si>
  <si>
    <t>רוח הגולן (ע"ר)</t>
  </si>
  <si>
    <t>הפדרציה העולמית של יהדות תוניסיה בי</t>
  </si>
  <si>
    <t>איגוד יוצאי ליטא בישראל (ע"ר)</t>
  </si>
  <si>
    <t>אור תורת שלום (ע"ר)</t>
  </si>
  <si>
    <t>המרכז למורשת יהדות שאלוניקי ויוון ע</t>
  </si>
  <si>
    <t>שכן קרוב-מדרשת שדרות )ע"ר(</t>
  </si>
  <si>
    <t>משרד מורשת</t>
  </si>
  <si>
    <t>תמיכה במחקר</t>
  </si>
  <si>
    <t>בקשת תמיכה לשנת 2025 איגוד הסקווש</t>
  </si>
  <si>
    <t>מחקר סוציולוגי</t>
  </si>
  <si>
    <t>פעילות תחרויות וליגות פוטבול</t>
  </si>
  <si>
    <t>מוסדות תרבות העוסקים במחקר 2025</t>
  </si>
  <si>
    <t>תמיכה במחקר ובהוצאת ספרים</t>
  </si>
  <si>
    <t>בקשה לתמיכה בפעילות איגוד הסמבו 2025</t>
  </si>
  <si>
    <t>פרויקט "שיר לשירה"</t>
  </si>
  <si>
    <t>כולנא</t>
  </si>
  <si>
    <t>תמיכה במכון מחקר תורני</t>
  </si>
  <si>
    <t>מכוני מחקר תורני בעלי חשיבות לאומית</t>
  </si>
  <si>
    <t>תמיכה בפעילות המרכז לשנת העבודה 2025</t>
  </si>
  <si>
    <t>תמיכה במרכז מורשת יהדות קוצ'ין</t>
  </si>
  <si>
    <t>תמיכה בפעילות תרבות בתחום מורשת של עדות</t>
  </si>
  <si>
    <t>שיפוץ אולם תרבות</t>
  </si>
  <si>
    <t>נעסף</t>
  </si>
  <si>
    <t>בוטל</t>
  </si>
  <si>
    <t>התאחדות הסקווש בישראל בע"מ (חל"צ)</t>
  </si>
  <si>
    <t>וישם בליבנו - גני גאולה (ע"ר)</t>
  </si>
  <si>
    <t>התאחדות הפוטבול האמריקאי בישראל צ א</t>
  </si>
  <si>
    <t>קרן יהושע רבינוביץ לאמנויות, תל אבי</t>
  </si>
  <si>
    <t>מכון שוקן למחקר היהדות</t>
  </si>
  <si>
    <t>איגוד הסמבו בישראל (ע"ר)</t>
  </si>
  <si>
    <t>איגוד חרדי לתרבות ואמנות )ע"ר(</t>
  </si>
  <si>
    <t>מעיין התלמוד - ירושלים (ע"ר)</t>
  </si>
  <si>
    <t>עתיד במידבר (ע"ר)</t>
  </si>
  <si>
    <t>חברה למרכזים קהילתיים במגדל העמק בע</t>
  </si>
  <si>
    <t>מסורתית - דמוקרטית</t>
  </si>
  <si>
    <t>יומן מסע מרוקו-מורשת יהדות מרוקו</t>
  </si>
  <si>
    <t>תחילת תקופת ההערכה</t>
  </si>
  <si>
    <t>סיום תקופת הערכה</t>
  </si>
  <si>
    <t>ההכנסות העצמיות של המוסד בשנת ההערכה (₪)</t>
  </si>
  <si>
    <t>סך ההכנסות של המוסד בשנת ההערכה (₪)</t>
  </si>
  <si>
    <t>מאושר בהתאם למבחן התמיכה. שינוי בתחשיב הבסיסי מושפע מירידה במשתנה הוצאה לאור ומעלייה במשתנה תיעוד ושימור חומר ארכיוני. מאושרת תמיכה בגוף בהתאם למבחן התמיכה, אך תשלום התמיכה מוקפא עד להחלטה אחרת של הוועדה.  החלטת הוועדה מפורטת בסיכום דיון הוועדה ותומצא לידיעת הגוף.</t>
  </si>
  <si>
    <t>מאושר בהתאם למבחן התמיכה. שינוי בתחשיב הבסיס מושפע מירידה בשנת ההערכה בהכנסות עצמיות ובמשתנה תיעוד חומר ארכיוני, לצד עלייה במשתנה הוצאת עלונים. מאושרת תמיכה בגוף בהתאם למבחן התמיכה, אך תשלום התמיכה מוקפא עד להחלטה אחרת של הוועדה.  החלטת הוועדה מפורטת בסיכום דיון הוועדה ותומצא לידיעת הגוף.</t>
  </si>
  <si>
    <t>מאושר בהתאם למבחן התמיכה. שינוי בתחשיב הבסיס מושפע מירידה בשנת הערכה במשתנה תערוכות ובתחום הוצאת עלונים, לצד עלייה במשתנה קיום ארועי תרבות. מאושרת תמיכה בגוף בהתאם למבחן התמיכה, אך תשלום התמיכה מוקפא עד להחלטה אחרת של הוועדה.  החלטת הוועדה מפורטת בסיכום דיון הוועדה ותומצא לידיעת הגוף.</t>
  </si>
  <si>
    <t>מאושר בהתאם להחלטת ועדת התמיכות.</t>
  </si>
  <si>
    <t>יהודי לוב - קהילה שהיתה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</si>
</sst>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quot;₪&quot;\ * #,##0_ ;_ &quot;₪&quot;\ * \-#,##0_ ;_ &quot;₪&quot;\ * &quot;-&quot;_ ;_ @_ "/>
    <numFmt numFmtId="165" formatCode="_ &quot;₪&quot;\ * #,##0.00_ ;_ &quot;₪&quot;\ * \-#,##0.00_ ;_ &quot;₪&quot;\ * &quot;-&quot;??_ ;_ @_ "/>
    <numFmt numFmtId="166" formatCode="_ * #,##0.00_ ;_ * \-#,##0.00_ ;_ * &quot;-&quot;??_ ;_ @_ "/>
    <numFmt numFmtId="167" formatCode="&quot;₪&quot;#,##0_);\(&quot;₪&quot;#,##0\)"/>
    <numFmt numFmtId="168" formatCode="&quot;₪&quot;\ #,##0"/>
    <numFmt numFmtId="169" formatCode="0.0"/>
    <numFmt numFmtId="170" formatCode="\ #,##0"/>
    <numFmt numFmtId="171" formatCode="0.0%"/>
    <numFmt numFmtId="172" formatCode="\ #,##0.0"/>
    <numFmt numFmtId="173" formatCode="#,##0.0"/>
    <numFmt numFmtId="174" formatCode="\ #,##0.00"/>
    <numFmt numFmtId="175" formatCode="#,##0_ ;\-#,##0\ "/>
    <numFmt numFmtId="176" formatCode="dd\/mm\/yy"/>
    <numFmt numFmtId="177" formatCode="0000"/>
    <numFmt numFmtId="178" formatCode="[$₪-40D]\ #,##0"/>
    <numFmt numFmtId="179" formatCode="_ &quot;₪&quot;\ * #,##0_ ;_ &quot;₪&quot;\ * \-#,##0_ ;_ &quot;₪&quot;\ * &quot;-&quot;??_ ;_ @_ "/>
    <numFmt numFmtId="180" formatCode="0.00000000000000%"/>
    <numFmt numFmtId="181" formatCode="0.000%"/>
    <numFmt numFmtId="182" formatCode="_ * #,##0_ ;_ * \-#,##0_ ;_ * &quot;-&quot;??_ ;_ @_ "/>
  </numFmts>
  <fonts count="86" x14ac:knownFonts="1">
    <font>
      <sz val="12"/>
      <color theme="1"/>
      <name val="David"/>
      <family val="2"/>
      <charset val="177"/>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77"/>
      <scheme val="minor"/>
    </font>
    <font>
      <sz val="12"/>
      <color theme="1"/>
      <name val="David"/>
      <family val="2"/>
      <charset val="177"/>
    </font>
    <font>
      <sz val="10"/>
      <name val="Arial"/>
      <family val="2"/>
    </font>
    <font>
      <sz val="10"/>
      <name val="Arial"/>
      <family val="2"/>
    </font>
    <font>
      <b/>
      <sz val="10"/>
      <name val="Arial"/>
      <family val="2"/>
    </font>
    <font>
      <sz val="11"/>
      <name val="David"/>
      <family val="2"/>
      <charset val="177"/>
    </font>
    <font>
      <sz val="12"/>
      <name val="David"/>
      <family val="2"/>
      <charset val="177"/>
    </font>
    <font>
      <b/>
      <sz val="12"/>
      <name val="Arial"/>
      <family val="2"/>
    </font>
    <font>
      <sz val="12"/>
      <color theme="0"/>
      <name val="David"/>
      <family val="2"/>
      <charset val="177"/>
    </font>
    <font>
      <b/>
      <sz val="16"/>
      <name val="Arial"/>
      <family val="2"/>
    </font>
    <font>
      <b/>
      <sz val="11"/>
      <name val="David"/>
      <family val="2"/>
      <charset val="177"/>
    </font>
    <font>
      <sz val="10"/>
      <color theme="1"/>
      <name val="David"/>
      <family val="2"/>
      <charset val="177"/>
    </font>
    <font>
      <b/>
      <sz val="12"/>
      <color theme="1"/>
      <name val="David"/>
      <family val="2"/>
      <charset val="177"/>
    </font>
    <font>
      <b/>
      <sz val="12"/>
      <color indexed="8"/>
      <name val="David"/>
      <family val="2"/>
      <charset val="177"/>
    </font>
    <font>
      <sz val="16"/>
      <color theme="1"/>
      <name val="David"/>
      <family val="2"/>
      <charset val="177"/>
    </font>
    <font>
      <sz val="16"/>
      <name val="David"/>
      <family val="2"/>
      <charset val="177"/>
    </font>
    <font>
      <sz val="12"/>
      <color theme="4" tint="-0.499984740745262"/>
      <name val="David"/>
      <family val="2"/>
      <charset val="177"/>
    </font>
    <font>
      <sz val="16"/>
      <color theme="0"/>
      <name val="David"/>
      <family val="2"/>
      <charset val="177"/>
    </font>
    <font>
      <sz val="12"/>
      <color theme="1"/>
      <name val="Calibri"/>
      <family val="2"/>
      <charset val="177"/>
      <scheme val="minor"/>
    </font>
    <font>
      <b/>
      <sz val="14"/>
      <color indexed="32"/>
      <name val="Arial"/>
      <family val="2"/>
    </font>
    <font>
      <b/>
      <sz val="16"/>
      <color theme="1"/>
      <name val="David"/>
      <family val="2"/>
      <charset val="177"/>
    </font>
    <font>
      <b/>
      <sz val="16"/>
      <name val="David"/>
      <family val="2"/>
      <charset val="177"/>
    </font>
    <font>
      <sz val="9"/>
      <color theme="1"/>
      <name val="David"/>
      <family val="2"/>
      <charset val="177"/>
    </font>
    <font>
      <b/>
      <u/>
      <sz val="9"/>
      <color theme="1"/>
      <name val="David"/>
      <family val="2"/>
      <charset val="177"/>
    </font>
    <font>
      <b/>
      <sz val="14"/>
      <color theme="1"/>
      <name val="Calibri"/>
      <family val="2"/>
      <scheme val="minor"/>
    </font>
    <font>
      <b/>
      <sz val="12"/>
      <name val="Calibri"/>
      <family val="2"/>
      <scheme val="minor"/>
    </font>
    <font>
      <sz val="12"/>
      <color theme="1"/>
      <name val="Calibri"/>
      <family val="2"/>
      <scheme val="minor"/>
    </font>
    <font>
      <b/>
      <sz val="12"/>
      <color rgb="FFFF0000"/>
      <name val="Calibri"/>
      <family val="2"/>
      <scheme val="minor"/>
    </font>
    <font>
      <b/>
      <sz val="14"/>
      <color theme="0"/>
      <name val="Calibri"/>
      <family val="2"/>
      <scheme val="minor"/>
    </font>
    <font>
      <b/>
      <sz val="12"/>
      <color theme="1"/>
      <name val="Calibri"/>
      <family val="2"/>
      <scheme val="minor"/>
    </font>
    <font>
      <b/>
      <sz val="10"/>
      <name val="Calibri"/>
      <family val="2"/>
      <scheme val="minor"/>
    </font>
    <font>
      <sz val="12"/>
      <name val="Calibri"/>
      <family val="2"/>
      <scheme val="minor"/>
    </font>
    <font>
      <b/>
      <sz val="14"/>
      <name val="Calibri"/>
      <family val="2"/>
      <scheme val="minor"/>
    </font>
    <font>
      <b/>
      <sz val="12"/>
      <color theme="0"/>
      <name val="Calibri"/>
      <family val="2"/>
      <scheme val="minor"/>
    </font>
    <font>
      <sz val="16"/>
      <color theme="1"/>
      <name val="Calibri"/>
      <family val="2"/>
      <scheme val="minor"/>
    </font>
    <font>
      <sz val="10"/>
      <name val="Calibri"/>
      <family val="2"/>
      <scheme val="minor"/>
    </font>
    <font>
      <sz val="12"/>
      <color theme="0"/>
      <name val="Calibri"/>
      <family val="2"/>
      <scheme val="minor"/>
    </font>
    <font>
      <b/>
      <sz val="14"/>
      <color indexed="18"/>
      <name val="David"/>
      <family val="2"/>
      <charset val="177"/>
    </font>
    <font>
      <sz val="10"/>
      <color indexed="8"/>
      <name val="Arial"/>
      <family val="2"/>
    </font>
    <font>
      <b/>
      <sz val="24"/>
      <color theme="1"/>
      <name val="Calibri"/>
      <family val="2"/>
      <scheme val="minor"/>
    </font>
    <font>
      <b/>
      <sz val="16"/>
      <color theme="1"/>
      <name val="Calibri"/>
      <family val="2"/>
      <scheme val="minor"/>
    </font>
    <font>
      <b/>
      <sz val="20"/>
      <color theme="1"/>
      <name val="Calibri"/>
      <family val="2"/>
      <scheme val="minor"/>
    </font>
    <font>
      <b/>
      <u/>
      <sz val="16"/>
      <color theme="1"/>
      <name val="Calibri"/>
      <family val="2"/>
      <scheme val="minor"/>
    </font>
    <font>
      <i/>
      <u/>
      <sz val="16"/>
      <color theme="1"/>
      <name val="Calibri"/>
      <family val="2"/>
      <scheme val="minor"/>
    </font>
    <font>
      <i/>
      <sz val="16"/>
      <color theme="1"/>
      <name val="Calibri"/>
      <family val="2"/>
      <scheme val="minor"/>
    </font>
    <font>
      <b/>
      <sz val="18"/>
      <name val="Calibri"/>
      <family val="2"/>
      <scheme val="minor"/>
    </font>
    <font>
      <b/>
      <sz val="18"/>
      <color theme="1"/>
      <name val="Calibri"/>
      <family val="2"/>
      <scheme val="minor"/>
    </font>
    <font>
      <b/>
      <sz val="12"/>
      <color theme="1"/>
      <name val="David"/>
      <family val="2"/>
    </font>
    <font>
      <b/>
      <sz val="20"/>
      <color theme="1"/>
      <name val="David"/>
      <family val="2"/>
    </font>
    <font>
      <b/>
      <sz val="11"/>
      <color theme="1"/>
      <name val="Calibri"/>
      <family val="2"/>
      <scheme val="minor"/>
    </font>
    <font>
      <b/>
      <sz val="10"/>
      <color rgb="FFFF0000"/>
      <name val="Arial"/>
      <family val="2"/>
    </font>
    <font>
      <b/>
      <sz val="14"/>
      <name val="David"/>
      <family val="2"/>
      <charset val="177"/>
    </font>
    <font>
      <b/>
      <sz val="16"/>
      <name val="Calibri"/>
      <family val="2"/>
      <scheme val="minor"/>
    </font>
    <font>
      <sz val="11"/>
      <color indexed="8"/>
      <name val="Arial"/>
      <family val="2"/>
      <charset val="177"/>
    </font>
    <font>
      <sz val="11"/>
      <color indexed="9"/>
      <name val="Arial"/>
      <family val="2"/>
      <charset val="177"/>
    </font>
    <font>
      <sz val="11"/>
      <color indexed="20"/>
      <name val="Arial"/>
      <family val="2"/>
      <charset val="177"/>
    </font>
    <font>
      <b/>
      <sz val="11"/>
      <color indexed="52"/>
      <name val="Arial"/>
      <family val="2"/>
      <charset val="177"/>
    </font>
    <font>
      <b/>
      <sz val="11"/>
      <color indexed="9"/>
      <name val="Arial"/>
      <family val="2"/>
      <charset val="177"/>
    </font>
    <font>
      <sz val="12"/>
      <name val="David"/>
      <family val="2"/>
    </font>
    <font>
      <i/>
      <sz val="11"/>
      <color indexed="23"/>
      <name val="Arial"/>
      <family val="2"/>
      <charset val="177"/>
    </font>
    <font>
      <sz val="11"/>
      <color indexed="17"/>
      <name val="Arial"/>
      <family val="2"/>
      <charset val="177"/>
    </font>
    <font>
      <b/>
      <sz val="15"/>
      <color indexed="56"/>
      <name val="Arial"/>
      <family val="2"/>
      <charset val="177"/>
    </font>
    <font>
      <b/>
      <sz val="13"/>
      <color indexed="56"/>
      <name val="Arial"/>
      <family val="2"/>
      <charset val="177"/>
    </font>
    <font>
      <b/>
      <sz val="11"/>
      <color indexed="56"/>
      <name val="Arial"/>
      <family val="2"/>
      <charset val="177"/>
    </font>
    <font>
      <sz val="11"/>
      <color indexed="62"/>
      <name val="Arial"/>
      <family val="2"/>
      <charset val="177"/>
    </font>
    <font>
      <sz val="11"/>
      <color indexed="52"/>
      <name val="Arial"/>
      <family val="2"/>
      <charset val="177"/>
    </font>
    <font>
      <sz val="11"/>
      <color indexed="60"/>
      <name val="Arial"/>
      <family val="2"/>
      <charset val="177"/>
    </font>
    <font>
      <sz val="10"/>
      <name val="Arial"/>
      <family val="2"/>
      <charset val="177"/>
    </font>
    <font>
      <sz val="12"/>
      <color indexed="8"/>
      <name val="David"/>
      <family val="2"/>
      <charset val="177"/>
    </font>
    <font>
      <b/>
      <sz val="11"/>
      <color indexed="63"/>
      <name val="Arial"/>
      <family val="2"/>
      <charset val="177"/>
    </font>
    <font>
      <b/>
      <sz val="18"/>
      <color indexed="56"/>
      <name val="Times New Roman"/>
      <family val="2"/>
      <charset val="177"/>
    </font>
    <font>
      <b/>
      <sz val="11"/>
      <color indexed="8"/>
      <name val="Arial"/>
      <family val="2"/>
      <charset val="177"/>
    </font>
    <font>
      <sz val="11"/>
      <color indexed="10"/>
      <name val="Arial"/>
      <family val="2"/>
      <charset val="177"/>
    </font>
    <font>
      <sz val="11"/>
      <color rgb="FFFF0000"/>
      <name val="Calibri"/>
      <family val="2"/>
      <charset val="177"/>
      <scheme val="minor"/>
    </font>
    <font>
      <sz val="11"/>
      <color rgb="FF000000"/>
      <name val="Calibri"/>
      <family val="2"/>
      <scheme val="minor"/>
    </font>
    <font>
      <b/>
      <sz val="14"/>
      <color theme="1"/>
      <name val="David"/>
      <family val="2"/>
    </font>
    <font>
      <b/>
      <sz val="12"/>
      <name val="David"/>
      <family val="2"/>
    </font>
    <font>
      <b/>
      <sz val="9"/>
      <color theme="1"/>
      <name val="David"/>
      <family val="2"/>
    </font>
    <font>
      <b/>
      <sz val="10"/>
      <color theme="1"/>
      <name val="David"/>
      <family val="2"/>
    </font>
    <font>
      <b/>
      <sz val="11"/>
      <color rgb="FFFF0000"/>
      <name val="Calibri"/>
      <family val="2"/>
      <scheme val="minor"/>
    </font>
    <font>
      <b/>
      <sz val="9"/>
      <color indexed="81"/>
      <name val="Tahoma"/>
      <family val="2"/>
    </font>
    <font>
      <sz val="12"/>
      <color indexed="8"/>
      <name val="Arial"/>
      <family val="2"/>
    </font>
  </fonts>
  <fills count="49">
    <fill>
      <patternFill patternType="none"/>
    </fill>
    <fill>
      <patternFill patternType="gray125"/>
    </fill>
    <fill>
      <patternFill patternType="solid">
        <fgColor theme="8" tint="0.79998168889431442"/>
        <bgColor indexed="64"/>
      </patternFill>
    </fill>
    <fill>
      <patternFill patternType="solid">
        <fgColor theme="2"/>
        <bgColor indexed="64"/>
      </patternFill>
    </fill>
    <fill>
      <patternFill patternType="solid">
        <fgColor indexed="47"/>
        <bgColor indexed="64"/>
      </patternFill>
    </fill>
    <fill>
      <patternFill patternType="solid">
        <fgColor rgb="FFFFFF00"/>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rgb="FFFFFFCC"/>
        <bgColor indexed="64"/>
      </patternFill>
    </fill>
    <fill>
      <patternFill patternType="solid">
        <fgColor theme="3" tint="-0.249977111117893"/>
        <bgColor indexed="64"/>
      </patternFill>
    </fill>
    <fill>
      <patternFill patternType="solid">
        <fgColor theme="4" tint="0.39997558519241921"/>
        <bgColor indexed="64"/>
      </patternFill>
    </fill>
    <fill>
      <patternFill patternType="solid">
        <fgColor indexed="42"/>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9" tint="0.79998168889431442"/>
        <bgColor indexed="64"/>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indexed="4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499984740745262"/>
        <bgColor indexed="64"/>
      </patternFill>
    </fill>
  </fills>
  <borders count="82">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style="hair">
        <color auto="1"/>
      </right>
      <top/>
      <bottom style="hair">
        <color auto="1"/>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hair">
        <color auto="1"/>
      </left>
      <right style="hair">
        <color auto="1"/>
      </right>
      <top style="thin">
        <color indexed="64"/>
      </top>
      <bottom/>
      <diagonal/>
    </border>
    <border>
      <left/>
      <right style="thin">
        <color indexed="64"/>
      </right>
      <top/>
      <bottom style="hair">
        <color auto="1"/>
      </bottom>
      <diagonal/>
    </border>
    <border>
      <left/>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ck">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medium">
        <color indexed="64"/>
      </left>
      <right/>
      <top/>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64"/>
      </bottom>
      <diagonal/>
    </border>
    <border>
      <left/>
      <right style="thick">
        <color indexed="64"/>
      </right>
      <top/>
      <bottom style="thick">
        <color indexed="64"/>
      </bottom>
      <diagonal/>
    </border>
    <border>
      <left style="thin">
        <color indexed="64"/>
      </left>
      <right style="thick">
        <color indexed="64"/>
      </right>
      <top/>
      <bottom style="thick">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438">
    <xf numFmtId="0" fontId="0" fillId="0" borderId="0"/>
    <xf numFmtId="9" fontId="5" fillId="0" borderId="0" applyFont="0" applyFill="0" applyBorder="0" applyAlignment="0" applyProtection="0"/>
    <xf numFmtId="0" fontId="6"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166" fontId="5" fillId="0" borderId="0" applyFont="0" applyFill="0" applyBorder="0" applyAlignment="0" applyProtection="0"/>
    <xf numFmtId="0" fontId="6" fillId="0" borderId="0"/>
    <xf numFmtId="0" fontId="5" fillId="0" borderId="0"/>
    <xf numFmtId="0" fontId="6" fillId="0" borderId="0"/>
    <xf numFmtId="9" fontId="5" fillId="0" borderId="0" applyFont="0" applyFill="0" applyBorder="0" applyAlignment="0" applyProtection="0"/>
    <xf numFmtId="0" fontId="4" fillId="0" borderId="0"/>
    <xf numFmtId="9" fontId="4"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5" fillId="0" borderId="0"/>
    <xf numFmtId="166" fontId="5" fillId="0" borderId="0" applyFont="0" applyFill="0" applyBorder="0" applyAlignment="0" applyProtection="0"/>
    <xf numFmtId="9" fontId="6"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166" fontId="6"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6" fillId="0" borderId="0" applyFont="0" applyFill="0" applyBorder="0" applyAlignment="0" applyProtection="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6" fillId="0" borderId="0"/>
    <xf numFmtId="0" fontId="4" fillId="0" borderId="0"/>
    <xf numFmtId="0" fontId="4" fillId="0" borderId="0"/>
    <xf numFmtId="0" fontId="4" fillId="0" borderId="0"/>
    <xf numFmtId="0" fontId="4" fillId="0" borderId="0"/>
    <xf numFmtId="0" fontId="3" fillId="0" borderId="0"/>
    <xf numFmtId="0" fontId="3" fillId="0" borderId="0"/>
    <xf numFmtId="9" fontId="5" fillId="0" borderId="0" applyFont="0" applyFill="0" applyBorder="0" applyAlignment="0" applyProtection="0"/>
    <xf numFmtId="9" fontId="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5" fillId="0" borderId="0"/>
    <xf numFmtId="0" fontId="5" fillId="0" borderId="0"/>
    <xf numFmtId="0" fontId="2" fillId="0" borderId="0"/>
    <xf numFmtId="0" fontId="2" fillId="0" borderId="0"/>
    <xf numFmtId="178" fontId="6" fillId="0" borderId="0"/>
    <xf numFmtId="178" fontId="6" fillId="0" borderId="0"/>
    <xf numFmtId="178" fontId="5" fillId="0" borderId="0"/>
    <xf numFmtId="178" fontId="5" fillId="0" borderId="0"/>
    <xf numFmtId="178" fontId="57" fillId="26" borderId="0" applyNumberFormat="0" applyBorder="0" applyAlignment="0" applyProtection="0"/>
    <xf numFmtId="0" fontId="57" fillId="26" borderId="0" applyNumberFormat="0" applyBorder="0" applyAlignment="0" applyProtection="0"/>
    <xf numFmtId="178" fontId="57" fillId="27" borderId="0" applyNumberFormat="0" applyBorder="0" applyAlignment="0" applyProtection="0"/>
    <xf numFmtId="0" fontId="57" fillId="27" borderId="0" applyNumberFormat="0" applyBorder="0" applyAlignment="0" applyProtection="0"/>
    <xf numFmtId="178" fontId="57" fillId="28" borderId="0" applyNumberFormat="0" applyBorder="0" applyAlignment="0" applyProtection="0"/>
    <xf numFmtId="0" fontId="57" fillId="28" borderId="0" applyNumberFormat="0" applyBorder="0" applyAlignment="0" applyProtection="0"/>
    <xf numFmtId="178" fontId="57" fillId="29" borderId="0" applyNumberFormat="0" applyBorder="0" applyAlignment="0" applyProtection="0"/>
    <xf numFmtId="0" fontId="57" fillId="29" borderId="0" applyNumberFormat="0" applyBorder="0" applyAlignment="0" applyProtection="0"/>
    <xf numFmtId="178" fontId="57" fillId="30" borderId="0" applyNumberFormat="0" applyBorder="0" applyAlignment="0" applyProtection="0"/>
    <xf numFmtId="0" fontId="57" fillId="30" borderId="0" applyNumberFormat="0" applyBorder="0" applyAlignment="0" applyProtection="0"/>
    <xf numFmtId="178" fontId="57" fillId="31" borderId="0" applyNumberFormat="0" applyBorder="0" applyAlignment="0" applyProtection="0"/>
    <xf numFmtId="0" fontId="57" fillId="31" borderId="0" applyNumberFormat="0" applyBorder="0" applyAlignment="0" applyProtection="0"/>
    <xf numFmtId="178" fontId="57" fillId="32" borderId="0" applyNumberFormat="0" applyBorder="0" applyAlignment="0" applyProtection="0"/>
    <xf numFmtId="0" fontId="57" fillId="32" borderId="0" applyNumberFormat="0" applyBorder="0" applyAlignment="0" applyProtection="0"/>
    <xf numFmtId="178" fontId="57" fillId="33" borderId="0" applyNumberFormat="0" applyBorder="0" applyAlignment="0" applyProtection="0"/>
    <xf numFmtId="0" fontId="57" fillId="33" borderId="0" applyNumberFormat="0" applyBorder="0" applyAlignment="0" applyProtection="0"/>
    <xf numFmtId="178" fontId="57" fillId="34" borderId="0" applyNumberFormat="0" applyBorder="0" applyAlignment="0" applyProtection="0"/>
    <xf numFmtId="0" fontId="57" fillId="34" borderId="0" applyNumberFormat="0" applyBorder="0" applyAlignment="0" applyProtection="0"/>
    <xf numFmtId="178" fontId="57" fillId="29" borderId="0" applyNumberFormat="0" applyBorder="0" applyAlignment="0" applyProtection="0"/>
    <xf numFmtId="0" fontId="57" fillId="29" borderId="0" applyNumberFormat="0" applyBorder="0" applyAlignment="0" applyProtection="0"/>
    <xf numFmtId="178" fontId="57" fillId="32" borderId="0" applyNumberFormat="0" applyBorder="0" applyAlignment="0" applyProtection="0"/>
    <xf numFmtId="0" fontId="57" fillId="32" borderId="0" applyNumberFormat="0" applyBorder="0" applyAlignment="0" applyProtection="0"/>
    <xf numFmtId="178" fontId="57" fillId="35" borderId="0" applyNumberFormat="0" applyBorder="0" applyAlignment="0" applyProtection="0"/>
    <xf numFmtId="0" fontId="57" fillId="35" borderId="0" applyNumberFormat="0" applyBorder="0" applyAlignment="0" applyProtection="0"/>
    <xf numFmtId="178" fontId="58" fillId="36" borderId="0" applyNumberFormat="0" applyBorder="0" applyAlignment="0" applyProtection="0"/>
    <xf numFmtId="0" fontId="58" fillId="36" borderId="0" applyNumberFormat="0" applyBorder="0" applyAlignment="0" applyProtection="0"/>
    <xf numFmtId="178" fontId="58" fillId="33" borderId="0" applyNumberFormat="0" applyBorder="0" applyAlignment="0" applyProtection="0"/>
    <xf numFmtId="0" fontId="58" fillId="33" borderId="0" applyNumberFormat="0" applyBorder="0" applyAlignment="0" applyProtection="0"/>
    <xf numFmtId="178" fontId="58" fillId="34" borderId="0" applyNumberFormat="0" applyBorder="0" applyAlignment="0" applyProtection="0"/>
    <xf numFmtId="0" fontId="58" fillId="34" borderId="0" applyNumberFormat="0" applyBorder="0" applyAlignment="0" applyProtection="0"/>
    <xf numFmtId="178" fontId="58" fillId="37" borderId="0" applyNumberFormat="0" applyBorder="0" applyAlignment="0" applyProtection="0"/>
    <xf numFmtId="0" fontId="58" fillId="37" borderId="0" applyNumberFormat="0" applyBorder="0" applyAlignment="0" applyProtection="0"/>
    <xf numFmtId="178" fontId="58" fillId="38" borderId="0" applyNumberFormat="0" applyBorder="0" applyAlignment="0" applyProtection="0"/>
    <xf numFmtId="0" fontId="58" fillId="38" borderId="0" applyNumberFormat="0" applyBorder="0" applyAlignment="0" applyProtection="0"/>
    <xf numFmtId="178" fontId="58" fillId="39" borderId="0" applyNumberFormat="0" applyBorder="0" applyAlignment="0" applyProtection="0"/>
    <xf numFmtId="0" fontId="58" fillId="39" borderId="0" applyNumberFormat="0" applyBorder="0" applyAlignment="0" applyProtection="0"/>
    <xf numFmtId="178" fontId="58" fillId="40" borderId="0" applyNumberFormat="0" applyBorder="0" applyAlignment="0" applyProtection="0"/>
    <xf numFmtId="0" fontId="58" fillId="40" borderId="0" applyNumberFormat="0" applyBorder="0" applyAlignment="0" applyProtection="0"/>
    <xf numFmtId="178" fontId="58" fillId="41" borderId="0" applyNumberFormat="0" applyBorder="0" applyAlignment="0" applyProtection="0"/>
    <xf numFmtId="0" fontId="58" fillId="41" borderId="0" applyNumberFormat="0" applyBorder="0" applyAlignment="0" applyProtection="0"/>
    <xf numFmtId="178" fontId="58" fillId="42" borderId="0" applyNumberFormat="0" applyBorder="0" applyAlignment="0" applyProtection="0"/>
    <xf numFmtId="0" fontId="58" fillId="42" borderId="0" applyNumberFormat="0" applyBorder="0" applyAlignment="0" applyProtection="0"/>
    <xf numFmtId="178" fontId="58" fillId="37" borderId="0" applyNumberFormat="0" applyBorder="0" applyAlignment="0" applyProtection="0"/>
    <xf numFmtId="0" fontId="58" fillId="37" borderId="0" applyNumberFormat="0" applyBorder="0" applyAlignment="0" applyProtection="0"/>
    <xf numFmtId="178" fontId="58" fillId="38" borderId="0" applyNumberFormat="0" applyBorder="0" applyAlignment="0" applyProtection="0"/>
    <xf numFmtId="0" fontId="58" fillId="38" borderId="0" applyNumberFormat="0" applyBorder="0" applyAlignment="0" applyProtection="0"/>
    <xf numFmtId="178" fontId="58" fillId="43" borderId="0" applyNumberFormat="0" applyBorder="0" applyAlignment="0" applyProtection="0"/>
    <xf numFmtId="0" fontId="58" fillId="43" borderId="0" applyNumberFormat="0" applyBorder="0" applyAlignment="0" applyProtection="0"/>
    <xf numFmtId="178" fontId="59" fillId="27" borderId="0" applyNumberFormat="0" applyBorder="0" applyAlignment="0" applyProtection="0"/>
    <xf numFmtId="0" fontId="59" fillId="27" borderId="0" applyNumberFormat="0" applyBorder="0" applyAlignment="0" applyProtection="0"/>
    <xf numFmtId="178" fontId="60" fillId="44" borderId="64" applyNumberFormat="0" applyAlignment="0" applyProtection="0"/>
    <xf numFmtId="178" fontId="60" fillId="44" borderId="64" applyNumberFormat="0" applyAlignment="0" applyProtection="0"/>
    <xf numFmtId="0" fontId="60" fillId="44" borderId="64" applyNumberFormat="0" applyAlignment="0" applyProtection="0"/>
    <xf numFmtId="0" fontId="60" fillId="44" borderId="64" applyNumberFormat="0" applyAlignment="0" applyProtection="0"/>
    <xf numFmtId="178" fontId="60" fillId="44" borderId="64" applyNumberFormat="0" applyAlignment="0" applyProtection="0"/>
    <xf numFmtId="178" fontId="60" fillId="44" borderId="64" applyNumberFormat="0" applyAlignment="0" applyProtection="0"/>
    <xf numFmtId="178" fontId="60" fillId="44" borderId="64" applyNumberFormat="0" applyAlignment="0" applyProtection="0"/>
    <xf numFmtId="0" fontId="60" fillId="44" borderId="64" applyNumberFormat="0" applyAlignment="0" applyProtection="0"/>
    <xf numFmtId="0" fontId="60" fillId="44" borderId="64" applyNumberFormat="0" applyAlignment="0" applyProtection="0"/>
    <xf numFmtId="178" fontId="60" fillId="44" borderId="64" applyNumberFormat="0" applyAlignment="0" applyProtection="0"/>
    <xf numFmtId="0" fontId="60" fillId="44" borderId="64" applyNumberFormat="0" applyAlignment="0" applyProtection="0"/>
    <xf numFmtId="178" fontId="61" fillId="45" borderId="65" applyNumberFormat="0" applyAlignment="0" applyProtection="0"/>
    <xf numFmtId="0" fontId="61" fillId="45" borderId="65" applyNumberFormat="0" applyAlignment="0" applyProtection="0"/>
    <xf numFmtId="166" fontId="62" fillId="0" borderId="0" applyFont="0" applyFill="0" applyBorder="0" applyAlignment="0" applyProtection="0"/>
    <xf numFmtId="166" fontId="6" fillId="0" borderId="0" applyFont="0" applyFill="0" applyBorder="0" applyAlignment="0" applyProtection="0"/>
    <xf numFmtId="165" fontId="4" fillId="0" borderId="0" applyFont="0" applyFill="0" applyBorder="0" applyAlignment="0" applyProtection="0"/>
    <xf numFmtId="165" fontId="6" fillId="0" borderId="0" applyFont="0" applyFill="0" applyBorder="0" applyAlignment="0" applyProtection="0"/>
    <xf numFmtId="178" fontId="63" fillId="0" borderId="0" applyNumberFormat="0" applyFill="0" applyBorder="0" applyAlignment="0" applyProtection="0"/>
    <xf numFmtId="0" fontId="63" fillId="0" borderId="0" applyNumberFormat="0" applyFill="0" applyBorder="0" applyAlignment="0" applyProtection="0"/>
    <xf numFmtId="178" fontId="64" fillId="28" borderId="0" applyNumberFormat="0" applyBorder="0" applyAlignment="0" applyProtection="0"/>
    <xf numFmtId="0" fontId="64" fillId="28" borderId="0" applyNumberFormat="0" applyBorder="0" applyAlignment="0" applyProtection="0"/>
    <xf numFmtId="178" fontId="65" fillId="0" borderId="66" applyNumberFormat="0" applyFill="0" applyAlignment="0" applyProtection="0"/>
    <xf numFmtId="0" fontId="65" fillId="0" borderId="66" applyNumberFormat="0" applyFill="0" applyAlignment="0" applyProtection="0"/>
    <xf numFmtId="178" fontId="66" fillId="0" borderId="67" applyNumberFormat="0" applyFill="0" applyAlignment="0" applyProtection="0"/>
    <xf numFmtId="0" fontId="66" fillId="0" borderId="67" applyNumberFormat="0" applyFill="0" applyAlignment="0" applyProtection="0"/>
    <xf numFmtId="178" fontId="67" fillId="0" borderId="68" applyNumberFormat="0" applyFill="0" applyAlignment="0" applyProtection="0"/>
    <xf numFmtId="0" fontId="67" fillId="0" borderId="68" applyNumberFormat="0" applyFill="0" applyAlignment="0" applyProtection="0"/>
    <xf numFmtId="178" fontId="67" fillId="0" borderId="0" applyNumberFormat="0" applyFill="0" applyBorder="0" applyAlignment="0" applyProtection="0"/>
    <xf numFmtId="0" fontId="67" fillId="0" borderId="0" applyNumberFormat="0" applyFill="0" applyBorder="0" applyAlignment="0" applyProtection="0"/>
    <xf numFmtId="178" fontId="68" fillId="31" borderId="64" applyNumberFormat="0" applyAlignment="0" applyProtection="0"/>
    <xf numFmtId="178" fontId="68" fillId="31" borderId="64" applyNumberFormat="0" applyAlignment="0" applyProtection="0"/>
    <xf numFmtId="0" fontId="68" fillId="31" borderId="64" applyNumberFormat="0" applyAlignment="0" applyProtection="0"/>
    <xf numFmtId="0" fontId="68" fillId="31" borderId="64" applyNumberFormat="0" applyAlignment="0" applyProtection="0"/>
    <xf numFmtId="178" fontId="68" fillId="31" borderId="64" applyNumberFormat="0" applyAlignment="0" applyProtection="0"/>
    <xf numFmtId="178" fontId="68" fillId="31" borderId="64" applyNumberFormat="0" applyAlignment="0" applyProtection="0"/>
    <xf numFmtId="178" fontId="68" fillId="31" borderId="64" applyNumberFormat="0" applyAlignment="0" applyProtection="0"/>
    <xf numFmtId="0" fontId="68" fillId="31" borderId="64" applyNumberFormat="0" applyAlignment="0" applyProtection="0"/>
    <xf numFmtId="0" fontId="68" fillId="31" borderId="64" applyNumberFormat="0" applyAlignment="0" applyProtection="0"/>
    <xf numFmtId="178" fontId="68" fillId="31" borderId="64" applyNumberFormat="0" applyAlignment="0" applyProtection="0"/>
    <xf numFmtId="0" fontId="68" fillId="31" borderId="64" applyNumberFormat="0" applyAlignment="0" applyProtection="0"/>
    <xf numFmtId="178" fontId="69" fillId="0" borderId="69" applyNumberFormat="0" applyFill="0" applyAlignment="0" applyProtection="0"/>
    <xf numFmtId="0" fontId="69" fillId="0" borderId="69" applyNumberFormat="0" applyFill="0" applyAlignment="0" applyProtection="0"/>
    <xf numFmtId="178" fontId="70" fillId="46" borderId="0" applyNumberFormat="0" applyBorder="0" applyAlignment="0" applyProtection="0"/>
    <xf numFmtId="0" fontId="70" fillId="46" borderId="0" applyNumberFormat="0" applyBorder="0" applyAlignment="0" applyProtection="0"/>
    <xf numFmtId="178" fontId="6" fillId="0" borderId="0"/>
    <xf numFmtId="0" fontId="6" fillId="0" borderId="0"/>
    <xf numFmtId="0" fontId="6" fillId="0" borderId="0"/>
    <xf numFmtId="178" fontId="71" fillId="0" borderId="0"/>
    <xf numFmtId="0" fontId="6" fillId="0" borderId="0"/>
    <xf numFmtId="178" fontId="6" fillId="0" borderId="0"/>
    <xf numFmtId="0" fontId="6" fillId="0" borderId="0"/>
    <xf numFmtId="178" fontId="6" fillId="0" borderId="0"/>
    <xf numFmtId="0" fontId="6" fillId="0" borderId="0"/>
    <xf numFmtId="178" fontId="4" fillId="0" borderId="0"/>
    <xf numFmtId="0" fontId="4" fillId="0" borderId="0"/>
    <xf numFmtId="178" fontId="6" fillId="0" borderId="0"/>
    <xf numFmtId="0" fontId="6" fillId="0" borderId="0"/>
    <xf numFmtId="0" fontId="5" fillId="0" borderId="0"/>
    <xf numFmtId="0" fontId="6" fillId="0" borderId="0"/>
    <xf numFmtId="178" fontId="71" fillId="0" borderId="0"/>
    <xf numFmtId="0" fontId="6" fillId="0" borderId="0"/>
    <xf numFmtId="178" fontId="39" fillId="0" borderId="0"/>
    <xf numFmtId="0" fontId="39" fillId="0" borderId="0"/>
    <xf numFmtId="178" fontId="71" fillId="0" borderId="0"/>
    <xf numFmtId="178" fontId="5" fillId="0" borderId="0"/>
    <xf numFmtId="0" fontId="5" fillId="0" borderId="0"/>
    <xf numFmtId="178" fontId="72" fillId="0" borderId="0"/>
    <xf numFmtId="178" fontId="6" fillId="0" borderId="0"/>
    <xf numFmtId="0" fontId="6" fillId="0" borderId="0"/>
    <xf numFmtId="178" fontId="6" fillId="0" borderId="0"/>
    <xf numFmtId="0" fontId="6" fillId="0" borderId="0"/>
    <xf numFmtId="0" fontId="5" fillId="0" borderId="0"/>
    <xf numFmtId="178" fontId="72" fillId="0" borderId="0"/>
    <xf numFmtId="178" fontId="5" fillId="0" borderId="0"/>
    <xf numFmtId="0" fontId="5" fillId="0" borderId="0"/>
    <xf numFmtId="178" fontId="72" fillId="0" borderId="0"/>
    <xf numFmtId="178" fontId="6" fillId="0" borderId="0"/>
    <xf numFmtId="0" fontId="6" fillId="0" borderId="0"/>
    <xf numFmtId="178" fontId="71" fillId="0" borderId="0"/>
    <xf numFmtId="178" fontId="4" fillId="0" borderId="0"/>
    <xf numFmtId="0" fontId="4" fillId="0" borderId="0"/>
    <xf numFmtId="0" fontId="4" fillId="0" borderId="0"/>
    <xf numFmtId="178" fontId="57" fillId="0" borderId="0"/>
    <xf numFmtId="178" fontId="4" fillId="0" borderId="0"/>
    <xf numFmtId="0" fontId="4" fillId="0" borderId="0"/>
    <xf numFmtId="0" fontId="4" fillId="0" borderId="0"/>
    <xf numFmtId="178" fontId="57" fillId="0" borderId="0"/>
    <xf numFmtId="178" fontId="6" fillId="0" borderId="0"/>
    <xf numFmtId="0" fontId="6" fillId="0" borderId="0"/>
    <xf numFmtId="178" fontId="71" fillId="0" borderId="0"/>
    <xf numFmtId="178" fontId="4" fillId="0" borderId="0"/>
    <xf numFmtId="0" fontId="4" fillId="0" borderId="0"/>
    <xf numFmtId="0" fontId="4" fillId="0" borderId="0"/>
    <xf numFmtId="178" fontId="57" fillId="0" borderId="0"/>
    <xf numFmtId="178" fontId="4" fillId="0" borderId="0"/>
    <xf numFmtId="0" fontId="4" fillId="0" borderId="0"/>
    <xf numFmtId="0" fontId="4" fillId="0" borderId="0"/>
    <xf numFmtId="178" fontId="57" fillId="0" borderId="0"/>
    <xf numFmtId="178" fontId="4" fillId="0" borderId="0"/>
    <xf numFmtId="0" fontId="4" fillId="0" borderId="0"/>
    <xf numFmtId="0" fontId="4" fillId="0" borderId="0"/>
    <xf numFmtId="178" fontId="57" fillId="0" borderId="0"/>
    <xf numFmtId="178" fontId="4" fillId="0" borderId="0"/>
    <xf numFmtId="0" fontId="4" fillId="0" borderId="0"/>
    <xf numFmtId="0" fontId="4" fillId="0" borderId="0"/>
    <xf numFmtId="178" fontId="57" fillId="0" borderId="0"/>
    <xf numFmtId="178" fontId="4" fillId="0" borderId="0"/>
    <xf numFmtId="0" fontId="4" fillId="0" borderId="0"/>
    <xf numFmtId="0" fontId="4" fillId="0" borderId="0"/>
    <xf numFmtId="178" fontId="57" fillId="0" borderId="0"/>
    <xf numFmtId="178" fontId="4" fillId="0" borderId="0"/>
    <xf numFmtId="0" fontId="4" fillId="0" borderId="0"/>
    <xf numFmtId="0" fontId="4" fillId="0" borderId="0"/>
    <xf numFmtId="178" fontId="57" fillId="0" borderId="0"/>
    <xf numFmtId="178" fontId="4" fillId="0" borderId="0"/>
    <xf numFmtId="0" fontId="4" fillId="0" borderId="0"/>
    <xf numFmtId="0" fontId="4" fillId="0" borderId="0"/>
    <xf numFmtId="178" fontId="57" fillId="0" borderId="0"/>
    <xf numFmtId="178" fontId="4" fillId="0" borderId="0"/>
    <xf numFmtId="0" fontId="4" fillId="0" borderId="0"/>
    <xf numFmtId="0" fontId="4" fillId="0" borderId="0"/>
    <xf numFmtId="178" fontId="57" fillId="0" borderId="0"/>
    <xf numFmtId="178" fontId="5" fillId="0" borderId="0"/>
    <xf numFmtId="0" fontId="5" fillId="0" borderId="0"/>
    <xf numFmtId="178" fontId="72" fillId="0" borderId="0"/>
    <xf numFmtId="178" fontId="5" fillId="0" borderId="0"/>
    <xf numFmtId="0" fontId="5" fillId="0" borderId="0"/>
    <xf numFmtId="178" fontId="72" fillId="0" borderId="0"/>
    <xf numFmtId="178" fontId="4" fillId="0" borderId="0"/>
    <xf numFmtId="0" fontId="4" fillId="0" borderId="0"/>
    <xf numFmtId="0" fontId="4" fillId="0" borderId="0"/>
    <xf numFmtId="178" fontId="57" fillId="0" borderId="0"/>
    <xf numFmtId="178" fontId="4" fillId="0" borderId="0"/>
    <xf numFmtId="0" fontId="4" fillId="0" borderId="0"/>
    <xf numFmtId="0" fontId="4" fillId="0" borderId="0"/>
    <xf numFmtId="178" fontId="57" fillId="0" borderId="0"/>
    <xf numFmtId="178" fontId="4" fillId="0" borderId="0"/>
    <xf numFmtId="0" fontId="4" fillId="0" borderId="0"/>
    <xf numFmtId="0" fontId="4" fillId="0" borderId="0"/>
    <xf numFmtId="178" fontId="57" fillId="0" borderId="0"/>
    <xf numFmtId="178" fontId="4" fillId="0" borderId="0"/>
    <xf numFmtId="0" fontId="4" fillId="0" borderId="0"/>
    <xf numFmtId="0" fontId="4" fillId="0" borderId="0"/>
    <xf numFmtId="178" fontId="57" fillId="0" borderId="0"/>
    <xf numFmtId="178" fontId="4" fillId="0" borderId="0"/>
    <xf numFmtId="0" fontId="4" fillId="0" borderId="0"/>
    <xf numFmtId="0" fontId="4" fillId="0" borderId="0"/>
    <xf numFmtId="178" fontId="57" fillId="0" borderId="0"/>
    <xf numFmtId="178" fontId="4" fillId="0" borderId="0"/>
    <xf numFmtId="0" fontId="4" fillId="0" borderId="0"/>
    <xf numFmtId="0" fontId="4" fillId="0" borderId="0"/>
    <xf numFmtId="178" fontId="57" fillId="0" borderId="0"/>
    <xf numFmtId="178" fontId="5" fillId="0" borderId="0"/>
    <xf numFmtId="178" fontId="4" fillId="0" borderId="0"/>
    <xf numFmtId="0" fontId="4" fillId="0" borderId="0"/>
    <xf numFmtId="178" fontId="72" fillId="0" borderId="0"/>
    <xf numFmtId="0" fontId="5" fillId="0" borderId="0"/>
    <xf numFmtId="178" fontId="72" fillId="0" borderId="0"/>
    <xf numFmtId="178" fontId="5" fillId="0" borderId="0"/>
    <xf numFmtId="0" fontId="5" fillId="0" borderId="0"/>
    <xf numFmtId="178" fontId="72" fillId="0" borderId="0"/>
    <xf numFmtId="0" fontId="6" fillId="0" borderId="0"/>
    <xf numFmtId="178" fontId="71" fillId="0" borderId="0"/>
    <xf numFmtId="178" fontId="6" fillId="0" borderId="0"/>
    <xf numFmtId="0" fontId="6" fillId="0" borderId="0"/>
    <xf numFmtId="178" fontId="71" fillId="0" borderId="0"/>
    <xf numFmtId="178" fontId="5" fillId="0" borderId="0"/>
    <xf numFmtId="0" fontId="5" fillId="0" borderId="0"/>
    <xf numFmtId="178" fontId="72" fillId="0" borderId="0"/>
    <xf numFmtId="178" fontId="6" fillId="0" borderId="0"/>
    <xf numFmtId="0" fontId="6" fillId="0" borderId="0"/>
    <xf numFmtId="178" fontId="71" fillId="0" borderId="0"/>
    <xf numFmtId="178" fontId="5" fillId="0" borderId="0"/>
    <xf numFmtId="0" fontId="5" fillId="0" borderId="0"/>
    <xf numFmtId="178" fontId="72" fillId="0" borderId="0"/>
    <xf numFmtId="178" fontId="5" fillId="0" borderId="0"/>
    <xf numFmtId="0" fontId="5" fillId="0" borderId="0"/>
    <xf numFmtId="178" fontId="72" fillId="0" borderId="0"/>
    <xf numFmtId="0" fontId="5" fillId="0" borderId="0"/>
    <xf numFmtId="178" fontId="72" fillId="0" borderId="0"/>
    <xf numFmtId="178" fontId="5" fillId="0" borderId="0"/>
    <xf numFmtId="0" fontId="5" fillId="0" borderId="0"/>
    <xf numFmtId="178" fontId="72" fillId="0" borderId="0"/>
    <xf numFmtId="178" fontId="5" fillId="0" borderId="0"/>
    <xf numFmtId="0" fontId="5" fillId="0" borderId="0"/>
    <xf numFmtId="178" fontId="72" fillId="0" borderId="0"/>
    <xf numFmtId="178" fontId="5" fillId="0" borderId="0"/>
    <xf numFmtId="0" fontId="5" fillId="0" borderId="0"/>
    <xf numFmtId="178" fontId="72" fillId="0" borderId="0"/>
    <xf numFmtId="178" fontId="4" fillId="0" borderId="0"/>
    <xf numFmtId="0" fontId="4" fillId="0" borderId="0"/>
    <xf numFmtId="0" fontId="4" fillId="0" borderId="0"/>
    <xf numFmtId="178" fontId="57" fillId="0" borderId="0"/>
    <xf numFmtId="178" fontId="4" fillId="0" borderId="0"/>
    <xf numFmtId="0" fontId="4" fillId="0" borderId="0"/>
    <xf numFmtId="0" fontId="4" fillId="0" borderId="0"/>
    <xf numFmtId="178" fontId="57" fillId="0" borderId="0"/>
    <xf numFmtId="178" fontId="6" fillId="0" borderId="0"/>
    <xf numFmtId="0" fontId="6" fillId="0" borderId="0"/>
    <xf numFmtId="178" fontId="71" fillId="0" borderId="0"/>
    <xf numFmtId="178" fontId="4" fillId="0" borderId="0"/>
    <xf numFmtId="0" fontId="4" fillId="0" borderId="0"/>
    <xf numFmtId="0" fontId="4" fillId="0" borderId="0"/>
    <xf numFmtId="178" fontId="57" fillId="0" borderId="0"/>
    <xf numFmtId="178" fontId="4" fillId="0" borderId="0"/>
    <xf numFmtId="178" fontId="6" fillId="0" borderId="0"/>
    <xf numFmtId="0" fontId="6" fillId="0" borderId="0"/>
    <xf numFmtId="0" fontId="4" fillId="0" borderId="0"/>
    <xf numFmtId="178" fontId="57" fillId="0" borderId="0"/>
    <xf numFmtId="178" fontId="4" fillId="0" borderId="0"/>
    <xf numFmtId="0" fontId="4" fillId="0" borderId="0"/>
    <xf numFmtId="178" fontId="6" fillId="0" borderId="0"/>
    <xf numFmtId="0" fontId="6" fillId="0" borderId="0"/>
    <xf numFmtId="0" fontId="4" fillId="0" borderId="0"/>
    <xf numFmtId="178" fontId="57" fillId="0" borderId="0"/>
    <xf numFmtId="178" fontId="4" fillId="0" borderId="0"/>
    <xf numFmtId="0" fontId="4" fillId="0" borderId="0"/>
    <xf numFmtId="0" fontId="4" fillId="0" borderId="0"/>
    <xf numFmtId="178" fontId="57" fillId="0" borderId="0"/>
    <xf numFmtId="178" fontId="4" fillId="0" borderId="0"/>
    <xf numFmtId="0" fontId="4" fillId="0" borderId="0"/>
    <xf numFmtId="0" fontId="4" fillId="0" borderId="0"/>
    <xf numFmtId="178" fontId="57" fillId="0" borderId="0"/>
    <xf numFmtId="178" fontId="1" fillId="0" borderId="0"/>
    <xf numFmtId="0" fontId="1" fillId="0" borderId="0"/>
    <xf numFmtId="0" fontId="1" fillId="0" borderId="0"/>
    <xf numFmtId="178" fontId="57" fillId="0" borderId="0"/>
    <xf numFmtId="178" fontId="1" fillId="0" borderId="0"/>
    <xf numFmtId="178" fontId="1" fillId="0" borderId="0"/>
    <xf numFmtId="0" fontId="1" fillId="0" borderId="0"/>
    <xf numFmtId="0" fontId="1" fillId="0" borderId="0"/>
    <xf numFmtId="178" fontId="57" fillId="0" borderId="0"/>
    <xf numFmtId="178" fontId="1" fillId="0" borderId="0"/>
    <xf numFmtId="0" fontId="1" fillId="0" borderId="0"/>
    <xf numFmtId="0" fontId="1" fillId="0" borderId="0"/>
    <xf numFmtId="178" fontId="57" fillId="0" borderId="0"/>
    <xf numFmtId="178" fontId="1" fillId="0" borderId="0"/>
    <xf numFmtId="0" fontId="1" fillId="0" borderId="0"/>
    <xf numFmtId="0" fontId="1" fillId="0" borderId="0"/>
    <xf numFmtId="178" fontId="57" fillId="0" borderId="0"/>
    <xf numFmtId="178" fontId="1" fillId="0" borderId="0"/>
    <xf numFmtId="178" fontId="1" fillId="0" borderId="0"/>
    <xf numFmtId="0" fontId="1" fillId="0" borderId="0"/>
    <xf numFmtId="0" fontId="1" fillId="0" borderId="0"/>
    <xf numFmtId="178" fontId="57" fillId="0" borderId="0"/>
    <xf numFmtId="178" fontId="1" fillId="0" borderId="0"/>
    <xf numFmtId="0" fontId="1" fillId="0" borderId="0"/>
    <xf numFmtId="0" fontId="1" fillId="0" borderId="0"/>
    <xf numFmtId="178" fontId="57" fillId="0" borderId="0"/>
    <xf numFmtId="178" fontId="6" fillId="47" borderId="70" applyNumberFormat="0" applyFont="0" applyAlignment="0" applyProtection="0"/>
    <xf numFmtId="178" fontId="6" fillId="47" borderId="70" applyNumberFormat="0" applyFont="0" applyAlignment="0" applyProtection="0"/>
    <xf numFmtId="0" fontId="6" fillId="47" borderId="70" applyNumberFormat="0" applyFont="0" applyAlignment="0" applyProtection="0"/>
    <xf numFmtId="0" fontId="6" fillId="47" borderId="70" applyNumberFormat="0" applyFont="0" applyAlignment="0" applyProtection="0"/>
    <xf numFmtId="178" fontId="71" fillId="47" borderId="70" applyNumberFormat="0" applyFont="0" applyAlignment="0" applyProtection="0"/>
    <xf numFmtId="178" fontId="6" fillId="47" borderId="70" applyNumberFormat="0" applyFont="0" applyAlignment="0" applyProtection="0"/>
    <xf numFmtId="178" fontId="6" fillId="47" borderId="70" applyNumberFormat="0" applyFont="0" applyAlignment="0" applyProtection="0"/>
    <xf numFmtId="0" fontId="6" fillId="47" borderId="70" applyNumberFormat="0" applyFont="0" applyAlignment="0" applyProtection="0"/>
    <xf numFmtId="0" fontId="6" fillId="47" borderId="70" applyNumberFormat="0" applyFont="0" applyAlignment="0" applyProtection="0"/>
    <xf numFmtId="178" fontId="71" fillId="47" borderId="70" applyNumberFormat="0" applyFont="0" applyAlignment="0" applyProtection="0"/>
    <xf numFmtId="0" fontId="6" fillId="47" borderId="70" applyNumberFormat="0" applyFont="0" applyAlignment="0" applyProtection="0"/>
    <xf numFmtId="178" fontId="73" fillId="44" borderId="71" applyNumberFormat="0" applyAlignment="0" applyProtection="0"/>
    <xf numFmtId="178" fontId="73" fillId="44" borderId="71" applyNumberFormat="0" applyAlignment="0" applyProtection="0"/>
    <xf numFmtId="0" fontId="73" fillId="44" borderId="71" applyNumberFormat="0" applyAlignment="0" applyProtection="0"/>
    <xf numFmtId="0" fontId="73" fillId="44" borderId="71" applyNumberFormat="0" applyAlignment="0" applyProtection="0"/>
    <xf numFmtId="178" fontId="73" fillId="44" borderId="71" applyNumberFormat="0" applyAlignment="0" applyProtection="0"/>
    <xf numFmtId="178" fontId="73" fillId="44" borderId="71" applyNumberFormat="0" applyAlignment="0" applyProtection="0"/>
    <xf numFmtId="178" fontId="73" fillId="44" borderId="71" applyNumberFormat="0" applyAlignment="0" applyProtection="0"/>
    <xf numFmtId="0" fontId="73" fillId="44" borderId="71" applyNumberFormat="0" applyAlignment="0" applyProtection="0"/>
    <xf numFmtId="0" fontId="73" fillId="44" borderId="71" applyNumberFormat="0" applyAlignment="0" applyProtection="0"/>
    <xf numFmtId="178" fontId="73" fillId="44" borderId="71" applyNumberFormat="0" applyAlignment="0" applyProtection="0"/>
    <xf numFmtId="0" fontId="73" fillId="44" borderId="71" applyNumberFormat="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8" fontId="74" fillId="0" borderId="0" applyNumberFormat="0" applyFill="0" applyBorder="0" applyAlignment="0" applyProtection="0"/>
    <xf numFmtId="0" fontId="74" fillId="0" borderId="0" applyNumberFormat="0" applyFill="0" applyBorder="0" applyAlignment="0" applyProtection="0"/>
    <xf numFmtId="178" fontId="75" fillId="0" borderId="72" applyNumberFormat="0" applyFill="0" applyAlignment="0" applyProtection="0"/>
    <xf numFmtId="178" fontId="75" fillId="0" borderId="72" applyNumberFormat="0" applyFill="0" applyAlignment="0" applyProtection="0"/>
    <xf numFmtId="0" fontId="75" fillId="0" borderId="72" applyNumberFormat="0" applyFill="0" applyAlignment="0" applyProtection="0"/>
    <xf numFmtId="0" fontId="75" fillId="0" borderId="72" applyNumberFormat="0" applyFill="0" applyAlignment="0" applyProtection="0"/>
    <xf numFmtId="178" fontId="75" fillId="0" borderId="72" applyNumberFormat="0" applyFill="0" applyAlignment="0" applyProtection="0"/>
    <xf numFmtId="178" fontId="75" fillId="0" borderId="72" applyNumberFormat="0" applyFill="0" applyAlignment="0" applyProtection="0"/>
    <xf numFmtId="178" fontId="75" fillId="0" borderId="72" applyNumberFormat="0" applyFill="0" applyAlignment="0" applyProtection="0"/>
    <xf numFmtId="0" fontId="75" fillId="0" borderId="72" applyNumberFormat="0" applyFill="0" applyAlignment="0" applyProtection="0"/>
    <xf numFmtId="0" fontId="75" fillId="0" borderId="72" applyNumberFormat="0" applyFill="0" applyAlignment="0" applyProtection="0"/>
    <xf numFmtId="178" fontId="75" fillId="0" borderId="72" applyNumberFormat="0" applyFill="0" applyAlignment="0" applyProtection="0"/>
    <xf numFmtId="0" fontId="75" fillId="0" borderId="72" applyNumberFormat="0" applyFill="0" applyAlignment="0" applyProtection="0"/>
    <xf numFmtId="178" fontId="76" fillId="0" borderId="0" applyNumberFormat="0" applyFill="0" applyBorder="0" applyAlignment="0" applyProtection="0"/>
    <xf numFmtId="178" fontId="77" fillId="0" borderId="0" applyNumberFormat="0" applyFill="0" applyBorder="0" applyAlignment="0" applyProtection="0"/>
    <xf numFmtId="0" fontId="77" fillId="0" borderId="0" applyNumberFormat="0" applyFill="0" applyBorder="0" applyAlignment="0" applyProtection="0"/>
    <xf numFmtId="0" fontId="76" fillId="0" borderId="0" applyNumberFormat="0" applyFill="0" applyBorder="0" applyAlignment="0" applyProtection="0"/>
    <xf numFmtId="165" fontId="5" fillId="0" borderId="0" applyFont="0" applyFill="0" applyBorder="0" applyAlignment="0" applyProtection="0"/>
    <xf numFmtId="0" fontId="1" fillId="0" borderId="0"/>
    <xf numFmtId="166" fontId="4" fillId="0" borderId="0" applyFont="0" applyFill="0" applyBorder="0" applyAlignment="0" applyProtection="0"/>
    <xf numFmtId="0" fontId="6" fillId="0" borderId="0"/>
    <xf numFmtId="0" fontId="4" fillId="0" borderId="0"/>
    <xf numFmtId="178" fontId="5" fillId="0" borderId="0"/>
  </cellStyleXfs>
  <cellXfs count="653">
    <xf numFmtId="0" fontId="0" fillId="0" borderId="0" xfId="0"/>
    <xf numFmtId="0" fontId="0" fillId="3" borderId="10" xfId="0" applyFill="1" applyBorder="1"/>
    <xf numFmtId="0" fontId="0" fillId="6" borderId="0" xfId="0" applyFill="1" applyAlignment="1">
      <alignment horizontal="center" vertical="center" wrapText="1"/>
    </xf>
    <xf numFmtId="3" fontId="8" fillId="4" borderId="13" xfId="5" applyNumberFormat="1" applyFont="1" applyFill="1" applyBorder="1" applyAlignment="1">
      <alignment horizontal="center"/>
    </xf>
    <xf numFmtId="0" fontId="0" fillId="2" borderId="6" xfId="0" applyFill="1" applyBorder="1" applyAlignment="1">
      <alignment horizontal="center" vertical="center" wrapText="1"/>
    </xf>
    <xf numFmtId="0" fontId="0" fillId="0" borderId="5" xfId="0" applyBorder="1" applyAlignment="1">
      <alignment horizontal="center" vertical="center"/>
    </xf>
    <xf numFmtId="0" fontId="0" fillId="0" borderId="5" xfId="0" applyBorder="1" applyAlignment="1">
      <alignment horizontal="center" vertical="center" wrapText="1"/>
    </xf>
    <xf numFmtId="1" fontId="9" fillId="8" borderId="5" xfId="2" applyNumberFormat="1" applyFont="1" applyFill="1" applyBorder="1" applyAlignment="1">
      <alignment horizontal="center"/>
    </xf>
    <xf numFmtId="9" fontId="9" fillId="7" borderId="5" xfId="1" applyFont="1" applyFill="1" applyBorder="1" applyAlignment="1">
      <alignment horizontal="center"/>
    </xf>
    <xf numFmtId="1" fontId="9" fillId="8" borderId="5" xfId="2" applyNumberFormat="1" applyFont="1" applyFill="1" applyBorder="1" applyAlignment="1">
      <alignment horizontal="center" vertical="center" wrapText="1"/>
    </xf>
    <xf numFmtId="0" fontId="0" fillId="2" borderId="5" xfId="0" applyFill="1" applyBorder="1" applyAlignment="1">
      <alignment horizontal="center" vertical="center" wrapText="1"/>
    </xf>
    <xf numFmtId="9" fontId="9" fillId="8" borderId="5" xfId="1" applyFont="1" applyFill="1" applyBorder="1" applyAlignment="1">
      <alignment horizontal="center"/>
    </xf>
    <xf numFmtId="9" fontId="8" fillId="4" borderId="13" xfId="1" applyFont="1" applyFill="1" applyBorder="1" applyAlignment="1">
      <alignment horizontal="center"/>
    </xf>
    <xf numFmtId="0" fontId="0" fillId="7" borderId="5" xfId="0" applyFill="1" applyBorder="1"/>
    <xf numFmtId="168" fontId="9" fillId="8" borderId="5" xfId="2" applyNumberFormat="1" applyFont="1" applyFill="1" applyBorder="1" applyAlignment="1">
      <alignment horizontal="center" vertical="center" wrapText="1"/>
    </xf>
    <xf numFmtId="168" fontId="9" fillId="7" borderId="5" xfId="2" applyNumberFormat="1" applyFont="1" applyFill="1" applyBorder="1" applyAlignment="1">
      <alignment horizontal="center" vertical="center" wrapText="1"/>
    </xf>
    <xf numFmtId="9" fontId="10" fillId="0" borderId="5" xfId="1" applyFont="1" applyBorder="1" applyAlignment="1">
      <alignment horizontal="center" vertical="center" wrapText="1"/>
    </xf>
    <xf numFmtId="9" fontId="10" fillId="0" borderId="0" xfId="1" applyFont="1" applyAlignment="1">
      <alignment horizontal="center" vertical="center" wrapText="1"/>
    </xf>
    <xf numFmtId="0" fontId="0" fillId="7" borderId="5" xfId="0" applyFill="1" applyBorder="1" applyAlignment="1">
      <alignment horizontal="center" vertical="center" wrapText="1"/>
    </xf>
    <xf numFmtId="9" fontId="10" fillId="7" borderId="5" xfId="1" applyFont="1" applyFill="1" applyBorder="1" applyAlignment="1">
      <alignment horizontal="center" vertical="center" wrapText="1"/>
    </xf>
    <xf numFmtId="1" fontId="11" fillId="4" borderId="4" xfId="2" applyNumberFormat="1" applyFont="1" applyFill="1" applyBorder="1" applyAlignment="1">
      <alignment horizontal="center"/>
    </xf>
    <xf numFmtId="0" fontId="0" fillId="0" borderId="0" xfId="0" applyAlignment="1">
      <alignment horizontal="center" vertical="center" wrapText="1"/>
    </xf>
    <xf numFmtId="171" fontId="9" fillId="8" borderId="5" xfId="1" applyNumberFormat="1" applyFont="1" applyFill="1" applyBorder="1" applyAlignment="1">
      <alignment horizontal="center"/>
    </xf>
    <xf numFmtId="172" fontId="9" fillId="7" borderId="5" xfId="6" applyNumberFormat="1" applyFont="1" applyFill="1" applyBorder="1" applyAlignment="1" applyProtection="1">
      <alignment horizontal="center" vertical="center"/>
      <protection locked="0"/>
    </xf>
    <xf numFmtId="0" fontId="0" fillId="9" borderId="5" xfId="0" applyFill="1" applyBorder="1" applyAlignment="1">
      <alignment horizontal="center" vertical="center"/>
    </xf>
    <xf numFmtId="0" fontId="0" fillId="9" borderId="8" xfId="0" applyFill="1" applyBorder="1" applyAlignment="1">
      <alignment horizontal="center" vertical="center" wrapText="1"/>
    </xf>
    <xf numFmtId="0" fontId="0" fillId="9" borderId="5" xfId="0" applyFill="1" applyBorder="1" applyAlignment="1">
      <alignment horizontal="center" vertical="center" wrapText="1"/>
    </xf>
    <xf numFmtId="0" fontId="0" fillId="9" borderId="9" xfId="0" applyFill="1" applyBorder="1" applyAlignment="1">
      <alignment horizontal="center" vertical="center" wrapText="1"/>
    </xf>
    <xf numFmtId="0" fontId="0" fillId="9" borderId="17" xfId="0" applyFill="1" applyBorder="1" applyAlignment="1">
      <alignment horizontal="center" vertical="center" wrapText="1"/>
    </xf>
    <xf numFmtId="0" fontId="0" fillId="9" borderId="6" xfId="0" applyFill="1" applyBorder="1" applyAlignment="1">
      <alignment horizontal="center" vertical="center" wrapText="1"/>
    </xf>
    <xf numFmtId="0" fontId="0" fillId="9" borderId="3" xfId="0" applyFill="1" applyBorder="1" applyAlignment="1">
      <alignment horizontal="center" vertical="center" wrapText="1"/>
    </xf>
    <xf numFmtId="173" fontId="8" fillId="4" borderId="13" xfId="5" applyNumberFormat="1" applyFont="1" applyFill="1" applyBorder="1" applyAlignment="1">
      <alignment horizontal="center"/>
    </xf>
    <xf numFmtId="0" fontId="0" fillId="6" borderId="2" xfId="0" applyFill="1" applyBorder="1" applyAlignment="1">
      <alignment horizontal="center" vertical="center" wrapText="1"/>
    </xf>
    <xf numFmtId="0" fontId="12" fillId="12" borderId="0" xfId="0" applyFont="1" applyFill="1"/>
    <xf numFmtId="0" fontId="0" fillId="9" borderId="2" xfId="0" applyFill="1" applyBorder="1" applyAlignment="1">
      <alignment horizontal="center" vertical="center" wrapText="1"/>
    </xf>
    <xf numFmtId="0" fontId="0" fillId="13" borderId="5" xfId="0" applyFill="1" applyBorder="1" applyAlignment="1">
      <alignment horizontal="center" vertical="center"/>
    </xf>
    <xf numFmtId="9" fontId="0" fillId="13" borderId="5" xfId="1" applyFont="1" applyFill="1" applyBorder="1" applyAlignment="1">
      <alignment horizontal="center" vertical="center"/>
    </xf>
    <xf numFmtId="3" fontId="8" fillId="4" borderId="13" xfId="5" applyNumberFormat="1" applyFont="1" applyFill="1" applyBorder="1" applyAlignment="1">
      <alignment horizontal="center" vertical="center" readingOrder="2"/>
    </xf>
    <xf numFmtId="0" fontId="0" fillId="10" borderId="5" xfId="0" applyFill="1" applyBorder="1" applyAlignment="1">
      <alignment horizontal="center" vertical="center"/>
    </xf>
    <xf numFmtId="9" fontId="9" fillId="7" borderId="5" xfId="1" applyFont="1" applyFill="1" applyBorder="1" applyAlignment="1">
      <alignment horizontal="center" vertical="center"/>
    </xf>
    <xf numFmtId="1" fontId="9" fillId="8" borderId="5" xfId="2" applyNumberFormat="1" applyFont="1" applyFill="1" applyBorder="1" applyAlignment="1">
      <alignment horizontal="center" vertical="center"/>
    </xf>
    <xf numFmtId="171" fontId="9" fillId="7" borderId="5" xfId="1" applyNumberFormat="1" applyFont="1" applyFill="1" applyBorder="1" applyAlignment="1">
      <alignment horizontal="center"/>
    </xf>
    <xf numFmtId="0" fontId="0" fillId="0" borderId="0" xfId="0" applyAlignment="1">
      <alignment horizontal="center" vertical="center"/>
    </xf>
    <xf numFmtId="0" fontId="12" fillId="14" borderId="5" xfId="0" applyFont="1" applyFill="1" applyBorder="1" applyAlignment="1">
      <alignment horizontal="center" vertical="center"/>
    </xf>
    <xf numFmtId="0" fontId="0" fillId="8" borderId="5" xfId="0" applyFill="1" applyBorder="1" applyAlignment="1">
      <alignment horizontal="center" vertical="center"/>
    </xf>
    <xf numFmtId="0" fontId="10" fillId="8" borderId="5" xfId="1" applyNumberFormat="1" applyFont="1" applyFill="1" applyBorder="1" applyAlignment="1">
      <alignment horizontal="center" vertical="center" wrapText="1"/>
    </xf>
    <xf numFmtId="0" fontId="0" fillId="6" borderId="0" xfId="0" applyFill="1" applyAlignment="1">
      <alignment horizontal="center" vertical="center" wrapText="1" readingOrder="2"/>
    </xf>
    <xf numFmtId="0" fontId="0" fillId="0" borderId="5" xfId="0" applyBorder="1" applyAlignment="1" applyProtection="1">
      <alignment horizontal="center" vertical="center"/>
      <protection locked="0"/>
    </xf>
    <xf numFmtId="168" fontId="0" fillId="0" borderId="5" xfId="0" applyNumberFormat="1" applyBorder="1" applyAlignment="1" applyProtection="1">
      <alignment horizontal="center" vertical="center"/>
      <protection locked="0"/>
    </xf>
    <xf numFmtId="0" fontId="0" fillId="0" borderId="5" xfId="0" applyBorder="1" applyAlignment="1" applyProtection="1">
      <alignment horizontal="center" vertical="center" wrapText="1"/>
      <protection locked="0"/>
    </xf>
    <xf numFmtId="0" fontId="0" fillId="0" borderId="5" xfId="0" applyBorder="1" applyAlignment="1" applyProtection="1">
      <alignment horizontal="center" vertical="center" wrapText="1" readingOrder="2"/>
      <protection locked="0"/>
    </xf>
    <xf numFmtId="0" fontId="0" fillId="9" borderId="7" xfId="0" applyFill="1" applyBorder="1" applyAlignment="1">
      <alignment horizontal="center" vertical="center" wrapText="1"/>
    </xf>
    <xf numFmtId="171" fontId="9" fillId="7" borderId="5" xfId="1" applyNumberFormat="1" applyFont="1" applyFill="1" applyBorder="1" applyAlignment="1">
      <alignment horizontal="center" vertical="center"/>
    </xf>
    <xf numFmtId="171" fontId="9" fillId="7" borderId="5" xfId="1" applyNumberFormat="1" applyFont="1" applyFill="1" applyBorder="1" applyAlignment="1">
      <alignment horizontal="center" vertical="center" wrapText="1"/>
    </xf>
    <xf numFmtId="0" fontId="0" fillId="10" borderId="16" xfId="0" applyFill="1" applyBorder="1" applyAlignment="1">
      <alignment horizontal="center" vertical="center"/>
    </xf>
    <xf numFmtId="0" fontId="0" fillId="5" borderId="0" xfId="0" applyFill="1" applyAlignment="1">
      <alignment horizontal="center" vertical="center" wrapText="1"/>
    </xf>
    <xf numFmtId="0" fontId="0" fillId="9" borderId="22" xfId="0" applyFill="1" applyBorder="1" applyAlignment="1">
      <alignment horizontal="center" vertical="center" wrapText="1"/>
    </xf>
    <xf numFmtId="1" fontId="10" fillId="13" borderId="3" xfId="2" applyNumberFormat="1" applyFont="1" applyFill="1" applyBorder="1" applyAlignment="1">
      <alignment horizontal="center" vertical="center"/>
    </xf>
    <xf numFmtId="170" fontId="10" fillId="13" borderId="3" xfId="6" applyNumberFormat="1" applyFont="1" applyFill="1" applyBorder="1" applyAlignment="1">
      <alignment horizontal="center" vertical="center"/>
    </xf>
    <xf numFmtId="0" fontId="10" fillId="13" borderId="3" xfId="1" applyNumberFormat="1" applyFont="1" applyFill="1" applyBorder="1" applyAlignment="1">
      <alignment horizontal="center" vertical="center"/>
    </xf>
    <xf numFmtId="0" fontId="10" fillId="13" borderId="5" xfId="1" applyNumberFormat="1" applyFont="1" applyFill="1" applyBorder="1" applyAlignment="1">
      <alignment horizontal="center" vertical="center"/>
    </xf>
    <xf numFmtId="0" fontId="10" fillId="13" borderId="3" xfId="6" applyNumberFormat="1" applyFont="1" applyFill="1" applyBorder="1" applyAlignment="1">
      <alignment horizontal="center" vertical="center"/>
    </xf>
    <xf numFmtId="170" fontId="10" fillId="13" borderId="3" xfId="6" applyNumberFormat="1" applyFont="1" applyFill="1" applyBorder="1" applyAlignment="1">
      <alignment horizontal="center" vertical="center" readingOrder="2"/>
    </xf>
    <xf numFmtId="168" fontId="10" fillId="13" borderId="5" xfId="6" applyNumberFormat="1" applyFont="1" applyFill="1" applyBorder="1" applyAlignment="1">
      <alignment horizontal="center" vertical="center"/>
    </xf>
    <xf numFmtId="0" fontId="0" fillId="3" borderId="23" xfId="0" applyFill="1" applyBorder="1"/>
    <xf numFmtId="0" fontId="0" fillId="3" borderId="11" xfId="0" applyFill="1" applyBorder="1"/>
    <xf numFmtId="0" fontId="0" fillId="3" borderId="12" xfId="0" applyFill="1" applyBorder="1"/>
    <xf numFmtId="170" fontId="9" fillId="8" borderId="5" xfId="6" applyNumberFormat="1" applyFont="1" applyFill="1" applyBorder="1" applyAlignment="1">
      <alignment horizontal="center" vertical="center"/>
    </xf>
    <xf numFmtId="172" fontId="9" fillId="7" borderId="5" xfId="6" applyNumberFormat="1" applyFont="1" applyFill="1" applyBorder="1" applyAlignment="1">
      <alignment horizontal="center" vertical="center"/>
    </xf>
    <xf numFmtId="9" fontId="0" fillId="8" borderId="5" xfId="1" applyFont="1" applyFill="1" applyBorder="1" applyAlignment="1">
      <alignment horizontal="center" vertical="center"/>
    </xf>
    <xf numFmtId="170" fontId="9" fillId="8" borderId="5" xfId="6" applyNumberFormat="1" applyFont="1" applyFill="1" applyBorder="1" applyAlignment="1">
      <alignment horizontal="center" vertical="center" readingOrder="2"/>
    </xf>
    <xf numFmtId="170" fontId="9" fillId="7" borderId="5" xfId="6" applyNumberFormat="1" applyFont="1" applyFill="1" applyBorder="1" applyAlignment="1">
      <alignment horizontal="center" vertical="center"/>
    </xf>
    <xf numFmtId="170" fontId="9" fillId="7" borderId="7" xfId="6" applyNumberFormat="1" applyFont="1" applyFill="1" applyBorder="1" applyAlignment="1">
      <alignment horizontal="center" vertical="center"/>
    </xf>
    <xf numFmtId="172" fontId="9" fillId="7" borderId="26" xfId="6" applyNumberFormat="1" applyFont="1" applyFill="1" applyBorder="1" applyAlignment="1">
      <alignment horizontal="center" vertical="center" wrapText="1"/>
    </xf>
    <xf numFmtId="0" fontId="18" fillId="2" borderId="5" xfId="0" applyFont="1" applyFill="1" applyBorder="1" applyAlignment="1">
      <alignment horizontal="center" vertical="center"/>
    </xf>
    <xf numFmtId="1" fontId="19" fillId="8" borderId="5" xfId="2" applyNumberFormat="1" applyFont="1" applyFill="1" applyBorder="1" applyAlignment="1">
      <alignment horizontal="center" vertical="center" wrapText="1"/>
    </xf>
    <xf numFmtId="0" fontId="18" fillId="0" borderId="0" xfId="0" applyFont="1"/>
    <xf numFmtId="168" fontId="19" fillId="8" borderId="5" xfId="2" applyNumberFormat="1" applyFont="1" applyFill="1" applyBorder="1" applyAlignment="1">
      <alignment horizontal="center" vertical="center" wrapText="1"/>
    </xf>
    <xf numFmtId="0" fontId="18" fillId="10" borderId="5" xfId="0" applyFont="1" applyFill="1" applyBorder="1" applyAlignment="1">
      <alignment horizontal="center" vertical="center" wrapText="1"/>
    </xf>
    <xf numFmtId="0" fontId="18" fillId="10" borderId="8" xfId="0" applyFont="1" applyFill="1" applyBorder="1" applyAlignment="1">
      <alignment horizontal="center" vertical="center" wrapText="1"/>
    </xf>
    <xf numFmtId="9" fontId="18" fillId="9" borderId="5" xfId="1" applyFont="1" applyFill="1" applyBorder="1" applyAlignment="1">
      <alignment horizontal="center" vertical="center" wrapText="1"/>
    </xf>
    <xf numFmtId="9" fontId="18" fillId="9" borderId="8" xfId="1" applyFont="1" applyFill="1" applyBorder="1" applyAlignment="1">
      <alignment horizontal="center" vertical="center" wrapText="1"/>
    </xf>
    <xf numFmtId="1" fontId="19" fillId="8" borderId="5" xfId="2" applyNumberFormat="1" applyFont="1" applyFill="1" applyBorder="1" applyAlignment="1">
      <alignment horizontal="center"/>
    </xf>
    <xf numFmtId="171" fontId="19" fillId="8" borderId="5" xfId="1" applyNumberFormat="1" applyFont="1" applyFill="1" applyBorder="1" applyAlignment="1">
      <alignment horizontal="center"/>
    </xf>
    <xf numFmtId="171" fontId="19" fillId="7" borderId="5" xfId="1" applyNumberFormat="1" applyFont="1" applyFill="1" applyBorder="1" applyAlignment="1">
      <alignment horizontal="center"/>
    </xf>
    <xf numFmtId="168" fontId="19" fillId="7" borderId="5" xfId="1" applyNumberFormat="1" applyFont="1" applyFill="1" applyBorder="1" applyAlignment="1">
      <alignment horizontal="center"/>
    </xf>
    <xf numFmtId="0" fontId="18" fillId="10" borderId="5" xfId="0" applyFont="1" applyFill="1" applyBorder="1" applyAlignment="1">
      <alignment horizontal="center" vertical="center"/>
    </xf>
    <xf numFmtId="0" fontId="18" fillId="0" borderId="0" xfId="0" applyFont="1" applyAlignment="1">
      <alignment horizontal="center" vertical="center"/>
    </xf>
    <xf numFmtId="1" fontId="19" fillId="8" borderId="5" xfId="2" applyNumberFormat="1" applyFont="1" applyFill="1" applyBorder="1" applyAlignment="1">
      <alignment horizontal="center" vertical="center"/>
    </xf>
    <xf numFmtId="171" fontId="19" fillId="7" borderId="5" xfId="1" applyNumberFormat="1" applyFont="1" applyFill="1" applyBorder="1" applyAlignment="1">
      <alignment horizontal="center" vertical="center"/>
    </xf>
    <xf numFmtId="168" fontId="19" fillId="7" borderId="5" xfId="2" applyNumberFormat="1" applyFont="1" applyFill="1" applyBorder="1" applyAlignment="1">
      <alignment horizontal="center" vertical="center" wrapText="1"/>
    </xf>
    <xf numFmtId="169" fontId="9" fillId="8" borderId="5" xfId="2" applyNumberFormat="1" applyFont="1" applyFill="1" applyBorder="1" applyAlignment="1">
      <alignment horizontal="center" vertical="center"/>
    </xf>
    <xf numFmtId="169" fontId="14" fillId="8" borderId="5" xfId="2" applyNumberFormat="1" applyFont="1" applyFill="1" applyBorder="1" applyAlignment="1">
      <alignment horizontal="center" vertical="center"/>
    </xf>
    <xf numFmtId="0" fontId="20" fillId="0" borderId="0" xfId="0" applyFont="1" applyAlignment="1">
      <alignment horizontal="center" vertical="center"/>
    </xf>
    <xf numFmtId="0" fontId="0" fillId="11" borderId="0" xfId="0" applyFill="1" applyAlignment="1">
      <alignment horizontal="center" vertical="center"/>
    </xf>
    <xf numFmtId="169" fontId="9" fillId="7" borderId="5" xfId="1" applyNumberFormat="1" applyFont="1" applyFill="1" applyBorder="1" applyAlignment="1">
      <alignment horizontal="center" vertical="center"/>
    </xf>
    <xf numFmtId="168" fontId="0" fillId="13" borderId="5" xfId="1" applyNumberFormat="1" applyFont="1" applyFill="1" applyBorder="1" applyAlignment="1">
      <alignment horizontal="center" vertical="center"/>
    </xf>
    <xf numFmtId="168" fontId="9" fillId="8" borderId="5" xfId="1" applyNumberFormat="1" applyFont="1" applyFill="1" applyBorder="1" applyAlignment="1">
      <alignment horizontal="center"/>
    </xf>
    <xf numFmtId="1" fontId="10" fillId="8" borderId="5" xfId="2" applyNumberFormat="1" applyFont="1" applyFill="1" applyBorder="1" applyAlignment="1">
      <alignment horizontal="center"/>
    </xf>
    <xf numFmtId="0" fontId="0" fillId="2" borderId="2" xfId="0" applyFill="1" applyBorder="1" applyAlignment="1">
      <alignment horizontal="center" vertical="center" wrapText="1"/>
    </xf>
    <xf numFmtId="168" fontId="0" fillId="0" borderId="0" xfId="0" applyNumberFormat="1"/>
    <xf numFmtId="171" fontId="9" fillId="7" borderId="26" xfId="1" applyNumberFormat="1" applyFont="1" applyFill="1" applyBorder="1" applyAlignment="1">
      <alignment horizontal="center"/>
    </xf>
    <xf numFmtId="174" fontId="9" fillId="7" borderId="5" xfId="6" applyNumberFormat="1" applyFont="1" applyFill="1" applyBorder="1" applyAlignment="1">
      <alignment horizontal="center" vertical="center"/>
    </xf>
    <xf numFmtId="0" fontId="0" fillId="0" borderId="0" xfId="0" applyAlignment="1" applyProtection="1">
      <alignment horizontal="center" vertical="center"/>
      <protection locked="0"/>
    </xf>
    <xf numFmtId="0" fontId="10" fillId="13" borderId="5" xfId="6" applyNumberFormat="1" applyFont="1" applyFill="1" applyBorder="1" applyAlignment="1">
      <alignment horizontal="center" vertical="center"/>
    </xf>
    <xf numFmtId="0" fontId="8" fillId="4" borderId="13" xfId="1" applyNumberFormat="1" applyFont="1" applyFill="1" applyBorder="1" applyAlignment="1">
      <alignment horizontal="center"/>
    </xf>
    <xf numFmtId="9" fontId="10" fillId="13" borderId="26" xfId="1" applyFont="1" applyFill="1" applyBorder="1" applyAlignment="1">
      <alignment horizontal="center" vertical="center"/>
    </xf>
    <xf numFmtId="168" fontId="10" fillId="13" borderId="26" xfId="1" applyNumberFormat="1" applyFont="1" applyFill="1" applyBorder="1" applyAlignment="1">
      <alignment horizontal="center" vertical="center"/>
    </xf>
    <xf numFmtId="0" fontId="10" fillId="13" borderId="26" xfId="1" applyNumberFormat="1" applyFont="1" applyFill="1" applyBorder="1" applyAlignment="1">
      <alignment horizontal="center" vertical="center"/>
    </xf>
    <xf numFmtId="1" fontId="10" fillId="8" borderId="31" xfId="2" applyNumberFormat="1" applyFont="1" applyFill="1" applyBorder="1" applyAlignment="1">
      <alignment horizontal="center" vertical="center"/>
    </xf>
    <xf numFmtId="0" fontId="5" fillId="0" borderId="0" xfId="8"/>
    <xf numFmtId="0" fontId="22" fillId="0" borderId="0" xfId="11" applyFont="1"/>
    <xf numFmtId="9" fontId="5" fillId="0" borderId="0" xfId="10"/>
    <xf numFmtId="0" fontId="9" fillId="8" borderId="5" xfId="1" applyNumberFormat="1" applyFont="1" applyFill="1" applyBorder="1" applyAlignment="1">
      <alignment horizontal="center"/>
    </xf>
    <xf numFmtId="0" fontId="5" fillId="9" borderId="32" xfId="8" applyFill="1" applyBorder="1" applyAlignment="1">
      <alignment horizontal="center" vertical="center" wrapText="1"/>
    </xf>
    <xf numFmtId="168" fontId="10" fillId="8" borderId="34" xfId="9" applyNumberFormat="1" applyFont="1" applyFill="1" applyBorder="1" applyAlignment="1">
      <alignment horizontal="center" vertical="center" wrapText="1"/>
    </xf>
    <xf numFmtId="9" fontId="10" fillId="8" borderId="35" xfId="10" applyFont="1" applyFill="1" applyBorder="1" applyAlignment="1">
      <alignment horizontal="center" vertical="center" wrapText="1"/>
    </xf>
    <xf numFmtId="0" fontId="0" fillId="9" borderId="33" xfId="8" applyFont="1" applyFill="1" applyBorder="1" applyAlignment="1">
      <alignment horizontal="center" vertical="center" wrapText="1"/>
    </xf>
    <xf numFmtId="0" fontId="24" fillId="10" borderId="5" xfId="0" applyFont="1" applyFill="1" applyBorder="1" applyAlignment="1">
      <alignment horizontal="center" vertical="center"/>
    </xf>
    <xf numFmtId="168" fontId="25" fillId="8" borderId="5" xfId="2" applyNumberFormat="1" applyFont="1" applyFill="1" applyBorder="1" applyAlignment="1">
      <alignment horizontal="center" vertical="center" wrapText="1"/>
    </xf>
    <xf numFmtId="171" fontId="18" fillId="0" borderId="0" xfId="0" applyNumberFormat="1" applyFont="1"/>
    <xf numFmtId="10" fontId="14" fillId="7" borderId="5" xfId="1" applyNumberFormat="1" applyFont="1" applyFill="1" applyBorder="1" applyAlignment="1">
      <alignment horizontal="center" vertical="center" wrapText="1"/>
    </xf>
    <xf numFmtId="168" fontId="14" fillId="7" borderId="5" xfId="1" applyNumberFormat="1" applyFont="1" applyFill="1" applyBorder="1" applyAlignment="1">
      <alignment horizontal="center" vertical="center" wrapText="1"/>
    </xf>
    <xf numFmtId="1" fontId="19" fillId="8" borderId="3" xfId="2" applyNumberFormat="1" applyFont="1" applyFill="1" applyBorder="1" applyAlignment="1">
      <alignment horizontal="center" vertical="center"/>
    </xf>
    <xf numFmtId="171" fontId="19" fillId="7" borderId="5" xfId="1" applyNumberFormat="1" applyFont="1" applyFill="1" applyBorder="1" applyAlignment="1">
      <alignment horizontal="center" vertical="center" wrapText="1"/>
    </xf>
    <xf numFmtId="0" fontId="0" fillId="2" borderId="1" xfId="0" applyFill="1" applyBorder="1" applyAlignment="1">
      <alignment horizontal="center" vertical="center" wrapText="1"/>
    </xf>
    <xf numFmtId="168" fontId="0" fillId="0" borderId="9" xfId="1" applyNumberFormat="1" applyFont="1" applyBorder="1" applyAlignment="1" applyProtection="1">
      <alignment vertical="center"/>
      <protection locked="0"/>
    </xf>
    <xf numFmtId="0" fontId="0" fillId="10" borderId="7" xfId="0" applyFill="1" applyBorder="1" applyAlignment="1">
      <alignment horizontal="center" vertical="center"/>
    </xf>
    <xf numFmtId="168" fontId="10" fillId="13" borderId="9" xfId="1" applyNumberFormat="1" applyFont="1" applyFill="1" applyBorder="1" applyAlignment="1">
      <alignment horizontal="center" vertical="center"/>
    </xf>
    <xf numFmtId="168" fontId="0" fillId="13" borderId="5" xfId="0" applyNumberFormat="1" applyFill="1" applyBorder="1" applyAlignment="1">
      <alignment horizontal="center" vertical="center"/>
    </xf>
    <xf numFmtId="168" fontId="0" fillId="0" borderId="9" xfId="0" applyNumberFormat="1" applyBorder="1" applyAlignment="1" applyProtection="1">
      <alignment horizontal="center" vertical="center"/>
      <protection locked="0"/>
    </xf>
    <xf numFmtId="171" fontId="0" fillId="13" borderId="5" xfId="1" applyNumberFormat="1" applyFont="1" applyFill="1" applyBorder="1" applyAlignment="1">
      <alignment horizontal="center" vertical="center"/>
    </xf>
    <xf numFmtId="10" fontId="0" fillId="17" borderId="5" xfId="1" applyNumberFormat="1" applyFont="1" applyFill="1" applyBorder="1" applyAlignment="1">
      <alignment horizontal="center" vertical="center"/>
    </xf>
    <xf numFmtId="0" fontId="18" fillId="0" borderId="0" xfId="0" applyFont="1" applyAlignment="1">
      <alignment horizontal="right" vertical="center"/>
    </xf>
    <xf numFmtId="3" fontId="0" fillId="13" borderId="5" xfId="0" applyNumberFormat="1" applyFill="1" applyBorder="1" applyAlignment="1">
      <alignment horizontal="center" vertical="center"/>
    </xf>
    <xf numFmtId="172" fontId="9" fillId="7" borderId="5" xfId="6" applyNumberFormat="1" applyFont="1" applyFill="1" applyBorder="1" applyAlignment="1">
      <alignment horizontal="center" vertical="center" wrapText="1"/>
    </xf>
    <xf numFmtId="168" fontId="0" fillId="17" borderId="5" xfId="0" applyNumberFormat="1" applyFill="1" applyBorder="1" applyAlignment="1">
      <alignment horizontal="center" vertical="center"/>
    </xf>
    <xf numFmtId="0" fontId="28" fillId="15" borderId="47" xfId="14" applyFont="1" applyFill="1" applyBorder="1" applyAlignment="1">
      <alignment horizontal="center" vertical="center" wrapText="1"/>
    </xf>
    <xf numFmtId="1" fontId="29" fillId="7" borderId="48" xfId="7" applyNumberFormat="1" applyFont="1" applyFill="1" applyBorder="1" applyAlignment="1">
      <alignment horizontal="center" vertical="center"/>
    </xf>
    <xf numFmtId="0" fontId="30" fillId="0" borderId="0" xfId="15" applyFont="1"/>
    <xf numFmtId="0" fontId="28" fillId="15" borderId="49" xfId="14" applyFont="1" applyFill="1" applyBorder="1" applyAlignment="1">
      <alignment horizontal="center" vertical="center" wrapText="1"/>
    </xf>
    <xf numFmtId="168" fontId="29" fillId="7" borderId="50" xfId="7" applyNumberFormat="1" applyFont="1" applyFill="1" applyBorder="1" applyAlignment="1">
      <alignment horizontal="center" vertical="center"/>
    </xf>
    <xf numFmtId="0" fontId="33" fillId="0" borderId="0" xfId="15" applyFont="1"/>
    <xf numFmtId="1" fontId="29" fillId="8" borderId="56" xfId="7" applyNumberFormat="1" applyFont="1" applyFill="1" applyBorder="1" applyAlignment="1">
      <alignment horizontal="center"/>
    </xf>
    <xf numFmtId="1" fontId="29" fillId="8" borderId="3" xfId="7" applyNumberFormat="1" applyFont="1" applyFill="1" applyBorder="1" applyAlignment="1">
      <alignment horizontal="right"/>
    </xf>
    <xf numFmtId="168" fontId="35" fillId="0" borderId="3" xfId="17" applyNumberFormat="1" applyFont="1" applyBorder="1" applyAlignment="1" applyProtection="1">
      <alignment horizontal="center" vertical="center" readingOrder="1"/>
      <protection locked="0"/>
    </xf>
    <xf numFmtId="168" fontId="35" fillId="19" borderId="3" xfId="18" applyNumberFormat="1" applyFont="1" applyFill="1" applyBorder="1" applyAlignment="1">
      <alignment horizontal="center"/>
    </xf>
    <xf numFmtId="0" fontId="35" fillId="8" borderId="3" xfId="18" applyNumberFormat="1" applyFont="1" applyFill="1" applyBorder="1" applyAlignment="1">
      <alignment horizontal="center"/>
    </xf>
    <xf numFmtId="0" fontId="29" fillId="8" borderId="3" xfId="19" applyNumberFormat="1" applyFont="1" applyFill="1" applyBorder="1" applyAlignment="1">
      <alignment horizontal="center"/>
    </xf>
    <xf numFmtId="168" fontId="29" fillId="8" borderId="3" xfId="19" applyNumberFormat="1" applyFont="1" applyFill="1" applyBorder="1" applyAlignment="1">
      <alignment horizontal="center"/>
    </xf>
    <xf numFmtId="168" fontId="29" fillId="7" borderId="3" xfId="7" applyNumberFormat="1" applyFont="1" applyFill="1" applyBorder="1" applyAlignment="1">
      <alignment horizontal="center"/>
    </xf>
    <xf numFmtId="10" fontId="29" fillId="7" borderId="3" xfId="18" applyNumberFormat="1" applyFont="1" applyFill="1" applyBorder="1" applyAlignment="1">
      <alignment horizontal="center"/>
    </xf>
    <xf numFmtId="0" fontId="34" fillId="0" borderId="0" xfId="7" applyFont="1"/>
    <xf numFmtId="3" fontId="36" fillId="17" borderId="57" xfId="7" applyNumberFormat="1" applyFont="1" applyFill="1" applyBorder="1" applyAlignment="1">
      <alignment horizontal="center" vertical="center"/>
    </xf>
    <xf numFmtId="9" fontId="36" fillId="17" borderId="57" xfId="19" applyFont="1" applyFill="1" applyBorder="1" applyAlignment="1">
      <alignment horizontal="center" vertical="center"/>
    </xf>
    <xf numFmtId="0" fontId="30" fillId="0" borderId="0" xfId="15" applyFont="1" applyAlignment="1">
      <alignment horizontal="center" vertical="center"/>
    </xf>
    <xf numFmtId="1" fontId="29" fillId="8" borderId="4" xfId="7" applyNumberFormat="1" applyFont="1" applyFill="1" applyBorder="1" applyAlignment="1">
      <alignment horizontal="center"/>
    </xf>
    <xf numFmtId="1" fontId="29" fillId="8" borderId="5" xfId="7" applyNumberFormat="1" applyFont="1" applyFill="1" applyBorder="1" applyAlignment="1">
      <alignment horizontal="right"/>
    </xf>
    <xf numFmtId="168" fontId="35" fillId="19" borderId="5" xfId="18" applyNumberFormat="1" applyFont="1" applyFill="1" applyBorder="1" applyAlignment="1">
      <alignment horizontal="center"/>
    </xf>
    <xf numFmtId="3" fontId="35" fillId="0" borderId="3" xfId="17" applyNumberFormat="1" applyFont="1" applyBorder="1" applyAlignment="1" applyProtection="1">
      <alignment horizontal="center" vertical="center" readingOrder="1"/>
      <protection locked="0"/>
    </xf>
    <xf numFmtId="168" fontId="29" fillId="7" borderId="5" xfId="18" applyNumberFormat="1" applyFont="1" applyFill="1" applyBorder="1" applyAlignment="1">
      <alignment horizontal="center"/>
    </xf>
    <xf numFmtId="168" fontId="35" fillId="8" borderId="5" xfId="18" applyNumberFormat="1" applyFont="1" applyFill="1" applyBorder="1" applyAlignment="1">
      <alignment horizontal="center"/>
    </xf>
    <xf numFmtId="0" fontId="38" fillId="0" borderId="0" xfId="15" applyFont="1"/>
    <xf numFmtId="0" fontId="39" fillId="0" borderId="0" xfId="7" applyFont="1"/>
    <xf numFmtId="1" fontId="29" fillId="8" borderId="26" xfId="7" applyNumberFormat="1" applyFont="1" applyFill="1" applyBorder="1" applyAlignment="1">
      <alignment horizontal="center"/>
    </xf>
    <xf numFmtId="1" fontId="29" fillId="7" borderId="0" xfId="7" applyNumberFormat="1" applyFont="1" applyFill="1" applyAlignment="1">
      <alignment horizontal="center" vertical="center"/>
    </xf>
    <xf numFmtId="168" fontId="29" fillId="7" borderId="0" xfId="7" applyNumberFormat="1" applyFont="1" applyFill="1" applyAlignment="1">
      <alignment horizontal="center" vertical="center"/>
    </xf>
    <xf numFmtId="1" fontId="35" fillId="19" borderId="3" xfId="18" applyNumberFormat="1" applyFont="1" applyFill="1" applyBorder="1" applyAlignment="1">
      <alignment horizontal="center"/>
    </xf>
    <xf numFmtId="9" fontId="35" fillId="19" borderId="3" xfId="20" applyFont="1" applyFill="1" applyBorder="1" applyAlignment="1">
      <alignment horizontal="center"/>
    </xf>
    <xf numFmtId="1" fontId="35" fillId="19" borderId="5" xfId="18" applyNumberFormat="1" applyFont="1" applyFill="1" applyBorder="1" applyAlignment="1">
      <alignment horizontal="center"/>
    </xf>
    <xf numFmtId="0" fontId="29" fillId="8" borderId="5" xfId="19" applyNumberFormat="1" applyFont="1" applyFill="1" applyBorder="1" applyAlignment="1">
      <alignment horizontal="center"/>
    </xf>
    <xf numFmtId="168" fontId="29" fillId="8" borderId="5" xfId="19" applyNumberFormat="1" applyFont="1" applyFill="1" applyBorder="1" applyAlignment="1">
      <alignment horizontal="center"/>
    </xf>
    <xf numFmtId="9" fontId="35" fillId="19" borderId="5" xfId="20" applyFont="1" applyFill="1" applyBorder="1" applyAlignment="1">
      <alignment horizontal="center"/>
    </xf>
    <xf numFmtId="9" fontId="36" fillId="17" borderId="57" xfId="20" applyFont="1" applyFill="1" applyBorder="1" applyAlignment="1">
      <alignment horizontal="center" vertical="center"/>
    </xf>
    <xf numFmtId="0" fontId="35" fillId="0" borderId="0" xfId="7" applyFont="1"/>
    <xf numFmtId="0" fontId="35" fillId="0" borderId="0" xfId="7" applyFont="1" applyAlignment="1">
      <alignment vertical="center"/>
    </xf>
    <xf numFmtId="3" fontId="35" fillId="0" borderId="0" xfId="7" applyNumberFormat="1" applyFont="1"/>
    <xf numFmtId="9" fontId="35" fillId="0" borderId="0" xfId="7" applyNumberFormat="1" applyFont="1"/>
    <xf numFmtId="175" fontId="35" fillId="0" borderId="0" xfId="7" applyNumberFormat="1" applyFont="1" applyAlignment="1">
      <alignment vertical="center"/>
    </xf>
    <xf numFmtId="10" fontId="35" fillId="0" borderId="0" xfId="1" applyNumberFormat="1" applyFont="1" applyAlignment="1">
      <alignment vertical="center"/>
    </xf>
    <xf numFmtId="9" fontId="35" fillId="0" borderId="0" xfId="1" applyFont="1" applyAlignment="1">
      <alignment vertical="center"/>
    </xf>
    <xf numFmtId="3" fontId="35" fillId="0" borderId="0" xfId="7" applyNumberFormat="1" applyFont="1" applyAlignment="1">
      <alignment vertical="center"/>
    </xf>
    <xf numFmtId="168" fontId="35" fillId="0" borderId="0" xfId="7" applyNumberFormat="1" applyFont="1" applyAlignment="1">
      <alignment vertical="center"/>
    </xf>
    <xf numFmtId="1" fontId="19" fillId="8" borderId="8" xfId="2" applyNumberFormat="1" applyFont="1" applyFill="1" applyBorder="1" applyAlignment="1">
      <alignment horizontal="center" vertical="center"/>
    </xf>
    <xf numFmtId="171" fontId="19" fillId="7" borderId="8" xfId="1" applyNumberFormat="1" applyFont="1" applyFill="1" applyBorder="1" applyAlignment="1">
      <alignment horizontal="center" vertical="center"/>
    </xf>
    <xf numFmtId="168" fontId="19" fillId="7" borderId="8" xfId="2" applyNumberFormat="1" applyFont="1" applyFill="1" applyBorder="1" applyAlignment="1">
      <alignment horizontal="center" vertical="center" wrapText="1"/>
    </xf>
    <xf numFmtId="171" fontId="19" fillId="7" borderId="8" xfId="1" applyNumberFormat="1" applyFont="1" applyFill="1" applyBorder="1" applyAlignment="1">
      <alignment horizontal="center" vertical="center" wrapText="1"/>
    </xf>
    <xf numFmtId="168" fontId="41" fillId="16" borderId="7" xfId="13" applyNumberFormat="1" applyFont="1" applyFill="1" applyBorder="1" applyAlignment="1">
      <alignment horizontal="center" vertical="center"/>
    </xf>
    <xf numFmtId="10" fontId="41" fillId="16" borderId="5" xfId="7" applyNumberFormat="1" applyFont="1" applyFill="1" applyBorder="1" applyAlignment="1">
      <alignment horizontal="center" vertical="center"/>
    </xf>
    <xf numFmtId="3" fontId="42" fillId="20" borderId="5" xfId="7" applyNumberFormat="1" applyFont="1" applyFill="1" applyBorder="1" applyProtection="1">
      <protection locked="0"/>
    </xf>
    <xf numFmtId="0" fontId="0" fillId="0" borderId="0" xfId="0" applyAlignment="1">
      <alignment wrapText="1"/>
    </xf>
    <xf numFmtId="0" fontId="35" fillId="0" borderId="0" xfId="7" applyFont="1" applyAlignment="1">
      <alignment wrapText="1"/>
    </xf>
    <xf numFmtId="1" fontId="29" fillId="8" borderId="60" xfId="7" applyNumberFormat="1" applyFont="1" applyFill="1" applyBorder="1" applyAlignment="1">
      <alignment horizontal="right" vertical="center" wrapText="1"/>
    </xf>
    <xf numFmtId="175" fontId="35" fillId="5" borderId="0" xfId="7" applyNumberFormat="1" applyFont="1" applyFill="1" applyAlignment="1">
      <alignment vertical="center"/>
    </xf>
    <xf numFmtId="10" fontId="35" fillId="5" borderId="0" xfId="1" applyNumberFormat="1" applyFont="1" applyFill="1" applyAlignment="1">
      <alignment vertical="center"/>
    </xf>
    <xf numFmtId="0" fontId="35" fillId="5" borderId="0" xfId="7" applyFont="1" applyFill="1" applyAlignment="1">
      <alignment vertical="center"/>
    </xf>
    <xf numFmtId="9" fontId="35" fillId="5" borderId="0" xfId="1" applyFont="1" applyFill="1" applyAlignment="1">
      <alignment vertical="center"/>
    </xf>
    <xf numFmtId="0" fontId="35" fillId="5" borderId="0" xfId="7" applyFont="1" applyFill="1"/>
    <xf numFmtId="3" fontId="35" fillId="5" borderId="0" xfId="7" applyNumberFormat="1" applyFont="1" applyFill="1" applyAlignment="1">
      <alignment vertical="center"/>
    </xf>
    <xf numFmtId="168" fontId="35" fillId="5" borderId="0" xfId="7" applyNumberFormat="1" applyFont="1" applyFill="1" applyAlignment="1">
      <alignment vertical="center"/>
    </xf>
    <xf numFmtId="0" fontId="0" fillId="5" borderId="0" xfId="0" applyFill="1"/>
    <xf numFmtId="0" fontId="30" fillId="0" borderId="0" xfId="0" applyFont="1"/>
    <xf numFmtId="0" fontId="28" fillId="15" borderId="5" xfId="0" applyFont="1" applyFill="1" applyBorder="1"/>
    <xf numFmtId="17" fontId="28" fillId="21" borderId="5" xfId="0" applyNumberFormat="1" applyFont="1" applyFill="1" applyBorder="1" applyAlignment="1">
      <alignment horizontal="center" vertical="center"/>
    </xf>
    <xf numFmtId="0" fontId="28" fillId="0" borderId="0" xfId="0" applyFont="1"/>
    <xf numFmtId="0" fontId="28" fillId="23" borderId="5" xfId="0" applyFont="1" applyFill="1" applyBorder="1"/>
    <xf numFmtId="0" fontId="28" fillId="23" borderId="5" xfId="0" applyFont="1" applyFill="1" applyBorder="1" applyAlignment="1">
      <alignment horizontal="center"/>
    </xf>
    <xf numFmtId="0" fontId="28" fillId="24" borderId="5" xfId="0" applyFont="1" applyFill="1" applyBorder="1" applyAlignment="1">
      <alignment horizontal="center"/>
    </xf>
    <xf numFmtId="0" fontId="30" fillId="13" borderId="5" xfId="0" applyFont="1" applyFill="1" applyBorder="1" applyAlignment="1">
      <alignment horizontal="center" vertical="center"/>
    </xf>
    <xf numFmtId="0" fontId="30" fillId="0" borderId="5" xfId="0" applyFont="1" applyBorder="1" applyAlignment="1">
      <alignment horizontal="center" vertical="center"/>
    </xf>
    <xf numFmtId="0" fontId="30" fillId="21" borderId="5" xfId="0" applyFont="1" applyFill="1" applyBorder="1" applyAlignment="1">
      <alignment horizontal="center" vertical="center"/>
    </xf>
    <xf numFmtId="0" fontId="30" fillId="22" borderId="5" xfId="0" applyFont="1" applyFill="1" applyBorder="1" applyAlignment="1">
      <alignment horizontal="center" vertical="center"/>
    </xf>
    <xf numFmtId="0" fontId="30" fillId="0" borderId="24" xfId="0" applyFont="1" applyBorder="1" applyAlignment="1">
      <alignment horizontal="center"/>
    </xf>
    <xf numFmtId="0" fontId="30" fillId="0" borderId="24" xfId="0" applyFont="1" applyBorder="1" applyAlignment="1">
      <alignment horizontal="right"/>
    </xf>
    <xf numFmtId="0" fontId="50" fillId="0" borderId="0" xfId="0" applyFont="1" applyAlignment="1">
      <alignment horizontal="center" vertical="center" wrapText="1"/>
    </xf>
    <xf numFmtId="0" fontId="33" fillId="0" borderId="5" xfId="0" applyFont="1" applyBorder="1" applyAlignment="1">
      <alignment horizontal="center"/>
    </xf>
    <xf numFmtId="0" fontId="30" fillId="0" borderId="5" xfId="0" applyFont="1" applyBorder="1" applyAlignment="1">
      <alignment horizontal="center"/>
    </xf>
    <xf numFmtId="14" fontId="30" fillId="0" borderId="5" xfId="0" applyNumberFormat="1" applyFont="1" applyBorder="1" applyAlignment="1">
      <alignment horizontal="center"/>
    </xf>
    <xf numFmtId="14" fontId="30" fillId="0" borderId="0" xfId="0" applyNumberFormat="1" applyFont="1"/>
    <xf numFmtId="0" fontId="30" fillId="5" borderId="0" xfId="0" applyFont="1" applyFill="1"/>
    <xf numFmtId="0" fontId="50" fillId="0" borderId="0" xfId="0" applyFont="1" applyAlignment="1">
      <alignment vertical="center" wrapText="1"/>
    </xf>
    <xf numFmtId="0" fontId="52" fillId="0" borderId="5" xfId="0" applyFont="1" applyBorder="1" applyAlignment="1">
      <alignment horizontal="center" vertical="center"/>
    </xf>
    <xf numFmtId="0" fontId="51" fillId="9" borderId="5" xfId="0" applyFont="1" applyFill="1" applyBorder="1" applyAlignment="1">
      <alignment horizontal="center" vertical="center" wrapText="1"/>
    </xf>
    <xf numFmtId="10" fontId="8" fillId="4" borderId="13" xfId="1" applyNumberFormat="1" applyFont="1" applyFill="1" applyBorder="1" applyAlignment="1">
      <alignment horizontal="center"/>
    </xf>
    <xf numFmtId="14" fontId="0" fillId="0" borderId="0" xfId="0" applyNumberFormat="1"/>
    <xf numFmtId="22" fontId="0" fillId="0" borderId="0" xfId="0" applyNumberFormat="1"/>
    <xf numFmtId="176" fontId="0" fillId="0" borderId="5" xfId="0" applyNumberFormat="1" applyBorder="1" applyAlignment="1" applyProtection="1">
      <alignment horizontal="center" vertical="center"/>
      <protection locked="0"/>
    </xf>
    <xf numFmtId="0" fontId="53" fillId="0" borderId="8" xfId="0" applyFont="1" applyBorder="1" applyAlignment="1">
      <alignment horizontal="center" vertical="center" wrapText="1"/>
    </xf>
    <xf numFmtId="0" fontId="30" fillId="0" borderId="6" xfId="15" applyFont="1" applyBorder="1" applyAlignment="1">
      <alignment horizontal="center" vertical="center"/>
    </xf>
    <xf numFmtId="0" fontId="18" fillId="0" borderId="5" xfId="15" applyFont="1" applyBorder="1" applyAlignment="1">
      <alignment horizontal="center" vertical="center"/>
    </xf>
    <xf numFmtId="2" fontId="18" fillId="0" borderId="5" xfId="15" applyNumberFormat="1" applyFont="1" applyBorder="1" applyAlignment="1">
      <alignment horizontal="center"/>
    </xf>
    <xf numFmtId="0" fontId="24" fillId="0" borderId="5" xfId="15" applyFont="1" applyBorder="1" applyAlignment="1">
      <alignment horizontal="center" vertical="center"/>
    </xf>
    <xf numFmtId="0" fontId="38" fillId="0" borderId="3" xfId="15" applyFont="1" applyBorder="1"/>
    <xf numFmtId="0" fontId="5" fillId="0" borderId="5" xfId="75" applyBorder="1" applyAlignment="1" applyProtection="1">
      <alignment horizontal="center" vertical="center"/>
      <protection locked="0"/>
    </xf>
    <xf numFmtId="0" fontId="5" fillId="0" borderId="5" xfId="75" applyBorder="1" applyAlignment="1" applyProtection="1">
      <alignment horizontal="center" vertical="center" wrapText="1" readingOrder="2"/>
      <protection locked="0"/>
    </xf>
    <xf numFmtId="177" fontId="54" fillId="0" borderId="5" xfId="46" applyNumberFormat="1" applyFont="1" applyBorder="1" applyAlignment="1" applyProtection="1">
      <alignment horizontal="right" vertical="center" wrapText="1"/>
      <protection locked="0"/>
    </xf>
    <xf numFmtId="0" fontId="0" fillId="10" borderId="5" xfId="0" applyFill="1" applyBorder="1" applyAlignment="1">
      <alignment horizontal="center" vertical="center" wrapText="1"/>
    </xf>
    <xf numFmtId="0" fontId="16" fillId="0" borderId="0" xfId="0" applyFont="1" applyAlignment="1">
      <alignment horizontal="center"/>
    </xf>
    <xf numFmtId="10" fontId="0" fillId="0" borderId="5" xfId="1" applyNumberFormat="1" applyFont="1" applyBorder="1" applyAlignment="1" applyProtection="1">
      <alignment horizontal="center" vertical="center"/>
    </xf>
    <xf numFmtId="9" fontId="0" fillId="0" borderId="5" xfId="1" applyFont="1" applyBorder="1" applyAlignment="1" applyProtection="1">
      <alignment horizontal="center" vertical="center"/>
    </xf>
    <xf numFmtId="9" fontId="0" fillId="0" borderId="30" xfId="1" applyFont="1" applyBorder="1" applyAlignment="1" applyProtection="1">
      <alignment horizontal="center" vertical="center" wrapText="1"/>
    </xf>
    <xf numFmtId="168" fontId="0" fillId="0" borderId="30" xfId="0" applyNumberFormat="1" applyBorder="1" applyAlignment="1">
      <alignment horizontal="center" vertical="center" wrapText="1"/>
    </xf>
    <xf numFmtId="9" fontId="0" fillId="0" borderId="5" xfId="0" applyNumberFormat="1" applyBorder="1" applyAlignment="1">
      <alignment horizontal="center" vertical="center"/>
    </xf>
    <xf numFmtId="0" fontId="0" fillId="0" borderId="0" xfId="0" applyAlignment="1">
      <alignment horizontal="right" vertical="center" wrapText="1"/>
    </xf>
    <xf numFmtId="0" fontId="0" fillId="5" borderId="5" xfId="0" applyFill="1" applyBorder="1" applyAlignment="1">
      <alignment horizontal="center" vertical="center" wrapText="1"/>
    </xf>
    <xf numFmtId="0" fontId="0" fillId="5" borderId="5" xfId="0" applyFill="1" applyBorder="1" applyAlignment="1">
      <alignment horizontal="center" vertical="center"/>
    </xf>
    <xf numFmtId="0" fontId="0" fillId="5" borderId="9" xfId="0" applyFill="1" applyBorder="1" applyAlignment="1">
      <alignment horizontal="center" vertical="center"/>
    </xf>
    <xf numFmtId="0" fontId="0" fillId="0" borderId="0" xfId="0" applyAlignment="1">
      <alignment horizontal="right"/>
    </xf>
    <xf numFmtId="0" fontId="10" fillId="0" borderId="5" xfId="2" applyFont="1" applyBorder="1" applyAlignment="1">
      <alignment horizontal="center" vertical="center" wrapText="1"/>
    </xf>
    <xf numFmtId="0" fontId="10" fillId="0" borderId="5" xfId="1" applyNumberFormat="1" applyFont="1" applyBorder="1" applyAlignment="1" applyProtection="1">
      <alignment horizontal="center" vertical="center" wrapText="1"/>
    </xf>
    <xf numFmtId="0" fontId="0" fillId="0" borderId="0" xfId="0" applyAlignment="1">
      <alignment horizontal="center" vertical="center" wrapText="1" readingOrder="2"/>
    </xf>
    <xf numFmtId="0" fontId="10" fillId="0" borderId="0" xfId="1" applyNumberFormat="1" applyFont="1" applyAlignment="1" applyProtection="1">
      <alignment horizontal="center" vertical="center" wrapText="1"/>
    </xf>
    <xf numFmtId="9" fontId="0" fillId="0" borderId="5" xfId="1" applyFont="1" applyBorder="1" applyAlignment="1" applyProtection="1">
      <alignment horizontal="center" vertical="center" wrapText="1"/>
    </xf>
    <xf numFmtId="9" fontId="10" fillId="0" borderId="5" xfId="1" applyFont="1" applyBorder="1" applyAlignment="1" applyProtection="1">
      <alignment horizontal="center" vertical="center" wrapText="1"/>
    </xf>
    <xf numFmtId="3" fontId="10" fillId="0" borderId="5" xfId="1" applyNumberFormat="1" applyFont="1" applyBorder="1" applyAlignment="1" applyProtection="1">
      <alignment horizontal="center" vertical="center" wrapText="1"/>
    </xf>
    <xf numFmtId="9" fontId="0" fillId="0" borderId="0" xfId="0" applyNumberFormat="1"/>
    <xf numFmtId="0" fontId="0" fillId="0" borderId="46" xfId="0" applyBorder="1"/>
    <xf numFmtId="0" fontId="0" fillId="0" borderId="54" xfId="0" applyBorder="1"/>
    <xf numFmtId="1" fontId="55" fillId="25" borderId="47" xfId="25" applyNumberFormat="1" applyFont="1" applyFill="1" applyBorder="1" applyAlignment="1">
      <alignment horizontal="center" vertical="center"/>
    </xf>
    <xf numFmtId="1" fontId="55" fillId="25" borderId="49" xfId="25" applyNumberFormat="1" applyFont="1" applyFill="1" applyBorder="1" applyAlignment="1">
      <alignment horizontal="center" vertical="center"/>
    </xf>
    <xf numFmtId="3" fontId="28" fillId="15" borderId="47" xfId="79" applyNumberFormat="1" applyFont="1" applyFill="1" applyBorder="1" applyAlignment="1">
      <alignment horizontal="center" vertical="center" wrapText="1"/>
    </xf>
    <xf numFmtId="1" fontId="29" fillId="7" borderId="48" xfId="80" applyNumberFormat="1" applyFont="1" applyFill="1" applyBorder="1" applyAlignment="1">
      <alignment horizontal="center" vertical="center"/>
    </xf>
    <xf numFmtId="3" fontId="34" fillId="0" borderId="0" xfId="80" applyNumberFormat="1" applyFont="1"/>
    <xf numFmtId="3" fontId="30" fillId="0" borderId="0" xfId="81" applyNumberFormat="1" applyFont="1"/>
    <xf numFmtId="3" fontId="28" fillId="15" borderId="49" xfId="79" applyNumberFormat="1" applyFont="1" applyFill="1" applyBorder="1" applyAlignment="1">
      <alignment horizontal="center" vertical="center" wrapText="1"/>
    </xf>
    <xf numFmtId="168" fontId="29" fillId="7" borderId="50" xfId="80" applyNumberFormat="1" applyFont="1" applyFill="1" applyBorder="1" applyAlignment="1">
      <alignment horizontal="center" vertical="center"/>
    </xf>
    <xf numFmtId="3" fontId="33" fillId="15" borderId="5" xfId="79" applyNumberFormat="1" applyFont="1" applyFill="1" applyBorder="1" applyAlignment="1">
      <alignment horizontal="center" vertical="center" wrapText="1"/>
    </xf>
    <xf numFmtId="3" fontId="33" fillId="15" borderId="54" xfId="79" applyNumberFormat="1" applyFont="1" applyFill="1" applyBorder="1" applyAlignment="1">
      <alignment horizontal="center" vertical="center" wrapText="1"/>
    </xf>
    <xf numFmtId="3" fontId="39" fillId="0" borderId="0" xfId="80" applyNumberFormat="1" applyFont="1"/>
    <xf numFmtId="3" fontId="34" fillId="0" borderId="0" xfId="80" applyNumberFormat="1" applyFont="1" applyAlignment="1">
      <alignment horizontal="center" wrapText="1"/>
    </xf>
    <xf numFmtId="1" fontId="35" fillId="8" borderId="25" xfId="80" applyNumberFormat="1" applyFont="1" applyFill="1" applyBorder="1" applyAlignment="1">
      <alignment horizontal="center"/>
    </xf>
    <xf numFmtId="3" fontId="35" fillId="8" borderId="3" xfId="6" applyNumberFormat="1" applyFont="1" applyFill="1" applyBorder="1" applyAlignment="1" applyProtection="1">
      <alignment horizontal="right" vertical="center" readingOrder="2"/>
    </xf>
    <xf numFmtId="10" fontId="35" fillId="8" borderId="3" xfId="1" applyNumberFormat="1" applyFont="1" applyFill="1" applyBorder="1" applyAlignment="1" applyProtection="1">
      <alignment horizontal="center" vertical="center"/>
    </xf>
    <xf numFmtId="164" fontId="35" fillId="7" borderId="3" xfId="17" applyNumberFormat="1" applyFont="1" applyFill="1" applyBorder="1" applyAlignment="1" applyProtection="1">
      <alignment horizontal="center" vertical="center"/>
    </xf>
    <xf numFmtId="9" fontId="35" fillId="7" borderId="63" xfId="18" applyFont="1" applyFill="1" applyBorder="1" applyAlignment="1" applyProtection="1">
      <alignment horizontal="center" vertical="center"/>
    </xf>
    <xf numFmtId="10" fontId="35" fillId="8" borderId="5" xfId="1" applyNumberFormat="1" applyFont="1" applyFill="1" applyBorder="1" applyAlignment="1" applyProtection="1">
      <alignment horizontal="center" vertical="center" readingOrder="1"/>
    </xf>
    <xf numFmtId="164" fontId="35" fillId="7" borderId="5" xfId="17" applyNumberFormat="1" applyFont="1" applyFill="1" applyBorder="1" applyAlignment="1" applyProtection="1">
      <alignment horizontal="center" vertical="center"/>
    </xf>
    <xf numFmtId="164" fontId="29" fillId="7" borderId="58" xfId="17" applyNumberFormat="1" applyFont="1" applyFill="1" applyBorder="1" applyAlignment="1" applyProtection="1">
      <alignment horizontal="center" vertical="center"/>
    </xf>
    <xf numFmtId="10" fontId="29" fillId="24" borderId="57" xfId="18" applyNumberFormat="1" applyFont="1" applyFill="1" applyBorder="1" applyAlignment="1" applyProtection="1">
      <alignment horizontal="center" vertical="center"/>
    </xf>
    <xf numFmtId="3" fontId="29" fillId="24" borderId="57" xfId="18" applyNumberFormat="1" applyFont="1" applyFill="1" applyBorder="1" applyAlignment="1" applyProtection="1">
      <alignment horizontal="center" vertical="center"/>
    </xf>
    <xf numFmtId="9" fontId="29" fillId="24" borderId="57" xfId="18" applyFont="1" applyFill="1" applyBorder="1" applyAlignment="1">
      <alignment horizontal="center" vertical="center"/>
    </xf>
    <xf numFmtId="179" fontId="29" fillId="24" borderId="59" xfId="21" applyNumberFormat="1" applyFont="1" applyFill="1" applyBorder="1" applyAlignment="1">
      <alignment horizontal="center" vertical="center"/>
    </xf>
    <xf numFmtId="10" fontId="35" fillId="8" borderId="3" xfId="21" applyNumberFormat="1" applyFont="1" applyFill="1" applyBorder="1" applyAlignment="1" applyProtection="1">
      <alignment horizontal="center" vertical="center"/>
    </xf>
    <xf numFmtId="10" fontId="29" fillId="7" borderId="63" xfId="18" applyNumberFormat="1" applyFont="1" applyFill="1" applyBorder="1" applyAlignment="1" applyProtection="1">
      <alignment horizontal="center" vertical="center"/>
    </xf>
    <xf numFmtId="3" fontId="35" fillId="8" borderId="3" xfId="17" applyNumberFormat="1" applyFont="1" applyFill="1" applyBorder="1" applyAlignment="1" applyProtection="1">
      <alignment horizontal="center" vertical="center" readingOrder="1"/>
    </xf>
    <xf numFmtId="3" fontId="34" fillId="8" borderId="5" xfId="80" applyNumberFormat="1" applyFont="1" applyFill="1" applyBorder="1" applyAlignment="1">
      <alignment horizontal="center"/>
    </xf>
    <xf numFmtId="3" fontId="35" fillId="8" borderId="3" xfId="21" applyNumberFormat="1" applyFont="1" applyFill="1" applyBorder="1" applyAlignment="1" applyProtection="1">
      <alignment horizontal="center" vertical="center"/>
      <protection locked="0"/>
    </xf>
    <xf numFmtId="10" fontId="9" fillId="7" borderId="5" xfId="1" applyNumberFormat="1" applyFont="1" applyFill="1" applyBorder="1" applyAlignment="1">
      <alignment horizontal="center"/>
    </xf>
    <xf numFmtId="0" fontId="0" fillId="0" borderId="5" xfId="75" applyFont="1" applyBorder="1" applyAlignment="1" applyProtection="1">
      <alignment horizontal="center" vertical="center"/>
      <protection locked="0"/>
    </xf>
    <xf numFmtId="3" fontId="0" fillId="0" borderId="8" xfId="6" applyNumberFormat="1" applyFont="1" applyBorder="1" applyProtection="1">
      <protection locked="0"/>
    </xf>
    <xf numFmtId="179" fontId="18" fillId="0" borderId="0" xfId="432" applyNumberFormat="1" applyFont="1"/>
    <xf numFmtId="0" fontId="5" fillId="9" borderId="29" xfId="0" applyFont="1" applyFill="1" applyBorder="1" applyAlignment="1">
      <alignment horizontal="center" vertical="center" wrapText="1"/>
    </xf>
    <xf numFmtId="0" fontId="5" fillId="9" borderId="6" xfId="0" applyFont="1" applyFill="1" applyBorder="1" applyAlignment="1">
      <alignment horizontal="center" vertical="center" wrapText="1"/>
    </xf>
    <xf numFmtId="180" fontId="18" fillId="0" borderId="0" xfId="0" applyNumberFormat="1" applyFont="1"/>
    <xf numFmtId="10" fontId="18" fillId="0" borderId="0" xfId="1" applyNumberFormat="1" applyFont="1"/>
    <xf numFmtId="9" fontId="18" fillId="0" borderId="0" xfId="0" applyNumberFormat="1" applyFont="1"/>
    <xf numFmtId="171" fontId="18" fillId="9" borderId="9" xfId="1" applyNumberFormat="1" applyFont="1" applyFill="1" applyBorder="1" applyAlignment="1">
      <alignment horizontal="center" vertical="center" wrapText="1"/>
    </xf>
    <xf numFmtId="171" fontId="35" fillId="8" borderId="3" xfId="21" applyNumberFormat="1" applyFont="1" applyFill="1" applyBorder="1" applyAlignment="1" applyProtection="1">
      <alignment horizontal="center" vertical="center"/>
    </xf>
    <xf numFmtId="181" fontId="18" fillId="0" borderId="0" xfId="1" applyNumberFormat="1" applyFont="1"/>
    <xf numFmtId="171" fontId="18" fillId="0" borderId="0" xfId="1" applyNumberFormat="1" applyFont="1"/>
    <xf numFmtId="0" fontId="0" fillId="10" borderId="5" xfId="0" applyFill="1" applyBorder="1" applyAlignment="1" applyProtection="1">
      <alignment horizontal="center" vertical="center"/>
      <protection locked="0"/>
    </xf>
    <xf numFmtId="0" fontId="0" fillId="10" borderId="17" xfId="0" applyFill="1" applyBorder="1" applyAlignment="1" applyProtection="1">
      <alignment horizontal="center" vertical="center"/>
      <protection locked="0"/>
    </xf>
    <xf numFmtId="0" fontId="0" fillId="10" borderId="5" xfId="0" applyFill="1" applyBorder="1" applyAlignment="1" applyProtection="1">
      <alignment vertical="center" wrapText="1"/>
      <protection locked="0"/>
    </xf>
    <xf numFmtId="0" fontId="0" fillId="9" borderId="5" xfId="0" applyFill="1" applyBorder="1" applyAlignment="1" applyProtection="1">
      <alignment horizontal="center" vertical="center" wrapText="1"/>
      <protection locked="0"/>
    </xf>
    <xf numFmtId="0" fontId="0" fillId="10" borderId="16" xfId="0" applyFill="1" applyBorder="1" applyAlignment="1" applyProtection="1">
      <alignment horizontal="center" vertical="center" wrapText="1"/>
      <protection locked="0"/>
    </xf>
    <xf numFmtId="0" fontId="0" fillId="0" borderId="0" xfId="0" applyProtection="1">
      <protection locked="0"/>
    </xf>
    <xf numFmtId="0" fontId="0" fillId="9" borderId="6" xfId="0" applyFill="1" applyBorder="1" applyAlignment="1" applyProtection="1">
      <alignment horizontal="center" vertical="center" wrapText="1"/>
      <protection locked="0"/>
    </xf>
    <xf numFmtId="0" fontId="18" fillId="10" borderId="9" xfId="0" applyFont="1" applyFill="1" applyBorder="1" applyAlignment="1" applyProtection="1">
      <alignment horizontal="center" vertical="center" wrapText="1"/>
      <protection locked="0"/>
    </xf>
    <xf numFmtId="0" fontId="18" fillId="10" borderId="5" xfId="0" applyFont="1" applyFill="1" applyBorder="1" applyAlignment="1" applyProtection="1">
      <alignment horizontal="center" vertical="center" wrapText="1"/>
      <protection locked="0"/>
    </xf>
    <xf numFmtId="0" fontId="18" fillId="10" borderId="8" xfId="0" applyFont="1" applyFill="1" applyBorder="1" applyAlignment="1" applyProtection="1">
      <alignment horizontal="center" vertical="center" wrapText="1"/>
      <protection locked="0"/>
    </xf>
    <xf numFmtId="3" fontId="33" fillId="15" borderId="46" xfId="79" applyNumberFormat="1" applyFont="1" applyFill="1" applyBorder="1" applyAlignment="1" applyProtection="1">
      <alignment horizontal="center" vertical="center" wrapText="1"/>
      <protection locked="0"/>
    </xf>
    <xf numFmtId="3" fontId="33" fillId="5" borderId="53" xfId="79" applyNumberFormat="1" applyFont="1" applyFill="1" applyBorder="1" applyAlignment="1" applyProtection="1">
      <alignment horizontal="center" vertical="center" wrapText="1"/>
      <protection locked="0"/>
    </xf>
    <xf numFmtId="3" fontId="33" fillId="5" borderId="55" xfId="79" applyNumberFormat="1" applyFont="1" applyFill="1" applyBorder="1" applyAlignment="1" applyProtection="1">
      <alignment horizontal="center" vertical="center" wrapText="1"/>
      <protection locked="0"/>
    </xf>
    <xf numFmtId="0" fontId="0" fillId="9" borderId="2" xfId="0" applyFill="1" applyBorder="1" applyAlignment="1" applyProtection="1">
      <alignment horizontal="center" vertical="center" wrapText="1"/>
      <protection locked="0"/>
    </xf>
    <xf numFmtId="0" fontId="33" fillId="15" borderId="46" xfId="16" applyFont="1" applyFill="1" applyBorder="1" applyAlignment="1" applyProtection="1">
      <alignment horizontal="center" vertical="center" wrapText="1"/>
      <protection locked="0"/>
    </xf>
    <xf numFmtId="0" fontId="32" fillId="18" borderId="46" xfId="15" applyFont="1" applyFill="1" applyBorder="1" applyAlignment="1" applyProtection="1">
      <alignment horizontal="center" vertical="center" wrapText="1"/>
      <protection locked="0"/>
    </xf>
    <xf numFmtId="0" fontId="33" fillId="15" borderId="53" xfId="16" applyFont="1" applyFill="1" applyBorder="1" applyAlignment="1" applyProtection="1">
      <alignment horizontal="center" vertical="center" wrapText="1"/>
      <protection locked="0"/>
    </xf>
    <xf numFmtId="0" fontId="33" fillId="5" borderId="54" xfId="15" applyFont="1" applyFill="1" applyBorder="1" applyAlignment="1" applyProtection="1">
      <alignment horizontal="center" vertical="center" wrapText="1"/>
      <protection locked="0"/>
    </xf>
    <xf numFmtId="0" fontId="33" fillId="15" borderId="55" xfId="16" applyFont="1" applyFill="1" applyBorder="1" applyAlignment="1" applyProtection="1">
      <alignment horizontal="center" vertical="center" wrapText="1"/>
      <protection locked="0"/>
    </xf>
    <xf numFmtId="0" fontId="33" fillId="15" borderId="54" xfId="16" applyFont="1" applyFill="1" applyBorder="1" applyAlignment="1">
      <alignment horizontal="center" vertical="center" wrapText="1"/>
    </xf>
    <xf numFmtId="0" fontId="30" fillId="0" borderId="0" xfId="15" applyFont="1" applyAlignment="1" applyProtection="1">
      <alignment horizontal="center" vertical="center"/>
      <protection locked="0"/>
    </xf>
    <xf numFmtId="0" fontId="33" fillId="15" borderId="41" xfId="16" applyFont="1" applyFill="1" applyBorder="1" applyAlignment="1">
      <alignment horizontal="center" vertical="center" wrapText="1"/>
    </xf>
    <xf numFmtId="0" fontId="38" fillId="0" borderId="0" xfId="15" applyFont="1" applyProtection="1">
      <protection locked="0"/>
    </xf>
    <xf numFmtId="0" fontId="35" fillId="0" borderId="0" xfId="7" applyFont="1" applyProtection="1">
      <protection locked="0"/>
    </xf>
    <xf numFmtId="172" fontId="0" fillId="0" borderId="0" xfId="0" applyNumberFormat="1"/>
    <xf numFmtId="9" fontId="0" fillId="0" borderId="0" xfId="1" applyFont="1"/>
    <xf numFmtId="0" fontId="4" fillId="0" borderId="0" xfId="436"/>
    <xf numFmtId="0" fontId="78" fillId="13" borderId="0" xfId="434" applyNumberFormat="1" applyFont="1" applyFill="1" applyAlignment="1" applyProtection="1">
      <alignment vertical="top"/>
      <protection locked="0"/>
    </xf>
    <xf numFmtId="0" fontId="78" fillId="13" borderId="0" xfId="437" applyNumberFormat="1" applyFont="1" applyFill="1" applyAlignment="1" applyProtection="1">
      <alignment vertical="top"/>
      <protection locked="0"/>
    </xf>
    <xf numFmtId="182" fontId="78" fillId="13" borderId="0" xfId="434" applyNumberFormat="1" applyFont="1" applyFill="1" applyAlignment="1" applyProtection="1">
      <alignment vertical="top"/>
      <protection locked="0"/>
    </xf>
    <xf numFmtId="3" fontId="33" fillId="21" borderId="5" xfId="291" applyNumberFormat="1" applyFont="1" applyFill="1" applyBorder="1" applyAlignment="1">
      <alignment horizontal="center" vertical="center" wrapText="1"/>
    </xf>
    <xf numFmtId="168" fontId="36" fillId="17" borderId="41" xfId="18" applyNumberFormat="1" applyFont="1" applyFill="1" applyBorder="1" applyAlignment="1">
      <alignment horizontal="center" vertical="center"/>
    </xf>
    <xf numFmtId="168" fontId="36" fillId="17" borderId="41" xfId="18" applyNumberFormat="1" applyFont="1" applyFill="1" applyBorder="1" applyAlignment="1">
      <alignment horizontal="center" vertical="center" wrapText="1"/>
    </xf>
    <xf numFmtId="0" fontId="33" fillId="15" borderId="5" xfId="16" applyFont="1" applyFill="1" applyBorder="1" applyAlignment="1" applyProtection="1">
      <alignment horizontal="center" vertical="center" wrapText="1"/>
      <protection locked="0"/>
    </xf>
    <xf numFmtId="0" fontId="33" fillId="15" borderId="5" xfId="14" applyFont="1" applyFill="1" applyBorder="1" applyAlignment="1" applyProtection="1">
      <alignment horizontal="center" vertical="center" wrapText="1"/>
      <protection locked="0"/>
    </xf>
    <xf numFmtId="168" fontId="36" fillId="17" borderId="73" xfId="18" applyNumberFormat="1" applyFont="1" applyFill="1" applyBorder="1" applyAlignment="1">
      <alignment horizontal="center" vertical="center"/>
    </xf>
    <xf numFmtId="168" fontId="36" fillId="17" borderId="74" xfId="18" applyNumberFormat="1" applyFont="1" applyFill="1" applyBorder="1" applyAlignment="1">
      <alignment horizontal="center" vertical="center"/>
    </xf>
    <xf numFmtId="168" fontId="36" fillId="17" borderId="75" xfId="18" applyNumberFormat="1" applyFont="1" applyFill="1" applyBorder="1" applyAlignment="1">
      <alignment horizontal="center" vertical="center"/>
    </xf>
    <xf numFmtId="1" fontId="29" fillId="8" borderId="5" xfId="7" applyNumberFormat="1" applyFont="1" applyFill="1" applyBorder="1" applyAlignment="1">
      <alignment horizontal="center" vertical="center"/>
    </xf>
    <xf numFmtId="1" fontId="29" fillId="8" borderId="5" xfId="7" applyNumberFormat="1" applyFont="1" applyFill="1" applyBorder="1" applyAlignment="1">
      <alignment horizontal="right" vertical="center"/>
    </xf>
    <xf numFmtId="1" fontId="29" fillId="8" borderId="5" xfId="80" applyNumberFormat="1" applyFont="1" applyFill="1" applyBorder="1" applyAlignment="1">
      <alignment horizontal="right" vertical="center"/>
    </xf>
    <xf numFmtId="182" fontId="29" fillId="8" borderId="5" xfId="6" applyNumberFormat="1" applyFont="1" applyFill="1" applyBorder="1" applyAlignment="1">
      <alignment horizontal="right" vertical="center"/>
    </xf>
    <xf numFmtId="171" fontId="29" fillId="8" borderId="5" xfId="18" applyNumberFormat="1" applyFont="1" applyFill="1" applyBorder="1" applyAlignment="1">
      <alignment horizontal="center" vertical="center"/>
    </xf>
    <xf numFmtId="168" fontId="29" fillId="8" borderId="5" xfId="18" applyNumberFormat="1" applyFont="1" applyFill="1" applyBorder="1" applyAlignment="1">
      <alignment horizontal="center" vertical="center"/>
    </xf>
    <xf numFmtId="168" fontId="29" fillId="7" borderId="5" xfId="18" applyNumberFormat="1" applyFont="1" applyFill="1" applyBorder="1" applyAlignment="1">
      <alignment horizontal="center" vertical="center"/>
    </xf>
    <xf numFmtId="0" fontId="35" fillId="0" borderId="5" xfId="17" applyNumberFormat="1" applyFont="1" applyBorder="1" applyAlignment="1" applyProtection="1">
      <alignment horizontal="center" vertical="center" readingOrder="1"/>
      <protection locked="0"/>
    </xf>
    <xf numFmtId="1" fontId="29" fillId="0" borderId="5" xfId="7" applyNumberFormat="1" applyFont="1" applyBorder="1" applyAlignment="1" applyProtection="1">
      <alignment horizontal="right" vertical="center" wrapText="1"/>
      <protection locked="0"/>
    </xf>
    <xf numFmtId="182" fontId="0" fillId="0" borderId="0" xfId="6" applyNumberFormat="1" applyFont="1"/>
    <xf numFmtId="182" fontId="35" fillId="0" borderId="0" xfId="6" applyNumberFormat="1" applyFont="1"/>
    <xf numFmtId="182" fontId="33" fillId="15" borderId="5" xfId="6" applyNumberFormat="1" applyFont="1" applyFill="1" applyBorder="1" applyAlignment="1" applyProtection="1">
      <alignment horizontal="center" vertical="center" wrapText="1"/>
      <protection locked="0"/>
    </xf>
    <xf numFmtId="182" fontId="36" fillId="17" borderId="41" xfId="6" applyNumberFormat="1" applyFont="1" applyFill="1" applyBorder="1" applyAlignment="1">
      <alignment horizontal="center" vertical="center"/>
    </xf>
    <xf numFmtId="0" fontId="35" fillId="0" borderId="0" xfId="7" applyFont="1" applyAlignment="1">
      <alignment horizontal="center"/>
    </xf>
    <xf numFmtId="0" fontId="39" fillId="0" borderId="0" xfId="7" applyFont="1" applyAlignment="1">
      <alignment horizontal="center"/>
    </xf>
    <xf numFmtId="1" fontId="29" fillId="8" borderId="5" xfId="80" applyNumberFormat="1" applyFont="1" applyFill="1" applyBorder="1" applyAlignment="1">
      <alignment horizontal="center" vertical="center"/>
    </xf>
    <xf numFmtId="182" fontId="29" fillId="8" borderId="5" xfId="6" applyNumberFormat="1" applyFont="1" applyFill="1" applyBorder="1" applyAlignment="1">
      <alignment horizontal="center" vertical="center"/>
    </xf>
    <xf numFmtId="0" fontId="29" fillId="0" borderId="0" xfId="7" applyFont="1"/>
    <xf numFmtId="0" fontId="0" fillId="0" borderId="0" xfId="0" applyAlignment="1">
      <alignment horizontal="center"/>
    </xf>
    <xf numFmtId="0" fontId="0" fillId="0" borderId="0" xfId="0" applyAlignment="1">
      <alignment horizontal="center" wrapText="1"/>
    </xf>
    <xf numFmtId="0" fontId="0" fillId="0" borderId="43" xfId="0" applyBorder="1"/>
    <xf numFmtId="0" fontId="0" fillId="0" borderId="44" xfId="0" applyBorder="1"/>
    <xf numFmtId="0" fontId="0" fillId="0" borderId="33" xfId="0" applyBorder="1"/>
    <xf numFmtId="0" fontId="79" fillId="15" borderId="47" xfId="0" applyFont="1" applyFill="1" applyBorder="1" applyAlignment="1">
      <alignment horizontal="center" vertical="center" wrapText="1"/>
    </xf>
    <xf numFmtId="1" fontId="80" fillId="7" borderId="48" xfId="0" applyNumberFormat="1" applyFont="1" applyFill="1" applyBorder="1" applyAlignment="1">
      <alignment horizontal="center" vertical="center"/>
    </xf>
    <xf numFmtId="0" fontId="79" fillId="15" borderId="49" xfId="0" applyFont="1" applyFill="1" applyBorder="1" applyAlignment="1">
      <alignment horizontal="center" vertical="center" wrapText="1"/>
    </xf>
    <xf numFmtId="168" fontId="80" fillId="7" borderId="50" xfId="0" applyNumberFormat="1" applyFont="1" applyFill="1" applyBorder="1" applyAlignment="1">
      <alignment horizontal="center" vertical="center"/>
    </xf>
    <xf numFmtId="0" fontId="0" fillId="0" borderId="0" xfId="0" applyAlignment="1">
      <alignment vertical="center"/>
    </xf>
    <xf numFmtId="0" fontId="81" fillId="0" borderId="47" xfId="0" applyFont="1" applyBorder="1" applyAlignment="1">
      <alignment horizontal="center" vertical="center" wrapText="1"/>
    </xf>
    <xf numFmtId="0" fontId="51" fillId="0" borderId="46" xfId="0" applyFont="1" applyBorder="1" applyAlignment="1">
      <alignment horizontal="center" vertical="center"/>
    </xf>
    <xf numFmtId="0" fontId="51" fillId="0" borderId="48" xfId="0" applyFont="1" applyBorder="1" applyAlignment="1">
      <alignment horizontal="center" vertical="center"/>
    </xf>
    <xf numFmtId="0" fontId="0" fillId="0" borderId="43" xfId="0" applyBorder="1" applyAlignment="1">
      <alignment vertical="center"/>
    </xf>
    <xf numFmtId="0" fontId="0" fillId="0" borderId="44" xfId="0" applyBorder="1" applyAlignment="1">
      <alignment vertical="center"/>
    </xf>
    <xf numFmtId="0" fontId="0" fillId="0" borderId="33" xfId="0" applyBorder="1" applyAlignment="1">
      <alignment vertical="center"/>
    </xf>
    <xf numFmtId="181" fontId="0" fillId="0" borderId="0" xfId="0" applyNumberFormat="1" applyAlignment="1">
      <alignment vertical="center"/>
    </xf>
    <xf numFmtId="0" fontId="0" fillId="0" borderId="26" xfId="0" applyBorder="1" applyAlignment="1">
      <alignment horizontal="center"/>
    </xf>
    <xf numFmtId="0" fontId="51" fillId="15" borderId="5" xfId="0" applyFont="1" applyFill="1" applyBorder="1" applyAlignment="1">
      <alignment horizontal="center" vertical="center" wrapText="1"/>
    </xf>
    <xf numFmtId="0" fontId="51" fillId="15" borderId="58" xfId="0" applyFont="1" applyFill="1" applyBorder="1" applyAlignment="1">
      <alignment horizontal="center" vertical="center" wrapText="1"/>
    </xf>
    <xf numFmtId="0" fontId="0" fillId="0" borderId="49" xfId="0" applyBorder="1" applyAlignment="1">
      <alignment horizontal="center"/>
    </xf>
    <xf numFmtId="0" fontId="0" fillId="0" borderId="54" xfId="0" applyBorder="1" applyAlignment="1">
      <alignment horizontal="center"/>
    </xf>
    <xf numFmtId="0" fontId="0" fillId="0" borderId="50" xfId="0" applyBorder="1" applyAlignment="1">
      <alignment horizontal="center"/>
    </xf>
    <xf numFmtId="0" fontId="51" fillId="24" borderId="32" xfId="0" applyFont="1" applyFill="1" applyBorder="1" applyAlignment="1">
      <alignment horizontal="center" vertical="center" readingOrder="2"/>
    </xf>
    <xf numFmtId="0" fontId="0" fillId="0" borderId="51" xfId="0" applyBorder="1"/>
    <xf numFmtId="0" fontId="51" fillId="15" borderId="36" xfId="0" applyFont="1" applyFill="1" applyBorder="1" applyAlignment="1">
      <alignment horizontal="center" vertical="center" wrapText="1"/>
    </xf>
    <xf numFmtId="0" fontId="51" fillId="15" borderId="76" xfId="0" applyFont="1" applyFill="1" applyBorder="1" applyAlignment="1">
      <alignment horizontal="center" vertical="center" wrapText="1"/>
    </xf>
    <xf numFmtId="0" fontId="51" fillId="15" borderId="32" xfId="0" applyFont="1" applyFill="1" applyBorder="1" applyAlignment="1">
      <alignment horizontal="center" vertical="center" wrapText="1"/>
    </xf>
    <xf numFmtId="0" fontId="51" fillId="15" borderId="77" xfId="0" applyFont="1" applyFill="1" applyBorder="1" applyAlignment="1">
      <alignment horizontal="center" vertical="center" wrapText="1"/>
    </xf>
    <xf numFmtId="0" fontId="51" fillId="15" borderId="57" xfId="0" applyFont="1" applyFill="1" applyBorder="1" applyAlignment="1">
      <alignment horizontal="center" vertical="center" wrapText="1"/>
    </xf>
    <xf numFmtId="0" fontId="51" fillId="15" borderId="39" xfId="0" applyFont="1" applyFill="1" applyBorder="1" applyAlignment="1">
      <alignment horizontal="center" vertical="center" wrapText="1"/>
    </xf>
    <xf numFmtId="0" fontId="51" fillId="15" borderId="44" xfId="0" applyFont="1" applyFill="1" applyBorder="1" applyAlignment="1">
      <alignment horizontal="center" vertical="center" wrapText="1"/>
    </xf>
    <xf numFmtId="0" fontId="51" fillId="15" borderId="45" xfId="0" applyFont="1" applyFill="1" applyBorder="1" applyAlignment="1">
      <alignment horizontal="center" vertical="center" wrapText="1"/>
    </xf>
    <xf numFmtId="0" fontId="51" fillId="15" borderId="52" xfId="0" applyFont="1" applyFill="1" applyBorder="1" applyAlignment="1">
      <alignment horizontal="center" vertical="center" wrapText="1"/>
    </xf>
    <xf numFmtId="0" fontId="51" fillId="15" borderId="37" xfId="0" applyFont="1" applyFill="1" applyBorder="1" applyAlignment="1">
      <alignment horizontal="center" vertical="center" wrapText="1"/>
    </xf>
    <xf numFmtId="0" fontId="51" fillId="15" borderId="61" xfId="0" applyFont="1" applyFill="1" applyBorder="1" applyAlignment="1">
      <alignment horizontal="center" vertical="center" wrapText="1"/>
    </xf>
    <xf numFmtId="0" fontId="51" fillId="15" borderId="59" xfId="0" applyFont="1" applyFill="1" applyBorder="1" applyAlignment="1">
      <alignment horizontal="center" vertical="center" wrapText="1"/>
    </xf>
    <xf numFmtId="0" fontId="51" fillId="15" borderId="48" xfId="0" applyFont="1" applyFill="1" applyBorder="1" applyAlignment="1">
      <alignment horizontal="center" vertical="center" wrapText="1"/>
    </xf>
    <xf numFmtId="0" fontId="51" fillId="15" borderId="0" xfId="0" applyFont="1" applyFill="1" applyAlignment="1">
      <alignment horizontal="center" vertical="center" wrapText="1"/>
    </xf>
    <xf numFmtId="0" fontId="0" fillId="0" borderId="79" xfId="0" applyBorder="1"/>
    <xf numFmtId="0" fontId="82" fillId="15" borderId="40" xfId="0" applyFont="1" applyFill="1" applyBorder="1" applyAlignment="1">
      <alignment horizontal="center" vertical="center" wrapText="1"/>
    </xf>
    <xf numFmtId="0" fontId="82" fillId="15" borderId="41" xfId="0" applyFont="1" applyFill="1" applyBorder="1" applyAlignment="1">
      <alignment horizontal="center" vertical="center" wrapText="1"/>
    </xf>
    <xf numFmtId="0" fontId="82" fillId="15" borderId="32" xfId="0" applyFont="1" applyFill="1" applyBorder="1" applyAlignment="1">
      <alignment horizontal="center" vertical="center" wrapText="1"/>
    </xf>
    <xf numFmtId="0" fontId="82" fillId="15" borderId="81" xfId="0" applyFont="1" applyFill="1" applyBorder="1" applyAlignment="1">
      <alignment horizontal="center" vertical="center" wrapText="1"/>
    </xf>
    <xf numFmtId="0" fontId="82" fillId="15" borderId="80" xfId="0" applyFont="1" applyFill="1" applyBorder="1" applyAlignment="1">
      <alignment horizontal="center" vertical="center" wrapText="1"/>
    </xf>
    <xf numFmtId="0" fontId="82" fillId="15" borderId="77" xfId="0" applyFont="1" applyFill="1" applyBorder="1" applyAlignment="1">
      <alignment horizontal="center" vertical="center" wrapText="1"/>
    </xf>
    <xf numFmtId="0" fontId="82" fillId="15" borderId="57" xfId="0" applyFont="1" applyFill="1" applyBorder="1" applyAlignment="1">
      <alignment horizontal="center" vertical="center" wrapText="1"/>
    </xf>
    <xf numFmtId="0" fontId="82" fillId="15" borderId="59" xfId="0" applyFont="1" applyFill="1" applyBorder="1" applyAlignment="1">
      <alignment horizontal="center" vertical="center" wrapText="1"/>
    </xf>
    <xf numFmtId="0" fontId="51" fillId="15" borderId="41" xfId="0" applyFont="1" applyFill="1" applyBorder="1" applyAlignment="1">
      <alignment horizontal="center" vertical="center" wrapText="1"/>
    </xf>
    <xf numFmtId="0" fontId="82" fillId="15" borderId="54" xfId="0" applyFont="1" applyFill="1" applyBorder="1" applyAlignment="1">
      <alignment horizontal="center" vertical="center" wrapText="1"/>
    </xf>
    <xf numFmtId="0" fontId="51" fillId="15" borderId="50" xfId="0" applyFont="1" applyFill="1" applyBorder="1" applyAlignment="1">
      <alignment horizontal="center" vertical="center" wrapText="1"/>
    </xf>
    <xf numFmtId="0" fontId="62" fillId="8" borderId="25" xfId="0" applyFont="1" applyFill="1" applyBorder="1" applyAlignment="1">
      <alignment horizontal="center" vertical="center" readingOrder="2"/>
    </xf>
    <xf numFmtId="3" fontId="62" fillId="8" borderId="25" xfId="0" applyNumberFormat="1" applyFont="1" applyFill="1" applyBorder="1" applyAlignment="1">
      <alignment horizontal="center" vertical="center" readingOrder="2"/>
    </xf>
    <xf numFmtId="1" fontId="62" fillId="8" borderId="25" xfId="0" applyNumberFormat="1" applyFont="1" applyFill="1" applyBorder="1" applyAlignment="1">
      <alignment horizontal="center" vertical="center"/>
    </xf>
    <xf numFmtId="0" fontId="62" fillId="8" borderId="25" xfId="0" applyFont="1" applyFill="1" applyBorder="1" applyAlignment="1" applyProtection="1">
      <alignment horizontal="center" vertical="center" readingOrder="2"/>
      <protection locked="0"/>
    </xf>
    <xf numFmtId="4" fontId="62" fillId="8" borderId="25" xfId="0" applyNumberFormat="1" applyFont="1" applyFill="1" applyBorder="1" applyAlignment="1" applyProtection="1">
      <alignment horizontal="center" vertical="center" readingOrder="2"/>
      <protection locked="0"/>
    </xf>
    <xf numFmtId="0" fontId="82" fillId="15" borderId="34" xfId="0" applyFont="1" applyFill="1" applyBorder="1" applyAlignment="1">
      <alignment horizontal="center" vertical="center" wrapText="1"/>
    </xf>
    <xf numFmtId="0" fontId="82" fillId="15" borderId="79" xfId="0" applyFont="1" applyFill="1" applyBorder="1" applyAlignment="1">
      <alignment horizontal="center" vertical="center" wrapText="1"/>
    </xf>
    <xf numFmtId="0" fontId="51" fillId="15" borderId="43" xfId="0" applyFont="1" applyFill="1" applyBorder="1" applyAlignment="1">
      <alignment horizontal="center" vertical="center" wrapText="1"/>
    </xf>
    <xf numFmtId="0" fontId="51" fillId="15" borderId="77" xfId="0" applyFont="1" applyFill="1" applyBorder="1" applyAlignment="1">
      <alignment horizontal="center" vertical="center" wrapText="1" readingOrder="2"/>
    </xf>
    <xf numFmtId="0" fontId="62" fillId="0" borderId="25" xfId="0" applyFont="1" applyBorder="1" applyAlignment="1" applyProtection="1">
      <alignment horizontal="center" vertical="center" wrapText="1" readingOrder="2"/>
      <protection locked="0"/>
    </xf>
    <xf numFmtId="0" fontId="77" fillId="0" borderId="5" xfId="0" applyFont="1" applyBorder="1" applyAlignment="1" applyProtection="1">
      <alignment horizontal="right" vertical="center" wrapText="1" readingOrder="2"/>
      <protection locked="0"/>
    </xf>
    <xf numFmtId="0" fontId="1" fillId="0" borderId="5" xfId="0" applyFont="1" applyBorder="1" applyAlignment="1" applyProtection="1">
      <alignment horizontal="right" vertical="center" wrapText="1" readingOrder="2"/>
      <protection locked="0"/>
    </xf>
    <xf numFmtId="0" fontId="83" fillId="0" borderId="5" xfId="0" applyFont="1" applyBorder="1" applyAlignment="1" applyProtection="1">
      <alignment horizontal="right" vertical="center" wrapText="1" readingOrder="2"/>
      <protection locked="0"/>
    </xf>
    <xf numFmtId="3" fontId="1" fillId="13" borderId="5" xfId="0" applyNumberFormat="1" applyFont="1" applyFill="1" applyBorder="1" applyAlignment="1" applyProtection="1">
      <alignment horizontal="center" vertical="center"/>
      <protection locked="0"/>
    </xf>
    <xf numFmtId="0" fontId="80" fillId="15" borderId="32" xfId="0" applyFont="1" applyFill="1" applyBorder="1" applyAlignment="1">
      <alignment horizontal="center" vertical="center" wrapText="1"/>
    </xf>
    <xf numFmtId="0" fontId="0" fillId="10" borderId="0" xfId="0" applyFill="1" applyAlignment="1" applyProtection="1">
      <alignment horizontal="center" vertical="center" wrapText="1"/>
      <protection locked="0"/>
    </xf>
    <xf numFmtId="170" fontId="9" fillId="8" borderId="5" xfId="6" applyNumberFormat="1" applyFont="1" applyFill="1" applyBorder="1" applyAlignment="1" applyProtection="1">
      <alignment horizontal="center" vertical="center"/>
    </xf>
    <xf numFmtId="172" fontId="9" fillId="7" borderId="5" xfId="6" applyNumberFormat="1" applyFont="1" applyFill="1" applyBorder="1" applyAlignment="1" applyProtection="1">
      <alignment horizontal="center" vertical="center"/>
    </xf>
    <xf numFmtId="171" fontId="9" fillId="7" borderId="5" xfId="1" applyNumberFormat="1" applyFont="1" applyFill="1" applyBorder="1" applyAlignment="1" applyProtection="1">
      <alignment horizontal="center"/>
    </xf>
    <xf numFmtId="0" fontId="0" fillId="9" borderId="6" xfId="0" applyFill="1" applyBorder="1" applyAlignment="1">
      <alignment horizontal="center" vertical="center"/>
    </xf>
    <xf numFmtId="9" fontId="9" fillId="7" borderId="5" xfId="1" applyFont="1" applyFill="1" applyBorder="1" applyAlignment="1" applyProtection="1">
      <alignment horizontal="center"/>
    </xf>
    <xf numFmtId="0" fontId="0" fillId="10" borderId="16" xfId="0" applyFill="1" applyBorder="1" applyAlignment="1">
      <alignment vertical="center" wrapText="1"/>
    </xf>
    <xf numFmtId="0" fontId="0" fillId="9" borderId="1" xfId="0" applyFill="1" applyBorder="1" applyAlignment="1">
      <alignment horizontal="center" vertical="center" wrapText="1"/>
    </xf>
    <xf numFmtId="0" fontId="0" fillId="10" borderId="27" xfId="0" applyFill="1" applyBorder="1" applyAlignment="1">
      <alignment horizontal="center" vertical="center" wrapText="1"/>
    </xf>
    <xf numFmtId="0" fontId="0" fillId="9" borderId="15" xfId="0" applyFill="1" applyBorder="1" applyAlignment="1">
      <alignment horizontal="center" vertical="center"/>
    </xf>
    <xf numFmtId="0" fontId="0" fillId="9" borderId="25" xfId="0" applyFill="1" applyBorder="1" applyAlignment="1">
      <alignment horizontal="center" vertical="center" wrapText="1"/>
    </xf>
    <xf numFmtId="0" fontId="78" fillId="13" borderId="0" xfId="434" applyNumberFormat="1" applyFont="1" applyFill="1" applyBorder="1" applyAlignment="1" applyProtection="1">
      <alignment vertical="top"/>
      <protection locked="0"/>
    </xf>
    <xf numFmtId="168" fontId="0" fillId="13" borderId="0" xfId="1" applyNumberFormat="1" applyFont="1" applyFill="1" applyBorder="1" applyAlignment="1">
      <alignment horizontal="center" vertical="center"/>
    </xf>
    <xf numFmtId="0" fontId="85" fillId="20" borderId="5" xfId="3" applyFont="1" applyFill="1" applyBorder="1" applyAlignment="1" applyProtection="1">
      <alignment horizontal="center" vertical="center"/>
      <protection locked="0"/>
    </xf>
    <xf numFmtId="168" fontId="0" fillId="13" borderId="0" xfId="1" applyNumberFormat="1" applyFont="1" applyFill="1" applyBorder="1" applyAlignment="1" applyProtection="1">
      <alignment horizontal="center" vertical="center"/>
      <protection locked="0"/>
    </xf>
    <xf numFmtId="0" fontId="12" fillId="14" borderId="0" xfId="0" applyFont="1" applyFill="1" applyAlignment="1">
      <alignment horizontal="center" vertical="center"/>
    </xf>
    <xf numFmtId="0" fontId="0" fillId="13" borderId="5" xfId="0" applyFill="1" applyBorder="1" applyAlignment="1" applyProtection="1">
      <alignment horizontal="center" vertical="center"/>
      <protection locked="0"/>
    </xf>
    <xf numFmtId="168" fontId="10" fillId="13" borderId="5" xfId="2" applyNumberFormat="1" applyFont="1" applyFill="1" applyBorder="1" applyAlignment="1" applyProtection="1">
      <alignment horizontal="center" vertical="center" wrapText="1"/>
      <protection locked="0"/>
    </xf>
    <xf numFmtId="14" fontId="0" fillId="0" borderId="5" xfId="0" applyNumberFormat="1" applyBorder="1" applyAlignment="1">
      <alignment horizontal="center"/>
    </xf>
    <xf numFmtId="166" fontId="55" fillId="16" borderId="48" xfId="6" applyFont="1" applyFill="1" applyBorder="1" applyAlignment="1" applyProtection="1">
      <alignment horizontal="center" vertical="center"/>
      <protection locked="0"/>
    </xf>
    <xf numFmtId="166" fontId="55" fillId="16" borderId="50" xfId="6" applyFont="1" applyFill="1" applyBorder="1" applyAlignment="1" applyProtection="1">
      <alignment horizontal="center" vertical="center"/>
      <protection locked="0"/>
    </xf>
    <xf numFmtId="9" fontId="35" fillId="0" borderId="0" xfId="1" applyFont="1"/>
    <xf numFmtId="9" fontId="33" fillId="15" borderId="5" xfId="1" applyFont="1" applyFill="1" applyBorder="1" applyAlignment="1" applyProtection="1">
      <alignment horizontal="center" vertical="center" wrapText="1"/>
      <protection locked="0"/>
    </xf>
    <xf numFmtId="9" fontId="29" fillId="8" borderId="5" xfId="1" applyFont="1" applyFill="1" applyBorder="1" applyAlignment="1">
      <alignment horizontal="right" vertical="center"/>
    </xf>
    <xf numFmtId="9" fontId="36" fillId="17" borderId="41" xfId="1" applyFont="1" applyFill="1" applyBorder="1" applyAlignment="1">
      <alignment horizontal="center" vertical="center"/>
    </xf>
    <xf numFmtId="1" fontId="29" fillId="8" borderId="5" xfId="80" applyNumberFormat="1" applyFont="1" applyFill="1" applyBorder="1" applyAlignment="1">
      <alignment horizontal="right" vertical="center" wrapText="1"/>
    </xf>
    <xf numFmtId="0" fontId="35" fillId="0" borderId="42" xfId="7" applyFont="1" applyBorder="1" applyAlignment="1">
      <alignment wrapText="1"/>
    </xf>
    <xf numFmtId="0" fontId="30" fillId="0" borderId="7" xfId="0" applyFont="1" applyBorder="1" applyAlignment="1">
      <alignment horizontal="right"/>
    </xf>
    <xf numFmtId="0" fontId="30" fillId="0" borderId="16" xfId="0" applyFont="1" applyBorder="1" applyAlignment="1">
      <alignment horizontal="right"/>
    </xf>
    <xf numFmtId="0" fontId="30" fillId="0" borderId="9" xfId="0" applyFont="1" applyBorder="1" applyAlignment="1">
      <alignment horizontal="right"/>
    </xf>
    <xf numFmtId="0" fontId="28" fillId="15" borderId="51" xfId="46" applyFont="1" applyFill="1" applyBorder="1" applyAlignment="1">
      <alignment horizontal="center" vertical="center" wrapText="1"/>
    </xf>
    <xf numFmtId="0" fontId="28" fillId="15" borderId="38" xfId="46" applyFont="1" applyFill="1" applyBorder="1" applyAlignment="1">
      <alignment horizontal="center" vertical="center" wrapText="1"/>
    </xf>
    <xf numFmtId="0" fontId="28" fillId="15" borderId="52" xfId="46" applyFont="1" applyFill="1" applyBorder="1" applyAlignment="1">
      <alignment horizontal="center" vertical="center" wrapText="1"/>
    </xf>
    <xf numFmtId="0" fontId="33" fillId="0" borderId="7" xfId="0" applyFont="1" applyBorder="1" applyAlignment="1">
      <alignment horizontal="center"/>
    </xf>
    <xf numFmtId="0" fontId="33" fillId="0" borderId="16" xfId="0" applyFont="1" applyBorder="1" applyAlignment="1">
      <alignment horizontal="center"/>
    </xf>
    <xf numFmtId="0" fontId="33" fillId="0" borderId="9" xfId="0" applyFont="1" applyBorder="1" applyAlignment="1">
      <alignment horizontal="center"/>
    </xf>
    <xf numFmtId="0" fontId="30" fillId="0" borderId="7" xfId="0" applyFont="1" applyBorder="1" applyAlignment="1">
      <alignment horizontal="center" wrapText="1"/>
    </xf>
    <xf numFmtId="0" fontId="30" fillId="0" borderId="16" xfId="0" applyFont="1" applyBorder="1" applyAlignment="1">
      <alignment horizontal="center" wrapText="1"/>
    </xf>
    <xf numFmtId="0" fontId="30" fillId="0" borderId="9" xfId="0" applyFont="1" applyBorder="1" applyAlignment="1">
      <alignment horizontal="center" wrapText="1"/>
    </xf>
    <xf numFmtId="0" fontId="50" fillId="0" borderId="24" xfId="0" applyFont="1" applyBorder="1" applyAlignment="1">
      <alignment horizontal="right" vertical="center" wrapText="1"/>
    </xf>
    <xf numFmtId="0" fontId="43" fillId="15" borderId="43" xfId="46" applyFont="1" applyFill="1" applyBorder="1" applyAlignment="1">
      <alignment horizontal="center" vertical="center" wrapText="1"/>
    </xf>
    <xf numFmtId="0" fontId="43" fillId="15" borderId="44" xfId="46" applyFont="1" applyFill="1" applyBorder="1" applyAlignment="1">
      <alignment horizontal="center" vertical="center" wrapText="1"/>
    </xf>
    <xf numFmtId="0" fontId="43" fillId="15" borderId="33" xfId="46" applyFont="1" applyFill="1" applyBorder="1" applyAlignment="1">
      <alignment horizontal="center" vertical="center" wrapText="1"/>
    </xf>
    <xf numFmtId="0" fontId="44" fillId="22" borderId="43" xfId="0" applyFont="1" applyFill="1" applyBorder="1" applyAlignment="1">
      <alignment horizontal="center" vertical="center"/>
    </xf>
    <xf numFmtId="0" fontId="44" fillId="22" borderId="44" xfId="0" applyFont="1" applyFill="1" applyBorder="1" applyAlignment="1">
      <alignment horizontal="center" vertical="center"/>
    </xf>
    <xf numFmtId="0" fontId="44" fillId="22" borderId="33" xfId="0" applyFont="1" applyFill="1" applyBorder="1" applyAlignment="1">
      <alignment horizontal="center" vertical="center"/>
    </xf>
    <xf numFmtId="0" fontId="49" fillId="15" borderId="0" xfId="0" applyFont="1" applyFill="1" applyAlignment="1">
      <alignment horizontal="center"/>
    </xf>
    <xf numFmtId="0" fontId="28" fillId="24" borderId="7" xfId="0" applyFont="1" applyFill="1" applyBorder="1" applyAlignment="1">
      <alignment horizontal="center"/>
    </xf>
    <xf numFmtId="0" fontId="28" fillId="24" borderId="16" xfId="0" applyFont="1" applyFill="1" applyBorder="1" applyAlignment="1">
      <alignment horizontal="center"/>
    </xf>
    <xf numFmtId="0" fontId="28" fillId="24" borderId="9" xfId="0" applyFont="1" applyFill="1" applyBorder="1" applyAlignment="1">
      <alignment horizontal="center"/>
    </xf>
    <xf numFmtId="0" fontId="30" fillId="0" borderId="7" xfId="0" applyFont="1" applyBorder="1" applyAlignment="1">
      <alignment horizontal="right" wrapText="1"/>
    </xf>
    <xf numFmtId="0" fontId="30" fillId="0" borderId="16" xfId="0" applyFont="1" applyBorder="1" applyAlignment="1">
      <alignment horizontal="right" wrapText="1"/>
    </xf>
    <xf numFmtId="0" fontId="30" fillId="0" borderId="9" xfId="0" applyFont="1" applyBorder="1" applyAlignment="1">
      <alignment horizontal="right" wrapText="1"/>
    </xf>
    <xf numFmtId="0" fontId="12" fillId="14" borderId="7" xfId="0" applyFont="1" applyFill="1" applyBorder="1" applyAlignment="1">
      <alignment horizontal="center" vertical="center"/>
    </xf>
    <xf numFmtId="0" fontId="12" fillId="14" borderId="9" xfId="0" applyFont="1" applyFill="1" applyBorder="1" applyAlignment="1">
      <alignment horizontal="center" vertical="center"/>
    </xf>
    <xf numFmtId="0" fontId="0" fillId="10" borderId="7" xfId="0" applyFill="1" applyBorder="1" applyAlignment="1">
      <alignment horizontal="center" vertical="center"/>
    </xf>
    <xf numFmtId="0" fontId="0" fillId="10" borderId="9" xfId="0" applyFill="1" applyBorder="1" applyAlignment="1">
      <alignment horizontal="center" vertical="center"/>
    </xf>
    <xf numFmtId="0" fontId="0" fillId="10" borderId="7" xfId="0" applyFill="1" applyBorder="1" applyAlignment="1">
      <alignment horizontal="center" vertical="center" wrapText="1"/>
    </xf>
    <xf numFmtId="0" fontId="0" fillId="10" borderId="9" xfId="0" applyFill="1" applyBorder="1" applyAlignment="1">
      <alignment horizontal="center" vertical="center" wrapText="1"/>
    </xf>
    <xf numFmtId="0" fontId="21" fillId="14" borderId="7" xfId="0" applyFont="1" applyFill="1" applyBorder="1" applyAlignment="1">
      <alignment horizontal="center" vertical="center"/>
    </xf>
    <xf numFmtId="0" fontId="21" fillId="14" borderId="9" xfId="0" applyFont="1" applyFill="1" applyBorder="1" applyAlignment="1">
      <alignment horizontal="center" vertical="center"/>
    </xf>
    <xf numFmtId="0" fontId="0" fillId="5" borderId="7" xfId="0" applyFill="1" applyBorder="1" applyAlignment="1">
      <alignment horizontal="center" vertical="center" wrapText="1"/>
    </xf>
    <xf numFmtId="0" fontId="0" fillId="5" borderId="9" xfId="0" applyFill="1" applyBorder="1" applyAlignment="1">
      <alignment horizontal="center" vertical="center" wrapText="1"/>
    </xf>
    <xf numFmtId="0" fontId="0" fillId="10" borderId="18" xfId="0" applyFill="1" applyBorder="1" applyAlignment="1">
      <alignment horizontal="center" vertical="center"/>
    </xf>
    <xf numFmtId="0" fontId="0" fillId="10" borderId="19" xfId="0" applyFill="1" applyBorder="1" applyAlignment="1">
      <alignment horizontal="center" vertical="center"/>
    </xf>
    <xf numFmtId="0" fontId="0" fillId="10" borderId="16" xfId="0" applyFill="1" applyBorder="1" applyAlignment="1">
      <alignment horizontal="center" vertical="center"/>
    </xf>
    <xf numFmtId="0" fontId="0" fillId="10" borderId="20" xfId="0" applyFill="1" applyBorder="1" applyAlignment="1">
      <alignment horizontal="center" vertical="center"/>
    </xf>
    <xf numFmtId="0" fontId="0" fillId="10" borderId="8" xfId="0" applyFill="1" applyBorder="1" applyAlignment="1">
      <alignment horizontal="center" vertical="center" wrapText="1"/>
    </xf>
    <xf numFmtId="0" fontId="0" fillId="10" borderId="6" xfId="0" applyFill="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xf>
    <xf numFmtId="0" fontId="0" fillId="10" borderId="17" xfId="0" applyFill="1" applyBorder="1" applyAlignment="1">
      <alignment horizontal="center" vertical="center"/>
    </xf>
    <xf numFmtId="0" fontId="0" fillId="10" borderId="21" xfId="0" applyFill="1" applyBorder="1" applyAlignment="1">
      <alignment horizontal="center" vertical="center"/>
    </xf>
    <xf numFmtId="0" fontId="0" fillId="10" borderId="17" xfId="0" applyFill="1" applyBorder="1" applyAlignment="1" applyProtection="1">
      <alignment horizontal="center" vertical="center"/>
      <protection locked="0"/>
    </xf>
    <xf numFmtId="0" fontId="0" fillId="10" borderId="18" xfId="0" applyFill="1" applyBorder="1" applyAlignment="1" applyProtection="1">
      <alignment horizontal="center" vertical="center"/>
      <protection locked="0"/>
    </xf>
    <xf numFmtId="0" fontId="0" fillId="10" borderId="21" xfId="0" applyFill="1" applyBorder="1" applyAlignment="1" applyProtection="1">
      <alignment horizontal="center" vertical="center"/>
      <protection locked="0"/>
    </xf>
    <xf numFmtId="0" fontId="0" fillId="10" borderId="19" xfId="0" applyFill="1" applyBorder="1" applyAlignment="1" applyProtection="1">
      <alignment horizontal="center" vertical="center"/>
      <protection locked="0"/>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7" xfId="0" applyFill="1" applyBorder="1" applyAlignment="1" applyProtection="1">
      <alignment horizontal="center" vertical="center"/>
      <protection locked="0"/>
    </xf>
    <xf numFmtId="0" fontId="0" fillId="10" borderId="9" xfId="0" applyFill="1" applyBorder="1" applyAlignment="1" applyProtection="1">
      <alignment horizontal="center" vertical="center"/>
      <protection locked="0"/>
    </xf>
    <xf numFmtId="0" fontId="0" fillId="10" borderId="16" xfId="0" applyFill="1" applyBorder="1" applyAlignment="1" applyProtection="1">
      <alignment horizontal="center" vertical="center" wrapText="1"/>
      <protection locked="0"/>
    </xf>
    <xf numFmtId="0" fontId="0" fillId="10" borderId="3" xfId="0" applyFill="1" applyBorder="1" applyAlignment="1">
      <alignment horizontal="center" vertical="center" wrapText="1"/>
    </xf>
    <xf numFmtId="0" fontId="0" fillId="2" borderId="1" xfId="0" applyFill="1" applyBorder="1" applyAlignment="1">
      <alignment horizontal="center" vertical="center"/>
    </xf>
    <xf numFmtId="0" fontId="0" fillId="2" borderId="0" xfId="0" applyFill="1" applyAlignment="1">
      <alignment horizontal="center" vertical="center"/>
    </xf>
    <xf numFmtId="0" fontId="0" fillId="9" borderId="14" xfId="0" applyFill="1" applyBorder="1" applyAlignment="1">
      <alignment horizontal="center" vertical="center"/>
    </xf>
    <xf numFmtId="0" fontId="0" fillId="9" borderId="24" xfId="0" applyFill="1" applyBorder="1" applyAlignment="1">
      <alignment horizontal="center" vertical="center"/>
    </xf>
    <xf numFmtId="0" fontId="0" fillId="9" borderId="15" xfId="0" applyFill="1" applyBorder="1" applyAlignment="1">
      <alignment horizontal="center" vertical="center"/>
    </xf>
    <xf numFmtId="0" fontId="0" fillId="9" borderId="8" xfId="0" applyFill="1" applyBorder="1" applyAlignment="1">
      <alignment horizontal="center" vertical="center" wrapText="1"/>
    </xf>
    <xf numFmtId="0" fontId="0" fillId="9" borderId="3" xfId="0"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0" fillId="2" borderId="2" xfId="0" applyFill="1" applyBorder="1" applyAlignment="1">
      <alignment horizontal="center" vertical="center" wrapText="1"/>
    </xf>
    <xf numFmtId="0" fontId="0" fillId="9" borderId="8" xfId="0" applyFill="1" applyBorder="1" applyAlignment="1" applyProtection="1">
      <alignment horizontal="center" vertical="center" wrapText="1"/>
      <protection locked="0"/>
    </xf>
    <xf numFmtId="0" fontId="0" fillId="9" borderId="3" xfId="0" applyFill="1" applyBorder="1" applyAlignment="1" applyProtection="1">
      <alignment horizontal="center" vertical="center" wrapText="1"/>
      <protection locked="0"/>
    </xf>
    <xf numFmtId="0" fontId="0" fillId="17" borderId="6" xfId="0" applyFill="1" applyBorder="1" applyAlignment="1">
      <alignment horizontal="center" vertical="center" wrapText="1"/>
    </xf>
    <xf numFmtId="0" fontId="0" fillId="17" borderId="3" xfId="0" applyFill="1" applyBorder="1" applyAlignment="1">
      <alignment horizontal="center" vertical="center" wrapText="1"/>
    </xf>
    <xf numFmtId="0" fontId="79" fillId="15" borderId="43" xfId="0" applyFont="1" applyFill="1" applyBorder="1" applyAlignment="1">
      <alignment horizontal="center" vertical="center" wrapText="1"/>
    </xf>
    <xf numFmtId="0" fontId="79" fillId="15" borderId="44" xfId="0" applyFont="1" applyFill="1" applyBorder="1" applyAlignment="1">
      <alignment horizontal="center" vertical="center" wrapText="1"/>
    </xf>
    <xf numFmtId="0" fontId="51" fillId="24" borderId="43" xfId="0" applyFont="1" applyFill="1" applyBorder="1" applyAlignment="1">
      <alignment horizontal="center" vertical="center" readingOrder="2"/>
    </xf>
    <xf numFmtId="0" fontId="51" fillId="24" borderId="44" xfId="0" applyFont="1" applyFill="1" applyBorder="1" applyAlignment="1">
      <alignment horizontal="center" vertical="center" readingOrder="2"/>
    </xf>
    <xf numFmtId="0" fontId="51" fillId="24" borderId="33" xfId="0" applyFont="1" applyFill="1" applyBorder="1" applyAlignment="1">
      <alignment horizontal="center" vertical="center" readingOrder="2"/>
    </xf>
    <xf numFmtId="0" fontId="51" fillId="15" borderId="36" xfId="0" applyFont="1" applyFill="1" applyBorder="1" applyAlignment="1">
      <alignment horizontal="center" vertical="center" wrapText="1"/>
    </xf>
    <xf numFmtId="0" fontId="51" fillId="15" borderId="40" xfId="0" applyFont="1" applyFill="1" applyBorder="1" applyAlignment="1">
      <alignment horizontal="center" vertical="center" wrapText="1"/>
    </xf>
    <xf numFmtId="0" fontId="51" fillId="15" borderId="76" xfId="0" applyFont="1" applyFill="1" applyBorder="1" applyAlignment="1">
      <alignment horizontal="center" vertical="center" wrapText="1"/>
    </xf>
    <xf numFmtId="0" fontId="51" fillId="15" borderId="34" xfId="0" applyFont="1" applyFill="1" applyBorder="1" applyAlignment="1">
      <alignment horizontal="center" vertical="center" wrapText="1"/>
    </xf>
    <xf numFmtId="0" fontId="51" fillId="5" borderId="37" xfId="0" applyFont="1" applyFill="1" applyBorder="1" applyAlignment="1">
      <alignment horizontal="center" vertical="center" wrapText="1"/>
    </xf>
    <xf numFmtId="0" fontId="51" fillId="5" borderId="41" xfId="0" applyFont="1" applyFill="1" applyBorder="1" applyAlignment="1">
      <alignment horizontal="center" vertical="center" wrapText="1"/>
    </xf>
    <xf numFmtId="0" fontId="51" fillId="15" borderId="37" xfId="0" applyFont="1" applyFill="1" applyBorder="1" applyAlignment="1">
      <alignment horizontal="center" vertical="center" wrapText="1"/>
    </xf>
    <xf numFmtId="0" fontId="51" fillId="15" borderId="41" xfId="0" applyFont="1" applyFill="1" applyBorder="1" applyAlignment="1">
      <alignment horizontal="center" vertical="center" wrapText="1"/>
    </xf>
    <xf numFmtId="0" fontId="51" fillId="15" borderId="78" xfId="0" applyFont="1" applyFill="1" applyBorder="1" applyAlignment="1">
      <alignment horizontal="center" vertical="center" wrapText="1"/>
    </xf>
    <xf numFmtId="0" fontId="0" fillId="9" borderId="7" xfId="0" applyFill="1" applyBorder="1" applyAlignment="1">
      <alignment horizontal="center" vertical="center"/>
    </xf>
    <xf numFmtId="0" fontId="0" fillId="9" borderId="9" xfId="0" applyFill="1" applyBorder="1" applyAlignment="1">
      <alignment horizontal="center" vertical="center"/>
    </xf>
    <xf numFmtId="0" fontId="0" fillId="10" borderId="16" xfId="0" applyFill="1" applyBorder="1" applyAlignment="1">
      <alignment horizontal="center" vertical="center" wrapText="1"/>
    </xf>
    <xf numFmtId="0" fontId="0" fillId="7" borderId="7" xfId="0" applyFill="1" applyBorder="1" applyAlignment="1">
      <alignment horizontal="center" vertical="center" wrapText="1"/>
    </xf>
    <xf numFmtId="0" fontId="0" fillId="7" borderId="9" xfId="0" applyFill="1" applyBorder="1" applyAlignment="1">
      <alignment horizontal="center" vertical="center" wrapText="1"/>
    </xf>
    <xf numFmtId="0" fontId="0" fillId="9" borderId="7" xfId="0" applyFill="1" applyBorder="1" applyAlignment="1">
      <alignment horizontal="center" vertical="center" wrapText="1"/>
    </xf>
    <xf numFmtId="0" fontId="0" fillId="9" borderId="9" xfId="0" applyFill="1" applyBorder="1" applyAlignment="1">
      <alignment horizontal="center" vertical="center" wrapText="1"/>
    </xf>
    <xf numFmtId="0" fontId="0" fillId="7" borderId="7" xfId="0" applyFill="1" applyBorder="1" applyAlignment="1">
      <alignment horizontal="center" vertical="center"/>
    </xf>
    <xf numFmtId="0" fontId="0" fillId="7" borderId="9" xfId="0" applyFill="1" applyBorder="1" applyAlignment="1">
      <alignment horizontal="center" vertical="center"/>
    </xf>
    <xf numFmtId="0" fontId="0" fillId="7" borderId="7" xfId="0" applyFill="1" applyBorder="1" applyAlignment="1">
      <alignment horizontal="center" vertical="center" wrapText="1" readingOrder="2"/>
    </xf>
    <xf numFmtId="0" fontId="0" fillId="7" borderId="9" xfId="0" applyFill="1" applyBorder="1" applyAlignment="1">
      <alignment horizontal="center" vertical="center" wrapText="1" readingOrder="2"/>
    </xf>
    <xf numFmtId="0" fontId="18" fillId="10" borderId="8" xfId="0" applyFont="1" applyFill="1" applyBorder="1" applyAlignment="1">
      <alignment horizontal="center" vertical="center" wrapText="1"/>
    </xf>
    <xf numFmtId="0" fontId="18" fillId="10" borderId="6" xfId="0" applyFont="1" applyFill="1" applyBorder="1" applyAlignment="1">
      <alignment horizontal="center" vertical="center" wrapText="1"/>
    </xf>
    <xf numFmtId="9" fontId="18" fillId="10" borderId="8" xfId="1" applyFont="1" applyFill="1" applyBorder="1" applyAlignment="1" applyProtection="1">
      <alignment horizontal="center" vertical="center" wrapText="1"/>
      <protection locked="0"/>
    </xf>
    <xf numFmtId="9" fontId="18" fillId="10" borderId="3" xfId="1" applyFont="1" applyFill="1" applyBorder="1" applyAlignment="1" applyProtection="1">
      <alignment horizontal="center" vertical="center" wrapText="1"/>
      <protection locked="0"/>
    </xf>
    <xf numFmtId="0" fontId="18" fillId="10" borderId="5" xfId="0" applyFont="1" applyFill="1" applyBorder="1" applyAlignment="1">
      <alignment horizontal="center" vertical="center"/>
    </xf>
    <xf numFmtId="3" fontId="34" fillId="0" borderId="0" xfId="80" applyNumberFormat="1" applyFont="1" applyAlignment="1">
      <alignment horizontal="center" wrapText="1"/>
    </xf>
    <xf numFmtId="178" fontId="34" fillId="0" borderId="0" xfId="80" applyFont="1" applyAlignment="1">
      <alignment horizontal="center" wrapText="1"/>
    </xf>
    <xf numFmtId="3" fontId="37" fillId="18" borderId="43" xfId="80" applyNumberFormat="1" applyFont="1" applyFill="1" applyBorder="1" applyAlignment="1">
      <alignment horizontal="center"/>
    </xf>
    <xf numFmtId="178" fontId="37" fillId="18" borderId="61" xfId="80" applyFont="1" applyFill="1" applyBorder="1" applyAlignment="1">
      <alignment horizontal="center"/>
    </xf>
    <xf numFmtId="3" fontId="33" fillId="15" borderId="37" xfId="79" applyNumberFormat="1" applyFont="1" applyFill="1" applyBorder="1" applyAlignment="1" applyProtection="1">
      <alignment horizontal="center" vertical="center" wrapText="1"/>
      <protection locked="0"/>
    </xf>
    <xf numFmtId="3" fontId="33" fillId="15" borderId="41" xfId="79" applyNumberFormat="1" applyFont="1" applyFill="1" applyBorder="1" applyAlignment="1" applyProtection="1">
      <alignment horizontal="center" vertical="center" wrapText="1"/>
      <protection locked="0"/>
    </xf>
    <xf numFmtId="3" fontId="56" fillId="0" borderId="62" xfId="80" applyNumberFormat="1" applyFont="1" applyBorder="1" applyAlignment="1">
      <alignment horizontal="center" vertical="center" wrapText="1"/>
    </xf>
    <xf numFmtId="178" fontId="56" fillId="0" borderId="0" xfId="80" applyFont="1" applyAlignment="1">
      <alignment horizontal="center" vertical="center" wrapText="1"/>
    </xf>
    <xf numFmtId="178" fontId="56" fillId="0" borderId="62" xfId="80" applyFont="1" applyBorder="1" applyAlignment="1">
      <alignment horizontal="center" vertical="center" wrapText="1"/>
    </xf>
    <xf numFmtId="3" fontId="32" fillId="18" borderId="43" xfId="80" applyNumberFormat="1" applyFont="1" applyFill="1" applyBorder="1" applyAlignment="1">
      <alignment horizontal="center"/>
    </xf>
    <xf numFmtId="178" fontId="32" fillId="18" borderId="44" xfId="80" applyFont="1" applyFill="1" applyBorder="1" applyAlignment="1">
      <alignment horizontal="center"/>
    </xf>
    <xf numFmtId="3" fontId="33" fillId="15" borderId="37" xfId="82" applyNumberFormat="1" applyFont="1" applyFill="1" applyBorder="1" applyAlignment="1" applyProtection="1">
      <alignment horizontal="center" vertical="center" wrapText="1"/>
      <protection locked="0"/>
    </xf>
    <xf numFmtId="178" fontId="33" fillId="15" borderId="41" xfId="82" applyFont="1" applyFill="1" applyBorder="1" applyAlignment="1" applyProtection="1">
      <alignment horizontal="center" vertical="center" wrapText="1"/>
      <protection locked="0"/>
    </xf>
    <xf numFmtId="178" fontId="33" fillId="15" borderId="41" xfId="79" applyFont="1" applyFill="1" applyBorder="1" applyAlignment="1" applyProtection="1">
      <alignment horizontal="center" vertical="center" wrapText="1"/>
      <protection locked="0"/>
    </xf>
    <xf numFmtId="3" fontId="33" fillId="15" borderId="39" xfId="79" applyNumberFormat="1" applyFont="1" applyFill="1" applyBorder="1" applyAlignment="1" applyProtection="1">
      <alignment horizontal="center" vertical="center" wrapText="1"/>
      <protection locked="0"/>
    </xf>
    <xf numFmtId="178" fontId="33" fillId="15" borderId="42" xfId="79" applyFont="1" applyFill="1" applyBorder="1" applyAlignment="1" applyProtection="1">
      <alignment horizontal="center" vertical="center" wrapText="1"/>
      <protection locked="0"/>
    </xf>
    <xf numFmtId="0" fontId="5" fillId="10" borderId="28" xfId="0" applyFont="1" applyFill="1" applyBorder="1" applyAlignment="1">
      <alignment horizontal="center" vertical="center" wrapText="1"/>
    </xf>
    <xf numFmtId="0" fontId="5" fillId="10" borderId="16" xfId="0" applyFont="1" applyFill="1" applyBorder="1" applyAlignment="1">
      <alignment horizontal="center" vertical="center" wrapText="1"/>
    </xf>
    <xf numFmtId="0" fontId="5" fillId="10" borderId="9" xfId="0" applyFont="1" applyFill="1" applyBorder="1" applyAlignment="1">
      <alignment horizontal="center" vertical="center" wrapText="1"/>
    </xf>
    <xf numFmtId="0" fontId="5" fillId="10" borderId="37" xfId="8" applyFill="1" applyBorder="1" applyAlignment="1">
      <alignment horizontal="center" vertical="center" wrapText="1"/>
    </xf>
    <xf numFmtId="0" fontId="5" fillId="10" borderId="41" xfId="8" applyFill="1" applyBorder="1" applyAlignment="1">
      <alignment horizontal="center" vertical="center" wrapText="1"/>
    </xf>
    <xf numFmtId="0" fontId="5" fillId="10" borderId="36" xfId="8" applyFill="1" applyBorder="1" applyAlignment="1">
      <alignment horizontal="center" vertical="center" wrapText="1"/>
    </xf>
    <xf numFmtId="0" fontId="5" fillId="10" borderId="40" xfId="8" applyFill="1" applyBorder="1" applyAlignment="1">
      <alignment horizontal="center" vertical="center" wrapText="1"/>
    </xf>
    <xf numFmtId="9" fontId="0" fillId="10" borderId="37" xfId="10" applyFont="1" applyFill="1" applyBorder="1" applyAlignment="1">
      <alignment horizontal="center" vertical="center" wrapText="1"/>
    </xf>
    <xf numFmtId="9" fontId="5" fillId="10" borderId="41" xfId="10" applyFill="1" applyBorder="1" applyAlignment="1">
      <alignment horizontal="center" vertical="center" wrapText="1"/>
    </xf>
    <xf numFmtId="0" fontId="0" fillId="10" borderId="37" xfId="8" applyFont="1" applyFill="1" applyBorder="1" applyAlignment="1">
      <alignment horizontal="center" vertical="center" wrapText="1"/>
    </xf>
    <xf numFmtId="9" fontId="5" fillId="10" borderId="39" xfId="10" applyFill="1" applyBorder="1" applyAlignment="1">
      <alignment horizontal="center" vertical="center" wrapText="1"/>
    </xf>
    <xf numFmtId="9" fontId="5" fillId="10" borderId="42" xfId="10" applyFill="1" applyBorder="1" applyAlignment="1">
      <alignment horizontal="center" vertical="center" wrapText="1"/>
    </xf>
    <xf numFmtId="0" fontId="18" fillId="10" borderId="36" xfId="0" applyFont="1" applyFill="1" applyBorder="1" applyAlignment="1" applyProtection="1">
      <alignment horizontal="center" vertical="center" wrapText="1"/>
      <protection locked="0"/>
    </xf>
    <xf numFmtId="0" fontId="18" fillId="10" borderId="40" xfId="0" applyFont="1" applyFill="1" applyBorder="1" applyAlignment="1" applyProtection="1">
      <alignment horizontal="center" vertical="center" wrapText="1"/>
      <protection locked="0"/>
    </xf>
    <xf numFmtId="0" fontId="18" fillId="10" borderId="39" xfId="0" applyFont="1" applyFill="1" applyBorder="1" applyAlignment="1" applyProtection="1">
      <alignment horizontal="center" vertical="center" wrapText="1"/>
      <protection locked="0"/>
    </xf>
    <xf numFmtId="0" fontId="18" fillId="10" borderId="42" xfId="0" applyFont="1" applyFill="1" applyBorder="1" applyAlignment="1" applyProtection="1">
      <alignment horizontal="center" vertical="center" wrapText="1"/>
      <protection locked="0"/>
    </xf>
    <xf numFmtId="0" fontId="18" fillId="10" borderId="44" xfId="0" applyFont="1" applyFill="1" applyBorder="1" applyAlignment="1" applyProtection="1">
      <alignment horizontal="center" vertical="center" wrapText="1"/>
      <protection locked="0"/>
    </xf>
    <xf numFmtId="0" fontId="18" fillId="10" borderId="33" xfId="0" applyFont="1" applyFill="1" applyBorder="1" applyAlignment="1" applyProtection="1">
      <alignment horizontal="center" vertical="center" wrapText="1"/>
      <protection locked="0"/>
    </xf>
    <xf numFmtId="0" fontId="23" fillId="16" borderId="7" xfId="7" applyFont="1" applyFill="1" applyBorder="1" applyAlignment="1">
      <alignment horizontal="center"/>
    </xf>
    <xf numFmtId="0" fontId="23" fillId="16" borderId="16" xfId="7" applyFont="1" applyFill="1" applyBorder="1" applyAlignment="1">
      <alignment horizontal="center"/>
    </xf>
    <xf numFmtId="0" fontId="34" fillId="0" borderId="0" xfId="7" applyFont="1" applyAlignment="1">
      <alignment horizontal="center" wrapText="1"/>
    </xf>
    <xf numFmtId="0" fontId="0" fillId="0" borderId="0" xfId="0"/>
    <xf numFmtId="0" fontId="32" fillId="18" borderId="57" xfId="7" applyFont="1" applyFill="1" applyBorder="1" applyAlignment="1">
      <alignment horizontal="center"/>
    </xf>
    <xf numFmtId="0" fontId="31" fillId="0" borderId="0" xfId="15" applyFont="1" applyAlignment="1">
      <alignment horizontal="center"/>
    </xf>
    <xf numFmtId="0" fontId="32" fillId="18" borderId="51" xfId="15" applyFont="1" applyFill="1" applyBorder="1" applyAlignment="1">
      <alignment horizontal="center" vertical="center" wrapText="1"/>
    </xf>
    <xf numFmtId="0" fontId="32" fillId="18" borderId="38" xfId="15" applyFont="1" applyFill="1" applyBorder="1" applyAlignment="1">
      <alignment horizontal="center" vertical="center" wrapText="1"/>
    </xf>
    <xf numFmtId="0" fontId="32" fillId="18" borderId="52" xfId="15" applyFont="1" applyFill="1" applyBorder="1" applyAlignment="1">
      <alignment horizontal="center" vertical="center" wrapText="1"/>
    </xf>
    <xf numFmtId="0" fontId="33" fillId="15" borderId="47" xfId="16" applyFont="1" applyFill="1" applyBorder="1" applyAlignment="1" applyProtection="1">
      <alignment horizontal="center" vertical="center" wrapText="1"/>
      <protection locked="0"/>
    </xf>
    <xf numFmtId="0" fontId="33" fillId="15" borderId="49" xfId="16" applyFont="1" applyFill="1" applyBorder="1" applyAlignment="1" applyProtection="1">
      <alignment horizontal="center" vertical="center" wrapText="1"/>
      <protection locked="0"/>
    </xf>
    <xf numFmtId="0" fontId="33" fillId="15" borderId="46" xfId="14" applyFont="1" applyFill="1" applyBorder="1" applyAlignment="1" applyProtection="1">
      <alignment horizontal="center" vertical="center" wrapText="1"/>
      <protection locked="0"/>
    </xf>
    <xf numFmtId="0" fontId="33" fillId="15" borderId="54" xfId="14" applyFont="1" applyFill="1" applyBorder="1" applyAlignment="1" applyProtection="1">
      <alignment horizontal="center" vertical="center" wrapText="1"/>
      <protection locked="0"/>
    </xf>
    <xf numFmtId="0" fontId="33" fillId="15" borderId="46" xfId="16" applyFont="1" applyFill="1" applyBorder="1" applyAlignment="1" applyProtection="1">
      <alignment horizontal="center" vertical="center" wrapText="1"/>
      <protection locked="0"/>
    </xf>
    <xf numFmtId="0" fontId="33" fillId="15" borderId="54" xfId="16" applyFont="1" applyFill="1" applyBorder="1" applyAlignment="1" applyProtection="1">
      <alignment horizontal="center" vertical="center" wrapText="1"/>
      <protection locked="0"/>
    </xf>
    <xf numFmtId="0" fontId="33" fillId="15" borderId="48" xfId="16" applyFont="1" applyFill="1" applyBorder="1" applyAlignment="1" applyProtection="1">
      <alignment horizontal="center" vertical="center" wrapText="1"/>
      <protection locked="0"/>
    </xf>
    <xf numFmtId="0" fontId="33" fillId="15" borderId="50" xfId="16" applyFont="1" applyFill="1" applyBorder="1" applyAlignment="1" applyProtection="1">
      <alignment horizontal="center" vertical="center" wrapText="1"/>
      <protection locked="0"/>
    </xf>
    <xf numFmtId="0" fontId="37" fillId="18" borderId="43" xfId="15" applyFont="1" applyFill="1" applyBorder="1" applyAlignment="1">
      <alignment horizontal="center" vertical="center" wrapText="1"/>
    </xf>
    <xf numFmtId="0" fontId="37" fillId="18" borderId="44" xfId="15" applyFont="1" applyFill="1" applyBorder="1" applyAlignment="1">
      <alignment horizontal="center" vertical="center" wrapText="1"/>
    </xf>
    <xf numFmtId="0" fontId="37" fillId="18" borderId="33" xfId="15" applyFont="1" applyFill="1" applyBorder="1" applyAlignment="1">
      <alignment horizontal="center" vertical="center" wrapText="1"/>
    </xf>
    <xf numFmtId="0" fontId="33" fillId="15" borderId="37" xfId="16" applyFont="1" applyFill="1" applyBorder="1" applyAlignment="1" applyProtection="1">
      <alignment horizontal="center" vertical="center" wrapText="1"/>
      <protection locked="0"/>
    </xf>
    <xf numFmtId="0" fontId="33" fillId="15" borderId="41" xfId="16" applyFont="1" applyFill="1" applyBorder="1" applyAlignment="1" applyProtection="1">
      <alignment horizontal="center" vertical="center" wrapText="1"/>
      <protection locked="0"/>
    </xf>
    <xf numFmtId="0" fontId="53" fillId="0" borderId="8" xfId="0" applyFont="1" applyBorder="1" applyAlignment="1">
      <alignment horizontal="center" vertical="center" wrapText="1"/>
    </xf>
    <xf numFmtId="0" fontId="53" fillId="0" borderId="3" xfId="0" applyFont="1" applyBorder="1" applyAlignment="1">
      <alignment horizontal="center" vertical="center" wrapText="1"/>
    </xf>
    <xf numFmtId="0" fontId="32" fillId="18" borderId="45" xfId="7" applyFont="1" applyFill="1" applyBorder="1" applyAlignment="1">
      <alignment horizontal="center"/>
    </xf>
    <xf numFmtId="0" fontId="32" fillId="18" borderId="61" xfId="7" applyFont="1" applyFill="1" applyBorder="1" applyAlignment="1">
      <alignment horizontal="center"/>
    </xf>
    <xf numFmtId="0" fontId="33" fillId="15" borderId="37" xfId="14" applyFont="1" applyFill="1" applyBorder="1" applyAlignment="1" applyProtection="1">
      <alignment horizontal="center" vertical="center" wrapText="1"/>
      <protection locked="0"/>
    </xf>
    <xf numFmtId="0" fontId="33" fillId="15" borderId="41" xfId="14" applyFont="1" applyFill="1" applyBorder="1" applyAlignment="1" applyProtection="1">
      <alignment horizontal="center" vertical="center" wrapText="1"/>
      <protection locked="0"/>
    </xf>
    <xf numFmtId="0" fontId="33" fillId="15" borderId="39" xfId="16" applyFont="1" applyFill="1" applyBorder="1" applyAlignment="1" applyProtection="1">
      <alignment horizontal="center" vertical="center" wrapText="1"/>
      <protection locked="0"/>
    </xf>
    <xf numFmtId="0" fontId="33" fillId="15" borderId="42" xfId="16" applyFont="1" applyFill="1" applyBorder="1" applyAlignment="1" applyProtection="1">
      <alignment horizontal="center" vertical="center" wrapText="1"/>
      <protection locked="0"/>
    </xf>
    <xf numFmtId="0" fontId="40" fillId="18" borderId="0" xfId="7" applyFont="1" applyFill="1" applyAlignment="1">
      <alignment horizontal="center"/>
    </xf>
    <xf numFmtId="0" fontId="40" fillId="18" borderId="2" xfId="7" applyFont="1" applyFill="1" applyBorder="1" applyAlignment="1">
      <alignment horizontal="center"/>
    </xf>
    <xf numFmtId="0" fontId="0" fillId="6" borderId="0" xfId="0" applyFill="1" applyAlignment="1">
      <alignment horizontal="center" vertical="center"/>
    </xf>
    <xf numFmtId="0" fontId="17" fillId="10" borderId="7" xfId="0" applyFont="1" applyFill="1" applyBorder="1" applyAlignment="1">
      <alignment horizontal="center" vertical="center"/>
    </xf>
    <xf numFmtId="0" fontId="17" fillId="10" borderId="16" xfId="0" applyFont="1" applyFill="1" applyBorder="1" applyAlignment="1">
      <alignment horizontal="center" vertical="center"/>
    </xf>
    <xf numFmtId="0" fontId="17" fillId="10" borderId="1" xfId="0" applyFont="1" applyFill="1" applyBorder="1" applyAlignment="1">
      <alignment horizontal="center" vertical="center"/>
    </xf>
    <xf numFmtId="0" fontId="17" fillId="10" borderId="0" xfId="0" applyFont="1" applyFill="1" applyAlignment="1">
      <alignment horizontal="center" vertical="center"/>
    </xf>
    <xf numFmtId="0" fontId="17" fillId="10" borderId="14" xfId="0" applyFont="1" applyFill="1" applyBorder="1" applyAlignment="1">
      <alignment horizontal="center" vertical="center" wrapText="1"/>
    </xf>
    <xf numFmtId="0" fontId="17" fillId="10" borderId="15" xfId="0" applyFont="1" applyFill="1" applyBorder="1" applyAlignment="1">
      <alignment horizontal="center" vertical="center" wrapText="1"/>
    </xf>
    <xf numFmtId="0" fontId="16" fillId="10" borderId="7" xfId="0" applyFont="1" applyFill="1" applyBorder="1" applyAlignment="1">
      <alignment horizontal="center" vertical="center" wrapText="1"/>
    </xf>
    <xf numFmtId="0" fontId="13" fillId="4" borderId="7" xfId="3" applyFont="1" applyFill="1" applyBorder="1" applyAlignment="1">
      <alignment horizontal="center" vertical="center"/>
    </xf>
    <xf numFmtId="0" fontId="13" fillId="4" borderId="16" xfId="3" applyFont="1" applyFill="1" applyBorder="1" applyAlignment="1">
      <alignment horizontal="center" vertical="center"/>
    </xf>
    <xf numFmtId="0" fontId="13" fillId="4" borderId="9" xfId="3" applyFont="1" applyFill="1" applyBorder="1" applyAlignment="1">
      <alignment horizontal="center" vertical="center"/>
    </xf>
    <xf numFmtId="168" fontId="0" fillId="9" borderId="7" xfId="0" applyNumberFormat="1" applyFill="1" applyBorder="1" applyAlignment="1">
      <alignment horizontal="center" vertical="center"/>
    </xf>
    <xf numFmtId="168" fontId="0" fillId="9" borderId="9" xfId="0" applyNumberFormat="1" applyFill="1" applyBorder="1" applyAlignment="1">
      <alignment horizontal="center" vertical="center"/>
    </xf>
    <xf numFmtId="167" fontId="0" fillId="0" borderId="7" xfId="0" applyNumberFormat="1" applyBorder="1" applyAlignment="1" applyProtection="1">
      <alignment horizontal="center" vertical="center"/>
      <protection locked="0"/>
    </xf>
    <xf numFmtId="167" fontId="0" fillId="0" borderId="9" xfId="0" applyNumberFormat="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168" fontId="0" fillId="0" borderId="7" xfId="0" applyNumberFormat="1" applyBorder="1" applyAlignment="1" applyProtection="1">
      <alignment horizontal="center" vertical="center"/>
      <protection locked="0"/>
    </xf>
    <xf numFmtId="168" fontId="0" fillId="0" borderId="9" xfId="0" applyNumberFormat="1" applyBorder="1" applyAlignment="1" applyProtection="1">
      <alignment horizontal="center" vertical="center"/>
      <protection locked="0"/>
    </xf>
    <xf numFmtId="0" fontId="17" fillId="10" borderId="7" xfId="0" applyFont="1" applyFill="1" applyBorder="1" applyAlignment="1">
      <alignment horizontal="center" vertical="center" wrapText="1"/>
    </xf>
    <xf numFmtId="0" fontId="17" fillId="10" borderId="9" xfId="0" applyFont="1" applyFill="1" applyBorder="1" applyAlignment="1">
      <alignment horizontal="center" vertical="center" wrapText="1"/>
    </xf>
    <xf numFmtId="0" fontId="17" fillId="10" borderId="9" xfId="0" applyFont="1" applyFill="1" applyBorder="1" applyAlignment="1">
      <alignment horizontal="center" vertical="center"/>
    </xf>
    <xf numFmtId="0" fontId="6" fillId="5" borderId="8" xfId="434" applyNumberFormat="1" applyFont="1" applyFill="1" applyBorder="1" applyAlignment="1" applyProtection="1">
      <alignment horizontal="center" vertical="center"/>
    </xf>
    <xf numFmtId="0" fontId="6" fillId="5" borderId="8" xfId="435" applyFill="1" applyBorder="1" applyAlignment="1" applyProtection="1">
      <alignment horizontal="center" vertical="center"/>
    </xf>
    <xf numFmtId="182" fontId="6" fillId="5" borderId="8" xfId="434" applyNumberFormat="1" applyFont="1" applyFill="1" applyBorder="1" applyAlignment="1" applyProtection="1">
      <alignment horizontal="center" vertical="center"/>
    </xf>
    <xf numFmtId="0" fontId="6" fillId="5" borderId="5" xfId="435" applyFill="1" applyBorder="1" applyAlignment="1" applyProtection="1">
      <alignment horizontal="center" vertical="center"/>
    </xf>
    <xf numFmtId="0" fontId="4" fillId="0" borderId="0" xfId="436" applyProtection="1"/>
    <xf numFmtId="0" fontId="78" fillId="13" borderId="0" xfId="434" applyNumberFormat="1" applyFont="1" applyFill="1" applyBorder="1" applyAlignment="1" applyProtection="1">
      <alignment vertical="top"/>
    </xf>
    <xf numFmtId="0" fontId="78" fillId="13" borderId="0" xfId="437" applyNumberFormat="1" applyFont="1" applyFill="1" applyAlignment="1" applyProtection="1">
      <alignment vertical="top"/>
    </xf>
    <xf numFmtId="168" fontId="0" fillId="13" borderId="0" xfId="1" applyNumberFormat="1" applyFont="1" applyFill="1" applyBorder="1" applyAlignment="1" applyProtection="1">
      <alignment horizontal="center" vertical="center"/>
    </xf>
    <xf numFmtId="0" fontId="78" fillId="13" borderId="0" xfId="434" applyNumberFormat="1" applyFont="1" applyFill="1" applyAlignment="1" applyProtection="1">
      <alignment vertical="top"/>
    </xf>
    <xf numFmtId="182" fontId="78" fillId="13" borderId="0" xfId="434" applyNumberFormat="1" applyFont="1" applyFill="1" applyAlignment="1" applyProtection="1">
      <alignment vertical="top"/>
    </xf>
    <xf numFmtId="0" fontId="4" fillId="13" borderId="0" xfId="436" applyFill="1" applyProtection="1"/>
    <xf numFmtId="0" fontId="0" fillId="13" borderId="0" xfId="434" applyNumberFormat="1" applyFont="1" applyFill="1" applyProtection="1"/>
    <xf numFmtId="182" fontId="0" fillId="13" borderId="0" xfId="434" applyNumberFormat="1" applyFont="1" applyFill="1" applyProtection="1"/>
    <xf numFmtId="0" fontId="0" fillId="48" borderId="0" xfId="434" applyNumberFormat="1" applyFont="1" applyFill="1" applyProtection="1"/>
    <xf numFmtId="0" fontId="0" fillId="0" borderId="0" xfId="434" applyNumberFormat="1" applyFont="1" applyProtection="1"/>
    <xf numFmtId="182" fontId="0" fillId="0" borderId="0" xfId="434" applyNumberFormat="1" applyFont="1" applyProtection="1"/>
  </cellXfs>
  <cellStyles count="438">
    <cellStyle name="20% - Accent1 2" xfId="83" xr:uid="{00000000-0005-0000-0000-000000000000}"/>
    <cellStyle name="20% - Accent1 3" xfId="84" xr:uid="{00000000-0005-0000-0000-000001000000}"/>
    <cellStyle name="20% - Accent2 2" xfId="85" xr:uid="{00000000-0005-0000-0000-000002000000}"/>
    <cellStyle name="20% - Accent2 3" xfId="86" xr:uid="{00000000-0005-0000-0000-000003000000}"/>
    <cellStyle name="20% - Accent3 2" xfId="87" xr:uid="{00000000-0005-0000-0000-000004000000}"/>
    <cellStyle name="20% - Accent3 3" xfId="88" xr:uid="{00000000-0005-0000-0000-000005000000}"/>
    <cellStyle name="20% - Accent4 2" xfId="89" xr:uid="{00000000-0005-0000-0000-000006000000}"/>
    <cellStyle name="20% - Accent4 3" xfId="90" xr:uid="{00000000-0005-0000-0000-000007000000}"/>
    <cellStyle name="20% - Accent5 2" xfId="91" xr:uid="{00000000-0005-0000-0000-000008000000}"/>
    <cellStyle name="20% - Accent5 3" xfId="92" xr:uid="{00000000-0005-0000-0000-000009000000}"/>
    <cellStyle name="20% - Accent6 2" xfId="93" xr:uid="{00000000-0005-0000-0000-00000A000000}"/>
    <cellStyle name="20% - Accent6 3" xfId="94" xr:uid="{00000000-0005-0000-0000-00000B000000}"/>
    <cellStyle name="40% - Accent1 2" xfId="95" xr:uid="{00000000-0005-0000-0000-00000C000000}"/>
    <cellStyle name="40% - Accent1 3" xfId="96" xr:uid="{00000000-0005-0000-0000-00000D000000}"/>
    <cellStyle name="40% - Accent2 2" xfId="97" xr:uid="{00000000-0005-0000-0000-00000E000000}"/>
    <cellStyle name="40% - Accent2 3" xfId="98" xr:uid="{00000000-0005-0000-0000-00000F000000}"/>
    <cellStyle name="40% - Accent3 2" xfId="99" xr:uid="{00000000-0005-0000-0000-000010000000}"/>
    <cellStyle name="40% - Accent3 3" xfId="100" xr:uid="{00000000-0005-0000-0000-000011000000}"/>
    <cellStyle name="40% - Accent4 2" xfId="101" xr:uid="{00000000-0005-0000-0000-000012000000}"/>
    <cellStyle name="40% - Accent4 3" xfId="102" xr:uid="{00000000-0005-0000-0000-000013000000}"/>
    <cellStyle name="40% - Accent5 2" xfId="103" xr:uid="{00000000-0005-0000-0000-000014000000}"/>
    <cellStyle name="40% - Accent5 3" xfId="104" xr:uid="{00000000-0005-0000-0000-000015000000}"/>
    <cellStyle name="40% - Accent6 2" xfId="105" xr:uid="{00000000-0005-0000-0000-000016000000}"/>
    <cellStyle name="40% - Accent6 3" xfId="106" xr:uid="{00000000-0005-0000-0000-000017000000}"/>
    <cellStyle name="60% - Accent1 2" xfId="107" xr:uid="{00000000-0005-0000-0000-000018000000}"/>
    <cellStyle name="60% - Accent1 3" xfId="108" xr:uid="{00000000-0005-0000-0000-000019000000}"/>
    <cellStyle name="60% - Accent2 2" xfId="109" xr:uid="{00000000-0005-0000-0000-00001A000000}"/>
    <cellStyle name="60% - Accent2 3" xfId="110" xr:uid="{00000000-0005-0000-0000-00001B000000}"/>
    <cellStyle name="60% - Accent3 2" xfId="111" xr:uid="{00000000-0005-0000-0000-00001C000000}"/>
    <cellStyle name="60% - Accent3 3" xfId="112" xr:uid="{00000000-0005-0000-0000-00001D000000}"/>
    <cellStyle name="60% - Accent4 2" xfId="113" xr:uid="{00000000-0005-0000-0000-00001E000000}"/>
    <cellStyle name="60% - Accent4 3" xfId="114" xr:uid="{00000000-0005-0000-0000-00001F000000}"/>
    <cellStyle name="60% - Accent5 2" xfId="115" xr:uid="{00000000-0005-0000-0000-000020000000}"/>
    <cellStyle name="60% - Accent5 3" xfId="116" xr:uid="{00000000-0005-0000-0000-000021000000}"/>
    <cellStyle name="60% - Accent6 2" xfId="117" xr:uid="{00000000-0005-0000-0000-000022000000}"/>
    <cellStyle name="60% - Accent6 3" xfId="118" xr:uid="{00000000-0005-0000-0000-000023000000}"/>
    <cellStyle name="Accent1 2" xfId="119" xr:uid="{00000000-0005-0000-0000-000024000000}"/>
    <cellStyle name="Accent1 3" xfId="120" xr:uid="{00000000-0005-0000-0000-000025000000}"/>
    <cellStyle name="Accent2 2" xfId="121" xr:uid="{00000000-0005-0000-0000-000026000000}"/>
    <cellStyle name="Accent2 3" xfId="122" xr:uid="{00000000-0005-0000-0000-000027000000}"/>
    <cellStyle name="Accent3 2" xfId="123" xr:uid="{00000000-0005-0000-0000-000028000000}"/>
    <cellStyle name="Accent3 3" xfId="124" xr:uid="{00000000-0005-0000-0000-000029000000}"/>
    <cellStyle name="Accent4 2" xfId="125" xr:uid="{00000000-0005-0000-0000-00002A000000}"/>
    <cellStyle name="Accent4 3" xfId="126" xr:uid="{00000000-0005-0000-0000-00002B000000}"/>
    <cellStyle name="Accent5 2" xfId="127" xr:uid="{00000000-0005-0000-0000-00002C000000}"/>
    <cellStyle name="Accent5 3" xfId="128" xr:uid="{00000000-0005-0000-0000-00002D000000}"/>
    <cellStyle name="Accent6 2" xfId="129" xr:uid="{00000000-0005-0000-0000-00002E000000}"/>
    <cellStyle name="Accent6 3" xfId="130" xr:uid="{00000000-0005-0000-0000-00002F000000}"/>
    <cellStyle name="Bad 2" xfId="131" xr:uid="{00000000-0005-0000-0000-000030000000}"/>
    <cellStyle name="Bad 3" xfId="132" xr:uid="{00000000-0005-0000-0000-000031000000}"/>
    <cellStyle name="Calculation 2" xfId="133" xr:uid="{00000000-0005-0000-0000-000032000000}"/>
    <cellStyle name="Calculation 2 2" xfId="134" xr:uid="{00000000-0005-0000-0000-000033000000}"/>
    <cellStyle name="Calculation 2 2 2" xfId="135" xr:uid="{00000000-0005-0000-0000-000034000000}"/>
    <cellStyle name="Calculation 2 3" xfId="136" xr:uid="{00000000-0005-0000-0000-000035000000}"/>
    <cellStyle name="Calculation 2_בחירה מרשימה" xfId="137" xr:uid="{00000000-0005-0000-0000-000036000000}"/>
    <cellStyle name="Calculation 3" xfId="138" xr:uid="{00000000-0005-0000-0000-000037000000}"/>
    <cellStyle name="Calculation 3 2" xfId="139" xr:uid="{00000000-0005-0000-0000-000038000000}"/>
    <cellStyle name="Calculation 3 2 2" xfId="140" xr:uid="{00000000-0005-0000-0000-000039000000}"/>
    <cellStyle name="Calculation 3 3" xfId="141" xr:uid="{00000000-0005-0000-0000-00003A000000}"/>
    <cellStyle name="Calculation 3_בחירה מרשימה" xfId="142" xr:uid="{00000000-0005-0000-0000-00003B000000}"/>
    <cellStyle name="Calculation 4" xfId="143" xr:uid="{00000000-0005-0000-0000-00003C000000}"/>
    <cellStyle name="Check Cell 2" xfId="144" xr:uid="{00000000-0005-0000-0000-00003D000000}"/>
    <cellStyle name="Check Cell 3" xfId="145" xr:uid="{00000000-0005-0000-0000-00003E000000}"/>
    <cellStyle name="Comma" xfId="6" builtinId="3"/>
    <cellStyle name="Comma 10" xfId="434" xr:uid="{983BEB40-920A-4F3D-981D-30A5FF9AE7B9}"/>
    <cellStyle name="Comma 2" xfId="22" xr:uid="{00000000-0005-0000-0000-000040000000}"/>
    <cellStyle name="Comma 2 2" xfId="23" xr:uid="{00000000-0005-0000-0000-000041000000}"/>
    <cellStyle name="Comma 2 3" xfId="17" xr:uid="{00000000-0005-0000-0000-000042000000}"/>
    <cellStyle name="Comma 2 4" xfId="146" xr:uid="{00000000-0005-0000-0000-000043000000}"/>
    <cellStyle name="Comma 3" xfId="21" xr:uid="{00000000-0005-0000-0000-000044000000}"/>
    <cellStyle name="Comma 3 2" xfId="147" xr:uid="{00000000-0005-0000-0000-000045000000}"/>
    <cellStyle name="Comma 4" xfId="24" xr:uid="{00000000-0005-0000-0000-000046000000}"/>
    <cellStyle name="Currency" xfId="432" builtinId="4"/>
    <cellStyle name="Currency 2" xfId="148" xr:uid="{00000000-0005-0000-0000-000048000000}"/>
    <cellStyle name="Currency 3" xfId="149" xr:uid="{00000000-0005-0000-0000-000049000000}"/>
    <cellStyle name="Explanatory Text 2" xfId="150" xr:uid="{00000000-0005-0000-0000-00004A000000}"/>
    <cellStyle name="Explanatory Text 3" xfId="151" xr:uid="{00000000-0005-0000-0000-00004B000000}"/>
    <cellStyle name="Good 2" xfId="152" xr:uid="{00000000-0005-0000-0000-00004C000000}"/>
    <cellStyle name="Good 3" xfId="153" xr:uid="{00000000-0005-0000-0000-00004D000000}"/>
    <cellStyle name="Heading 1 2" xfId="154" xr:uid="{00000000-0005-0000-0000-00004E000000}"/>
    <cellStyle name="Heading 1 3" xfId="155" xr:uid="{00000000-0005-0000-0000-00004F000000}"/>
    <cellStyle name="Heading 2 2" xfId="156" xr:uid="{00000000-0005-0000-0000-000050000000}"/>
    <cellStyle name="Heading 2 3" xfId="157" xr:uid="{00000000-0005-0000-0000-000051000000}"/>
    <cellStyle name="Heading 3 2" xfId="158" xr:uid="{00000000-0005-0000-0000-000052000000}"/>
    <cellStyle name="Heading 3 3" xfId="159" xr:uid="{00000000-0005-0000-0000-000053000000}"/>
    <cellStyle name="Heading 4 2" xfId="160" xr:uid="{00000000-0005-0000-0000-000054000000}"/>
    <cellStyle name="Heading 4 3" xfId="161" xr:uid="{00000000-0005-0000-0000-000055000000}"/>
    <cellStyle name="Input 2" xfId="162" xr:uid="{00000000-0005-0000-0000-000056000000}"/>
    <cellStyle name="Input 2 2" xfId="163" xr:uid="{00000000-0005-0000-0000-000057000000}"/>
    <cellStyle name="Input 2 2 2" xfId="164" xr:uid="{00000000-0005-0000-0000-000058000000}"/>
    <cellStyle name="Input 2 3" xfId="165" xr:uid="{00000000-0005-0000-0000-000059000000}"/>
    <cellStyle name="Input 2_בחירה מרשימה" xfId="166" xr:uid="{00000000-0005-0000-0000-00005A000000}"/>
    <cellStyle name="Input 3" xfId="167" xr:uid="{00000000-0005-0000-0000-00005B000000}"/>
    <cellStyle name="Input 3 2" xfId="168" xr:uid="{00000000-0005-0000-0000-00005C000000}"/>
    <cellStyle name="Input 3 2 2" xfId="169" xr:uid="{00000000-0005-0000-0000-00005D000000}"/>
    <cellStyle name="Input 3 3" xfId="170" xr:uid="{00000000-0005-0000-0000-00005E000000}"/>
    <cellStyle name="Input 3_בחירה מרשימה" xfId="171" xr:uid="{00000000-0005-0000-0000-00005F000000}"/>
    <cellStyle name="Input 4" xfId="172" xr:uid="{00000000-0005-0000-0000-000060000000}"/>
    <cellStyle name="Linked Cell 2" xfId="173" xr:uid="{00000000-0005-0000-0000-000061000000}"/>
    <cellStyle name="Linked Cell 3" xfId="174" xr:uid="{00000000-0005-0000-0000-000062000000}"/>
    <cellStyle name="Neutral 2" xfId="175" xr:uid="{00000000-0005-0000-0000-000063000000}"/>
    <cellStyle name="Neutral 3" xfId="176" xr:uid="{00000000-0005-0000-0000-000064000000}"/>
    <cellStyle name="Normal" xfId="0" builtinId="0"/>
    <cellStyle name="Normal 10" xfId="25" xr:uid="{00000000-0005-0000-0000-000066000000}"/>
    <cellStyle name="Normal 10 2" xfId="177" xr:uid="{00000000-0005-0000-0000-000067000000}"/>
    <cellStyle name="Normal 10 2 2" xfId="178" xr:uid="{00000000-0005-0000-0000-000068000000}"/>
    <cellStyle name="Normal 10 3" xfId="179" xr:uid="{00000000-0005-0000-0000-000069000000}"/>
    <cellStyle name="Normal 10_בחירה מרשימה" xfId="180" xr:uid="{00000000-0005-0000-0000-00006A000000}"/>
    <cellStyle name="Normal 11" xfId="75" xr:uid="{00000000-0005-0000-0000-00006B000000}"/>
    <cellStyle name="Normal 12" xfId="81" xr:uid="{00000000-0005-0000-0000-00006C000000}"/>
    <cellStyle name="Normal 12 2" xfId="181" xr:uid="{00000000-0005-0000-0000-00006D000000}"/>
    <cellStyle name="Normal 13" xfId="182" xr:uid="{00000000-0005-0000-0000-00006E000000}"/>
    <cellStyle name="Normal 13 2" xfId="183" xr:uid="{00000000-0005-0000-0000-00006F000000}"/>
    <cellStyle name="Normal 14" xfId="184" xr:uid="{00000000-0005-0000-0000-000070000000}"/>
    <cellStyle name="Normal 14 2" xfId="185" xr:uid="{00000000-0005-0000-0000-000071000000}"/>
    <cellStyle name="Normal 15" xfId="186" xr:uid="{00000000-0005-0000-0000-000072000000}"/>
    <cellStyle name="Normal 15 2" xfId="187" xr:uid="{00000000-0005-0000-0000-000073000000}"/>
    <cellStyle name="Normal 16" xfId="188" xr:uid="{00000000-0005-0000-0000-000074000000}"/>
    <cellStyle name="Normal 16 2" xfId="189" xr:uid="{00000000-0005-0000-0000-000075000000}"/>
    <cellStyle name="Normal 17" xfId="190" xr:uid="{00000000-0005-0000-0000-000076000000}"/>
    <cellStyle name="Normal 18" xfId="433" xr:uid="{00000000-0005-0000-0000-000077000000}"/>
    <cellStyle name="Normal 2" xfId="3" xr:uid="{00000000-0005-0000-0000-000078000000}"/>
    <cellStyle name="Normal 2 2" xfId="7" xr:uid="{00000000-0005-0000-0000-000079000000}"/>
    <cellStyle name="Normal 2 2 2" xfId="80" xr:uid="{00000000-0005-0000-0000-00007A000000}"/>
    <cellStyle name="Normal 2 2 3" xfId="191" xr:uid="{00000000-0005-0000-0000-00007B000000}"/>
    <cellStyle name="Normal 2 2_בחירה מרשימה" xfId="192" xr:uid="{00000000-0005-0000-0000-00007C000000}"/>
    <cellStyle name="Normal 2 3" xfId="76" xr:uid="{00000000-0005-0000-0000-00007D000000}"/>
    <cellStyle name="Normal 2 4" xfId="193" xr:uid="{00000000-0005-0000-0000-00007E000000}"/>
    <cellStyle name="Normal 2 5" xfId="194" xr:uid="{00000000-0005-0000-0000-00007F000000}"/>
    <cellStyle name="Normal 2 5 2" xfId="195" xr:uid="{00000000-0005-0000-0000-000080000000}"/>
    <cellStyle name="Normal 2_בחירה מרשימה" xfId="196" xr:uid="{00000000-0005-0000-0000-000081000000}"/>
    <cellStyle name="Normal 23 2" xfId="437" xr:uid="{AD3AC2AE-F05E-4E0E-881A-F79B7729BC55}"/>
    <cellStyle name="Normal 26" xfId="436" xr:uid="{792BA57C-D9A6-497A-A8E3-A6123E3A7072}"/>
    <cellStyle name="Normal 3" xfId="2" xr:uid="{00000000-0005-0000-0000-000082000000}"/>
    <cellStyle name="Normal 3 2" xfId="8" xr:uid="{00000000-0005-0000-0000-000083000000}"/>
    <cellStyle name="Normal 3 2 10" xfId="435" xr:uid="{E56A514D-665F-4A26-B8AF-FB6E4C5A72CE}"/>
    <cellStyle name="Normal 3 2 2" xfId="9" xr:uid="{00000000-0005-0000-0000-000084000000}"/>
    <cellStyle name="Normal 3 2 2 2" xfId="15" xr:uid="{00000000-0005-0000-0000-000085000000}"/>
    <cellStyle name="Normal 3 2 2 2 2" xfId="197" xr:uid="{00000000-0005-0000-0000-000086000000}"/>
    <cellStyle name="Normal 3 2 2 2 3" xfId="198" xr:uid="{00000000-0005-0000-0000-000087000000}"/>
    <cellStyle name="Normal 3 2 2 2_בחירה מרשימה" xfId="199" xr:uid="{00000000-0005-0000-0000-000088000000}"/>
    <cellStyle name="Normal 3 2 2 3" xfId="200" xr:uid="{00000000-0005-0000-0000-000089000000}"/>
    <cellStyle name="Normal 3 2 2 3 2" xfId="201" xr:uid="{00000000-0005-0000-0000-00008A000000}"/>
    <cellStyle name="Normal 3 2 2 4" xfId="202" xr:uid="{00000000-0005-0000-0000-00008B000000}"/>
    <cellStyle name="Normal 3 2 2 4 2" xfId="203" xr:uid="{00000000-0005-0000-0000-00008C000000}"/>
    <cellStyle name="Normal 3 2 2 5" xfId="204" xr:uid="{00000000-0005-0000-0000-00008D000000}"/>
    <cellStyle name="Normal 3 2 2_בחירה מרשימה" xfId="205" xr:uid="{00000000-0005-0000-0000-00008E000000}"/>
    <cellStyle name="Normal 3 2 3" xfId="26" xr:uid="{00000000-0005-0000-0000-00008F000000}"/>
    <cellStyle name="Normal 3 2 3 2" xfId="206" xr:uid="{00000000-0005-0000-0000-000090000000}"/>
    <cellStyle name="Normal 3 2 3 3" xfId="207" xr:uid="{00000000-0005-0000-0000-000091000000}"/>
    <cellStyle name="Normal 3 2 3_בחירה מרשימה" xfId="208" xr:uid="{00000000-0005-0000-0000-000092000000}"/>
    <cellStyle name="Normal 3 2 4" xfId="209" xr:uid="{00000000-0005-0000-0000-000093000000}"/>
    <cellStyle name="Normal 3 2 5" xfId="210" xr:uid="{00000000-0005-0000-0000-000094000000}"/>
    <cellStyle name="Normal 3 2_בחירה מרשימה" xfId="211" xr:uid="{00000000-0005-0000-0000-000095000000}"/>
    <cellStyle name="Normal 3 3" xfId="27" xr:uid="{00000000-0005-0000-0000-000096000000}"/>
    <cellStyle name="Normal 3 3 2" xfId="28" xr:uid="{00000000-0005-0000-0000-000097000000}"/>
    <cellStyle name="Normal 3 3 2 2" xfId="212" xr:uid="{00000000-0005-0000-0000-000098000000}"/>
    <cellStyle name="Normal 3 3 2 2 2" xfId="213" xr:uid="{00000000-0005-0000-0000-000099000000}"/>
    <cellStyle name="Normal 3 3 2 3" xfId="214" xr:uid="{00000000-0005-0000-0000-00009A000000}"/>
    <cellStyle name="Normal 3 3 2_בחירה מרשימה" xfId="215" xr:uid="{00000000-0005-0000-0000-00009B000000}"/>
    <cellStyle name="Normal 3 3 3" xfId="216" xr:uid="{00000000-0005-0000-0000-00009C000000}"/>
    <cellStyle name="Normal 3 3 3 2" xfId="217" xr:uid="{00000000-0005-0000-0000-00009D000000}"/>
    <cellStyle name="Normal 3 3 4" xfId="218" xr:uid="{00000000-0005-0000-0000-00009E000000}"/>
    <cellStyle name="Normal 3 3_בחירה מרשימה" xfId="219" xr:uid="{00000000-0005-0000-0000-00009F000000}"/>
    <cellStyle name="Normal 3 4" xfId="220" xr:uid="{00000000-0005-0000-0000-0000A0000000}"/>
    <cellStyle name="Normal 3 5" xfId="221" xr:uid="{00000000-0005-0000-0000-0000A1000000}"/>
    <cellStyle name="Normal 3_בחירה מרשימה" xfId="222" xr:uid="{00000000-0005-0000-0000-0000A2000000}"/>
    <cellStyle name="Normal 4" xfId="11" xr:uid="{00000000-0005-0000-0000-0000A3000000}"/>
    <cellStyle name="Normal 4 2" xfId="29" xr:uid="{00000000-0005-0000-0000-0000A4000000}"/>
    <cellStyle name="Normal 4 2 2" xfId="30" xr:uid="{00000000-0005-0000-0000-0000A5000000}"/>
    <cellStyle name="Normal 4 2 2 2" xfId="31" xr:uid="{00000000-0005-0000-0000-0000A6000000}"/>
    <cellStyle name="Normal 4 2 2 2 2" xfId="32" xr:uid="{00000000-0005-0000-0000-0000A7000000}"/>
    <cellStyle name="Normal 4 2 2 2 2 2" xfId="223" xr:uid="{00000000-0005-0000-0000-0000A8000000}"/>
    <cellStyle name="Normal 4 2 2 2 2 2 2" xfId="224" xr:uid="{00000000-0005-0000-0000-0000A9000000}"/>
    <cellStyle name="Normal 4 2 2 2 2 3" xfId="225" xr:uid="{00000000-0005-0000-0000-0000AA000000}"/>
    <cellStyle name="Normal 4 2 2 2 2_בחירה מרשימה" xfId="226" xr:uid="{00000000-0005-0000-0000-0000AB000000}"/>
    <cellStyle name="Normal 4 2 2 2 3" xfId="227" xr:uid="{00000000-0005-0000-0000-0000AC000000}"/>
    <cellStyle name="Normal 4 2 2 2 3 2" xfId="228" xr:uid="{00000000-0005-0000-0000-0000AD000000}"/>
    <cellStyle name="Normal 4 2 2 2 4" xfId="229" xr:uid="{00000000-0005-0000-0000-0000AE000000}"/>
    <cellStyle name="Normal 4 2 2 2_בחירה מרשימה" xfId="230" xr:uid="{00000000-0005-0000-0000-0000AF000000}"/>
    <cellStyle name="Normal 4 2 2 3" xfId="33" xr:uid="{00000000-0005-0000-0000-0000B0000000}"/>
    <cellStyle name="Normal 4 2 2 3 2" xfId="231" xr:uid="{00000000-0005-0000-0000-0000B1000000}"/>
    <cellStyle name="Normal 4 2 2 3 2 2" xfId="232" xr:uid="{00000000-0005-0000-0000-0000B2000000}"/>
    <cellStyle name="Normal 4 2 2 3 3" xfId="233" xr:uid="{00000000-0005-0000-0000-0000B3000000}"/>
    <cellStyle name="Normal 4 2 2 3_בחירה מרשימה" xfId="234" xr:uid="{00000000-0005-0000-0000-0000B4000000}"/>
    <cellStyle name="Normal 4 2 2 4" xfId="235" xr:uid="{00000000-0005-0000-0000-0000B5000000}"/>
    <cellStyle name="Normal 4 2 2 4 2" xfId="236" xr:uid="{00000000-0005-0000-0000-0000B6000000}"/>
    <cellStyle name="Normal 4 2 2 5" xfId="237" xr:uid="{00000000-0005-0000-0000-0000B7000000}"/>
    <cellStyle name="Normal 4 2 2_בחירה מרשימה" xfId="238" xr:uid="{00000000-0005-0000-0000-0000B8000000}"/>
    <cellStyle name="Normal 4 2 3" xfId="34" xr:uid="{00000000-0005-0000-0000-0000B9000000}"/>
    <cellStyle name="Normal 4 2 3 2" xfId="35" xr:uid="{00000000-0005-0000-0000-0000BA000000}"/>
    <cellStyle name="Normal 4 2 3 2 2" xfId="239" xr:uid="{00000000-0005-0000-0000-0000BB000000}"/>
    <cellStyle name="Normal 4 2 3 2 2 2" xfId="240" xr:uid="{00000000-0005-0000-0000-0000BC000000}"/>
    <cellStyle name="Normal 4 2 3 2 3" xfId="241" xr:uid="{00000000-0005-0000-0000-0000BD000000}"/>
    <cellStyle name="Normal 4 2 3 2_בחירה מרשימה" xfId="242" xr:uid="{00000000-0005-0000-0000-0000BE000000}"/>
    <cellStyle name="Normal 4 2 3 3" xfId="243" xr:uid="{00000000-0005-0000-0000-0000BF000000}"/>
    <cellStyle name="Normal 4 2 3 3 2" xfId="244" xr:uid="{00000000-0005-0000-0000-0000C0000000}"/>
    <cellStyle name="Normal 4 2 3 4" xfId="245" xr:uid="{00000000-0005-0000-0000-0000C1000000}"/>
    <cellStyle name="Normal 4 2 3_בחירה מרשימה" xfId="246" xr:uid="{00000000-0005-0000-0000-0000C2000000}"/>
    <cellStyle name="Normal 4 2 4" xfId="36" xr:uid="{00000000-0005-0000-0000-0000C3000000}"/>
    <cellStyle name="Normal 4 2 4 2" xfId="247" xr:uid="{00000000-0005-0000-0000-0000C4000000}"/>
    <cellStyle name="Normal 4 2 4 2 2" xfId="248" xr:uid="{00000000-0005-0000-0000-0000C5000000}"/>
    <cellStyle name="Normal 4 2 4 3" xfId="249" xr:uid="{00000000-0005-0000-0000-0000C6000000}"/>
    <cellStyle name="Normal 4 2 4_בחירה מרשימה" xfId="250" xr:uid="{00000000-0005-0000-0000-0000C7000000}"/>
    <cellStyle name="Normal 4 2 5" xfId="251" xr:uid="{00000000-0005-0000-0000-0000C8000000}"/>
    <cellStyle name="Normal 4 2 5 2" xfId="252" xr:uid="{00000000-0005-0000-0000-0000C9000000}"/>
    <cellStyle name="Normal 4 2 6" xfId="253" xr:uid="{00000000-0005-0000-0000-0000CA000000}"/>
    <cellStyle name="Normal 4 2_בחירה מרשימה" xfId="254" xr:uid="{00000000-0005-0000-0000-0000CB000000}"/>
    <cellStyle name="Normal 4 3" xfId="37" xr:uid="{00000000-0005-0000-0000-0000CC000000}"/>
    <cellStyle name="Normal 4 3 2" xfId="38" xr:uid="{00000000-0005-0000-0000-0000CD000000}"/>
    <cellStyle name="Normal 4 3 2 2" xfId="255" xr:uid="{00000000-0005-0000-0000-0000CE000000}"/>
    <cellStyle name="Normal 4 3 2 3" xfId="256" xr:uid="{00000000-0005-0000-0000-0000CF000000}"/>
    <cellStyle name="Normal 4 3 2_בחירה מרשימה" xfId="257" xr:uid="{00000000-0005-0000-0000-0000D0000000}"/>
    <cellStyle name="Normal 4 3 3" xfId="258" xr:uid="{00000000-0005-0000-0000-0000D1000000}"/>
    <cellStyle name="Normal 4 3 4" xfId="259" xr:uid="{00000000-0005-0000-0000-0000D2000000}"/>
    <cellStyle name="Normal 4 3_בחירה מרשימה" xfId="260" xr:uid="{00000000-0005-0000-0000-0000D3000000}"/>
    <cellStyle name="Normal 4 4" xfId="39" xr:uid="{00000000-0005-0000-0000-0000D4000000}"/>
    <cellStyle name="Normal 4 4 2" xfId="40" xr:uid="{00000000-0005-0000-0000-0000D5000000}"/>
    <cellStyle name="Normal 4 4 2 2" xfId="41" xr:uid="{00000000-0005-0000-0000-0000D6000000}"/>
    <cellStyle name="Normal 4 4 2 2 2" xfId="261" xr:uid="{00000000-0005-0000-0000-0000D7000000}"/>
    <cellStyle name="Normal 4 4 2 2 2 2" xfId="262" xr:uid="{00000000-0005-0000-0000-0000D8000000}"/>
    <cellStyle name="Normal 4 4 2 2 3" xfId="263" xr:uid="{00000000-0005-0000-0000-0000D9000000}"/>
    <cellStyle name="Normal 4 4 2 2_בחירה מרשימה" xfId="264" xr:uid="{00000000-0005-0000-0000-0000DA000000}"/>
    <cellStyle name="Normal 4 4 2 3" xfId="265" xr:uid="{00000000-0005-0000-0000-0000DB000000}"/>
    <cellStyle name="Normal 4 4 2 3 2" xfId="266" xr:uid="{00000000-0005-0000-0000-0000DC000000}"/>
    <cellStyle name="Normal 4 4 2 4" xfId="267" xr:uid="{00000000-0005-0000-0000-0000DD000000}"/>
    <cellStyle name="Normal 4 4 2_בחירה מרשימה" xfId="268" xr:uid="{00000000-0005-0000-0000-0000DE000000}"/>
    <cellStyle name="Normal 4 4 3" xfId="42" xr:uid="{00000000-0005-0000-0000-0000DF000000}"/>
    <cellStyle name="Normal 4 4 3 2" xfId="269" xr:uid="{00000000-0005-0000-0000-0000E0000000}"/>
    <cellStyle name="Normal 4 4 3 2 2" xfId="270" xr:uid="{00000000-0005-0000-0000-0000E1000000}"/>
    <cellStyle name="Normal 4 4 3 3" xfId="271" xr:uid="{00000000-0005-0000-0000-0000E2000000}"/>
    <cellStyle name="Normal 4 4 3_בחירה מרשימה" xfId="272" xr:uid="{00000000-0005-0000-0000-0000E3000000}"/>
    <cellStyle name="Normal 4 4 4" xfId="273" xr:uid="{00000000-0005-0000-0000-0000E4000000}"/>
    <cellStyle name="Normal 4 4 4 2" xfId="274" xr:uid="{00000000-0005-0000-0000-0000E5000000}"/>
    <cellStyle name="Normal 4 4 5" xfId="275" xr:uid="{00000000-0005-0000-0000-0000E6000000}"/>
    <cellStyle name="Normal 4 4_בחירה מרשימה" xfId="276" xr:uid="{00000000-0005-0000-0000-0000E7000000}"/>
    <cellStyle name="Normal 4 5" xfId="43" xr:uid="{00000000-0005-0000-0000-0000E8000000}"/>
    <cellStyle name="Normal 4 5 2" xfId="44" xr:uid="{00000000-0005-0000-0000-0000E9000000}"/>
    <cellStyle name="Normal 4 5 2 2" xfId="277" xr:uid="{00000000-0005-0000-0000-0000EA000000}"/>
    <cellStyle name="Normal 4 5 2 2 2" xfId="278" xr:uid="{00000000-0005-0000-0000-0000EB000000}"/>
    <cellStyle name="Normal 4 5 2 3" xfId="279" xr:uid="{00000000-0005-0000-0000-0000EC000000}"/>
    <cellStyle name="Normal 4 5 2_בחירה מרשימה" xfId="280" xr:uid="{00000000-0005-0000-0000-0000ED000000}"/>
    <cellStyle name="Normal 4 5 3" xfId="281" xr:uid="{00000000-0005-0000-0000-0000EE000000}"/>
    <cellStyle name="Normal 4 5 3 2" xfId="282" xr:uid="{00000000-0005-0000-0000-0000EF000000}"/>
    <cellStyle name="Normal 4 5 4" xfId="283" xr:uid="{00000000-0005-0000-0000-0000F0000000}"/>
    <cellStyle name="Normal 4 5_בחירה מרשימה" xfId="284" xr:uid="{00000000-0005-0000-0000-0000F1000000}"/>
    <cellStyle name="Normal 4 6" xfId="285" xr:uid="{00000000-0005-0000-0000-0000F2000000}"/>
    <cellStyle name="Normal 4 6 2" xfId="286" xr:uid="{00000000-0005-0000-0000-0000F3000000}"/>
    <cellStyle name="Normal 4 6 2 2" xfId="287" xr:uid="{00000000-0005-0000-0000-0000F4000000}"/>
    <cellStyle name="Normal 4 6_בחירה מרשימה" xfId="288" xr:uid="{00000000-0005-0000-0000-0000F5000000}"/>
    <cellStyle name="Normal 4 7" xfId="289" xr:uid="{00000000-0005-0000-0000-0000F6000000}"/>
    <cellStyle name="Normal 4_בחירה מרשימה" xfId="290" xr:uid="{00000000-0005-0000-0000-0000F7000000}"/>
    <cellStyle name="Normal 5" xfId="45" xr:uid="{00000000-0005-0000-0000-0000F8000000}"/>
    <cellStyle name="Normal 5 2" xfId="46" xr:uid="{00000000-0005-0000-0000-0000F9000000}"/>
    <cellStyle name="Normal 5 2 2" xfId="47" xr:uid="{00000000-0005-0000-0000-0000FA000000}"/>
    <cellStyle name="Normal 5 2 2 2" xfId="14" xr:uid="{00000000-0005-0000-0000-0000FB000000}"/>
    <cellStyle name="Normal 5 2 2 2 2" xfId="16" xr:uid="{00000000-0005-0000-0000-0000FC000000}"/>
    <cellStyle name="Normal 5 2 2 2 2 2" xfId="291" xr:uid="{00000000-0005-0000-0000-0000FD000000}"/>
    <cellStyle name="Normal 5 2 2 2 2 3" xfId="292" xr:uid="{00000000-0005-0000-0000-0000FE000000}"/>
    <cellStyle name="Normal 5 2 2 2 2_בחירה מרשימה" xfId="293" xr:uid="{00000000-0005-0000-0000-0000FF000000}"/>
    <cellStyle name="Normal 5 2 2 2 3" xfId="79" xr:uid="{00000000-0005-0000-0000-000000010000}"/>
    <cellStyle name="Normal 5 2 2 2 4" xfId="294" xr:uid="{00000000-0005-0000-0000-000001010000}"/>
    <cellStyle name="Normal 5 2 2 2_בחירה מרשימה" xfId="295" xr:uid="{00000000-0005-0000-0000-000002010000}"/>
    <cellStyle name="Normal 5 2 2 3" xfId="48" xr:uid="{00000000-0005-0000-0000-000003010000}"/>
    <cellStyle name="Normal 5 2 2 3 2" xfId="296" xr:uid="{00000000-0005-0000-0000-000004010000}"/>
    <cellStyle name="Normal 5 2 2 3 3" xfId="297" xr:uid="{00000000-0005-0000-0000-000005010000}"/>
    <cellStyle name="Normal 5 2 2 3_בחירה מרשימה" xfId="298" xr:uid="{00000000-0005-0000-0000-000006010000}"/>
    <cellStyle name="Normal 5 2 2 4" xfId="299" xr:uid="{00000000-0005-0000-0000-000007010000}"/>
    <cellStyle name="Normal 5 2 2 5" xfId="300" xr:uid="{00000000-0005-0000-0000-000008010000}"/>
    <cellStyle name="Normal 5 2 2_בחירה מרשימה" xfId="301" xr:uid="{00000000-0005-0000-0000-000009010000}"/>
    <cellStyle name="Normal 5 2 3" xfId="302" xr:uid="{00000000-0005-0000-0000-00000A010000}"/>
    <cellStyle name="Normal 5 2 4" xfId="303" xr:uid="{00000000-0005-0000-0000-00000B010000}"/>
    <cellStyle name="Normal 5 2_בחירה מרשימה" xfId="304" xr:uid="{00000000-0005-0000-0000-00000C010000}"/>
    <cellStyle name="Normal 5 3" xfId="49" xr:uid="{00000000-0005-0000-0000-00000D010000}"/>
    <cellStyle name="Normal 5 3 2" xfId="50" xr:uid="{00000000-0005-0000-0000-00000E010000}"/>
    <cellStyle name="Normal 5 3 2 2" xfId="305" xr:uid="{00000000-0005-0000-0000-00000F010000}"/>
    <cellStyle name="Normal 5 3 2 3" xfId="306" xr:uid="{00000000-0005-0000-0000-000010010000}"/>
    <cellStyle name="Normal 5 3 2_בחירה מרשימה" xfId="307" xr:uid="{00000000-0005-0000-0000-000011010000}"/>
    <cellStyle name="Normal 5 3 3" xfId="308" xr:uid="{00000000-0005-0000-0000-000012010000}"/>
    <cellStyle name="Normal 5 3 4" xfId="309" xr:uid="{00000000-0005-0000-0000-000013010000}"/>
    <cellStyle name="Normal 5 3_בחירה מרשימה" xfId="310" xr:uid="{00000000-0005-0000-0000-000014010000}"/>
    <cellStyle name="Normal 5 4" xfId="51" xr:uid="{00000000-0005-0000-0000-000015010000}"/>
    <cellStyle name="Normal 5 4 2" xfId="52" xr:uid="{00000000-0005-0000-0000-000016010000}"/>
    <cellStyle name="Normal 5 4 2 2" xfId="82" xr:uid="{00000000-0005-0000-0000-000017010000}"/>
    <cellStyle name="Normal 5 4 2 3" xfId="311" xr:uid="{00000000-0005-0000-0000-000018010000}"/>
    <cellStyle name="Normal 5 4 2_בחירה מרשימה" xfId="312" xr:uid="{00000000-0005-0000-0000-000019010000}"/>
    <cellStyle name="Normal 5 4 3" xfId="313" xr:uid="{00000000-0005-0000-0000-00001A010000}"/>
    <cellStyle name="Normal 5 4 4" xfId="314" xr:uid="{00000000-0005-0000-0000-00001B010000}"/>
    <cellStyle name="Normal 5 4_בחירה מרשימה" xfId="315" xr:uid="{00000000-0005-0000-0000-00001C010000}"/>
    <cellStyle name="Normal 5 5" xfId="53" xr:uid="{00000000-0005-0000-0000-00001D010000}"/>
    <cellStyle name="Normal 5 5 2" xfId="316" xr:uid="{00000000-0005-0000-0000-00001E010000}"/>
    <cellStyle name="Normal 5 5 3" xfId="317" xr:uid="{00000000-0005-0000-0000-00001F010000}"/>
    <cellStyle name="Normal 5 5_בחירה מרשימה" xfId="318" xr:uid="{00000000-0005-0000-0000-000020010000}"/>
    <cellStyle name="Normal 5 6" xfId="54" xr:uid="{00000000-0005-0000-0000-000021010000}"/>
    <cellStyle name="Normal 5 6 2" xfId="319" xr:uid="{00000000-0005-0000-0000-000022010000}"/>
    <cellStyle name="Normal 5 6 3" xfId="320" xr:uid="{00000000-0005-0000-0000-000023010000}"/>
    <cellStyle name="Normal 5 6_בחירה מרשימה" xfId="321" xr:uid="{00000000-0005-0000-0000-000024010000}"/>
    <cellStyle name="Normal 5 7" xfId="55" xr:uid="{00000000-0005-0000-0000-000025010000}"/>
    <cellStyle name="Normal 5 7 2" xfId="322" xr:uid="{00000000-0005-0000-0000-000026010000}"/>
    <cellStyle name="Normal 5 7 2 2" xfId="323" xr:uid="{00000000-0005-0000-0000-000027010000}"/>
    <cellStyle name="Normal 5 7 3" xfId="324" xr:uid="{00000000-0005-0000-0000-000028010000}"/>
    <cellStyle name="Normal 5 7_בחירה מרשימה" xfId="325" xr:uid="{00000000-0005-0000-0000-000029010000}"/>
    <cellStyle name="Normal 5 8" xfId="326" xr:uid="{00000000-0005-0000-0000-00002A010000}"/>
    <cellStyle name="Normal 5 8 2" xfId="327" xr:uid="{00000000-0005-0000-0000-00002B010000}"/>
    <cellStyle name="Normal 5 9" xfId="328" xr:uid="{00000000-0005-0000-0000-00002C010000}"/>
    <cellStyle name="Normal 5_בחירה מרשימה" xfId="329" xr:uid="{00000000-0005-0000-0000-00002D010000}"/>
    <cellStyle name="Normal 6" xfId="56" xr:uid="{00000000-0005-0000-0000-00002E010000}"/>
    <cellStyle name="Normal 6 2" xfId="330" xr:uid="{00000000-0005-0000-0000-00002F010000}"/>
    <cellStyle name="Normal 6 3" xfId="331" xr:uid="{00000000-0005-0000-0000-000030010000}"/>
    <cellStyle name="Normal 6_בחירה מרשימה" xfId="332" xr:uid="{00000000-0005-0000-0000-000031010000}"/>
    <cellStyle name="Normal 7" xfId="57" xr:uid="{00000000-0005-0000-0000-000032010000}"/>
    <cellStyle name="Normal 7 2" xfId="58" xr:uid="{00000000-0005-0000-0000-000033010000}"/>
    <cellStyle name="Normal 7 2 2" xfId="333" xr:uid="{00000000-0005-0000-0000-000034010000}"/>
    <cellStyle name="Normal 7 2 2 2" xfId="334" xr:uid="{00000000-0005-0000-0000-000035010000}"/>
    <cellStyle name="Normal 7 2 3" xfId="335" xr:uid="{00000000-0005-0000-0000-000036010000}"/>
    <cellStyle name="Normal 7 2_בחירה מרשימה" xfId="336" xr:uid="{00000000-0005-0000-0000-000037010000}"/>
    <cellStyle name="Normal 7 3" xfId="337" xr:uid="{00000000-0005-0000-0000-000038010000}"/>
    <cellStyle name="Normal 7 3 2" xfId="338" xr:uid="{00000000-0005-0000-0000-000039010000}"/>
    <cellStyle name="Normal 7 3 2 2" xfId="339" xr:uid="{00000000-0005-0000-0000-00003A010000}"/>
    <cellStyle name="Normal 7 3 3" xfId="340" xr:uid="{00000000-0005-0000-0000-00003B010000}"/>
    <cellStyle name="Normal 7 3_בחירה מרשימה" xfId="341" xr:uid="{00000000-0005-0000-0000-00003C010000}"/>
    <cellStyle name="Normal 7 4" xfId="342" xr:uid="{00000000-0005-0000-0000-00003D010000}"/>
    <cellStyle name="Normal 7 4 2" xfId="343" xr:uid="{00000000-0005-0000-0000-00003E010000}"/>
    <cellStyle name="Normal 7 5" xfId="344" xr:uid="{00000000-0005-0000-0000-00003F010000}"/>
    <cellStyle name="Normal 7 5 2" xfId="345" xr:uid="{00000000-0005-0000-0000-000040010000}"/>
    <cellStyle name="Normal 7 6" xfId="346" xr:uid="{00000000-0005-0000-0000-000041010000}"/>
    <cellStyle name="Normal 7_בחירה מרשימה" xfId="347" xr:uid="{00000000-0005-0000-0000-000042010000}"/>
    <cellStyle name="Normal 8" xfId="59" xr:uid="{00000000-0005-0000-0000-000043010000}"/>
    <cellStyle name="Normal 8 2" xfId="60" xr:uid="{00000000-0005-0000-0000-000044010000}"/>
    <cellStyle name="Normal 8 2 2" xfId="348" xr:uid="{00000000-0005-0000-0000-000045010000}"/>
    <cellStyle name="Normal 8 2 2 2" xfId="349" xr:uid="{00000000-0005-0000-0000-000046010000}"/>
    <cellStyle name="Normal 8 2 3" xfId="350" xr:uid="{00000000-0005-0000-0000-000047010000}"/>
    <cellStyle name="Normal 8 2_בחירה מרשימה" xfId="351" xr:uid="{00000000-0005-0000-0000-000048010000}"/>
    <cellStyle name="Normal 8 3" xfId="352" xr:uid="{00000000-0005-0000-0000-000049010000}"/>
    <cellStyle name="Normal 8 3 2" xfId="353" xr:uid="{00000000-0005-0000-0000-00004A010000}"/>
    <cellStyle name="Normal 8 4" xfId="354" xr:uid="{00000000-0005-0000-0000-00004B010000}"/>
    <cellStyle name="Normal 8_בחירה מרשימה" xfId="355" xr:uid="{00000000-0005-0000-0000-00004C010000}"/>
    <cellStyle name="Normal 9" xfId="61" xr:uid="{00000000-0005-0000-0000-00004D010000}"/>
    <cellStyle name="Normal 9 2" xfId="62" xr:uid="{00000000-0005-0000-0000-00004E010000}"/>
    <cellStyle name="Normal 9 2 2" xfId="78" xr:uid="{00000000-0005-0000-0000-00004F010000}"/>
    <cellStyle name="Normal 9 2 2 2" xfId="356" xr:uid="{00000000-0005-0000-0000-000050010000}"/>
    <cellStyle name="Normal 9 2 2 2 2" xfId="357" xr:uid="{00000000-0005-0000-0000-000051010000}"/>
    <cellStyle name="Normal 9 2 2 3" xfId="358" xr:uid="{00000000-0005-0000-0000-000052010000}"/>
    <cellStyle name="Normal 9 2 2_בחירה מרשימה" xfId="359" xr:uid="{00000000-0005-0000-0000-000053010000}"/>
    <cellStyle name="Normal 9 2 3" xfId="360" xr:uid="{00000000-0005-0000-0000-000054010000}"/>
    <cellStyle name="Normal 9 2 3 2" xfId="361" xr:uid="{00000000-0005-0000-0000-000055010000}"/>
    <cellStyle name="Normal 9 2 3 2 2" xfId="362" xr:uid="{00000000-0005-0000-0000-000056010000}"/>
    <cellStyle name="Normal 9 2 3 3" xfId="363" xr:uid="{00000000-0005-0000-0000-000057010000}"/>
    <cellStyle name="Normal 9 2 3_בחירה מרשימה" xfId="364" xr:uid="{00000000-0005-0000-0000-000058010000}"/>
    <cellStyle name="Normal 9 2 4" xfId="365" xr:uid="{00000000-0005-0000-0000-000059010000}"/>
    <cellStyle name="Normal 9 2 4 2" xfId="366" xr:uid="{00000000-0005-0000-0000-00005A010000}"/>
    <cellStyle name="Normal 9 2 5" xfId="367" xr:uid="{00000000-0005-0000-0000-00005B010000}"/>
    <cellStyle name="Normal 9 2_בחירה מרשימה" xfId="368" xr:uid="{00000000-0005-0000-0000-00005C010000}"/>
    <cellStyle name="Normal 9 3" xfId="77" xr:uid="{00000000-0005-0000-0000-00005D010000}"/>
    <cellStyle name="Normal 9 3 2" xfId="369" xr:uid="{00000000-0005-0000-0000-00005E010000}"/>
    <cellStyle name="Normal 9 3 2 2" xfId="370" xr:uid="{00000000-0005-0000-0000-00005F010000}"/>
    <cellStyle name="Normal 9 3 3" xfId="371" xr:uid="{00000000-0005-0000-0000-000060010000}"/>
    <cellStyle name="Normal 9 3_בחירה מרשימה" xfId="372" xr:uid="{00000000-0005-0000-0000-000061010000}"/>
    <cellStyle name="Normal 9 4" xfId="373" xr:uid="{00000000-0005-0000-0000-000062010000}"/>
    <cellStyle name="Normal 9 4 2" xfId="374" xr:uid="{00000000-0005-0000-0000-000063010000}"/>
    <cellStyle name="Normal 9 4 2 2" xfId="375" xr:uid="{00000000-0005-0000-0000-000064010000}"/>
    <cellStyle name="Normal 9 4 3" xfId="376" xr:uid="{00000000-0005-0000-0000-000065010000}"/>
    <cellStyle name="Normal 9 4_בחירה מרשימה" xfId="377" xr:uid="{00000000-0005-0000-0000-000066010000}"/>
    <cellStyle name="Normal 9 5" xfId="378" xr:uid="{00000000-0005-0000-0000-000067010000}"/>
    <cellStyle name="Normal 9 5 2" xfId="379" xr:uid="{00000000-0005-0000-0000-000068010000}"/>
    <cellStyle name="Normal 9 6" xfId="380" xr:uid="{00000000-0005-0000-0000-000069010000}"/>
    <cellStyle name="Normal 9_בחירה מרשימה" xfId="381" xr:uid="{00000000-0005-0000-0000-00006A010000}"/>
    <cellStyle name="Note 2" xfId="382" xr:uid="{00000000-0005-0000-0000-00006B010000}"/>
    <cellStyle name="Note 2 2" xfId="383" xr:uid="{00000000-0005-0000-0000-00006C010000}"/>
    <cellStyle name="Note 2 2 2" xfId="384" xr:uid="{00000000-0005-0000-0000-00006D010000}"/>
    <cellStyle name="Note 2 3" xfId="385" xr:uid="{00000000-0005-0000-0000-00006E010000}"/>
    <cellStyle name="Note 2_בחירה מרשימה" xfId="386" xr:uid="{00000000-0005-0000-0000-00006F010000}"/>
    <cellStyle name="Note 3" xfId="387" xr:uid="{00000000-0005-0000-0000-000070010000}"/>
    <cellStyle name="Note 3 2" xfId="388" xr:uid="{00000000-0005-0000-0000-000071010000}"/>
    <cellStyle name="Note 3 2 2" xfId="389" xr:uid="{00000000-0005-0000-0000-000072010000}"/>
    <cellStyle name="Note 3 3" xfId="390" xr:uid="{00000000-0005-0000-0000-000073010000}"/>
    <cellStyle name="Note 3_בחירה מרשימה" xfId="391" xr:uid="{00000000-0005-0000-0000-000074010000}"/>
    <cellStyle name="Note 4" xfId="392" xr:uid="{00000000-0005-0000-0000-000075010000}"/>
    <cellStyle name="Output 2" xfId="393" xr:uid="{00000000-0005-0000-0000-000076010000}"/>
    <cellStyle name="Output 2 2" xfId="394" xr:uid="{00000000-0005-0000-0000-000077010000}"/>
    <cellStyle name="Output 2 2 2" xfId="395" xr:uid="{00000000-0005-0000-0000-000078010000}"/>
    <cellStyle name="Output 2 3" xfId="396" xr:uid="{00000000-0005-0000-0000-000079010000}"/>
    <cellStyle name="Output 2_בחירה מרשימה" xfId="397" xr:uid="{00000000-0005-0000-0000-00007A010000}"/>
    <cellStyle name="Output 3" xfId="398" xr:uid="{00000000-0005-0000-0000-00007B010000}"/>
    <cellStyle name="Output 3 2" xfId="399" xr:uid="{00000000-0005-0000-0000-00007C010000}"/>
    <cellStyle name="Output 3 2 2" xfId="400" xr:uid="{00000000-0005-0000-0000-00007D010000}"/>
    <cellStyle name="Output 3 3" xfId="401" xr:uid="{00000000-0005-0000-0000-00007E010000}"/>
    <cellStyle name="Output 3_בחירה מרשימה" xfId="402" xr:uid="{00000000-0005-0000-0000-00007F010000}"/>
    <cellStyle name="Output 4" xfId="403" xr:uid="{00000000-0005-0000-0000-000080010000}"/>
    <cellStyle name="Percent" xfId="1" builtinId="5"/>
    <cellStyle name="Percent 2" xfId="5" xr:uid="{00000000-0005-0000-0000-000082010000}"/>
    <cellStyle name="Percent 2 2" xfId="10" xr:uid="{00000000-0005-0000-0000-000083010000}"/>
    <cellStyle name="Percent 2 2 2" xfId="18" xr:uid="{00000000-0005-0000-0000-000084010000}"/>
    <cellStyle name="Percent 2 3" xfId="63" xr:uid="{00000000-0005-0000-0000-000085010000}"/>
    <cellStyle name="Percent 2 3 2" xfId="19" xr:uid="{00000000-0005-0000-0000-000086010000}"/>
    <cellStyle name="Percent 3" xfId="4" xr:uid="{00000000-0005-0000-0000-000087010000}"/>
    <cellStyle name="Percent 3 2" xfId="64" xr:uid="{00000000-0005-0000-0000-000088010000}"/>
    <cellStyle name="Percent 4" xfId="12" xr:uid="{00000000-0005-0000-0000-000089010000}"/>
    <cellStyle name="Percent 4 2" xfId="65" xr:uid="{00000000-0005-0000-0000-00008A010000}"/>
    <cellStyle name="Percent 4 2 2" xfId="66" xr:uid="{00000000-0005-0000-0000-00008B010000}"/>
    <cellStyle name="Percent 4 3" xfId="67" xr:uid="{00000000-0005-0000-0000-00008C010000}"/>
    <cellStyle name="Percent 4 4" xfId="404" xr:uid="{00000000-0005-0000-0000-00008D010000}"/>
    <cellStyle name="Percent 5" xfId="13" xr:uid="{00000000-0005-0000-0000-00008E010000}"/>
    <cellStyle name="Percent 5 2" xfId="68" xr:uid="{00000000-0005-0000-0000-00008F010000}"/>
    <cellStyle name="Percent 5 2 2" xfId="405" xr:uid="{00000000-0005-0000-0000-000090010000}"/>
    <cellStyle name="Percent 5 3" xfId="406" xr:uid="{00000000-0005-0000-0000-000091010000}"/>
    <cellStyle name="Percent 5 4" xfId="407" xr:uid="{00000000-0005-0000-0000-000092010000}"/>
    <cellStyle name="Percent 6" xfId="69" xr:uid="{00000000-0005-0000-0000-000093010000}"/>
    <cellStyle name="Percent 6 2" xfId="70" xr:uid="{00000000-0005-0000-0000-000094010000}"/>
    <cellStyle name="Percent 6 2 2" xfId="408" xr:uid="{00000000-0005-0000-0000-000095010000}"/>
    <cellStyle name="Percent 6 3" xfId="409" xr:uid="{00000000-0005-0000-0000-000096010000}"/>
    <cellStyle name="Percent 7" xfId="71" xr:uid="{00000000-0005-0000-0000-000097010000}"/>
    <cellStyle name="Percent 7 2" xfId="72" xr:uid="{00000000-0005-0000-0000-000098010000}"/>
    <cellStyle name="Percent 7 2 2" xfId="410" xr:uid="{00000000-0005-0000-0000-000099010000}"/>
    <cellStyle name="Percent 7 3" xfId="411" xr:uid="{00000000-0005-0000-0000-00009A010000}"/>
    <cellStyle name="Percent 8" xfId="20" xr:uid="{00000000-0005-0000-0000-00009B010000}"/>
    <cellStyle name="Percent 8 2" xfId="73" xr:uid="{00000000-0005-0000-0000-00009C010000}"/>
    <cellStyle name="Percent 8 2 2" xfId="412" xr:uid="{00000000-0005-0000-0000-00009D010000}"/>
    <cellStyle name="Percent 8 3" xfId="413" xr:uid="{00000000-0005-0000-0000-00009E010000}"/>
    <cellStyle name="Percent 9" xfId="74" xr:uid="{00000000-0005-0000-0000-00009F010000}"/>
    <cellStyle name="Percent 9 2" xfId="414" xr:uid="{00000000-0005-0000-0000-0000A0010000}"/>
    <cellStyle name="Title 2" xfId="415" xr:uid="{00000000-0005-0000-0000-0000A1010000}"/>
    <cellStyle name="Title 3" xfId="416" xr:uid="{00000000-0005-0000-0000-0000A2010000}"/>
    <cellStyle name="Total 2" xfId="417" xr:uid="{00000000-0005-0000-0000-0000A3010000}"/>
    <cellStyle name="Total 2 2" xfId="418" xr:uid="{00000000-0005-0000-0000-0000A4010000}"/>
    <cellStyle name="Total 2 2 2" xfId="419" xr:uid="{00000000-0005-0000-0000-0000A5010000}"/>
    <cellStyle name="Total 2 3" xfId="420" xr:uid="{00000000-0005-0000-0000-0000A6010000}"/>
    <cellStyle name="Total 2_בחירה מרשימה" xfId="421" xr:uid="{00000000-0005-0000-0000-0000A7010000}"/>
    <cellStyle name="Total 3" xfId="422" xr:uid="{00000000-0005-0000-0000-0000A8010000}"/>
    <cellStyle name="Total 3 2" xfId="423" xr:uid="{00000000-0005-0000-0000-0000A9010000}"/>
    <cellStyle name="Total 3 2 2" xfId="424" xr:uid="{00000000-0005-0000-0000-0000AA010000}"/>
    <cellStyle name="Total 3 3" xfId="425" xr:uid="{00000000-0005-0000-0000-0000AB010000}"/>
    <cellStyle name="Total 3_בחירה מרשימה" xfId="426" xr:uid="{00000000-0005-0000-0000-0000AC010000}"/>
    <cellStyle name="Total 4" xfId="427" xr:uid="{00000000-0005-0000-0000-0000AD010000}"/>
    <cellStyle name="Warning Text 2" xfId="428" xr:uid="{00000000-0005-0000-0000-0000AE010000}"/>
    <cellStyle name="Warning Text 2 2" xfId="429" xr:uid="{00000000-0005-0000-0000-0000AF010000}"/>
    <cellStyle name="Warning Text 2 2 2" xfId="430" xr:uid="{00000000-0005-0000-0000-0000B0010000}"/>
    <cellStyle name="Warning Text 3" xfId="431" xr:uid="{00000000-0005-0000-0000-0000B1010000}"/>
  </cellStyles>
  <dxfs count="474">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none">
          <bgColor auto="1"/>
        </patternFill>
      </fill>
    </dxf>
    <dxf>
      <fill>
        <patternFill patternType="none">
          <bgColor auto="1"/>
        </patternFill>
      </fill>
    </dxf>
    <dxf>
      <fill>
        <patternFill>
          <bgColor rgb="FFFFFFCC"/>
        </patternFill>
      </fill>
    </dxf>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patternType="none">
          <bgColor auto="1"/>
        </patternFill>
      </fill>
    </dxf>
    <dxf>
      <font>
        <color theme="0"/>
      </font>
      <fill>
        <patternFill>
          <bgColor rgb="FFC0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patternType="solid">
          <bgColor theme="0"/>
        </patternFill>
      </fill>
    </dxf>
    <dxf>
      <fill>
        <patternFill>
          <bgColor rgb="FFFF0000"/>
        </patternFill>
      </fill>
    </dxf>
    <dxf>
      <fill>
        <patternFill>
          <bgColor rgb="FFFF0000"/>
        </patternFill>
      </fill>
    </dxf>
    <dxf>
      <fill>
        <patternFill patternType="solid">
          <bgColor theme="0"/>
        </patternFill>
      </fill>
    </dxf>
    <dxf>
      <fill>
        <patternFill>
          <bgColor rgb="FFFFFFCC"/>
        </patternFill>
      </fill>
    </dxf>
    <dxf>
      <fill>
        <patternFill>
          <fgColor auto="1"/>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bgColor rgb="FFFFFFCC"/>
        </patternFill>
      </fill>
    </dxf>
    <dxf>
      <fill>
        <patternFill>
          <bgColor rgb="FFFF000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patternType="solid">
          <bgColor theme="0"/>
        </patternFill>
      </fill>
    </dxf>
    <dxf>
      <fill>
        <patternFill>
          <bgColor rgb="FFFFFFCC"/>
        </patternFill>
      </fill>
    </dxf>
    <dxf>
      <fill>
        <patternFill patternType="solid">
          <bgColor theme="0"/>
        </patternFill>
      </fill>
    </dxf>
    <dxf>
      <fill>
        <patternFill>
          <bgColor rgb="FFFFFFCC"/>
        </patternFill>
      </fill>
    </dxf>
    <dxf>
      <fill>
        <patternFill>
          <bgColor rgb="FFFFFFCC"/>
        </patternFill>
      </fill>
    </dxf>
    <dxf>
      <fill>
        <patternFill>
          <bgColor rgb="FFFF0000"/>
        </patternFill>
      </fill>
    </dxf>
    <dxf>
      <fill>
        <patternFill patternType="solid">
          <bgColor theme="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patternType="solid">
          <bgColor theme="0"/>
        </patternFill>
      </fill>
    </dxf>
    <dxf>
      <fill>
        <patternFill>
          <bgColor rgb="FFFFFFCC"/>
        </patternFill>
      </fill>
    </dxf>
    <dxf>
      <fill>
        <patternFill>
          <bgColor rgb="FFFF0000"/>
        </patternFill>
      </fill>
    </dxf>
    <dxf>
      <fill>
        <patternFill patternType="solid">
          <bgColor theme="0"/>
        </patternFill>
      </fill>
    </dxf>
    <dxf>
      <fill>
        <patternFill>
          <bgColor rgb="FFFFFFCC"/>
        </patternFill>
      </fill>
    </dxf>
    <dxf>
      <fill>
        <patternFill patternType="solid">
          <bgColor theme="0"/>
        </patternFill>
      </fill>
    </dxf>
    <dxf>
      <fill>
        <patternFill patternType="solid">
          <bgColor theme="0"/>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bgColor theme="0"/>
        </patternFill>
      </fill>
    </dxf>
    <dxf>
      <fill>
        <patternFill patternType="solid">
          <bgColor theme="0"/>
        </patternFill>
      </fill>
    </dxf>
    <dxf>
      <fill>
        <patternFill patternType="solid">
          <bgColor theme="0"/>
        </patternFill>
      </fill>
    </dxf>
    <dxf>
      <fill>
        <patternFill>
          <bgColor rgb="FFFFFFCC"/>
        </patternFill>
      </fill>
    </dxf>
    <dxf>
      <fill>
        <patternFill>
          <bgColor rgb="FFFFFFCC"/>
        </patternFill>
      </fill>
    </dxf>
    <dxf>
      <fill>
        <patternFill>
          <bgColor rgb="FFFF0000"/>
        </patternFill>
      </fill>
    </dxf>
    <dxf>
      <fill>
        <patternFill patternType="solid">
          <bgColor theme="0"/>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bgColor rgb="FFFF000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solid">
          <bgColor theme="0"/>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bgColor rgb="FFFF000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patternType="solid">
          <bgColor theme="0"/>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bgColor rgb="FFFFFF00"/>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patternType="solid">
          <bgColor theme="0"/>
        </patternFill>
      </fill>
    </dxf>
    <dxf>
      <fill>
        <patternFill>
          <bgColor rgb="FFFFFFCC"/>
        </patternFill>
      </fill>
    </dxf>
    <dxf>
      <fill>
        <patternFill>
          <bgColor rgb="FFFF0000"/>
        </patternFill>
      </fill>
    </dxf>
    <dxf>
      <font>
        <color rgb="FFFF0000"/>
      </font>
      <fill>
        <patternFill>
          <bgColor rgb="FFFFFFCC"/>
        </patternFill>
      </fill>
    </dxf>
    <dxf>
      <font>
        <color rgb="FFFF0000"/>
      </font>
      <fill>
        <patternFill>
          <bgColor rgb="FFFFFFCC"/>
        </patternFill>
      </fill>
    </dxf>
    <dxf>
      <font>
        <color theme="0"/>
      </font>
      <fill>
        <patternFill>
          <bgColor rgb="FFFF0000"/>
        </patternFill>
      </fill>
    </dxf>
    <dxf>
      <font>
        <color theme="0"/>
      </font>
      <fill>
        <patternFill>
          <bgColor rgb="FFFF0000"/>
        </patternFill>
      </fill>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sheetMetadata" Target="metadata.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9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styles" Target="styles.xml"/><Relationship Id="rId98"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xdr:col>
      <xdr:colOff>28575</xdr:colOff>
      <xdr:row>10</xdr:row>
      <xdr:rowOff>57150</xdr:rowOff>
    </xdr:from>
    <xdr:to>
      <xdr:col>4</xdr:col>
      <xdr:colOff>590550</xdr:colOff>
      <xdr:row>15</xdr:row>
      <xdr:rowOff>76200</xdr:rowOff>
    </xdr:to>
    <xdr:sp macro="[0]!גיליוןעזר_מלבן1_לחץ" textlink="">
      <xdr:nvSpPr>
        <xdr:cNvPr id="2" name="מלבן 1">
          <a:extLst>
            <a:ext uri="{FF2B5EF4-FFF2-40B4-BE49-F238E27FC236}">
              <a16:creationId xmlns:a16="http://schemas.microsoft.com/office/drawing/2014/main" id="{00000000-0008-0000-0100-000002000000}"/>
            </a:ext>
          </a:extLst>
        </xdr:cNvPr>
        <xdr:cNvSpPr/>
      </xdr:nvSpPr>
      <xdr:spPr>
        <a:xfrm>
          <a:off x="9984657450" y="2057400"/>
          <a:ext cx="1171575" cy="10191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B9"/>
  <sheetViews>
    <sheetView rightToLeft="1" workbookViewId="0"/>
  </sheetViews>
  <sheetFormatPr defaultColWidth="9" defaultRowHeight="15.75" x14ac:dyDescent="0.25"/>
  <sheetData>
    <row r="1" spans="1:2" x14ac:dyDescent="0.25">
      <c r="B1">
        <v>0.9633905291557312</v>
      </c>
    </row>
    <row r="2" spans="1:2" x14ac:dyDescent="0.25">
      <c r="B2" s="225">
        <v>45865.415671296294</v>
      </c>
    </row>
    <row r="6" spans="1:2" x14ac:dyDescent="0.25">
      <c r="A6" t="s">
        <v>0</v>
      </c>
    </row>
    <row r="7" spans="1:2" x14ac:dyDescent="0.25">
      <c r="A7" t="s">
        <v>1</v>
      </c>
    </row>
    <row r="8" spans="1:2" x14ac:dyDescent="0.25">
      <c r="A8" t="s">
        <v>2</v>
      </c>
      <c r="B8" t="b">
        <v>1</v>
      </c>
    </row>
    <row r="9" spans="1:2" x14ac:dyDescent="0.25">
      <c r="A9" t="s">
        <v>3</v>
      </c>
      <c r="B9" t="b">
        <v>1</v>
      </c>
    </row>
  </sheetData>
  <sheetProtection algorithmName="SHA-512" hashValue="Tj6KKwOvmeLkYwj08zbwguvmLG/iPWsXXJaugnZv5RV8hqZDUWl8+t2OkGm+GnWtN1lEfmuEdO7HRoXfi16+QQ==" saltValue="8vhgKZW7XdEPkKFzIYQ15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גיליון1">
    <tabColor theme="1"/>
  </sheetPr>
  <dimension ref="A1:Z19"/>
  <sheetViews>
    <sheetView rightToLeft="1" workbookViewId="0">
      <selection activeCell="N1" sqref="N1"/>
    </sheetView>
  </sheetViews>
  <sheetFormatPr defaultColWidth="9" defaultRowHeight="15.75" x14ac:dyDescent="0.25"/>
  <sheetData>
    <row r="1" spans="1:26" x14ac:dyDescent="0.25">
      <c r="A1" t="s">
        <v>4</v>
      </c>
      <c r="B1" t="s">
        <v>5</v>
      </c>
      <c r="C1" t="s">
        <v>6</v>
      </c>
      <c r="D1" t="s">
        <v>7</v>
      </c>
      <c r="E1" t="s">
        <v>8</v>
      </c>
      <c r="F1" t="s">
        <v>9</v>
      </c>
      <c r="G1" t="s">
        <v>10</v>
      </c>
      <c r="H1" t="s">
        <v>11</v>
      </c>
      <c r="I1" t="s">
        <v>12</v>
      </c>
      <c r="J1" t="s">
        <v>13</v>
      </c>
      <c r="K1" t="s">
        <v>14</v>
      </c>
      <c r="L1" t="s">
        <v>15</v>
      </c>
      <c r="M1" t="s">
        <v>16</v>
      </c>
      <c r="N1" t="s">
        <v>17</v>
      </c>
      <c r="O1" t="s">
        <v>18</v>
      </c>
      <c r="P1" t="s">
        <v>19</v>
      </c>
      <c r="Q1" t="s">
        <v>20</v>
      </c>
      <c r="R1" t="s">
        <v>21</v>
      </c>
      <c r="S1" t="s">
        <v>22</v>
      </c>
      <c r="T1" t="s">
        <v>23</v>
      </c>
      <c r="U1" t="s">
        <v>24</v>
      </c>
      <c r="V1" t="s">
        <v>25</v>
      </c>
      <c r="W1" t="s">
        <v>26</v>
      </c>
      <c r="X1" t="s">
        <v>27</v>
      </c>
      <c r="Y1" t="s">
        <v>28</v>
      </c>
      <c r="Z1" t="s">
        <v>29</v>
      </c>
    </row>
    <row r="3" spans="1:26" x14ac:dyDescent="0.25">
      <c r="B3" t="s">
        <v>30</v>
      </c>
    </row>
    <row r="6" spans="1:26" x14ac:dyDescent="0.25">
      <c r="B6" s="33" t="s">
        <v>31</v>
      </c>
      <c r="C6" s="33" t="s">
        <v>32</v>
      </c>
    </row>
    <row r="9" spans="1:26" x14ac:dyDescent="0.25">
      <c r="B9" t="s">
        <v>33</v>
      </c>
    </row>
    <row r="19" spans="4:4" x14ac:dyDescent="0.25">
      <c r="D19">
        <v>1111</v>
      </c>
    </row>
  </sheetData>
  <sheetProtection algorithmName="SHA-512" hashValue="iiaAVBPEUdXoqTMOnkdZ/3Imajeo4lHYkLWNz0LkqdosfhJWggW0gg/dQ7LIjEpwBDsxf2uzgTJJqOlv7BK9bA==" saltValue="Z4SMN+7n6+5XiKdXdmry+g==" spinCount="100000" sheet="1" scenarios="1" formatColumns="0" formatRows="0" autoFilter="0"/>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H42"/>
  <sheetViews>
    <sheetView rightToLeft="1" view="pageBreakPreview" topLeftCell="B1" zoomScaleNormal="100" zoomScaleSheetLayoutView="100" workbookViewId="0">
      <selection activeCell="B1" sqref="B1"/>
    </sheetView>
  </sheetViews>
  <sheetFormatPr defaultColWidth="9.140625" defaultRowHeight="15.75" x14ac:dyDescent="0.25"/>
  <cols>
    <col min="1" max="1" width="2.42578125" style="201" hidden="1" customWidth="1"/>
    <col min="2" max="2" width="20.42578125" style="201" customWidth="1"/>
    <col min="3" max="3" width="21.42578125" style="201" customWidth="1"/>
    <col min="4" max="4" width="41.140625" style="201" customWidth="1"/>
    <col min="5" max="7" width="16.85546875" style="201" customWidth="1"/>
    <col min="8" max="8" width="23.5703125" style="219" customWidth="1"/>
    <col min="9" max="10" width="9.140625" style="201"/>
    <col min="11" max="11" width="32.85546875" style="201" customWidth="1"/>
    <col min="12" max="16384" width="9.140625" style="201"/>
  </cols>
  <sheetData>
    <row r="1" spans="1:8" ht="16.5" thickBot="1" x14ac:dyDescent="0.3">
      <c r="H1" s="201"/>
    </row>
    <row r="2" spans="1:8" ht="32.25" thickBot="1" x14ac:dyDescent="0.3">
      <c r="B2" s="462" t="s">
        <v>34</v>
      </c>
      <c r="C2" s="463"/>
      <c r="D2" s="463"/>
      <c r="E2" s="463"/>
      <c r="F2" s="463"/>
      <c r="G2" s="463"/>
      <c r="H2" s="464"/>
    </row>
    <row r="3" spans="1:8" ht="15.75" customHeight="1" thickBot="1" x14ac:dyDescent="0.3">
      <c r="H3" s="201"/>
    </row>
    <row r="4" spans="1:8" ht="15.75" hidden="1" customHeight="1" x14ac:dyDescent="0.3">
      <c r="B4" s="202" t="s">
        <v>35</v>
      </c>
      <c r="C4" s="203"/>
      <c r="D4" s="204"/>
      <c r="E4" s="204"/>
      <c r="F4" s="204"/>
      <c r="G4" s="204"/>
      <c r="H4" s="204"/>
    </row>
    <row r="5" spans="1:8" ht="15.75" hidden="1" customHeight="1" x14ac:dyDescent="0.3">
      <c r="B5" s="202" t="s">
        <v>36</v>
      </c>
      <c r="C5" s="203"/>
      <c r="D5" s="204"/>
      <c r="E5" s="204"/>
      <c r="F5" s="204"/>
      <c r="G5" s="204"/>
      <c r="H5" s="204"/>
    </row>
    <row r="6" spans="1:8" ht="15.75" hidden="1" customHeight="1" thickBot="1" x14ac:dyDescent="0.35">
      <c r="A6" s="204"/>
      <c r="B6" s="204"/>
      <c r="C6" s="204"/>
      <c r="D6" s="204"/>
      <c r="E6" s="204"/>
      <c r="F6" s="204"/>
      <c r="G6" s="204"/>
      <c r="H6" s="204"/>
    </row>
    <row r="7" spans="1:8" ht="31.5" customHeight="1" thickBot="1" x14ac:dyDescent="0.3">
      <c r="B7" s="465" t="s">
        <v>37</v>
      </c>
      <c r="C7" s="466"/>
      <c r="D7" s="466"/>
      <c r="E7" s="466"/>
      <c r="F7" s="466"/>
      <c r="G7" s="466"/>
      <c r="H7" s="467"/>
    </row>
    <row r="8" spans="1:8" ht="15.75" customHeight="1" x14ac:dyDescent="0.25">
      <c r="H8" s="201"/>
    </row>
    <row r="9" spans="1:8" ht="15.75" hidden="1" customHeight="1" x14ac:dyDescent="0.3">
      <c r="B9" s="205" t="s">
        <v>38</v>
      </c>
      <c r="C9" s="206"/>
      <c r="H9" s="201"/>
    </row>
    <row r="10" spans="1:8" ht="15.75" customHeight="1" x14ac:dyDescent="0.25">
      <c r="H10" s="201"/>
    </row>
    <row r="11" spans="1:8" ht="23.25" hidden="1" x14ac:dyDescent="0.35">
      <c r="B11" s="468" t="s">
        <v>39</v>
      </c>
      <c r="C11" s="468"/>
      <c r="D11" s="468"/>
      <c r="E11" s="468"/>
      <c r="F11" s="468"/>
      <c r="G11" s="468"/>
      <c r="H11" s="468"/>
    </row>
    <row r="12" spans="1:8" ht="18.75" hidden="1" x14ac:dyDescent="0.3">
      <c r="B12" s="207" t="s">
        <v>40</v>
      </c>
      <c r="C12" s="207" t="s">
        <v>41</v>
      </c>
      <c r="D12" s="469" t="s">
        <v>42</v>
      </c>
      <c r="E12" s="470"/>
      <c r="F12" s="470"/>
      <c r="G12" s="470"/>
      <c r="H12" s="471"/>
    </row>
    <row r="13" spans="1:8" ht="27.75" hidden="1" customHeight="1" x14ac:dyDescent="0.25">
      <c r="B13" s="208" t="s">
        <v>43</v>
      </c>
      <c r="C13" s="209" t="s">
        <v>44</v>
      </c>
      <c r="D13" s="472" t="s">
        <v>45</v>
      </c>
      <c r="E13" s="473"/>
      <c r="F13" s="473"/>
      <c r="G13" s="473"/>
      <c r="H13" s="474"/>
    </row>
    <row r="14" spans="1:8" hidden="1" x14ac:dyDescent="0.25">
      <c r="B14" s="210" t="s">
        <v>46</v>
      </c>
      <c r="C14" s="209" t="s">
        <v>47</v>
      </c>
      <c r="D14" s="449" t="s">
        <v>48</v>
      </c>
      <c r="E14" s="450"/>
      <c r="F14" s="450"/>
      <c r="G14" s="450"/>
      <c r="H14" s="451"/>
    </row>
    <row r="15" spans="1:8" hidden="1" x14ac:dyDescent="0.25">
      <c r="B15" s="211" t="s">
        <v>49</v>
      </c>
      <c r="C15" s="209" t="s">
        <v>50</v>
      </c>
      <c r="D15" s="449" t="s">
        <v>51</v>
      </c>
      <c r="E15" s="450"/>
      <c r="F15" s="450"/>
      <c r="G15" s="450"/>
      <c r="H15" s="451"/>
    </row>
    <row r="16" spans="1:8" hidden="1" x14ac:dyDescent="0.25">
      <c r="B16" s="212"/>
      <c r="C16" s="212"/>
      <c r="D16" s="213"/>
      <c r="E16" s="213"/>
      <c r="F16" s="213"/>
      <c r="G16" s="213"/>
      <c r="H16" s="213"/>
    </row>
    <row r="17" spans="2:8" ht="129" customHeight="1" x14ac:dyDescent="0.25">
      <c r="B17" s="461" t="s">
        <v>52</v>
      </c>
      <c r="C17" s="461"/>
      <c r="D17" s="461"/>
      <c r="E17" s="461"/>
      <c r="F17" s="461"/>
      <c r="G17" s="461"/>
      <c r="H17" s="461"/>
    </row>
    <row r="18" spans="2:8" ht="15" customHeight="1" x14ac:dyDescent="0.25">
      <c r="B18" s="220"/>
      <c r="C18" s="220"/>
      <c r="D18" s="220"/>
      <c r="E18" s="220"/>
      <c r="F18" s="220"/>
      <c r="G18" s="220"/>
      <c r="H18" s="220"/>
    </row>
    <row r="19" spans="2:8" ht="23.25" x14ac:dyDescent="0.25">
      <c r="B19" s="214"/>
      <c r="C19" s="214"/>
      <c r="D19" s="214"/>
      <c r="E19" s="214"/>
      <c r="F19" s="214"/>
      <c r="G19" s="214"/>
      <c r="H19" s="214"/>
    </row>
    <row r="20" spans="2:8" ht="23.25" x14ac:dyDescent="0.25">
      <c r="B20" s="214"/>
      <c r="C20" s="214"/>
      <c r="D20" s="214"/>
      <c r="E20" s="214"/>
      <c r="F20" s="214"/>
      <c r="G20" s="214"/>
      <c r="H20" s="214"/>
    </row>
    <row r="21" spans="2:8" ht="23.25" x14ac:dyDescent="0.25">
      <c r="B21" s="214"/>
      <c r="C21" s="214"/>
      <c r="D21" s="214"/>
      <c r="E21" s="214"/>
      <c r="F21" s="214"/>
      <c r="G21" s="214"/>
      <c r="H21" s="214"/>
    </row>
    <row r="22" spans="2:8" ht="23.25" x14ac:dyDescent="0.25">
      <c r="B22" s="214"/>
      <c r="C22" s="214"/>
      <c r="D22" s="214"/>
      <c r="E22" s="214"/>
      <c r="F22" s="214"/>
      <c r="G22" s="214"/>
      <c r="H22" s="214"/>
    </row>
    <row r="23" spans="2:8" ht="23.25" x14ac:dyDescent="0.25">
      <c r="B23" s="214"/>
      <c r="C23" s="214"/>
      <c r="D23" s="214"/>
      <c r="E23" s="214"/>
      <c r="F23" s="214"/>
      <c r="G23" s="214"/>
      <c r="H23" s="214"/>
    </row>
    <row r="24" spans="2:8" ht="23.25" x14ac:dyDescent="0.25">
      <c r="B24" s="214"/>
      <c r="C24" s="214"/>
      <c r="D24" s="214"/>
      <c r="E24" s="214"/>
      <c r="F24" s="214"/>
      <c r="G24" s="214"/>
      <c r="H24" s="214"/>
    </row>
    <row r="25" spans="2:8" ht="23.25" x14ac:dyDescent="0.25">
      <c r="B25" s="214"/>
      <c r="C25" s="214"/>
      <c r="D25" s="214"/>
      <c r="E25" s="214"/>
      <c r="F25" s="214"/>
      <c r="G25" s="214"/>
      <c r="H25" s="214"/>
    </row>
    <row r="26" spans="2:8" ht="23.25" x14ac:dyDescent="0.25">
      <c r="B26" s="214"/>
      <c r="C26" s="214"/>
      <c r="D26" s="214"/>
      <c r="E26" s="214"/>
      <c r="F26" s="214"/>
      <c r="G26" s="214"/>
      <c r="H26" s="214"/>
    </row>
    <row r="27" spans="2:8" ht="23.25" x14ac:dyDescent="0.25">
      <c r="B27" s="214"/>
      <c r="C27" s="214"/>
      <c r="D27" s="214"/>
      <c r="E27" s="214"/>
      <c r="F27" s="214"/>
      <c r="G27" s="214"/>
      <c r="H27" s="214"/>
    </row>
    <row r="28" spans="2:8" ht="23.25" x14ac:dyDescent="0.25">
      <c r="B28" s="214"/>
      <c r="C28" s="214"/>
      <c r="D28" s="214"/>
      <c r="E28" s="214"/>
      <c r="F28" s="214"/>
      <c r="G28" s="214"/>
      <c r="H28" s="214"/>
    </row>
    <row r="29" spans="2:8" ht="23.25" x14ac:dyDescent="0.25">
      <c r="B29" s="214"/>
      <c r="C29" s="214"/>
      <c r="D29" s="214"/>
      <c r="E29" s="214"/>
      <c r="F29" s="214"/>
      <c r="G29" s="214"/>
      <c r="H29" s="214"/>
    </row>
    <row r="30" spans="2:8" ht="23.25" x14ac:dyDescent="0.25">
      <c r="B30" s="214"/>
      <c r="C30" s="214"/>
      <c r="D30" s="214"/>
      <c r="E30" s="214"/>
      <c r="F30" s="214"/>
      <c r="G30" s="214"/>
      <c r="H30" s="214"/>
    </row>
    <row r="31" spans="2:8" ht="23.25" x14ac:dyDescent="0.25">
      <c r="B31" s="214"/>
      <c r="C31" s="214"/>
      <c r="D31" s="214"/>
      <c r="E31" s="214"/>
      <c r="F31" s="214"/>
      <c r="G31" s="214"/>
      <c r="H31" s="214"/>
    </row>
    <row r="32" spans="2:8" ht="23.25" x14ac:dyDescent="0.25">
      <c r="B32" s="214"/>
      <c r="C32" s="214"/>
      <c r="D32" s="214"/>
      <c r="E32" s="214"/>
      <c r="F32" s="214"/>
      <c r="G32" s="214"/>
      <c r="H32" s="214"/>
    </row>
    <row r="33" spans="2:8" ht="18.75" hidden="1" x14ac:dyDescent="0.25">
      <c r="B33" s="452" t="s">
        <v>53</v>
      </c>
      <c r="C33" s="453"/>
      <c r="D33" s="453"/>
      <c r="E33" s="453"/>
      <c r="F33" s="453"/>
      <c r="G33" s="453"/>
      <c r="H33" s="454"/>
    </row>
    <row r="34" spans="2:8" hidden="1" x14ac:dyDescent="0.25">
      <c r="B34" s="215" t="s">
        <v>54</v>
      </c>
      <c r="C34" s="215" t="s">
        <v>55</v>
      </c>
      <c r="D34" s="215" t="s">
        <v>56</v>
      </c>
      <c r="E34" s="455" t="s">
        <v>57</v>
      </c>
      <c r="F34" s="456"/>
      <c r="G34" s="456"/>
      <c r="H34" s="457"/>
    </row>
    <row r="35" spans="2:8" ht="49.5" hidden="1" customHeight="1" x14ac:dyDescent="0.25">
      <c r="B35" s="216">
        <v>1</v>
      </c>
      <c r="C35" s="217"/>
      <c r="D35" s="217"/>
      <c r="E35" s="458"/>
      <c r="F35" s="459"/>
      <c r="G35" s="459"/>
      <c r="H35" s="460"/>
    </row>
    <row r="36" spans="2:8" hidden="1" x14ac:dyDescent="0.25">
      <c r="C36" s="218"/>
      <c r="H36" s="201"/>
    </row>
    <row r="37" spans="2:8" x14ac:dyDescent="0.25">
      <c r="H37" s="201"/>
    </row>
    <row r="38" spans="2:8" x14ac:dyDescent="0.25">
      <c r="H38" s="201"/>
    </row>
    <row r="39" spans="2:8" x14ac:dyDescent="0.25">
      <c r="H39" s="201"/>
    </row>
    <row r="40" spans="2:8" x14ac:dyDescent="0.25">
      <c r="H40" s="201"/>
    </row>
    <row r="41" spans="2:8" x14ac:dyDescent="0.25">
      <c r="H41" s="201"/>
    </row>
    <row r="42" spans="2:8" x14ac:dyDescent="0.25">
      <c r="H42" s="201"/>
    </row>
  </sheetData>
  <sheetProtection algorithmName="SHA-512" hashValue="nofQwlwdut2xrB2TOlCKfUm9w7CeDu4lsudYoUlrbO/meXxIZXcyo47oNa+N9CIe9wPb8rmuGBuKZVLWneObfA==" saltValue="bmu544eqJmXo1Wu+r8iuJQ==" spinCount="100000" sheet="1" scenarios="1" formatColumns="0" formatRows="0" autoFilter="0"/>
  <mergeCells count="11">
    <mergeCell ref="D14:H14"/>
    <mergeCell ref="B2:H2"/>
    <mergeCell ref="B7:H7"/>
    <mergeCell ref="B11:H11"/>
    <mergeCell ref="D12:H12"/>
    <mergeCell ref="D13:H13"/>
    <mergeCell ref="D15:H15"/>
    <mergeCell ref="B33:H33"/>
    <mergeCell ref="E34:H34"/>
    <mergeCell ref="E35:H35"/>
    <mergeCell ref="B17:H17"/>
  </mergeCells>
  <printOptions horizontalCentered="1"/>
  <pageMargins left="0.51181102362204722" right="0.51181102362204722" top="0.74803149606299213" bottom="0.74803149606299213" header="0.31496062992125984" footer="0.31496062992125984"/>
  <pageSetup paperSize="9" scale="49" fitToHeight="2" orientation="portrait" r:id="rId1"/>
  <headerFooter>
    <oddHeader>&amp;C&amp;Uמבחנים לתמיכה של משרד התרבות והספורט</oddHeader>
    <oddFooter>&amp;Lא. חפץ ושות'
יעוץ כלכלי&amp;C&amp;P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גיליון2">
    <tabColor theme="9" tint="-0.249977111117893"/>
    <pageSetUpPr fitToPage="1"/>
  </sheetPr>
  <dimension ref="B2:G132"/>
  <sheetViews>
    <sheetView rightToLeft="1" view="pageBreakPreview" zoomScale="90" zoomScaleNormal="90" zoomScaleSheetLayoutView="90" workbookViewId="0"/>
  </sheetViews>
  <sheetFormatPr defaultColWidth="9" defaultRowHeight="15.75" x14ac:dyDescent="0.25"/>
  <cols>
    <col min="2" max="2" width="23" bestFit="1" customWidth="1"/>
    <col min="3" max="3" width="15.140625" bestFit="1" customWidth="1"/>
    <col min="4" max="4" width="22.5703125" customWidth="1"/>
    <col min="5" max="6" width="0" hidden="1" customWidth="1"/>
    <col min="7" max="7" width="13.85546875" customWidth="1"/>
  </cols>
  <sheetData>
    <row r="2" spans="2:7" ht="20.25" x14ac:dyDescent="0.25">
      <c r="B2" s="481" t="s">
        <v>58</v>
      </c>
      <c r="C2" s="482"/>
    </row>
    <row r="3" spans="2:7" x14ac:dyDescent="0.25">
      <c r="B3" s="43" t="s">
        <v>59</v>
      </c>
      <c r="C3" s="438">
        <v>2025</v>
      </c>
    </row>
    <row r="4" spans="2:7" x14ac:dyDescent="0.25">
      <c r="B4" s="43" t="s">
        <v>60</v>
      </c>
      <c r="C4" s="439">
        <v>15000000</v>
      </c>
    </row>
    <row r="5" spans="2:7" x14ac:dyDescent="0.25">
      <c r="B5" s="43" t="s">
        <v>61</v>
      </c>
      <c r="C5" s="439">
        <v>12209942</v>
      </c>
    </row>
    <row r="6" spans="2:7" x14ac:dyDescent="0.25">
      <c r="B6" s="437" t="s">
        <v>807</v>
      </c>
      <c r="C6" s="440">
        <f>INDEX('הוראת שעה'!$B$5:$B$18,MATCH($C$3,'הוראת שעה'!$A$5:$A$18,0))</f>
        <v>44835</v>
      </c>
    </row>
    <row r="7" spans="2:7" ht="16.5" thickBot="1" x14ac:dyDescent="0.3">
      <c r="B7" s="437" t="s">
        <v>808</v>
      </c>
      <c r="C7" s="440">
        <f>INDEX('הוראת שעה'!$C$5:$C$18,MATCH($C$3,'הוראת שעה'!$A$5:$A$18,0))</f>
        <v>45199</v>
      </c>
    </row>
    <row r="8" spans="2:7" ht="18.75" x14ac:dyDescent="0.25">
      <c r="D8" s="258" t="s">
        <v>62</v>
      </c>
      <c r="E8" s="256"/>
      <c r="F8" s="256"/>
      <c r="G8" s="441">
        <v>132.7786314441</v>
      </c>
    </row>
    <row r="9" spans="2:7" ht="19.5" thickBot="1" x14ac:dyDescent="0.3">
      <c r="D9" s="259" t="s">
        <v>63</v>
      </c>
      <c r="E9" s="257"/>
      <c r="F9" s="257"/>
      <c r="G9" s="442">
        <v>143.1320592061</v>
      </c>
    </row>
    <row r="10" spans="2:7" x14ac:dyDescent="0.25">
      <c r="B10" s="475" t="s">
        <v>64</v>
      </c>
      <c r="C10" s="476"/>
    </row>
    <row r="11" spans="2:7" x14ac:dyDescent="0.25">
      <c r="B11" s="236" t="s">
        <v>65</v>
      </c>
      <c r="C11" s="38" t="s">
        <v>66</v>
      </c>
      <c r="D11" s="237">
        <v>2016</v>
      </c>
    </row>
    <row r="12" spans="2:7" x14ac:dyDescent="0.25">
      <c r="B12" s="26" t="s">
        <v>67</v>
      </c>
      <c r="C12" s="238">
        <v>0.55000000000000004</v>
      </c>
      <c r="D12" s="239">
        <v>0.55000000000000004</v>
      </c>
    </row>
    <row r="13" spans="2:7" x14ac:dyDescent="0.25">
      <c r="B13" s="26" t="s">
        <v>68</v>
      </c>
      <c r="C13" s="238">
        <v>0.08</v>
      </c>
      <c r="D13" s="239">
        <v>0.08</v>
      </c>
    </row>
    <row r="14" spans="2:7" x14ac:dyDescent="0.25">
      <c r="B14" s="26" t="s">
        <v>69</v>
      </c>
      <c r="C14" s="238">
        <v>0.1</v>
      </c>
      <c r="D14" s="239">
        <v>0.1</v>
      </c>
    </row>
    <row r="15" spans="2:7" x14ac:dyDescent="0.25">
      <c r="B15" s="26" t="s">
        <v>70</v>
      </c>
      <c r="C15" s="238">
        <v>0.06</v>
      </c>
      <c r="D15" s="239">
        <v>0.06</v>
      </c>
    </row>
    <row r="16" spans="2:7" ht="31.5" x14ac:dyDescent="0.25">
      <c r="B16" s="26" t="s">
        <v>71</v>
      </c>
      <c r="C16" s="238">
        <v>0.11</v>
      </c>
      <c r="D16" s="239">
        <v>0.11</v>
      </c>
    </row>
    <row r="17" spans="2:6" x14ac:dyDescent="0.25">
      <c r="B17" s="26" t="s">
        <v>72</v>
      </c>
      <c r="C17" s="238">
        <v>0.05</v>
      </c>
      <c r="D17" s="239">
        <v>0.05</v>
      </c>
    </row>
    <row r="18" spans="2:6" x14ac:dyDescent="0.25">
      <c r="B18" s="26" t="s">
        <v>73</v>
      </c>
      <c r="C18" s="239">
        <v>0.05</v>
      </c>
      <c r="D18" s="239">
        <v>0.05</v>
      </c>
    </row>
    <row r="20" spans="2:6" x14ac:dyDescent="0.25">
      <c r="B20" s="475" t="s">
        <v>74</v>
      </c>
      <c r="C20" s="476"/>
    </row>
    <row r="21" spans="2:6" ht="78.75" x14ac:dyDescent="0.25">
      <c r="B21" s="236" t="s">
        <v>65</v>
      </c>
      <c r="C21" s="38" t="s">
        <v>66</v>
      </c>
      <c r="D21" s="236" t="s">
        <v>75</v>
      </c>
    </row>
    <row r="22" spans="2:6" ht="78.75" x14ac:dyDescent="0.25">
      <c r="B22" s="26" t="s">
        <v>76</v>
      </c>
      <c r="C22" s="240">
        <v>0.6</v>
      </c>
      <c r="D22" s="241">
        <f>200000*G9/G8</f>
        <v>215595.02105029422</v>
      </c>
    </row>
    <row r="23" spans="2:6" ht="51.75" customHeight="1" x14ac:dyDescent="0.25">
      <c r="B23" s="26" t="str">
        <f>'ריכוז נתונים כללים'!H15</f>
        <v>סך הכנסות (תקציב שנתי) בתחום מרכזי עדות ישראל (₪)</v>
      </c>
      <c r="C23" s="241">
        <f>100000*G9/G8</f>
        <v>107797.51052514711</v>
      </c>
    </row>
    <row r="24" spans="2:6" ht="31.5" x14ac:dyDescent="0.25">
      <c r="B24" s="26" t="s">
        <v>77</v>
      </c>
      <c r="C24" s="5">
        <v>1</v>
      </c>
      <c r="E24" t="str">
        <f>'גיליון עזר'!B6</f>
        <v>כן</v>
      </c>
      <c r="F24" t="str">
        <f>'גיליון עזר'!C6</f>
        <v>לא</v>
      </c>
    </row>
    <row r="25" spans="2:6" x14ac:dyDescent="0.25">
      <c r="B25" s="26" t="s">
        <v>78</v>
      </c>
      <c r="C25" s="5">
        <v>2</v>
      </c>
    </row>
    <row r="27" spans="2:6" x14ac:dyDescent="0.25">
      <c r="B27" s="475" t="s">
        <v>67</v>
      </c>
      <c r="C27" s="476"/>
    </row>
    <row r="28" spans="2:6" x14ac:dyDescent="0.25">
      <c r="B28" s="38" t="s">
        <v>65</v>
      </c>
      <c r="C28" s="38" t="s">
        <v>79</v>
      </c>
    </row>
    <row r="29" spans="2:6" x14ac:dyDescent="0.25">
      <c r="B29" s="26" t="s">
        <v>80</v>
      </c>
      <c r="C29" s="5">
        <v>1</v>
      </c>
    </row>
    <row r="30" spans="2:6" x14ac:dyDescent="0.25">
      <c r="B30" s="26" t="s">
        <v>81</v>
      </c>
      <c r="C30" s="5">
        <v>1.5</v>
      </c>
    </row>
    <row r="31" spans="2:6" x14ac:dyDescent="0.25">
      <c r="B31" s="26" t="s">
        <v>82</v>
      </c>
      <c r="C31" s="5">
        <v>3.5</v>
      </c>
    </row>
    <row r="32" spans="2:6" x14ac:dyDescent="0.25">
      <c r="B32" s="26" t="s">
        <v>83</v>
      </c>
      <c r="C32" s="5">
        <v>4</v>
      </c>
    </row>
    <row r="33" spans="2:4" x14ac:dyDescent="0.25">
      <c r="B33" s="26" t="s">
        <v>84</v>
      </c>
      <c r="C33" s="5">
        <v>5</v>
      </c>
    </row>
    <row r="34" spans="2:4" x14ac:dyDescent="0.25">
      <c r="B34" s="26" t="s">
        <v>85</v>
      </c>
      <c r="C34" s="5">
        <v>6</v>
      </c>
    </row>
    <row r="35" spans="2:4" ht="102.75" customHeight="1" x14ac:dyDescent="0.25">
      <c r="B35" s="26" t="s">
        <v>86</v>
      </c>
      <c r="C35" s="5">
        <v>1.1000000000000001</v>
      </c>
    </row>
    <row r="36" spans="2:4" ht="31.5" x14ac:dyDescent="0.25">
      <c r="B36" s="26" t="s">
        <v>87</v>
      </c>
      <c r="C36" s="242">
        <v>0.5</v>
      </c>
    </row>
    <row r="37" spans="2:4" x14ac:dyDescent="0.25">
      <c r="B37" s="243"/>
      <c r="C37" s="42"/>
    </row>
    <row r="38" spans="2:4" x14ac:dyDescent="0.25">
      <c r="B38" s="475" t="s">
        <v>68</v>
      </c>
      <c r="C38" s="476"/>
      <c r="D38" s="236" t="s">
        <v>88</v>
      </c>
    </row>
    <row r="39" spans="2:4" ht="31.5" x14ac:dyDescent="0.25">
      <c r="B39" s="26" t="s">
        <v>89</v>
      </c>
      <c r="C39" s="5">
        <v>2</v>
      </c>
      <c r="D39" s="5" t="s">
        <v>90</v>
      </c>
    </row>
    <row r="40" spans="2:4" ht="31.5" x14ac:dyDescent="0.25">
      <c r="B40" s="26" t="s">
        <v>91</v>
      </c>
      <c r="C40" s="5">
        <v>1</v>
      </c>
      <c r="D40" s="5">
        <v>3</v>
      </c>
    </row>
    <row r="41" spans="2:4" ht="47.25" hidden="1" x14ac:dyDescent="0.25">
      <c r="B41" s="244" t="s">
        <v>92</v>
      </c>
      <c r="C41" s="245">
        <v>10</v>
      </c>
    </row>
    <row r="42" spans="2:4" ht="31.5" hidden="1" x14ac:dyDescent="0.25">
      <c r="B42" s="244" t="s">
        <v>93</v>
      </c>
      <c r="C42" s="246">
        <v>18</v>
      </c>
    </row>
    <row r="43" spans="2:4" ht="31.5" hidden="1" x14ac:dyDescent="0.25">
      <c r="B43" s="244" t="s">
        <v>94</v>
      </c>
      <c r="C43" s="246">
        <v>3</v>
      </c>
    </row>
    <row r="44" spans="2:4" ht="15.75" hidden="1" customHeight="1" x14ac:dyDescent="0.25">
      <c r="B44" s="483" t="s">
        <v>95</v>
      </c>
      <c r="C44" s="484"/>
    </row>
    <row r="45" spans="2:4" ht="31.5" hidden="1" x14ac:dyDescent="0.25">
      <c r="B45" s="244" t="s">
        <v>96</v>
      </c>
      <c r="C45" s="245">
        <v>180</v>
      </c>
    </row>
    <row r="46" spans="2:4" hidden="1" x14ac:dyDescent="0.25">
      <c r="B46" s="244" t="s">
        <v>97</v>
      </c>
      <c r="C46" s="245">
        <v>180</v>
      </c>
    </row>
    <row r="47" spans="2:4" hidden="1" x14ac:dyDescent="0.25">
      <c r="B47" s="244" t="s">
        <v>98</v>
      </c>
      <c r="C47" s="245">
        <v>3</v>
      </c>
    </row>
    <row r="48" spans="2:4" ht="31.5" hidden="1" x14ac:dyDescent="0.25">
      <c r="B48" s="244" t="s">
        <v>99</v>
      </c>
      <c r="C48" s="245">
        <v>1.1000000000000001</v>
      </c>
    </row>
    <row r="49" spans="2:4" ht="31.5" x14ac:dyDescent="0.25">
      <c r="B49" s="26" t="s">
        <v>100</v>
      </c>
      <c r="C49" s="239">
        <v>0.05</v>
      </c>
      <c r="D49" s="247" t="s">
        <v>101</v>
      </c>
    </row>
    <row r="51" spans="2:4" x14ac:dyDescent="0.25">
      <c r="B51" s="475" t="s">
        <v>69</v>
      </c>
      <c r="C51" s="476"/>
    </row>
    <row r="52" spans="2:4" ht="31.5" x14ac:dyDescent="0.25">
      <c r="B52" s="236" t="s">
        <v>102</v>
      </c>
      <c r="C52" s="38" t="s">
        <v>79</v>
      </c>
    </row>
    <row r="53" spans="2:4" ht="36.75" customHeight="1" x14ac:dyDescent="0.25">
      <c r="B53" s="26">
        <v>1</v>
      </c>
      <c r="C53" s="5">
        <v>3</v>
      </c>
    </row>
    <row r="54" spans="2:4" ht="36.75" customHeight="1" x14ac:dyDescent="0.25">
      <c r="B54" s="26">
        <v>20</v>
      </c>
      <c r="C54" s="5">
        <v>4</v>
      </c>
    </row>
    <row r="55" spans="2:4" ht="36.75" customHeight="1" x14ac:dyDescent="0.25">
      <c r="B55" s="26">
        <v>50</v>
      </c>
      <c r="C55" s="5">
        <v>5</v>
      </c>
    </row>
    <row r="56" spans="2:4" ht="31.5" x14ac:dyDescent="0.25">
      <c r="B56" s="236" t="s">
        <v>100</v>
      </c>
      <c r="C56" s="239">
        <v>0.05</v>
      </c>
      <c r="D56" s="247" t="s">
        <v>101</v>
      </c>
    </row>
    <row r="58" spans="2:4" ht="31.5" x14ac:dyDescent="0.25">
      <c r="B58" s="236" t="s">
        <v>103</v>
      </c>
      <c r="C58" s="236" t="s">
        <v>104</v>
      </c>
    </row>
    <row r="59" spans="2:4" x14ac:dyDescent="0.25">
      <c r="B59" s="26" t="s">
        <v>105</v>
      </c>
      <c r="C59" s="5">
        <v>1</v>
      </c>
    </row>
    <row r="60" spans="2:4" x14ac:dyDescent="0.25">
      <c r="B60" s="26" t="s">
        <v>106</v>
      </c>
      <c r="C60" s="5">
        <v>1.1000000000000001</v>
      </c>
    </row>
    <row r="61" spans="2:4" x14ac:dyDescent="0.25">
      <c r="B61" s="26" t="s">
        <v>107</v>
      </c>
      <c r="C61" s="5">
        <v>1.2</v>
      </c>
    </row>
    <row r="62" spans="2:4" x14ac:dyDescent="0.25">
      <c r="B62" s="42"/>
      <c r="C62" s="42"/>
    </row>
    <row r="63" spans="2:4" hidden="1" x14ac:dyDescent="0.25">
      <c r="B63" s="21"/>
      <c r="C63" s="42"/>
    </row>
    <row r="64" spans="2:4" ht="31.5" hidden="1" customHeight="1" x14ac:dyDescent="0.25">
      <c r="B64" s="475" t="s">
        <v>108</v>
      </c>
      <c r="C64" s="476"/>
    </row>
    <row r="65" spans="2:3" ht="63" hidden="1" x14ac:dyDescent="0.25">
      <c r="B65" s="26" t="s">
        <v>109</v>
      </c>
      <c r="C65" s="5">
        <v>2</v>
      </c>
    </row>
    <row r="66" spans="2:3" hidden="1" x14ac:dyDescent="0.25"/>
    <row r="67" spans="2:3" hidden="1" x14ac:dyDescent="0.25"/>
    <row r="68" spans="2:3" hidden="1" x14ac:dyDescent="0.25">
      <c r="B68" s="475" t="s">
        <v>110</v>
      </c>
      <c r="C68" s="476"/>
    </row>
    <row r="69" spans="2:3" ht="94.5" hidden="1" x14ac:dyDescent="0.25">
      <c r="B69" s="26" t="s">
        <v>111</v>
      </c>
      <c r="C69" s="248">
        <v>2</v>
      </c>
    </row>
    <row r="70" spans="2:3" hidden="1" x14ac:dyDescent="0.25"/>
    <row r="72" spans="2:3" x14ac:dyDescent="0.25">
      <c r="B72" s="475" t="s">
        <v>112</v>
      </c>
      <c r="C72" s="476"/>
    </row>
    <row r="73" spans="2:3" x14ac:dyDescent="0.25">
      <c r="B73" s="236" t="s">
        <v>65</v>
      </c>
      <c r="C73" s="38" t="s">
        <v>66</v>
      </c>
    </row>
    <row r="74" spans="2:3" x14ac:dyDescent="0.25">
      <c r="B74" s="26" t="s">
        <v>113</v>
      </c>
      <c r="C74" s="239">
        <v>0.3</v>
      </c>
    </row>
    <row r="75" spans="2:3" x14ac:dyDescent="0.25">
      <c r="B75" s="26" t="s">
        <v>114</v>
      </c>
      <c r="C75" s="239">
        <v>0.3</v>
      </c>
    </row>
    <row r="76" spans="2:3" ht="31.5" x14ac:dyDescent="0.25">
      <c r="B76" s="26" t="s">
        <v>115</v>
      </c>
      <c r="C76" s="239">
        <v>0.4</v>
      </c>
    </row>
    <row r="79" spans="2:3" x14ac:dyDescent="0.25">
      <c r="B79" s="236" t="s">
        <v>116</v>
      </c>
      <c r="C79" s="38" t="s">
        <v>79</v>
      </c>
    </row>
    <row r="80" spans="2:3" x14ac:dyDescent="0.25">
      <c r="B80" s="26" t="s">
        <v>117</v>
      </c>
      <c r="C80" s="249">
        <v>4</v>
      </c>
    </row>
    <row r="81" spans="2:3" x14ac:dyDescent="0.25">
      <c r="B81" s="26" t="s">
        <v>118</v>
      </c>
      <c r="C81" s="249">
        <v>8</v>
      </c>
    </row>
    <row r="82" spans="2:3" x14ac:dyDescent="0.25">
      <c r="B82" s="26" t="s">
        <v>119</v>
      </c>
      <c r="C82" s="249">
        <v>12</v>
      </c>
    </row>
    <row r="83" spans="2:3" x14ac:dyDescent="0.25">
      <c r="B83" s="26" t="s">
        <v>120</v>
      </c>
      <c r="C83" s="249">
        <v>16</v>
      </c>
    </row>
    <row r="86" spans="2:3" ht="31.5" x14ac:dyDescent="0.25">
      <c r="B86" s="236" t="s">
        <v>121</v>
      </c>
      <c r="C86" s="38" t="s">
        <v>79</v>
      </c>
    </row>
    <row r="87" spans="2:3" x14ac:dyDescent="0.25">
      <c r="B87" s="26">
        <v>12</v>
      </c>
      <c r="C87" s="249">
        <v>5</v>
      </c>
    </row>
    <row r="88" spans="2:3" x14ac:dyDescent="0.25">
      <c r="B88" s="26">
        <v>30</v>
      </c>
      <c r="C88" s="249">
        <v>10</v>
      </c>
    </row>
    <row r="89" spans="2:3" x14ac:dyDescent="0.25">
      <c r="B89" s="26">
        <v>60</v>
      </c>
      <c r="C89" s="249">
        <v>15</v>
      </c>
    </row>
    <row r="90" spans="2:3" x14ac:dyDescent="0.25">
      <c r="B90" s="250"/>
    </row>
    <row r="91" spans="2:3" ht="63" x14ac:dyDescent="0.25">
      <c r="B91" s="236" t="s">
        <v>122</v>
      </c>
      <c r="C91" s="249">
        <v>1.1000000000000001</v>
      </c>
    </row>
    <row r="92" spans="2:3" x14ac:dyDescent="0.25">
      <c r="C92" s="251"/>
    </row>
    <row r="93" spans="2:3" ht="47.25" x14ac:dyDescent="0.25">
      <c r="B93" s="236" t="s">
        <v>123</v>
      </c>
      <c r="C93" s="249">
        <v>60</v>
      </c>
    </row>
    <row r="94" spans="2:3" x14ac:dyDescent="0.25">
      <c r="C94" s="251"/>
    </row>
    <row r="96" spans="2:3" x14ac:dyDescent="0.25">
      <c r="B96" s="475" t="s">
        <v>124</v>
      </c>
      <c r="C96" s="476"/>
    </row>
    <row r="97" spans="2:3" ht="31.5" x14ac:dyDescent="0.25">
      <c r="B97" s="236" t="s">
        <v>125</v>
      </c>
      <c r="C97" s="38" t="s">
        <v>79</v>
      </c>
    </row>
    <row r="98" spans="2:3" x14ac:dyDescent="0.25">
      <c r="B98" s="26">
        <v>150</v>
      </c>
      <c r="C98" s="5">
        <v>1</v>
      </c>
    </row>
    <row r="99" spans="2:3" x14ac:dyDescent="0.25">
      <c r="B99" s="26">
        <v>300</v>
      </c>
      <c r="C99" s="5">
        <v>2</v>
      </c>
    </row>
    <row r="100" spans="2:3" x14ac:dyDescent="0.25">
      <c r="B100" s="21"/>
      <c r="C100" s="42"/>
    </row>
    <row r="101" spans="2:3" x14ac:dyDescent="0.25">
      <c r="B101" s="475" t="s">
        <v>126</v>
      </c>
      <c r="C101" s="476"/>
    </row>
    <row r="102" spans="2:3" ht="63" x14ac:dyDescent="0.25">
      <c r="B102" s="236" t="s">
        <v>127</v>
      </c>
      <c r="C102" s="38" t="s">
        <v>79</v>
      </c>
    </row>
    <row r="103" spans="2:3" x14ac:dyDescent="0.25">
      <c r="B103" s="26" t="s">
        <v>128</v>
      </c>
      <c r="C103" s="5">
        <v>1</v>
      </c>
    </row>
    <row r="104" spans="2:3" x14ac:dyDescent="0.25">
      <c r="B104" s="26" t="s">
        <v>129</v>
      </c>
      <c r="C104" s="5">
        <v>2</v>
      </c>
    </row>
    <row r="105" spans="2:3" x14ac:dyDescent="0.25">
      <c r="B105" s="21"/>
      <c r="C105" s="42"/>
    </row>
    <row r="106" spans="2:3" hidden="1" x14ac:dyDescent="0.25"/>
    <row r="107" spans="2:3" hidden="1" x14ac:dyDescent="0.25">
      <c r="B107" s="475" t="s">
        <v>130</v>
      </c>
      <c r="C107" s="476"/>
    </row>
    <row r="108" spans="2:3" ht="31.5" hidden="1" x14ac:dyDescent="0.25">
      <c r="B108" s="236" t="s">
        <v>131</v>
      </c>
      <c r="C108" s="38" t="s">
        <v>79</v>
      </c>
    </row>
    <row r="109" spans="2:3" hidden="1" x14ac:dyDescent="0.25">
      <c r="B109" s="252">
        <v>0.15</v>
      </c>
      <c r="C109" s="5">
        <v>1</v>
      </c>
    </row>
    <row r="110" spans="2:3" hidden="1" x14ac:dyDescent="0.25">
      <c r="B110" s="252">
        <v>0.1</v>
      </c>
      <c r="C110" s="5">
        <v>2</v>
      </c>
    </row>
    <row r="111" spans="2:3" hidden="1" x14ac:dyDescent="0.25">
      <c r="B111" s="252">
        <v>0.05</v>
      </c>
      <c r="C111" s="5">
        <v>3</v>
      </c>
    </row>
    <row r="112" spans="2:3" hidden="1" x14ac:dyDescent="0.25"/>
    <row r="114" spans="2:4" x14ac:dyDescent="0.25">
      <c r="B114" s="477" t="s">
        <v>132</v>
      </c>
      <c r="C114" s="478"/>
    </row>
    <row r="115" spans="2:4" ht="31.5" x14ac:dyDescent="0.25">
      <c r="B115" s="26" t="s">
        <v>133</v>
      </c>
      <c r="C115" s="253">
        <v>0</v>
      </c>
    </row>
    <row r="116" spans="2:4" ht="31.5" x14ac:dyDescent="0.25">
      <c r="B116" s="26" t="s">
        <v>134</v>
      </c>
      <c r="C116" s="253">
        <v>0.2</v>
      </c>
    </row>
    <row r="117" spans="2:4" ht="47.25" x14ac:dyDescent="0.25">
      <c r="B117" s="26" t="s">
        <v>135</v>
      </c>
      <c r="C117" s="254">
        <v>500000</v>
      </c>
    </row>
    <row r="118" spans="2:4" ht="31.5" x14ac:dyDescent="0.25">
      <c r="B118" s="26" t="s">
        <v>136</v>
      </c>
      <c r="C118" s="253">
        <v>0.03</v>
      </c>
    </row>
    <row r="121" spans="2:4" x14ac:dyDescent="0.25">
      <c r="B121" s="477" t="s">
        <v>137</v>
      </c>
      <c r="C121" s="478"/>
    </row>
    <row r="122" spans="2:4" ht="31.5" x14ac:dyDescent="0.25">
      <c r="B122" s="26" t="s">
        <v>138</v>
      </c>
      <c r="C122" s="253">
        <v>0.15</v>
      </c>
    </row>
    <row r="123" spans="2:4" ht="31.5" x14ac:dyDescent="0.25">
      <c r="B123" s="26" t="s">
        <v>139</v>
      </c>
      <c r="C123" s="253">
        <v>0.25</v>
      </c>
    </row>
    <row r="124" spans="2:4" ht="44.25" customHeight="1" x14ac:dyDescent="0.25">
      <c r="B124" s="479" t="s">
        <v>140</v>
      </c>
      <c r="C124" s="480"/>
    </row>
    <row r="127" spans="2:4" hidden="1" x14ac:dyDescent="0.25">
      <c r="B127" s="477" t="s">
        <v>141</v>
      </c>
      <c r="C127" s="478"/>
    </row>
    <row r="128" spans="2:4" ht="31.5" hidden="1" x14ac:dyDescent="0.25">
      <c r="B128" s="26" t="s">
        <v>142</v>
      </c>
      <c r="C128" s="24" t="s">
        <v>143</v>
      </c>
      <c r="D128" s="237">
        <v>2016</v>
      </c>
    </row>
    <row r="129" spans="2:4" hidden="1" x14ac:dyDescent="0.25">
      <c r="B129" s="26">
        <f>C3</f>
        <v>2025</v>
      </c>
      <c r="C129" s="253">
        <v>0</v>
      </c>
      <c r="D129" s="255">
        <v>0</v>
      </c>
    </row>
    <row r="130" spans="2:4" hidden="1" x14ac:dyDescent="0.25"/>
    <row r="131" spans="2:4" hidden="1" x14ac:dyDescent="0.25"/>
    <row r="132" spans="2:4" hidden="1" x14ac:dyDescent="0.25"/>
  </sheetData>
  <sheetProtection algorithmName="SHA-512" hashValue="sjJJYrO8BxOVh9oR81mOIobcnt1/RvODDypVsCQFZENkGGRyek2x6zRj4D+2ysku+15MN9bKtR5J54h+hHcUIg==" saltValue="jUHxZRNHFuNqU8lYd3CtHg==" spinCount="100000" sheet="1" scenarios="1" formatColumns="0" formatRows="0" autoFilter="0"/>
  <mergeCells count="17">
    <mergeCell ref="B2:C2"/>
    <mergeCell ref="B10:C10"/>
    <mergeCell ref="B68:C68"/>
    <mergeCell ref="B72:C72"/>
    <mergeCell ref="B44:C44"/>
    <mergeCell ref="B20:C20"/>
    <mergeCell ref="B27:C27"/>
    <mergeCell ref="B51:C51"/>
    <mergeCell ref="B64:C64"/>
    <mergeCell ref="B38:C38"/>
    <mergeCell ref="B96:C96"/>
    <mergeCell ref="B107:C107"/>
    <mergeCell ref="B101:C101"/>
    <mergeCell ref="B127:C127"/>
    <mergeCell ref="B114:C114"/>
    <mergeCell ref="B121:C121"/>
    <mergeCell ref="B124:C124"/>
  </mergeCells>
  <dataValidations count="1">
    <dataValidation type="whole" operator="greaterThanOrEqual" allowBlank="1" showInputMessage="1" showErrorMessage="1" sqref="C3" xr:uid="{00000000-0002-0000-0300-000000000000}">
      <formula1>2019</formula1>
    </dataValidation>
  </dataValidations>
  <pageMargins left="0.70866141732283472" right="0.70866141732283472" top="0.74803149606299213" bottom="0.74803149606299213" header="0.31496062992125984" footer="0.31496062992125984"/>
  <pageSetup paperSize="9" scale="36" orientation="portrait" r:id="rId1"/>
  <headerFooter>
    <oddFooter>&amp;C&amp;"David,מודגש"א. חפץ ושות'
ייעוץ כלכלי</oddFooter>
  </headerFooter>
  <rowBreaks count="2" manualBreakCount="2">
    <brk id="48" max="6" man="1"/>
    <brk id="84"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1"/>
  </sheetPr>
  <dimension ref="A3:E18"/>
  <sheetViews>
    <sheetView rightToLeft="1" workbookViewId="0">
      <selection activeCell="D14" sqref="D14"/>
    </sheetView>
  </sheetViews>
  <sheetFormatPr defaultColWidth="9" defaultRowHeight="15.75" x14ac:dyDescent="0.25"/>
  <cols>
    <col min="1" max="1" width="7.140625" customWidth="1"/>
    <col min="2" max="2" width="17.140625" bestFit="1" customWidth="1"/>
    <col min="3" max="3" width="14.5703125" bestFit="1" customWidth="1"/>
    <col min="4" max="4" width="17.140625" bestFit="1" customWidth="1"/>
    <col min="5" max="5" width="14.5703125" bestFit="1" customWidth="1"/>
  </cols>
  <sheetData>
    <row r="3" spans="1:5" x14ac:dyDescent="0.25">
      <c r="D3" t="s">
        <v>306</v>
      </c>
    </row>
    <row r="4" spans="1:5" x14ac:dyDescent="0.25">
      <c r="B4" t="s">
        <v>307</v>
      </c>
      <c r="C4" t="s">
        <v>308</v>
      </c>
      <c r="D4" t="s">
        <v>307</v>
      </c>
      <c r="E4" t="s">
        <v>308</v>
      </c>
    </row>
    <row r="5" spans="1:5" x14ac:dyDescent="0.25">
      <c r="A5">
        <v>2017</v>
      </c>
      <c r="B5" s="224">
        <f>DATE(A5-2,10,1)</f>
        <v>42278</v>
      </c>
      <c r="C5" s="224">
        <f>DATE(A5-1,9,30)</f>
        <v>42643</v>
      </c>
      <c r="D5" s="224">
        <f t="shared" ref="D5:D8" si="0">DATE($A5-2,1,1)</f>
        <v>42005</v>
      </c>
      <c r="E5" s="224">
        <f t="shared" ref="E5:E8" si="1">DATE($A5-2,12,31)</f>
        <v>42369</v>
      </c>
    </row>
    <row r="6" spans="1:5" x14ac:dyDescent="0.25">
      <c r="A6">
        <v>2018</v>
      </c>
      <c r="B6" s="224">
        <f>DATE(2015,10,1)</f>
        <v>42278</v>
      </c>
      <c r="C6" s="224">
        <f>DATE(2016,9,30)</f>
        <v>42643</v>
      </c>
      <c r="D6" s="224">
        <f t="shared" si="0"/>
        <v>42370</v>
      </c>
      <c r="E6" s="224">
        <f t="shared" si="1"/>
        <v>42735</v>
      </c>
    </row>
    <row r="7" spans="1:5" x14ac:dyDescent="0.25">
      <c r="A7">
        <v>2019</v>
      </c>
      <c r="B7" s="224">
        <f>DATE(2016,10,1)</f>
        <v>42644</v>
      </c>
      <c r="C7" s="224">
        <f>DATE(2017,12,31)</f>
        <v>43100</v>
      </c>
      <c r="D7" s="224">
        <f t="shared" si="0"/>
        <v>42736</v>
      </c>
      <c r="E7" s="224">
        <f t="shared" si="1"/>
        <v>43100</v>
      </c>
    </row>
    <row r="8" spans="1:5" x14ac:dyDescent="0.25">
      <c r="A8">
        <v>2020</v>
      </c>
      <c r="B8" s="224">
        <f>DATE(A8-2,1,1)</f>
        <v>43101</v>
      </c>
      <c r="C8" s="224">
        <f>DATE(A8-2,12,31)</f>
        <v>43465</v>
      </c>
      <c r="D8" s="224">
        <f t="shared" si="0"/>
        <v>43101</v>
      </c>
      <c r="E8" s="224">
        <f t="shared" si="1"/>
        <v>43465</v>
      </c>
    </row>
    <row r="9" spans="1:5" x14ac:dyDescent="0.25">
      <c r="A9">
        <v>2021</v>
      </c>
      <c r="B9" s="224">
        <f>DATE(A9-3,1,1)</f>
        <v>43101</v>
      </c>
      <c r="C9" s="224">
        <f>DATE(A9-3,12,31)</f>
        <v>43465</v>
      </c>
      <c r="D9" s="224">
        <f>DATE($A9-3,1,1)</f>
        <v>43101</v>
      </c>
      <c r="E9" s="224">
        <f>DATE($A9-3,12,31)</f>
        <v>43465</v>
      </c>
    </row>
    <row r="10" spans="1:5" x14ac:dyDescent="0.25">
      <c r="A10">
        <v>2022</v>
      </c>
      <c r="B10" s="224">
        <f t="shared" ref="B10:B18" si="2">DATE(A10-3,1,1)</f>
        <v>43466</v>
      </c>
      <c r="C10" s="224">
        <f t="shared" ref="C10:C18" si="3">DATE(A10-3,12,31)</f>
        <v>43830</v>
      </c>
      <c r="D10" s="224">
        <f t="shared" ref="D10:D18" si="4">DATE($A10-3,1,1)</f>
        <v>43466</v>
      </c>
      <c r="E10" s="224">
        <f t="shared" ref="E10:E18" si="5">DATE($A10-3,12,31)</f>
        <v>43830</v>
      </c>
    </row>
    <row r="11" spans="1:5" x14ac:dyDescent="0.25">
      <c r="A11">
        <v>2023</v>
      </c>
      <c r="B11" s="224">
        <f t="shared" si="2"/>
        <v>43831</v>
      </c>
      <c r="C11" s="224">
        <f t="shared" si="3"/>
        <v>44196</v>
      </c>
      <c r="D11" s="224">
        <f t="shared" si="4"/>
        <v>43831</v>
      </c>
      <c r="E11" s="224">
        <f t="shared" si="5"/>
        <v>44196</v>
      </c>
    </row>
    <row r="12" spans="1:5" x14ac:dyDescent="0.25">
      <c r="A12">
        <v>2024</v>
      </c>
      <c r="B12" s="224">
        <f t="shared" si="2"/>
        <v>44197</v>
      </c>
      <c r="C12" s="224">
        <f t="shared" si="3"/>
        <v>44561</v>
      </c>
      <c r="D12" s="224">
        <f t="shared" si="4"/>
        <v>44197</v>
      </c>
      <c r="E12" s="224">
        <f t="shared" si="5"/>
        <v>44561</v>
      </c>
    </row>
    <row r="13" spans="1:5" x14ac:dyDescent="0.25">
      <c r="A13">
        <v>2025</v>
      </c>
      <c r="B13" s="224">
        <v>44835</v>
      </c>
      <c r="C13" s="224">
        <v>45199</v>
      </c>
      <c r="D13" s="224">
        <f t="shared" si="4"/>
        <v>44562</v>
      </c>
      <c r="E13" s="224">
        <f t="shared" si="5"/>
        <v>44926</v>
      </c>
    </row>
    <row r="14" spans="1:5" x14ac:dyDescent="0.25">
      <c r="A14">
        <v>2026</v>
      </c>
      <c r="B14" s="224">
        <f t="shared" si="2"/>
        <v>44927</v>
      </c>
      <c r="C14" s="224">
        <f t="shared" si="3"/>
        <v>45291</v>
      </c>
      <c r="D14" s="224">
        <f t="shared" si="4"/>
        <v>44927</v>
      </c>
      <c r="E14" s="224">
        <f t="shared" si="5"/>
        <v>45291</v>
      </c>
    </row>
    <row r="15" spans="1:5" x14ac:dyDescent="0.25">
      <c r="A15">
        <v>2027</v>
      </c>
      <c r="B15" s="224">
        <f t="shared" si="2"/>
        <v>45292</v>
      </c>
      <c r="C15" s="224">
        <f t="shared" si="3"/>
        <v>45657</v>
      </c>
      <c r="D15" s="224">
        <f t="shared" si="4"/>
        <v>45292</v>
      </c>
      <c r="E15" s="224">
        <f t="shared" si="5"/>
        <v>45657</v>
      </c>
    </row>
    <row r="16" spans="1:5" x14ac:dyDescent="0.25">
      <c r="A16">
        <v>2028</v>
      </c>
      <c r="B16" s="224">
        <f t="shared" si="2"/>
        <v>45658</v>
      </c>
      <c r="C16" s="224">
        <f t="shared" si="3"/>
        <v>46022</v>
      </c>
      <c r="D16" s="224">
        <f t="shared" si="4"/>
        <v>45658</v>
      </c>
      <c r="E16" s="224">
        <f t="shared" si="5"/>
        <v>46022</v>
      </c>
    </row>
    <row r="17" spans="1:5" x14ac:dyDescent="0.25">
      <c r="A17">
        <v>2029</v>
      </c>
      <c r="B17" s="224">
        <f t="shared" si="2"/>
        <v>46023</v>
      </c>
      <c r="C17" s="224">
        <f t="shared" si="3"/>
        <v>46387</v>
      </c>
      <c r="D17" s="224">
        <f t="shared" si="4"/>
        <v>46023</v>
      </c>
      <c r="E17" s="224">
        <f t="shared" si="5"/>
        <v>46387</v>
      </c>
    </row>
    <row r="18" spans="1:5" x14ac:dyDescent="0.25">
      <c r="A18">
        <v>2030</v>
      </c>
      <c r="B18" s="224">
        <f t="shared" si="2"/>
        <v>46388</v>
      </c>
      <c r="C18" s="224">
        <f t="shared" si="3"/>
        <v>46752</v>
      </c>
      <c r="D18" s="224">
        <f t="shared" si="4"/>
        <v>46388</v>
      </c>
      <c r="E18" s="224">
        <f t="shared" si="5"/>
        <v>46752</v>
      </c>
    </row>
  </sheetData>
  <sheetProtection algorithmName="SHA-512" hashValue="ZZXWF3nYQ1H8yumPw2ZVXIOywb3D6l599QubSyNiWpDIeRy2zsw8KKHkIzNzVZqpS5rJ0kBeKmI5t9mUFahu9w==" saltValue="RjPUQFzViQiltC2Bw2KIxg==" spinCount="100000" sheet="1" scenarios="1" formatColumns="0" formatRows="0" autoFilter="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גיליון3">
    <tabColor theme="5" tint="0.79998168889431442"/>
  </sheetPr>
  <dimension ref="A2:BL78"/>
  <sheetViews>
    <sheetView rightToLeft="1" view="pageBreakPreview" zoomScaleNormal="80" zoomScaleSheetLayoutView="100" workbookViewId="0">
      <pane xSplit="4" ySplit="16" topLeftCell="E17" activePane="bottomRight" state="frozen"/>
      <selection pane="topRight" activeCell="M88" sqref="M88"/>
      <selection pane="bottomLeft" activeCell="M88" sqref="M88"/>
      <selection pane="bottomRight" activeCell="E17" sqref="E17"/>
    </sheetView>
  </sheetViews>
  <sheetFormatPr defaultColWidth="9.140625" defaultRowHeight="15.75" x14ac:dyDescent="0.25"/>
  <cols>
    <col min="1" max="1" width="10.85546875" bestFit="1" customWidth="1"/>
    <col min="2" max="2" width="31.85546875" hidden="1" customWidth="1"/>
    <col min="3" max="3" width="12.85546875" bestFit="1" customWidth="1"/>
    <col min="4" max="4" width="30.85546875" bestFit="1" customWidth="1"/>
    <col min="5" max="5" width="11" customWidth="1"/>
    <col min="6" max="6" width="13.42578125" bestFit="1" customWidth="1"/>
    <col min="7" max="7" width="20.5703125" customWidth="1"/>
    <col min="8" max="8" width="13.85546875" bestFit="1" customWidth="1"/>
    <col min="9" max="9" width="21.85546875" customWidth="1"/>
    <col min="10" max="10" width="13.140625" bestFit="1" customWidth="1"/>
    <col min="11" max="11" width="14.42578125" bestFit="1" customWidth="1"/>
    <col min="12" max="12" width="16.140625" bestFit="1" customWidth="1"/>
    <col min="13" max="13" width="16.140625" customWidth="1"/>
    <col min="14" max="14" width="19.85546875" customWidth="1"/>
    <col min="15" max="15" width="15.85546875" customWidth="1"/>
    <col min="16" max="16" width="14.140625" bestFit="1" customWidth="1"/>
    <col min="17" max="17" width="10.5703125" bestFit="1" customWidth="1"/>
    <col min="18" max="18" width="13.42578125" bestFit="1" customWidth="1"/>
    <col min="19" max="19" width="13.85546875" bestFit="1" customWidth="1"/>
    <col min="20" max="20" width="11" bestFit="1" customWidth="1"/>
    <col min="21" max="21" width="14.85546875" customWidth="1"/>
    <col min="22" max="22" width="18.85546875" bestFit="1" customWidth="1"/>
    <col min="23" max="23" width="18.85546875" customWidth="1"/>
    <col min="24" max="24" width="17.85546875" customWidth="1"/>
    <col min="25" max="26" width="13" bestFit="1" customWidth="1"/>
    <col min="27" max="27" width="28.85546875" customWidth="1"/>
    <col min="28" max="28" width="11.140625" hidden="1" customWidth="1"/>
    <col min="29" max="29" width="5.85546875" hidden="1" customWidth="1"/>
    <col min="30" max="30" width="7.28515625" hidden="1" customWidth="1"/>
    <col min="31" max="31" width="7.85546875" hidden="1" customWidth="1"/>
    <col min="32" max="32" width="13.5703125" hidden="1" customWidth="1"/>
    <col min="33" max="33" width="3" hidden="1" customWidth="1"/>
    <col min="34" max="34" width="3.7109375" hidden="1" customWidth="1"/>
    <col min="35" max="35" width="6.7109375" hidden="1" customWidth="1"/>
    <col min="36" max="36" width="5.7109375" hidden="1" customWidth="1"/>
    <col min="37" max="37" width="10.85546875" hidden="1" customWidth="1"/>
    <col min="38" max="38" width="10" hidden="1" customWidth="1"/>
    <col min="39" max="39" width="11.28515625" hidden="1" customWidth="1"/>
    <col min="40" max="40" width="10.85546875" hidden="1" customWidth="1"/>
    <col min="41" max="41" width="11.42578125" hidden="1" customWidth="1"/>
    <col min="42" max="42" width="10.7109375" hidden="1" customWidth="1"/>
    <col min="43" max="43" width="8.140625" hidden="1" customWidth="1"/>
    <col min="44" max="44" width="28.5703125" hidden="1" customWidth="1"/>
    <col min="45" max="45" width="7.85546875" hidden="1" customWidth="1"/>
    <col min="46" max="46" width="28.5703125" hidden="1" customWidth="1"/>
    <col min="47" max="47" width="8.7109375" hidden="1" customWidth="1"/>
    <col min="48" max="48" width="14.42578125" hidden="1" customWidth="1"/>
    <col min="49" max="49" width="13.140625" hidden="1" customWidth="1"/>
    <col min="50" max="50" width="17.42578125" hidden="1" customWidth="1"/>
    <col min="51" max="51" width="10.140625" hidden="1" customWidth="1"/>
    <col min="52" max="52" width="16.7109375" hidden="1" customWidth="1"/>
    <col min="53" max="53" width="8.42578125" hidden="1" customWidth="1"/>
    <col min="54" max="54" width="9.85546875" hidden="1" customWidth="1"/>
    <col min="55" max="55" width="11.28515625" hidden="1" customWidth="1"/>
    <col min="56" max="56" width="6.7109375" hidden="1" customWidth="1"/>
    <col min="57" max="57" width="9.28515625" hidden="1" customWidth="1"/>
    <col min="58" max="59" width="10.85546875" hidden="1" customWidth="1"/>
    <col min="60" max="60" width="23.140625" hidden="1" customWidth="1"/>
    <col min="61" max="61" width="9.28515625" hidden="1" customWidth="1"/>
    <col min="62" max="62" width="15.5703125" hidden="1" customWidth="1"/>
    <col min="63" max="63" width="15.140625" hidden="1" customWidth="1"/>
    <col min="64" max="64" width="27.85546875" hidden="1" customWidth="1"/>
  </cols>
  <sheetData>
    <row r="2" spans="2:64" hidden="1" x14ac:dyDescent="0.25"/>
    <row r="3" spans="2:64" hidden="1" x14ac:dyDescent="0.25"/>
    <row r="4" spans="2:64" hidden="1" x14ac:dyDescent="0.25"/>
    <row r="5" spans="2:64" hidden="1" x14ac:dyDescent="0.25"/>
    <row r="6" spans="2:64" hidden="1" x14ac:dyDescent="0.25"/>
    <row r="7" spans="2:64" hidden="1" x14ac:dyDescent="0.25"/>
    <row r="8" spans="2:64" hidden="1" x14ac:dyDescent="0.25"/>
    <row r="9" spans="2:64" hidden="1" x14ac:dyDescent="0.25"/>
    <row r="10" spans="2:64" hidden="1" x14ac:dyDescent="0.25"/>
    <row r="11" spans="2:64" hidden="1" x14ac:dyDescent="0.25"/>
    <row r="12" spans="2:64" hidden="1" x14ac:dyDescent="0.25"/>
    <row r="13" spans="2:64" hidden="1" x14ac:dyDescent="0.25"/>
    <row r="14" spans="2:64" x14ac:dyDescent="0.25">
      <c r="AP14" s="13" t="s">
        <v>144</v>
      </c>
    </row>
    <row r="15" spans="2:64" ht="15.75" customHeight="1" x14ac:dyDescent="0.25">
      <c r="C15" s="489" t="s">
        <v>145</v>
      </c>
      <c r="D15" s="489" t="s">
        <v>146</v>
      </c>
      <c r="E15" s="495" t="s">
        <v>67</v>
      </c>
      <c r="F15" s="496"/>
      <c r="G15" s="496"/>
      <c r="H15" s="496"/>
      <c r="I15" s="496"/>
      <c r="J15" s="496"/>
      <c r="K15" s="497"/>
      <c r="L15" s="497"/>
      <c r="M15" s="497"/>
      <c r="N15" s="498"/>
      <c r="O15" s="300" t="s">
        <v>68</v>
      </c>
      <c r="P15" s="501" t="s">
        <v>69</v>
      </c>
      <c r="Q15" s="502"/>
      <c r="R15" s="499" t="s">
        <v>112</v>
      </c>
      <c r="S15" s="503"/>
      <c r="T15" s="503"/>
      <c r="U15" s="503"/>
      <c r="V15" s="503"/>
      <c r="W15" s="500"/>
      <c r="X15" s="301" t="s">
        <v>124</v>
      </c>
      <c r="Y15" s="499" t="s">
        <v>72</v>
      </c>
      <c r="Z15" s="500"/>
      <c r="AA15" s="302" t="str">
        <f>פרמטרים!B101</f>
        <v>תיעוד ושימור החומר הארכיונאי</v>
      </c>
      <c r="AG15" s="491"/>
      <c r="AH15" s="492"/>
      <c r="AI15" s="491" t="s">
        <v>147</v>
      </c>
      <c r="AJ15" s="491"/>
      <c r="AK15" s="492"/>
      <c r="AL15" s="42"/>
      <c r="AM15" s="42"/>
      <c r="AN15" s="42"/>
      <c r="AO15" s="42"/>
      <c r="AP15" s="493" t="str">
        <f>E15</f>
        <v>ארועים</v>
      </c>
      <c r="AQ15" s="485"/>
      <c r="AR15" s="485"/>
      <c r="AS15" s="485"/>
      <c r="AT15" s="485"/>
      <c r="AU15" s="485"/>
      <c r="AV15" s="494"/>
      <c r="AW15" s="494"/>
      <c r="AX15" s="494"/>
      <c r="AY15" s="486"/>
      <c r="AZ15" s="54"/>
      <c r="BA15" s="485"/>
      <c r="BB15" s="486"/>
      <c r="BC15" s="477" t="str">
        <f>R15</f>
        <v>עלונים</v>
      </c>
      <c r="BD15" s="487"/>
      <c r="BE15" s="487"/>
      <c r="BF15" s="487"/>
      <c r="BG15" s="488"/>
      <c r="BH15" s="54"/>
      <c r="BI15" s="127" t="str">
        <f>X15</f>
        <v>ספרי עיון</v>
      </c>
    </row>
    <row r="16" spans="2:64" ht="63" customHeight="1" x14ac:dyDescent="0.25">
      <c r="B16" s="200"/>
      <c r="C16" s="490"/>
      <c r="D16" s="490"/>
      <c r="E16" s="303" t="s">
        <v>148</v>
      </c>
      <c r="F16" s="303" t="s">
        <v>149</v>
      </c>
      <c r="G16" s="303" t="s">
        <v>150</v>
      </c>
      <c r="H16" s="303" t="s">
        <v>151</v>
      </c>
      <c r="I16" s="303" t="s">
        <v>152</v>
      </c>
      <c r="J16" s="303" t="s">
        <v>153</v>
      </c>
      <c r="K16" s="303" t="s">
        <v>154</v>
      </c>
      <c r="L16" s="303" t="s">
        <v>155</v>
      </c>
      <c r="M16" s="303" t="s">
        <v>156</v>
      </c>
      <c r="N16" s="303" t="s">
        <v>85</v>
      </c>
      <c r="O16" s="303" t="s">
        <v>157</v>
      </c>
      <c r="P16" s="303" t="s">
        <v>158</v>
      </c>
      <c r="Q16" s="303" t="s">
        <v>159</v>
      </c>
      <c r="R16" s="303" t="s">
        <v>116</v>
      </c>
      <c r="S16" s="303" t="s">
        <v>160</v>
      </c>
      <c r="T16" s="303" t="s">
        <v>161</v>
      </c>
      <c r="U16" s="303" t="s">
        <v>162</v>
      </c>
      <c r="V16" s="303" t="s">
        <v>163</v>
      </c>
      <c r="W16" s="303" t="str">
        <f>'מרכז מורשת בבל'!M21</f>
        <v>המוסד הגיש בקשה לקבלת תמיכה במוסדות ציבור- כתבי עת</v>
      </c>
      <c r="X16" s="303" t="s">
        <v>164</v>
      </c>
      <c r="Y16" s="303" t="str">
        <f>'מרכז מורשת בבל'!I17</f>
        <v>ההכנסות העצמיות של המוסד בשנת ההערכה (₪)</v>
      </c>
      <c r="Z16" s="303" t="str">
        <f>'מרכז מורשת בבל'!I18</f>
        <v>סך ההכנסות של המוסד בשנת ההערכה (₪)</v>
      </c>
      <c r="AA16" s="303" t="str">
        <f>פרמטרים!B102</f>
        <v>היקף החומר הארכיוני בתחום המורשת אשר ברשותו הועלה לאתר האינטרנט של המוסד:</v>
      </c>
      <c r="AC16" s="55" t="str">
        <f t="array" ref="AC16:AF16">TRANSPOSE(פרמטרים!B29:B32)</f>
        <v>כינוס</v>
      </c>
      <c r="AD16" s="55" t="str">
        <v>הרצאה</v>
      </c>
      <c r="AE16" s="55" t="str">
        <v>יום עיון</v>
      </c>
      <c r="AF16" s="55" t="str">
        <v>הפקה מורכבת</v>
      </c>
      <c r="AG16" s="2" t="s">
        <v>31</v>
      </c>
      <c r="AH16" s="32" t="s">
        <v>32</v>
      </c>
      <c r="AI16" s="2" t="str">
        <f t="array" ref="AI16:AK16">TRANSPOSE(פרמטרים!B59:B61)</f>
        <v>נאותה</v>
      </c>
      <c r="AJ16" s="2" t="str">
        <v>טובה</v>
      </c>
      <c r="AK16" s="32" t="str">
        <v>טובה מאוד</v>
      </c>
      <c r="AL16" s="2" t="str">
        <f t="array" ref="AL16:AO16">TRANSPOSE(פרמטרים!B80:B83)</f>
        <v>אחד בשנה</v>
      </c>
      <c r="AM16" s="2" t="str">
        <v>שניים בשנה</v>
      </c>
      <c r="AN16" s="2" t="str">
        <v>שלוש בשנה</v>
      </c>
      <c r="AO16" s="2" t="str">
        <v>מעל 4 בשנה</v>
      </c>
      <c r="AP16" s="56" t="str">
        <f>E16</f>
        <v>מספר כינוסים</v>
      </c>
      <c r="AQ16" s="56" t="str">
        <f t="shared" ref="AQ16:BB16" si="0">F16</f>
        <v>מספר הרצאות</v>
      </c>
      <c r="AR16" s="56" t="str">
        <f t="shared" si="0"/>
        <v>מתוכם מספר הרצאות שנערכו על ידי מישהו בעל תואר שלישי בתחום בו ניתנה הפעילות:</v>
      </c>
      <c r="AS16" s="56" t="str">
        <f t="shared" si="0"/>
        <v>מספר ימי עיון</v>
      </c>
      <c r="AT16" s="56" t="str">
        <f t="shared" si="0"/>
        <v>מתוכם מספר ימי עיון שנערכו על ידי מישהו בעל תואר שלישי בתחום בו ניתנה הפעילות:</v>
      </c>
      <c r="AU16" s="56" t="str">
        <f t="shared" si="0"/>
        <v>מספר הפקות מורכבות</v>
      </c>
      <c r="AV16" s="56" t="str">
        <f t="shared" si="0"/>
        <v>מתוכם הפקות מורכבות שהם קופרודוקציה</v>
      </c>
      <c r="AW16" s="56" t="str">
        <f t="shared" si="0"/>
        <v>מספר הפקות מורכבות מקוריות</v>
      </c>
      <c r="AX16" s="56" t="str">
        <f t="shared" si="0"/>
        <v>מתוכם הפקות מורכבות מקוריות שהם קופרודוקציה</v>
      </c>
      <c r="AY16" s="56" t="str">
        <f t="shared" si="0"/>
        <v>ארוע רב משתתפים</v>
      </c>
      <c r="AZ16" s="56" t="str">
        <f t="shared" si="0"/>
        <v>ניקוד על תערוכות</v>
      </c>
      <c r="BA16" s="56" t="str">
        <f t="shared" si="0"/>
        <v>מספר דפים סטטיים</v>
      </c>
      <c r="BB16" s="56" t="str">
        <f t="shared" si="0"/>
        <v xml:space="preserve">איכות האתר </v>
      </c>
      <c r="BC16" s="56" t="str">
        <f>R16</f>
        <v>תדירות הוצאת העלון</v>
      </c>
      <c r="BD16" s="56" t="str">
        <f>S16</f>
        <v>מספר עמודי התוכן</v>
      </c>
      <c r="BE16" s="56" t="str">
        <f>T16</f>
        <v>היקף מוכח של תפוצה</v>
      </c>
      <c r="BF16" s="56" t="str">
        <f>U16</f>
        <v>האם יש גרסה אינטרנטית</v>
      </c>
      <c r="BG16" s="56" t="str">
        <f>V16</f>
        <v>האם מופץ ל-500 איש לפחות?</v>
      </c>
      <c r="BH16" s="56" t="str">
        <f>W16</f>
        <v>המוסד הגיש בקשה לקבלת תמיכה במוסדות ציבור- כתבי עת</v>
      </c>
      <c r="BI16" s="56" t="str">
        <f>X16</f>
        <v>ניקוד ספרי עיון</v>
      </c>
      <c r="BJ16" s="56" t="str">
        <f>Y16</f>
        <v>ההכנסות העצמיות של המוסד בשנת ההערכה (₪)</v>
      </c>
      <c r="BK16" s="56" t="str">
        <f>Z16</f>
        <v>סך ההכנסות של המוסד בשנת ההערכה (₪)</v>
      </c>
      <c r="BL16" s="56" t="str">
        <f>AA16</f>
        <v>היקף החומר הארכיוני בתחום המורשת אשר ברשותו הועלה לאתר האינטרנט של המוסד:</v>
      </c>
    </row>
    <row r="17" spans="1:64" ht="15.75" customHeight="1" x14ac:dyDescent="0.25">
      <c r="A17" t="str">
        <f ca="1">IF(AND(LEFT(B17,11)&lt;&gt;"גיליון הזנה",INDIRECT("'"&amp;$B17&amp;"'!"&amp;'גיליון עזר'!$I$1&amp;ROW('מרכז מורשת בבל'!$I$3))=""),"חסרה הזנה","")</f>
        <v/>
      </c>
      <c r="B17" s="200" t="str">
        <f ca="1">'מרכז מורשת בבל'!D3</f>
        <v>מרכז מורשת בבל</v>
      </c>
      <c r="C17" s="20">
        <v>1</v>
      </c>
      <c r="D17" s="40" t="str">
        <f ca="1">IF(OR(LEFT(B17,11)="גיליון הזנה",INDIRECT("'"&amp;$B17&amp;"'!"&amp;'גיליון עזר'!$I$1&amp;ROW('מרכז מורשת בבל'!$I$3))=0),"",B17)</f>
        <v>מרכז מורשת בבל</v>
      </c>
      <c r="E17" s="57">
        <f t="array" ref="E17:N17" ca="1">IF($D17="","",TRANSPOSE(INDIRECT("'"&amp;$D17&amp;"'!"&amp;'גיליון עזר'!$D$1&amp;ROW('מרכז מורשת בבל'!$D$16)):INDIRECT("'"&amp;$D17&amp;"'!"&amp;'גיליון עזר'!$D$1&amp;ROW('מרכז מורשת בבל'!$D$25))))</f>
        <v>11</v>
      </c>
      <c r="F17" s="58">
        <f ca="1"/>
        <v>258</v>
      </c>
      <c r="G17" s="58">
        <f ca="1"/>
        <v>9</v>
      </c>
      <c r="H17" s="57">
        <f ca="1"/>
        <v>1</v>
      </c>
      <c r="I17" s="57">
        <f ca="1"/>
        <v>1</v>
      </c>
      <c r="J17" s="57">
        <f ca="1"/>
        <v>7</v>
      </c>
      <c r="K17" s="57">
        <f ca="1"/>
        <v>0</v>
      </c>
      <c r="L17" s="57">
        <f ca="1"/>
        <v>7</v>
      </c>
      <c r="M17" s="57">
        <f ca="1"/>
        <v>0</v>
      </c>
      <c r="N17" s="59">
        <f ca="1"/>
        <v>0</v>
      </c>
      <c r="O17" s="60">
        <f ca="1">IF($D17="","",INDIRECT("'"&amp;$D17&amp;"'!"&amp;'גיליון עזר'!$F$1&amp;ROW('מרכז מורשת בבל'!$B$78)))</f>
        <v>62</v>
      </c>
      <c r="P17" s="58">
        <f t="array" ref="P17:Q17" ca="1">IF($D17="","",TRANSPOSE(INDIRECT("'"&amp;$D17&amp;"'!"&amp;'גיליון עזר'!$G$1&amp;ROW('מרכז מורשת בבל'!$D$16)):INDIRECT("'"&amp;$D17&amp;"'!"&amp;'גיליון עזר'!$G$1&amp;ROW('מרכז מורשת בבל'!$D$17))))</f>
        <v>850</v>
      </c>
      <c r="Q17" s="61" t="str">
        <f ca="1"/>
        <v>טובה מאוד</v>
      </c>
      <c r="R17" s="62">
        <f t="array" ref="R17:V17" ca="1">IF($D17="","",TRANSPOSE(INDIRECT("'"&amp;$D17&amp;"'!"&amp;'גיליון עזר'!$N$1&amp;ROW('מרכז מורשת בבל'!$D$16)):INDIRECT("'"&amp;$D17&amp;"'!"&amp;'גיליון עזר'!$N$1&amp;ROW('מרכז מורשת בבל'!$D$20))))</f>
        <v>0</v>
      </c>
      <c r="S17" s="58">
        <f ca="1"/>
        <v>0</v>
      </c>
      <c r="T17" s="58">
        <f ca="1"/>
        <v>0</v>
      </c>
      <c r="U17" s="58">
        <f ca="1"/>
        <v>0</v>
      </c>
      <c r="V17" s="58">
        <f ca="1"/>
        <v>0</v>
      </c>
      <c r="W17" s="60">
        <f ca="1">IF($D17="","",INDIRECT("'"&amp;$D17&amp;"'!"&amp;'גיליון עזר'!$N$1&amp;ROW('מרכז מורשת בבל'!$J$21)))</f>
        <v>0</v>
      </c>
      <c r="X17" s="60">
        <f ca="1">IF($D17="","",INDIRECT("'"&amp;$D17&amp;"'!"&amp;'גיליון עזר'!$L$1&amp;ROW('מרכז מורשת בבל'!$J$78)))</f>
        <v>1</v>
      </c>
      <c r="Y17" s="63">
        <f t="array" ref="Y17:Z17" ca="1">IF($D17="","",TRANSPOSE(INDIRECT("'"&amp;$D17&amp;"'!"&amp;'גיליון עזר'!$J$1&amp;ROW('מרכז מורשת בבל'!$D$17)):INDIRECT("'"&amp;$D17&amp;"'!"&amp;'גיליון עזר'!$J$1&amp;ROW('מרכז מורשת בבל'!$D$18))))</f>
        <v>2907338</v>
      </c>
      <c r="Z17" s="63">
        <f ca="1"/>
        <v>3953224</v>
      </c>
      <c r="AA17" s="104" t="str">
        <f ca="1">IF($D17="","",IF(INDIRECT("'"&amp;$D17&amp;"'!"&amp;'גיליון עזר'!$J$1&amp;ROW('מרכז מורשת בבל'!$D$21))="","",INDIRECT("'"&amp;$D17&amp;"'!"&amp;'גיליון עזר'!$J$1&amp;ROW('מרכז מורשת בבל'!$D$21))))</f>
        <v/>
      </c>
      <c r="AC17" s="1" t="str">
        <f t="shared" ref="AC17:AO36" ca="1" si="1">IF($D17="","",AC$16)</f>
        <v>כינוס</v>
      </c>
      <c r="AD17" s="1" t="str">
        <f t="shared" ca="1" si="1"/>
        <v>הרצאה</v>
      </c>
      <c r="AE17" s="1" t="str">
        <f t="shared" ca="1" si="1"/>
        <v>יום עיון</v>
      </c>
      <c r="AF17" s="1" t="str">
        <f t="shared" ca="1" si="1"/>
        <v>הפקה מורכבת</v>
      </c>
      <c r="AG17" s="1" t="str">
        <f ca="1">IF($D17="","",AG$16)</f>
        <v>כן</v>
      </c>
      <c r="AH17" s="64" t="str">
        <f ca="1">IF($D17="","",AH$16)</f>
        <v>לא</v>
      </c>
      <c r="AI17" s="1" t="str">
        <f ca="1">IF($D17="","",AI$16)</f>
        <v>נאותה</v>
      </c>
      <c r="AJ17" s="1" t="str">
        <f t="shared" ref="AJ17:AO32" ca="1" si="2">IF($D17="","",AJ$16)</f>
        <v>טובה</v>
      </c>
      <c r="AK17" s="64" t="str">
        <f t="shared" ca="1" si="2"/>
        <v>טובה מאוד</v>
      </c>
      <c r="AL17" s="1" t="str">
        <f t="shared" ca="1" si="2"/>
        <v>אחד בשנה</v>
      </c>
      <c r="AM17" s="1" t="str">
        <f t="shared" ca="1" si="2"/>
        <v>שניים בשנה</v>
      </c>
      <c r="AN17" s="1" t="str">
        <f t="shared" ca="1" si="2"/>
        <v>שלוש בשנה</v>
      </c>
      <c r="AO17" s="1" t="str">
        <f t="shared" ca="1" si="2"/>
        <v>מעל 4 בשנה</v>
      </c>
      <c r="AP17" s="3">
        <f t="shared" ref="AP17:AP48" ca="1" si="3">IF($D17="","",IF(ISERR(E17/3),$AP$14,E17))</f>
        <v>11</v>
      </c>
      <c r="AQ17" s="3">
        <f t="shared" ref="AQ17:AQ48" ca="1" si="4">IF($D17="","",IF(ISERR(F17/3),$AP$14,F17))</f>
        <v>258</v>
      </c>
      <c r="AR17" s="3">
        <f t="shared" ref="AR17:AR48" ca="1" si="5">IF($D17="","",IF(ISERR(G17/3),$AP$14,G17))</f>
        <v>9</v>
      </c>
      <c r="AS17" s="3">
        <f t="shared" ref="AS17:AS48" ca="1" si="6">IF($D17="","",IF(ISERR(H17/3),$AP$14,H17))</f>
        <v>1</v>
      </c>
      <c r="AT17" s="3">
        <f t="shared" ref="AT17:AT48" ca="1" si="7">IF($D17="","",IF(ISERR(I17/3),$AP$14,I17))</f>
        <v>1</v>
      </c>
      <c r="AU17" s="3">
        <f t="shared" ref="AU17:AU48" ca="1" si="8">IF($D17="","",IF(ISERR(J17/3),$AP$14,J17))</f>
        <v>7</v>
      </c>
      <c r="AV17" s="3">
        <f t="shared" ref="AV17:AV48" ca="1" si="9">IF($D17="","",IF(ISERR(K17/3),$AP$14,K17))</f>
        <v>0</v>
      </c>
      <c r="AW17" s="3">
        <f t="shared" ref="AW17:AW48" ca="1" si="10">IF($D17="","",IF(ISERR(L17/3),$AP$14,L17))</f>
        <v>7</v>
      </c>
      <c r="AX17" s="3">
        <f t="shared" ref="AX17:AX48" ca="1" si="11">IF($D17="","",IF(ISERR(M17/3),$AP$14,M17))</f>
        <v>0</v>
      </c>
      <c r="AY17" s="3">
        <f t="shared" ref="AY17:AY48" ca="1" si="12">IF($D17="","",IF(ISERR(N17/3),$AP$14,N17))</f>
        <v>0</v>
      </c>
      <c r="AZ17" s="31">
        <f t="shared" ref="AZ17:AZ48" ca="1" si="13">IF($D17="","",IF(ISERR(O17/3),$AP$14,O17))</f>
        <v>62</v>
      </c>
      <c r="BA17" s="3">
        <f t="shared" ref="BA17:BA48" ca="1" si="14">IF($D17="","",IF(ISERR(P17/3),$AP$14,P17))</f>
        <v>850</v>
      </c>
      <c r="BB17" s="3" t="str">
        <f t="shared" ref="BB17:BB48" ca="1" si="15">IF(Q17="","",Q17)</f>
        <v>טובה מאוד</v>
      </c>
      <c r="BC17" s="37">
        <f t="shared" ref="BC17:BC48" ca="1" si="16">IF(R17="","",R17)</f>
        <v>0</v>
      </c>
      <c r="BD17" s="3">
        <f t="shared" ref="BD17:BD48" ca="1" si="17">IF($D17="","",IF(ISERR(S17/3),$AP$14,S17))</f>
        <v>0</v>
      </c>
      <c r="BE17" s="3">
        <f t="shared" ref="BE17:BE48" ca="1" si="18">IF($D17="","",IF(ISERR(T17/3),$AP$14,T17))</f>
        <v>0</v>
      </c>
      <c r="BF17" s="3">
        <f t="shared" ref="BF17:BF48" ca="1" si="19">IF($D17="","",IF(U17="","",U17))</f>
        <v>0</v>
      </c>
      <c r="BG17" s="3">
        <f t="shared" ref="BG17:BG48" ca="1" si="20">IF($D17="","",IF(V17="","",V17))</f>
        <v>0</v>
      </c>
      <c r="BH17" s="3">
        <f t="shared" ref="BH17:BH48" ca="1" si="21">IF($D17="","",IF(W17="","",W17))</f>
        <v>0</v>
      </c>
      <c r="BI17" s="3">
        <f t="shared" ref="BI17:BI48" ca="1" si="22">IF($D17="","",IF(ISERR(X17/3),$AP$14,X17))</f>
        <v>1</v>
      </c>
      <c r="BJ17" s="3">
        <f t="shared" ref="BJ17:BJ48" ca="1" si="23">IF($D17="","",IF(ISERR(Y17/3),$AP$14,Y17))</f>
        <v>2907338</v>
      </c>
      <c r="BK17" s="3">
        <f t="shared" ref="BK17:BK48" ca="1" si="24">IF($D17="","",IF(ISERR(Z17/3),$AP$14,Z17))</f>
        <v>3953224</v>
      </c>
      <c r="BL17" s="3" t="str">
        <f t="shared" ref="BL17:BL76" ca="1" si="25">IF($D17="","",IF(AA17="","",AA17))</f>
        <v/>
      </c>
    </row>
    <row r="18" spans="1:64" x14ac:dyDescent="0.25">
      <c r="A18" t="str">
        <f ca="1">IF(AND(LEFT(B18,11)&lt;&gt;"גיליון הזנה",INDIRECT("'"&amp;$B18&amp;"'!"&amp;'גיליון עזר'!$I$1&amp;ROW('מרכז מורשת בבל'!$I$3))=""),"חסרה הזנה","")</f>
        <v/>
      </c>
      <c r="B18" s="200" t="str">
        <f ca="1">'מורשת יהודי צפון  אפריקה'!$D$3</f>
        <v>מורשת יהודי צפון  אפריקה</v>
      </c>
      <c r="C18" s="20">
        <v>2</v>
      </c>
      <c r="D18" s="40" t="str">
        <f ca="1">IF(OR(LEFT(B18,11)="גיליון הזנה",INDIRECT("'"&amp;$B18&amp;"'!"&amp;'גיליון עזר'!$I$1&amp;ROW('מרכז מורשת בבל'!$I$3))=0),"",B18)</f>
        <v>מורשת יהודי צפון  אפריקה</v>
      </c>
      <c r="E18" s="57">
        <f t="array" ref="E18:N18" ca="1">IF($D18="","",TRANSPOSE(INDIRECT("'"&amp;$D18&amp;"'!"&amp;'גיליון עזר'!$D$1&amp;ROW('מרכז מורשת בבל'!$D$16)):INDIRECT("'"&amp;$D18&amp;"'!"&amp;'גיליון עזר'!$D$1&amp;ROW('מרכז מורשת בבל'!$D$25))))</f>
        <v>0</v>
      </c>
      <c r="F18" s="58">
        <f ca="1"/>
        <v>3</v>
      </c>
      <c r="G18" s="58">
        <f ca="1"/>
        <v>1</v>
      </c>
      <c r="H18" s="57">
        <f ca="1"/>
        <v>11</v>
      </c>
      <c r="I18" s="57">
        <f ca="1"/>
        <v>6</v>
      </c>
      <c r="J18" s="57">
        <f ca="1"/>
        <v>2</v>
      </c>
      <c r="K18" s="57">
        <f ca="1"/>
        <v>0</v>
      </c>
      <c r="L18" s="57">
        <f ca="1"/>
        <v>2</v>
      </c>
      <c r="M18" s="57">
        <f ca="1"/>
        <v>0</v>
      </c>
      <c r="N18" s="59">
        <f ca="1"/>
        <v>2</v>
      </c>
      <c r="O18" s="60">
        <f ca="1">IF($D18="","",INDIRECT("'"&amp;$D18&amp;"'!"&amp;'גיליון עזר'!$F$1&amp;ROW('מרכז מורשת בבל'!$B$78)))</f>
        <v>300</v>
      </c>
      <c r="P18" s="58">
        <f t="array" ref="P18:Q18" ca="1">IF($D18="","",TRANSPOSE(INDIRECT("'"&amp;$D18&amp;"'!"&amp;'גיליון עזר'!$G$1&amp;ROW('מרכז מורשת בבל'!$D$16)):INDIRECT("'"&amp;$D18&amp;"'!"&amp;'גיליון עזר'!$G$1&amp;ROW('מרכז מורשת בבל'!$D$17))))</f>
        <v>30</v>
      </c>
      <c r="Q18" s="61" t="str">
        <f ca="1"/>
        <v>טובה</v>
      </c>
      <c r="R18" s="62">
        <f t="array" ref="R18:V18" ca="1">IF($D18="","",TRANSPOSE(INDIRECT("'"&amp;$D18&amp;"'!"&amp;'גיליון עזר'!$N$1&amp;ROW('מרכז מורשת בבל'!$D$16)):INDIRECT("'"&amp;$D18&amp;"'!"&amp;'גיליון עזר'!$N$1&amp;ROW('מרכז מורשת בבל'!$D$20))))</f>
        <v>0</v>
      </c>
      <c r="S18" s="58">
        <f ca="1"/>
        <v>0</v>
      </c>
      <c r="T18" s="58">
        <f ca="1"/>
        <v>0</v>
      </c>
      <c r="U18" s="58">
        <f ca="1"/>
        <v>0</v>
      </c>
      <c r="V18" s="58">
        <f ca="1"/>
        <v>0</v>
      </c>
      <c r="W18" s="60">
        <f ca="1">IF($D18="","",INDIRECT("'"&amp;$D18&amp;"'!"&amp;'גיליון עזר'!$N$1&amp;ROW('מרכז מורשת בבל'!$J$21)))</f>
        <v>0</v>
      </c>
      <c r="X18" s="60">
        <f ca="1">IF($D18="","",INDIRECT("'"&amp;$D18&amp;"'!"&amp;'גיליון עזר'!$L$1&amp;ROW('מרכז מורשת בבל'!$J$78)))</f>
        <v>0</v>
      </c>
      <c r="Y18" s="63">
        <f t="array" ref="Y18:Z18" ca="1">IF($D18="","",TRANSPOSE(INDIRECT("'"&amp;$D18&amp;"'!"&amp;'גיליון עזר'!$J$1&amp;ROW('מרכז מורשת בבל'!$D$17)):INDIRECT("'"&amp;$D18&amp;"'!"&amp;'גיליון עזר'!$J$1&amp;ROW('מרכז מורשת בבל'!$D$18))))</f>
        <v>290570</v>
      </c>
      <c r="Z18" s="63">
        <f ca="1"/>
        <v>610299</v>
      </c>
      <c r="AA18" s="104" t="str">
        <f ca="1">IF($D18="","",IF(INDIRECT("'"&amp;$D18&amp;"'!"&amp;'גיליון עזר'!$J$1&amp;ROW('מרכז מורשת בבל'!$D$21))="","",INDIRECT("'"&amp;$D18&amp;"'!"&amp;'גיליון עזר'!$J$1&amp;ROW('מרכז מורשת בבל'!$D$21))))</f>
        <v>מעל 20%</v>
      </c>
      <c r="AC18" s="1" t="str">
        <f t="shared" ca="1" si="1"/>
        <v>כינוס</v>
      </c>
      <c r="AD18" s="65" t="str">
        <f t="shared" ca="1" si="1"/>
        <v>הרצאה</v>
      </c>
      <c r="AE18" s="65" t="str">
        <f t="shared" ca="1" si="1"/>
        <v>יום עיון</v>
      </c>
      <c r="AF18" s="65" t="str">
        <f t="shared" ca="1" si="1"/>
        <v>הפקה מורכבת</v>
      </c>
      <c r="AG18" s="1" t="str">
        <f t="shared" ca="1" si="1"/>
        <v>כן</v>
      </c>
      <c r="AH18" s="64" t="str">
        <f t="shared" ca="1" si="1"/>
        <v>לא</v>
      </c>
      <c r="AI18" s="1" t="str">
        <f t="shared" ca="1" si="1"/>
        <v>נאותה</v>
      </c>
      <c r="AJ18" s="1" t="str">
        <f t="shared" ca="1" si="2"/>
        <v>טובה</v>
      </c>
      <c r="AK18" s="64" t="str">
        <f t="shared" ca="1" si="2"/>
        <v>טובה מאוד</v>
      </c>
      <c r="AL18" s="1" t="str">
        <f t="shared" ca="1" si="2"/>
        <v>אחד בשנה</v>
      </c>
      <c r="AM18" s="1" t="str">
        <f t="shared" ca="1" si="2"/>
        <v>שניים בשנה</v>
      </c>
      <c r="AN18" s="1" t="str">
        <f t="shared" ca="1" si="2"/>
        <v>שלוש בשנה</v>
      </c>
      <c r="AO18" s="1" t="str">
        <f t="shared" ca="1" si="2"/>
        <v>מעל 4 בשנה</v>
      </c>
      <c r="AP18" s="3">
        <f t="shared" ca="1" si="3"/>
        <v>0</v>
      </c>
      <c r="AQ18" s="3">
        <f t="shared" ca="1" si="4"/>
        <v>3</v>
      </c>
      <c r="AR18" s="3">
        <f t="shared" ca="1" si="5"/>
        <v>1</v>
      </c>
      <c r="AS18" s="3">
        <f t="shared" ca="1" si="6"/>
        <v>11</v>
      </c>
      <c r="AT18" s="3">
        <f t="shared" ca="1" si="7"/>
        <v>6</v>
      </c>
      <c r="AU18" s="3">
        <f t="shared" ca="1" si="8"/>
        <v>2</v>
      </c>
      <c r="AV18" s="3">
        <f t="shared" ca="1" si="9"/>
        <v>0</v>
      </c>
      <c r="AW18" s="3">
        <f t="shared" ca="1" si="10"/>
        <v>2</v>
      </c>
      <c r="AX18" s="3">
        <f t="shared" ca="1" si="11"/>
        <v>0</v>
      </c>
      <c r="AY18" s="3">
        <f t="shared" ca="1" si="12"/>
        <v>2</v>
      </c>
      <c r="AZ18" s="31">
        <f t="shared" ca="1" si="13"/>
        <v>300</v>
      </c>
      <c r="BA18" s="3">
        <f t="shared" ca="1" si="14"/>
        <v>30</v>
      </c>
      <c r="BB18" s="3" t="str">
        <f t="shared" ca="1" si="15"/>
        <v>טובה</v>
      </c>
      <c r="BC18" s="37">
        <f t="shared" ca="1" si="16"/>
        <v>0</v>
      </c>
      <c r="BD18" s="3">
        <f t="shared" ca="1" si="17"/>
        <v>0</v>
      </c>
      <c r="BE18" s="3">
        <f t="shared" ca="1" si="18"/>
        <v>0</v>
      </c>
      <c r="BF18" s="3">
        <f t="shared" ca="1" si="19"/>
        <v>0</v>
      </c>
      <c r="BG18" s="3">
        <f t="shared" ca="1" si="20"/>
        <v>0</v>
      </c>
      <c r="BH18" s="3">
        <f t="shared" ca="1" si="21"/>
        <v>0</v>
      </c>
      <c r="BI18" s="3">
        <f t="shared" ca="1" si="22"/>
        <v>0</v>
      </c>
      <c r="BJ18" s="3">
        <f t="shared" ca="1" si="23"/>
        <v>290570</v>
      </c>
      <c r="BK18" s="3">
        <f t="shared" ca="1" si="24"/>
        <v>610299</v>
      </c>
      <c r="BL18" s="3" t="str">
        <f t="shared" ca="1" si="25"/>
        <v>מעל 20%</v>
      </c>
    </row>
    <row r="19" spans="1:64" x14ac:dyDescent="0.25">
      <c r="A19" t="str">
        <f ca="1">IF(AND(LEFT(B19,11)&lt;&gt;"גיליון הזנה",INDIRECT("'"&amp;$B19&amp;"'!"&amp;'גיליון עזר'!$I$1&amp;ROW('מרכז מורשת בבל'!$I$3))=""),"חסרה הזנה","")</f>
        <v/>
      </c>
      <c r="B19" s="200" t="str">
        <f ca="1">'מורשת יהדות קוצין'!$D$3</f>
        <v>מורשת יהדות קוצין</v>
      </c>
      <c r="C19" s="20">
        <v>3</v>
      </c>
      <c r="D19" s="40" t="str">
        <f ca="1">IF(OR(LEFT(B19,11)="גיליון הזנה",INDIRECT("'"&amp;$B19&amp;"'!"&amp;'גיליון עזר'!$I$1&amp;ROW('מרכז מורשת בבל'!$I$3))=0),"",B19)</f>
        <v>מורשת יהדות קוצין</v>
      </c>
      <c r="E19" s="57">
        <f t="array" ref="E19:N19" ca="1">IF($D19="","",TRANSPOSE(INDIRECT("'"&amp;$D19&amp;"'!"&amp;'גיליון עזר'!$D$1&amp;ROW('מרכז מורשת בבל'!$D$16)):INDIRECT("'"&amp;$D19&amp;"'!"&amp;'גיליון עזר'!$D$1&amp;ROW('מרכז מורשת בבל'!$D$25))))</f>
        <v>21</v>
      </c>
      <c r="F19" s="58">
        <f ca="1"/>
        <v>3</v>
      </c>
      <c r="G19" s="58">
        <f ca="1"/>
        <v>1</v>
      </c>
      <c r="H19" s="57">
        <f ca="1"/>
        <v>1</v>
      </c>
      <c r="I19" s="57">
        <f ca="1"/>
        <v>1</v>
      </c>
      <c r="J19" s="57">
        <f ca="1"/>
        <v>3</v>
      </c>
      <c r="K19" s="57">
        <f ca="1"/>
        <v>0</v>
      </c>
      <c r="L19" s="57">
        <f ca="1"/>
        <v>3</v>
      </c>
      <c r="M19" s="57">
        <f ca="1"/>
        <v>0</v>
      </c>
      <c r="N19" s="59">
        <f ca="1"/>
        <v>6</v>
      </c>
      <c r="O19" s="60">
        <f ca="1">IF($D19="","",INDIRECT("'"&amp;$D19&amp;"'!"&amp;'גיליון עזר'!$F$1&amp;ROW('מרכז מורשת בבל'!$B$78)))</f>
        <v>970</v>
      </c>
      <c r="P19" s="58">
        <f t="array" ref="P19:Q19" ca="1">IF($D19="","",TRANSPOSE(INDIRECT("'"&amp;$D19&amp;"'!"&amp;'גיליון עזר'!$G$1&amp;ROW('מרכז מורשת בבל'!$D$16)):INDIRECT("'"&amp;$D19&amp;"'!"&amp;'גיליון עזר'!$G$1&amp;ROW('מרכז מורשת בבל'!$D$17))))</f>
        <v>109</v>
      </c>
      <c r="Q19" s="61" t="str">
        <f ca="1"/>
        <v>טובה מאוד</v>
      </c>
      <c r="R19" s="62" t="str">
        <f t="array" ref="R19:V19" ca="1">IF($D19="","",TRANSPOSE(INDIRECT("'"&amp;$D19&amp;"'!"&amp;'גיליון עזר'!$N$1&amp;ROW('מרכז מורשת בבל'!$D$16)):INDIRECT("'"&amp;$D19&amp;"'!"&amp;'גיליון עזר'!$N$1&amp;ROW('מרכז מורשת בבל'!$D$20))))</f>
        <v>אחד בשנה</v>
      </c>
      <c r="S19" s="58">
        <f ca="1"/>
        <v>34</v>
      </c>
      <c r="T19" s="58">
        <f ca="1"/>
        <v>700</v>
      </c>
      <c r="U19" s="58" t="str">
        <f ca="1"/>
        <v>כן</v>
      </c>
      <c r="V19" s="58" t="str">
        <f ca="1"/>
        <v>כן</v>
      </c>
      <c r="W19" s="60" t="str">
        <f ca="1">IF($D19="","",INDIRECT("'"&amp;$D19&amp;"'!"&amp;'גיליון עזר'!$N$1&amp;ROW('מרכז מורשת בבל'!$J$21)))</f>
        <v>לא</v>
      </c>
      <c r="X19" s="60">
        <f ca="1">IF($D19="","",INDIRECT("'"&amp;$D19&amp;"'!"&amp;'גיליון עזר'!$L$1&amp;ROW('מרכז מורשת בבל'!$J$78)))</f>
        <v>1</v>
      </c>
      <c r="Y19" s="63">
        <f t="array" ref="Y19:Z19" ca="1">IF($D19="","",TRANSPOSE(INDIRECT("'"&amp;$D19&amp;"'!"&amp;'גיליון עזר'!$J$1&amp;ROW('מרכז מורשת בבל'!$D$17)):INDIRECT("'"&amp;$D19&amp;"'!"&amp;'גיליון עזר'!$J$1&amp;ROW('מרכז מורשת בבל'!$D$18))))</f>
        <v>311889</v>
      </c>
      <c r="Z19" s="63">
        <f ca="1"/>
        <v>580402</v>
      </c>
      <c r="AA19" s="104" t="str">
        <f ca="1">IF($D19="","",IF(INDIRECT("'"&amp;$D19&amp;"'!"&amp;'גיליון עזר'!$J$1&amp;ROW('מרכז מורשת בבל'!$D$21))="","",INDIRECT("'"&amp;$D19&amp;"'!"&amp;'גיליון עזר'!$J$1&amp;ROW('מרכז מורשת בבל'!$D$21))))</f>
        <v>מעל 50%</v>
      </c>
      <c r="AC19" s="1" t="str">
        <f t="shared" ca="1" si="1"/>
        <v>כינוס</v>
      </c>
      <c r="AD19" s="65" t="str">
        <f t="shared" ca="1" si="1"/>
        <v>הרצאה</v>
      </c>
      <c r="AE19" s="65" t="str">
        <f t="shared" ca="1" si="1"/>
        <v>יום עיון</v>
      </c>
      <c r="AF19" s="65" t="str">
        <f t="shared" ca="1" si="1"/>
        <v>הפקה מורכבת</v>
      </c>
      <c r="AG19" s="1" t="str">
        <f t="shared" ca="1" si="1"/>
        <v>כן</v>
      </c>
      <c r="AH19" s="64" t="str">
        <f t="shared" ca="1" si="1"/>
        <v>לא</v>
      </c>
      <c r="AI19" s="1" t="str">
        <f t="shared" ca="1" si="1"/>
        <v>נאותה</v>
      </c>
      <c r="AJ19" s="1" t="str">
        <f t="shared" ca="1" si="2"/>
        <v>טובה</v>
      </c>
      <c r="AK19" s="64" t="str">
        <f t="shared" ca="1" si="2"/>
        <v>טובה מאוד</v>
      </c>
      <c r="AL19" s="1" t="str">
        <f t="shared" ca="1" si="2"/>
        <v>אחד בשנה</v>
      </c>
      <c r="AM19" s="1" t="str">
        <f t="shared" ca="1" si="2"/>
        <v>שניים בשנה</v>
      </c>
      <c r="AN19" s="1" t="str">
        <f t="shared" ca="1" si="2"/>
        <v>שלוש בשנה</v>
      </c>
      <c r="AO19" s="1" t="str">
        <f t="shared" ca="1" si="2"/>
        <v>מעל 4 בשנה</v>
      </c>
      <c r="AP19" s="3">
        <f t="shared" ca="1" si="3"/>
        <v>21</v>
      </c>
      <c r="AQ19" s="3">
        <f t="shared" ca="1" si="4"/>
        <v>3</v>
      </c>
      <c r="AR19" s="3">
        <f t="shared" ca="1" si="5"/>
        <v>1</v>
      </c>
      <c r="AS19" s="3">
        <f t="shared" ca="1" si="6"/>
        <v>1</v>
      </c>
      <c r="AT19" s="3">
        <f t="shared" ca="1" si="7"/>
        <v>1</v>
      </c>
      <c r="AU19" s="3">
        <f t="shared" ca="1" si="8"/>
        <v>3</v>
      </c>
      <c r="AV19" s="3">
        <f t="shared" ca="1" si="9"/>
        <v>0</v>
      </c>
      <c r="AW19" s="3">
        <f t="shared" ca="1" si="10"/>
        <v>3</v>
      </c>
      <c r="AX19" s="3">
        <f t="shared" ca="1" si="11"/>
        <v>0</v>
      </c>
      <c r="AY19" s="3">
        <f t="shared" ca="1" si="12"/>
        <v>6</v>
      </c>
      <c r="AZ19" s="31">
        <f t="shared" ca="1" si="13"/>
        <v>970</v>
      </c>
      <c r="BA19" s="3">
        <f t="shared" ca="1" si="14"/>
        <v>109</v>
      </c>
      <c r="BB19" s="3" t="str">
        <f t="shared" ca="1" si="15"/>
        <v>טובה מאוד</v>
      </c>
      <c r="BC19" s="37" t="str">
        <f t="shared" ca="1" si="16"/>
        <v>אחד בשנה</v>
      </c>
      <c r="BD19" s="3">
        <f t="shared" ca="1" si="17"/>
        <v>34</v>
      </c>
      <c r="BE19" s="3">
        <f t="shared" ca="1" si="18"/>
        <v>700</v>
      </c>
      <c r="BF19" s="3" t="str">
        <f t="shared" ca="1" si="19"/>
        <v>כן</v>
      </c>
      <c r="BG19" s="3" t="str">
        <f t="shared" ca="1" si="20"/>
        <v>כן</v>
      </c>
      <c r="BH19" s="3" t="str">
        <f t="shared" ca="1" si="21"/>
        <v>לא</v>
      </c>
      <c r="BI19" s="3">
        <f t="shared" ca="1" si="22"/>
        <v>1</v>
      </c>
      <c r="BJ19" s="3">
        <f t="shared" ca="1" si="23"/>
        <v>311889</v>
      </c>
      <c r="BK19" s="3">
        <f t="shared" ca="1" si="24"/>
        <v>580402</v>
      </c>
      <c r="BL19" s="3" t="str">
        <f t="shared" ca="1" si="25"/>
        <v>מעל 50%</v>
      </c>
    </row>
    <row r="20" spans="1:64" x14ac:dyDescent="0.25">
      <c r="A20" t="str">
        <f ca="1">IF(AND(LEFT(B20,11)&lt;&gt;"גיליון הזנה",INDIRECT("'"&amp;$B20&amp;"'!"&amp;'גיליון עזר'!$I$1&amp;ROW('מרכז מורשת בבל'!$I$3))=""),"חסרה הזנה","")</f>
        <v/>
      </c>
      <c r="B20" s="200" t="str">
        <f ca="1">'הפדרציה העולמית של יהדות תוניס'!$D$3</f>
        <v>הפדרציה העולמית של יהדות תוניס</v>
      </c>
      <c r="C20" s="20">
        <v>4</v>
      </c>
      <c r="D20" s="40" t="str">
        <f ca="1">IF(OR(LEFT(B20,11)="גיליון הזנה",INDIRECT("'"&amp;$B20&amp;"'!"&amp;'גיליון עזר'!$I$1&amp;ROW('מרכז מורשת בבל'!$I$3))=0),"",B20)</f>
        <v>הפדרציה העולמית של יהדות תוניס</v>
      </c>
      <c r="E20" s="57">
        <f t="array" ref="E20:N20" ca="1">IF($D20="","",TRANSPOSE(INDIRECT("'"&amp;$D20&amp;"'!"&amp;'גיליון עזר'!$D$1&amp;ROW('מרכז מורשת בבל'!$D$16)):INDIRECT("'"&amp;$D20&amp;"'!"&amp;'גיליון עזר'!$D$1&amp;ROW('מרכז מורשת בבל'!$D$25))))</f>
        <v>0</v>
      </c>
      <c r="F20" s="58">
        <f ca="1"/>
        <v>0</v>
      </c>
      <c r="G20" s="58">
        <f ca="1"/>
        <v>0</v>
      </c>
      <c r="H20" s="57">
        <f ca="1"/>
        <v>0</v>
      </c>
      <c r="I20" s="57">
        <f ca="1"/>
        <v>0</v>
      </c>
      <c r="J20" s="57">
        <f ca="1"/>
        <v>0</v>
      </c>
      <c r="K20" s="57">
        <f ca="1"/>
        <v>0</v>
      </c>
      <c r="L20" s="57">
        <f ca="1"/>
        <v>0</v>
      </c>
      <c r="M20" s="57">
        <f ca="1"/>
        <v>0</v>
      </c>
      <c r="N20" s="59">
        <f ca="1"/>
        <v>0</v>
      </c>
      <c r="O20" s="60">
        <f ca="1">IF($D20="","",INDIRECT("'"&amp;$D20&amp;"'!"&amp;'גיליון עזר'!$F$1&amp;ROW('מרכז מורשת בבל'!$B$78)))</f>
        <v>0</v>
      </c>
      <c r="P20" s="58">
        <f t="array" ref="P20:Q20" ca="1">IF($D20="","",TRANSPOSE(INDIRECT("'"&amp;$D20&amp;"'!"&amp;'גיליון עזר'!$G$1&amp;ROW('מרכז מורשת בבל'!$D$16)):INDIRECT("'"&amp;$D20&amp;"'!"&amp;'גיליון עזר'!$G$1&amp;ROW('מרכז מורשת בבל'!$D$17))))</f>
        <v>0</v>
      </c>
      <c r="Q20" s="61">
        <f ca="1"/>
        <v>0</v>
      </c>
      <c r="R20" s="62">
        <f t="array" ref="R20:V20" ca="1">IF($D20="","",TRANSPOSE(INDIRECT("'"&amp;$D20&amp;"'!"&amp;'גיליון עזר'!$N$1&amp;ROW('מרכז מורשת בבל'!$D$16)):INDIRECT("'"&amp;$D20&amp;"'!"&amp;'גיליון עזר'!$N$1&amp;ROW('מרכז מורשת בבל'!$D$20))))</f>
        <v>0</v>
      </c>
      <c r="S20" s="58">
        <f ca="1"/>
        <v>0</v>
      </c>
      <c r="T20" s="58">
        <f ca="1"/>
        <v>0</v>
      </c>
      <c r="U20" s="58">
        <f ca="1"/>
        <v>0</v>
      </c>
      <c r="V20" s="58">
        <f ca="1"/>
        <v>0</v>
      </c>
      <c r="W20" s="60">
        <f ca="1">IF($D20="","",INDIRECT("'"&amp;$D20&amp;"'!"&amp;'גיליון עזר'!$N$1&amp;ROW('מרכז מורשת בבל'!$J$21)))</f>
        <v>0</v>
      </c>
      <c r="X20" s="60">
        <f ca="1">IF($D20="","",INDIRECT("'"&amp;$D20&amp;"'!"&amp;'גיליון עזר'!$L$1&amp;ROW('מרכז מורשת בבל'!$J$78)))</f>
        <v>0</v>
      </c>
      <c r="Y20" s="63">
        <f t="array" ref="Y20:Z20" ca="1">IF($D20="","",TRANSPOSE(INDIRECT("'"&amp;$D20&amp;"'!"&amp;'גיליון עזר'!$J$1&amp;ROW('מרכז מורשת בבל'!$D$17)):INDIRECT("'"&amp;$D20&amp;"'!"&amp;'גיליון עזר'!$J$1&amp;ROW('מרכז מורשת בבל'!$D$18))))</f>
        <v>0</v>
      </c>
      <c r="Z20" s="63">
        <f ca="1"/>
        <v>0</v>
      </c>
      <c r="AA20" s="104" t="str">
        <f ca="1">IF($D20="","",IF(INDIRECT("'"&amp;$D20&amp;"'!"&amp;'גיליון עזר'!$J$1&amp;ROW('מרכז מורשת בבל'!$D$21))="","",INDIRECT("'"&amp;$D20&amp;"'!"&amp;'גיליון עזר'!$J$1&amp;ROW('מרכז מורשת בבל'!$D$21))))</f>
        <v/>
      </c>
      <c r="AC20" s="1" t="str">
        <f t="shared" ca="1" si="1"/>
        <v>כינוס</v>
      </c>
      <c r="AD20" s="65" t="str">
        <f t="shared" ca="1" si="1"/>
        <v>הרצאה</v>
      </c>
      <c r="AE20" s="65" t="str">
        <f t="shared" ca="1" si="1"/>
        <v>יום עיון</v>
      </c>
      <c r="AF20" s="65" t="str">
        <f t="shared" ca="1" si="1"/>
        <v>הפקה מורכבת</v>
      </c>
      <c r="AG20" s="1" t="str">
        <f t="shared" ca="1" si="1"/>
        <v>כן</v>
      </c>
      <c r="AH20" s="64" t="str">
        <f t="shared" ca="1" si="1"/>
        <v>לא</v>
      </c>
      <c r="AI20" s="1" t="str">
        <f t="shared" ca="1" si="1"/>
        <v>נאותה</v>
      </c>
      <c r="AJ20" s="1" t="str">
        <f t="shared" ca="1" si="2"/>
        <v>טובה</v>
      </c>
      <c r="AK20" s="64" t="str">
        <f t="shared" ca="1" si="2"/>
        <v>טובה מאוד</v>
      </c>
      <c r="AL20" s="1" t="str">
        <f t="shared" ca="1" si="2"/>
        <v>אחד בשנה</v>
      </c>
      <c r="AM20" s="1" t="str">
        <f t="shared" ca="1" si="2"/>
        <v>שניים בשנה</v>
      </c>
      <c r="AN20" s="1" t="str">
        <f t="shared" ca="1" si="2"/>
        <v>שלוש בשנה</v>
      </c>
      <c r="AO20" s="1" t="str">
        <f t="shared" ca="1" si="2"/>
        <v>מעל 4 בשנה</v>
      </c>
      <c r="AP20" s="3">
        <f t="shared" ca="1" si="3"/>
        <v>0</v>
      </c>
      <c r="AQ20" s="3">
        <f t="shared" ca="1" si="4"/>
        <v>0</v>
      </c>
      <c r="AR20" s="3">
        <f t="shared" ca="1" si="5"/>
        <v>0</v>
      </c>
      <c r="AS20" s="3">
        <f t="shared" ca="1" si="6"/>
        <v>0</v>
      </c>
      <c r="AT20" s="3">
        <f t="shared" ca="1" si="7"/>
        <v>0</v>
      </c>
      <c r="AU20" s="3">
        <f t="shared" ca="1" si="8"/>
        <v>0</v>
      </c>
      <c r="AV20" s="3">
        <f t="shared" ca="1" si="9"/>
        <v>0</v>
      </c>
      <c r="AW20" s="3">
        <f t="shared" ca="1" si="10"/>
        <v>0</v>
      </c>
      <c r="AX20" s="3">
        <f t="shared" ca="1" si="11"/>
        <v>0</v>
      </c>
      <c r="AY20" s="3">
        <f t="shared" ca="1" si="12"/>
        <v>0</v>
      </c>
      <c r="AZ20" s="31">
        <f t="shared" ca="1" si="13"/>
        <v>0</v>
      </c>
      <c r="BA20" s="3">
        <f t="shared" ca="1" si="14"/>
        <v>0</v>
      </c>
      <c r="BB20" s="3">
        <f t="shared" ca="1" si="15"/>
        <v>0</v>
      </c>
      <c r="BC20" s="37">
        <f t="shared" ca="1" si="16"/>
        <v>0</v>
      </c>
      <c r="BD20" s="3">
        <f t="shared" ca="1" si="17"/>
        <v>0</v>
      </c>
      <c r="BE20" s="3">
        <f t="shared" ca="1" si="18"/>
        <v>0</v>
      </c>
      <c r="BF20" s="3">
        <f t="shared" ca="1" si="19"/>
        <v>0</v>
      </c>
      <c r="BG20" s="3">
        <f t="shared" ca="1" si="20"/>
        <v>0</v>
      </c>
      <c r="BH20" s="3">
        <f t="shared" ca="1" si="21"/>
        <v>0</v>
      </c>
      <c r="BI20" s="3">
        <f t="shared" ca="1" si="22"/>
        <v>0</v>
      </c>
      <c r="BJ20" s="3">
        <f t="shared" ca="1" si="23"/>
        <v>0</v>
      </c>
      <c r="BK20" s="3">
        <f t="shared" ca="1" si="24"/>
        <v>0</v>
      </c>
      <c r="BL20" s="3" t="str">
        <f t="shared" ca="1" si="25"/>
        <v/>
      </c>
    </row>
    <row r="21" spans="1:64" x14ac:dyDescent="0.25">
      <c r="A21" t="str">
        <f ca="1">IF(AND(LEFT(B21,11)&lt;&gt;"גיליון הזנה",INDIRECT("'"&amp;$B21&amp;"'!"&amp;'גיליון עזר'!$I$1&amp;ROW('מרכז מורשת בבל'!$I$3))=""),"חסרה הזנה","")</f>
        <v/>
      </c>
      <c r="B21" s="200" t="str">
        <f ca="1">'התאחדות עולי מצרים'!$D$3</f>
        <v>התאחדות עולי מצרים</v>
      </c>
      <c r="C21" s="20">
        <v>5</v>
      </c>
      <c r="D21" s="40" t="str">
        <f ca="1">IF(OR(LEFT(B21,11)="גיליון הזנה",INDIRECT("'"&amp;$B21&amp;"'!"&amp;'גיליון עזר'!$I$1&amp;ROW('מרכז מורשת בבל'!$I$3))=0),"",B21)</f>
        <v>התאחדות עולי מצרים</v>
      </c>
      <c r="E21" s="57">
        <f t="array" ref="E21:N21" ca="1">IF($D21="","",TRANSPOSE(INDIRECT("'"&amp;$D21&amp;"'!"&amp;'גיליון עזר'!$D$1&amp;ROW('מרכז מורשת בבל'!$D$16)):INDIRECT("'"&amp;$D21&amp;"'!"&amp;'גיליון עזר'!$D$1&amp;ROW('מרכז מורשת בבל'!$D$25))))</f>
        <v>0</v>
      </c>
      <c r="F21" s="58">
        <f ca="1"/>
        <v>9</v>
      </c>
      <c r="G21" s="58">
        <f ca="1"/>
        <v>2</v>
      </c>
      <c r="H21" s="57">
        <f ca="1"/>
        <v>3</v>
      </c>
      <c r="I21" s="57">
        <f ca="1"/>
        <v>2</v>
      </c>
      <c r="J21" s="57">
        <f ca="1"/>
        <v>6</v>
      </c>
      <c r="K21" s="57">
        <f ca="1"/>
        <v>2</v>
      </c>
      <c r="L21" s="57">
        <f ca="1"/>
        <v>6</v>
      </c>
      <c r="M21" s="57">
        <f ca="1"/>
        <v>2</v>
      </c>
      <c r="N21" s="59">
        <f ca="1"/>
        <v>0</v>
      </c>
      <c r="O21" s="60">
        <f ca="1">IF($D21="","",INDIRECT("'"&amp;$D21&amp;"'!"&amp;'גיליון עזר'!$F$1&amp;ROW('מרכז מורשת בבל'!$B$78)))</f>
        <v>2</v>
      </c>
      <c r="P21" s="58">
        <f t="array" ref="P21:Q21" ca="1">IF($D21="","",TRANSPOSE(INDIRECT("'"&amp;$D21&amp;"'!"&amp;'גיליון עזר'!$G$1&amp;ROW('מרכז מורשת בבל'!$D$16)):INDIRECT("'"&amp;$D21&amp;"'!"&amp;'גיליון עזר'!$G$1&amp;ROW('מרכז מורשת בבל'!$D$17))))</f>
        <v>579</v>
      </c>
      <c r="Q21" s="61" t="str">
        <f ca="1"/>
        <v>טובה מאוד</v>
      </c>
      <c r="R21" s="62">
        <f t="array" ref="R21:V21" ca="1">IF($D21="","",TRANSPOSE(INDIRECT("'"&amp;$D21&amp;"'!"&amp;'גיליון עזר'!$N$1&amp;ROW('מרכז מורשת בבל'!$D$16)):INDIRECT("'"&amp;$D21&amp;"'!"&amp;'גיליון עזר'!$N$1&amp;ROW('מרכז מורשת בבל'!$D$20))))</f>
        <v>0</v>
      </c>
      <c r="S21" s="58">
        <f ca="1"/>
        <v>0</v>
      </c>
      <c r="T21" s="58">
        <f ca="1"/>
        <v>0</v>
      </c>
      <c r="U21" s="58">
        <f ca="1"/>
        <v>0</v>
      </c>
      <c r="V21" s="58">
        <f ca="1"/>
        <v>0</v>
      </c>
      <c r="W21" s="60">
        <f ca="1">IF($D21="","",INDIRECT("'"&amp;$D21&amp;"'!"&amp;'גיליון עזר'!$N$1&amp;ROW('מרכז מורשת בבל'!$J$21)))</f>
        <v>0</v>
      </c>
      <c r="X21" s="60">
        <f ca="1">IF($D21="","",INDIRECT("'"&amp;$D21&amp;"'!"&amp;'גיליון עזר'!$L$1&amp;ROW('מרכז מורשת בבל'!$J$78)))</f>
        <v>1</v>
      </c>
      <c r="Y21" s="63">
        <f t="array" ref="Y21:Z21" ca="1">IF($D21="","",TRANSPOSE(INDIRECT("'"&amp;$D21&amp;"'!"&amp;'גיליון עזר'!$J$1&amp;ROW('מרכז מורשת בבל'!$D$17)):INDIRECT("'"&amp;$D21&amp;"'!"&amp;'גיליון עזר'!$J$1&amp;ROW('מרכז מורשת בבל'!$D$18))))</f>
        <v>118163</v>
      </c>
      <c r="Z21" s="63">
        <f ca="1"/>
        <v>328163</v>
      </c>
      <c r="AA21" s="104" t="str">
        <f ca="1">IF($D21="","",IF(INDIRECT("'"&amp;$D21&amp;"'!"&amp;'גיליון עזר'!$J$1&amp;ROW('מרכז מורשת בבל'!$D$21))="","",INDIRECT("'"&amp;$D21&amp;"'!"&amp;'גיליון עזר'!$J$1&amp;ROW('מרכז מורשת בבל'!$D$21))))</f>
        <v>מעל 50%</v>
      </c>
      <c r="AC21" s="1" t="str">
        <f t="shared" ca="1" si="1"/>
        <v>כינוס</v>
      </c>
      <c r="AD21" s="65" t="str">
        <f t="shared" ca="1" si="1"/>
        <v>הרצאה</v>
      </c>
      <c r="AE21" s="65" t="str">
        <f t="shared" ca="1" si="1"/>
        <v>יום עיון</v>
      </c>
      <c r="AF21" s="65" t="str">
        <f t="shared" ca="1" si="1"/>
        <v>הפקה מורכבת</v>
      </c>
      <c r="AG21" s="1" t="str">
        <f t="shared" ca="1" si="1"/>
        <v>כן</v>
      </c>
      <c r="AH21" s="64" t="str">
        <f t="shared" ca="1" si="1"/>
        <v>לא</v>
      </c>
      <c r="AI21" s="1" t="str">
        <f t="shared" ca="1" si="1"/>
        <v>נאותה</v>
      </c>
      <c r="AJ21" s="1" t="str">
        <f t="shared" ca="1" si="2"/>
        <v>טובה</v>
      </c>
      <c r="AK21" s="64" t="str">
        <f t="shared" ca="1" si="2"/>
        <v>טובה מאוד</v>
      </c>
      <c r="AL21" s="1" t="str">
        <f t="shared" ca="1" si="2"/>
        <v>אחד בשנה</v>
      </c>
      <c r="AM21" s="1" t="str">
        <f t="shared" ca="1" si="2"/>
        <v>שניים בשנה</v>
      </c>
      <c r="AN21" s="1" t="str">
        <f t="shared" ca="1" si="2"/>
        <v>שלוש בשנה</v>
      </c>
      <c r="AO21" s="1" t="str">
        <f t="shared" ca="1" si="2"/>
        <v>מעל 4 בשנה</v>
      </c>
      <c r="AP21" s="3">
        <f t="shared" ca="1" si="3"/>
        <v>0</v>
      </c>
      <c r="AQ21" s="3">
        <f t="shared" ca="1" si="4"/>
        <v>9</v>
      </c>
      <c r="AR21" s="3">
        <f t="shared" ca="1" si="5"/>
        <v>2</v>
      </c>
      <c r="AS21" s="3">
        <f t="shared" ca="1" si="6"/>
        <v>3</v>
      </c>
      <c r="AT21" s="3">
        <f t="shared" ca="1" si="7"/>
        <v>2</v>
      </c>
      <c r="AU21" s="3">
        <f t="shared" ca="1" si="8"/>
        <v>6</v>
      </c>
      <c r="AV21" s="3">
        <f t="shared" ca="1" si="9"/>
        <v>2</v>
      </c>
      <c r="AW21" s="3">
        <f t="shared" ca="1" si="10"/>
        <v>6</v>
      </c>
      <c r="AX21" s="3">
        <f t="shared" ca="1" si="11"/>
        <v>2</v>
      </c>
      <c r="AY21" s="3">
        <f t="shared" ca="1" si="12"/>
        <v>0</v>
      </c>
      <c r="AZ21" s="31">
        <f t="shared" ca="1" si="13"/>
        <v>2</v>
      </c>
      <c r="BA21" s="3">
        <f t="shared" ca="1" si="14"/>
        <v>579</v>
      </c>
      <c r="BB21" s="3" t="str">
        <f t="shared" ca="1" si="15"/>
        <v>טובה מאוד</v>
      </c>
      <c r="BC21" s="37">
        <f t="shared" ca="1" si="16"/>
        <v>0</v>
      </c>
      <c r="BD21" s="3">
        <f t="shared" ca="1" si="17"/>
        <v>0</v>
      </c>
      <c r="BE21" s="3">
        <f t="shared" ca="1" si="18"/>
        <v>0</v>
      </c>
      <c r="BF21" s="3">
        <f t="shared" ca="1" si="19"/>
        <v>0</v>
      </c>
      <c r="BG21" s="3">
        <f t="shared" ca="1" si="20"/>
        <v>0</v>
      </c>
      <c r="BH21" s="3">
        <f t="shared" ca="1" si="21"/>
        <v>0</v>
      </c>
      <c r="BI21" s="3">
        <f t="shared" ca="1" si="22"/>
        <v>1</v>
      </c>
      <c r="BJ21" s="3">
        <f t="shared" ca="1" si="23"/>
        <v>118163</v>
      </c>
      <c r="BK21" s="3">
        <f t="shared" ca="1" si="24"/>
        <v>328163</v>
      </c>
      <c r="BL21" s="3" t="str">
        <f t="shared" ca="1" si="25"/>
        <v>מעל 50%</v>
      </c>
    </row>
    <row r="22" spans="1:64" x14ac:dyDescent="0.25">
      <c r="A22" t="str">
        <f ca="1">IF(AND(LEFT(B22,11)&lt;&gt;"גיליון הזנה",INDIRECT("'"&amp;$B22&amp;"'!"&amp;'גיליון עזר'!$I$1&amp;ROW('מרכז מורשת בבל'!$I$3))=""),"חסרה הזנה","")</f>
        <v/>
      </c>
      <c r="B22" s="200" t="str">
        <f ca="1">'יהודים יוצאי לוב'!$D$3</f>
        <v>יהודים יוצאי לוב</v>
      </c>
      <c r="C22" s="20">
        <v>6</v>
      </c>
      <c r="D22" s="40" t="str">
        <f ca="1">IF(OR(LEFT(B22,11)="גיליון הזנה",INDIRECT("'"&amp;$B22&amp;"'!"&amp;'גיליון עזר'!$I$1&amp;ROW('מרכז מורשת בבל'!$I$3))=0),"",B22)</f>
        <v>יהודים יוצאי לוב</v>
      </c>
      <c r="E22" s="57">
        <f t="array" ref="E22:N22" ca="1">IF($D22="","",TRANSPOSE(INDIRECT("'"&amp;$D22&amp;"'!"&amp;'גיליון עזר'!$D$1&amp;ROW('מרכז מורשת בבל'!$D$16)):INDIRECT("'"&amp;$D22&amp;"'!"&amp;'גיליון עזר'!$D$1&amp;ROW('מרכז מורשת בבל'!$D$25))))</f>
        <v>11</v>
      </c>
      <c r="F22" s="58">
        <f ca="1"/>
        <v>2</v>
      </c>
      <c r="G22" s="58">
        <f ca="1"/>
        <v>2</v>
      </c>
      <c r="H22" s="57">
        <f ca="1"/>
        <v>0</v>
      </c>
      <c r="I22" s="57">
        <f ca="1"/>
        <v>0</v>
      </c>
      <c r="J22" s="57">
        <f ca="1"/>
        <v>1</v>
      </c>
      <c r="K22" s="57">
        <f ca="1"/>
        <v>0</v>
      </c>
      <c r="L22" s="57">
        <f ca="1"/>
        <v>1</v>
      </c>
      <c r="M22" s="57">
        <f ca="1"/>
        <v>0</v>
      </c>
      <c r="N22" s="59">
        <f ca="1"/>
        <v>2</v>
      </c>
      <c r="O22" s="60">
        <f ca="1">IF($D22="","",INDIRECT("'"&amp;$D22&amp;"'!"&amp;'גיליון עזר'!$F$1&amp;ROW('מרכז מורשת בבל'!$B$78)))</f>
        <v>0</v>
      </c>
      <c r="P22" s="58">
        <f t="array" ref="P22:Q22" ca="1">IF($D22="","",TRANSPOSE(INDIRECT("'"&amp;$D22&amp;"'!"&amp;'גיליון עזר'!$G$1&amp;ROW('מרכז מורשת בבל'!$D$16)):INDIRECT("'"&amp;$D22&amp;"'!"&amp;'גיליון עזר'!$G$1&amp;ROW('מרכז מורשת בבל'!$D$17))))</f>
        <v>20</v>
      </c>
      <c r="Q22" s="61" t="str">
        <f ca="1"/>
        <v>טובה מאוד</v>
      </c>
      <c r="R22" s="62" t="str">
        <f t="array" ref="R22:V22" ca="1">IF($D22="","",TRANSPOSE(INDIRECT("'"&amp;$D22&amp;"'!"&amp;'גיליון עזר'!$N$1&amp;ROW('מרכז מורשת בבל'!$D$16)):INDIRECT("'"&amp;$D22&amp;"'!"&amp;'גיליון עזר'!$N$1&amp;ROW('מרכז מורשת בבל'!$D$20))))</f>
        <v>מעל 4 בשנה</v>
      </c>
      <c r="S22" s="58">
        <f ca="1"/>
        <v>46</v>
      </c>
      <c r="T22" s="58">
        <f ca="1"/>
        <v>5000</v>
      </c>
      <c r="U22" s="58" t="str">
        <f ca="1"/>
        <v>כן</v>
      </c>
      <c r="V22" s="58" t="str">
        <f ca="1"/>
        <v>כן</v>
      </c>
      <c r="W22" s="60" t="str">
        <f ca="1">IF($D22="","",INDIRECT("'"&amp;$D22&amp;"'!"&amp;'גיליון עזר'!$N$1&amp;ROW('מרכז מורשת בבל'!$J$21)))</f>
        <v>לא</v>
      </c>
      <c r="X22" s="60">
        <f ca="1">IF($D22="","",INDIRECT("'"&amp;$D22&amp;"'!"&amp;'גיליון עזר'!$L$1&amp;ROW('מרכז מורשת בבל'!$J$78)))</f>
        <v>0</v>
      </c>
      <c r="Y22" s="63">
        <f t="array" ref="Y22:Z22" ca="1">IF($D22="","",TRANSPOSE(INDIRECT("'"&amp;$D22&amp;"'!"&amp;'גיליון עזר'!$J$1&amp;ROW('מרכז מורשת בבל'!$D$17)):INDIRECT("'"&amp;$D22&amp;"'!"&amp;'גיליון עזר'!$J$1&amp;ROW('מרכז מורשת בבל'!$D$18))))</f>
        <v>1053857</v>
      </c>
      <c r="Z22" s="63">
        <f ca="1"/>
        <v>1913966</v>
      </c>
      <c r="AA22" s="104" t="str">
        <f ca="1">IF($D22="","",IF(INDIRECT("'"&amp;$D22&amp;"'!"&amp;'גיליון עזר'!$J$1&amp;ROW('מרכז מורשת בבל'!$D$21))="","",INDIRECT("'"&amp;$D22&amp;"'!"&amp;'גיליון עזר'!$J$1&amp;ROW('מרכז מורשת בבל'!$D$21))))</f>
        <v/>
      </c>
      <c r="AC22" s="1" t="str">
        <f t="shared" ca="1" si="1"/>
        <v>כינוס</v>
      </c>
      <c r="AD22" s="65" t="str">
        <f t="shared" ca="1" si="1"/>
        <v>הרצאה</v>
      </c>
      <c r="AE22" s="65" t="str">
        <f t="shared" ca="1" si="1"/>
        <v>יום עיון</v>
      </c>
      <c r="AF22" s="65" t="str">
        <f t="shared" ca="1" si="1"/>
        <v>הפקה מורכבת</v>
      </c>
      <c r="AG22" s="1" t="str">
        <f t="shared" ca="1" si="1"/>
        <v>כן</v>
      </c>
      <c r="AH22" s="64" t="str">
        <f t="shared" ca="1" si="1"/>
        <v>לא</v>
      </c>
      <c r="AI22" s="1" t="str">
        <f t="shared" ca="1" si="1"/>
        <v>נאותה</v>
      </c>
      <c r="AJ22" s="1" t="str">
        <f t="shared" ca="1" si="2"/>
        <v>טובה</v>
      </c>
      <c r="AK22" s="64" t="str">
        <f t="shared" ca="1" si="2"/>
        <v>טובה מאוד</v>
      </c>
      <c r="AL22" s="1" t="str">
        <f t="shared" ca="1" si="2"/>
        <v>אחד בשנה</v>
      </c>
      <c r="AM22" s="1" t="str">
        <f t="shared" ca="1" si="2"/>
        <v>שניים בשנה</v>
      </c>
      <c r="AN22" s="1" t="str">
        <f t="shared" ca="1" si="2"/>
        <v>שלוש בשנה</v>
      </c>
      <c r="AO22" s="1" t="str">
        <f t="shared" ca="1" si="2"/>
        <v>מעל 4 בשנה</v>
      </c>
      <c r="AP22" s="3">
        <f t="shared" ca="1" si="3"/>
        <v>11</v>
      </c>
      <c r="AQ22" s="3">
        <f t="shared" ca="1" si="4"/>
        <v>2</v>
      </c>
      <c r="AR22" s="3">
        <f t="shared" ca="1" si="5"/>
        <v>2</v>
      </c>
      <c r="AS22" s="3">
        <f t="shared" ca="1" si="6"/>
        <v>0</v>
      </c>
      <c r="AT22" s="3">
        <f t="shared" ca="1" si="7"/>
        <v>0</v>
      </c>
      <c r="AU22" s="3">
        <f t="shared" ca="1" si="8"/>
        <v>1</v>
      </c>
      <c r="AV22" s="3">
        <f t="shared" ca="1" si="9"/>
        <v>0</v>
      </c>
      <c r="AW22" s="3">
        <f t="shared" ca="1" si="10"/>
        <v>1</v>
      </c>
      <c r="AX22" s="3">
        <f t="shared" ca="1" si="11"/>
        <v>0</v>
      </c>
      <c r="AY22" s="3">
        <f t="shared" ca="1" si="12"/>
        <v>2</v>
      </c>
      <c r="AZ22" s="31">
        <f t="shared" ca="1" si="13"/>
        <v>0</v>
      </c>
      <c r="BA22" s="3">
        <f t="shared" ca="1" si="14"/>
        <v>20</v>
      </c>
      <c r="BB22" s="3" t="str">
        <f t="shared" ca="1" si="15"/>
        <v>טובה מאוד</v>
      </c>
      <c r="BC22" s="37" t="str">
        <f t="shared" ca="1" si="16"/>
        <v>מעל 4 בשנה</v>
      </c>
      <c r="BD22" s="3">
        <f t="shared" ca="1" si="17"/>
        <v>46</v>
      </c>
      <c r="BE22" s="3">
        <f t="shared" ca="1" si="18"/>
        <v>5000</v>
      </c>
      <c r="BF22" s="3" t="str">
        <f t="shared" ca="1" si="19"/>
        <v>כן</v>
      </c>
      <c r="BG22" s="3" t="str">
        <f t="shared" ca="1" si="20"/>
        <v>כן</v>
      </c>
      <c r="BH22" s="3" t="str">
        <f t="shared" ca="1" si="21"/>
        <v>לא</v>
      </c>
      <c r="BI22" s="3">
        <f t="shared" ca="1" si="22"/>
        <v>0</v>
      </c>
      <c r="BJ22" s="3">
        <f t="shared" ca="1" si="23"/>
        <v>1053857</v>
      </c>
      <c r="BK22" s="3">
        <f t="shared" ca="1" si="24"/>
        <v>1913966</v>
      </c>
      <c r="BL22" s="3" t="str">
        <f t="shared" ca="1" si="25"/>
        <v/>
      </c>
    </row>
    <row r="23" spans="1:64" x14ac:dyDescent="0.25">
      <c r="A23" t="str">
        <f ca="1">IF(AND(LEFT(B23,11)&lt;&gt;"גיליון הזנה",INDIRECT("'"&amp;$B23&amp;"'!"&amp;'גיליון עזר'!$I$1&amp;ROW('מרכז מורשת בבל'!$I$3))=""),"חסרה הזנה","")</f>
        <v/>
      </c>
      <c r="B23" s="200" t="str">
        <f ca="1">'הפדרציה העולמית של יהדות מרוקו'!$D$3</f>
        <v>הפדרציה העולמית של יהדות מרוקו</v>
      </c>
      <c r="C23" s="20">
        <v>7</v>
      </c>
      <c r="D23" s="40" t="str">
        <f ca="1">IF(OR(LEFT(B23,11)="גיליון הזנה",INDIRECT("'"&amp;$B23&amp;"'!"&amp;'גיליון עזר'!$I$1&amp;ROW('מרכז מורשת בבל'!$I$3))=0),"",B23)</f>
        <v>הפדרציה העולמית של יהדות מרוקו</v>
      </c>
      <c r="E23" s="57">
        <f t="array" ref="E23:N23" ca="1">IF($D23="","",TRANSPOSE(INDIRECT("'"&amp;$D23&amp;"'!"&amp;'גיליון עזר'!$D$1&amp;ROW('מרכז מורשת בבל'!$D$16)):INDIRECT("'"&amp;$D23&amp;"'!"&amp;'גיליון עזר'!$D$1&amp;ROW('מרכז מורשת בבל'!$D$25))))</f>
        <v>5</v>
      </c>
      <c r="F23" s="58">
        <f ca="1"/>
        <v>9</v>
      </c>
      <c r="G23" s="58">
        <f ca="1"/>
        <v>3</v>
      </c>
      <c r="H23" s="57">
        <f ca="1"/>
        <v>1</v>
      </c>
      <c r="I23" s="57">
        <f ca="1"/>
        <v>0</v>
      </c>
      <c r="J23" s="57">
        <f ca="1"/>
        <v>0</v>
      </c>
      <c r="K23" s="57">
        <f ca="1"/>
        <v>0</v>
      </c>
      <c r="L23" s="57">
        <f ca="1"/>
        <v>0</v>
      </c>
      <c r="M23" s="57">
        <f ca="1"/>
        <v>0</v>
      </c>
      <c r="N23" s="59">
        <f ca="1"/>
        <v>1</v>
      </c>
      <c r="O23" s="60">
        <f ca="1">IF($D23="","",INDIRECT("'"&amp;$D23&amp;"'!"&amp;'גיליון עזר'!$F$1&amp;ROW('מרכז מורשת בבל'!$B$78)))</f>
        <v>0</v>
      </c>
      <c r="P23" s="58">
        <f t="array" ref="P23:Q23" ca="1">IF($D23="","",TRANSPOSE(INDIRECT("'"&amp;$D23&amp;"'!"&amp;'גיליון עזר'!$G$1&amp;ROW('מרכז מורשת בבל'!$D$16)):INDIRECT("'"&amp;$D23&amp;"'!"&amp;'גיליון עזר'!$G$1&amp;ROW('מרכז מורשת בבל'!$D$17))))</f>
        <v>15</v>
      </c>
      <c r="Q23" s="61" t="str">
        <f ca="1"/>
        <v>נאותה</v>
      </c>
      <c r="R23" s="62" t="str">
        <f t="array" ref="R23:V23" ca="1">IF($D23="","",TRANSPOSE(INDIRECT("'"&amp;$D23&amp;"'!"&amp;'גיליון עזר'!$N$1&amp;ROW('מרכז מורשת בבל'!$D$16)):INDIRECT("'"&amp;$D23&amp;"'!"&amp;'גיליון עזר'!$N$1&amp;ROW('מרכז מורשת בבל'!$D$20))))</f>
        <v>שלוש בשנה</v>
      </c>
      <c r="S23" s="58">
        <f ca="1"/>
        <v>70</v>
      </c>
      <c r="T23" s="58">
        <f ca="1"/>
        <v>150</v>
      </c>
      <c r="U23" s="58" t="str">
        <f ca="1"/>
        <v>כן</v>
      </c>
      <c r="V23" s="58" t="str">
        <f ca="1"/>
        <v>כן</v>
      </c>
      <c r="W23" s="60" t="str">
        <f ca="1">IF($D23="","",INDIRECT("'"&amp;$D23&amp;"'!"&amp;'גיליון עזר'!$N$1&amp;ROW('מרכז מורשת בבל'!$J$21)))</f>
        <v>לא</v>
      </c>
      <c r="X23" s="60">
        <f ca="1">IF($D23="","",INDIRECT("'"&amp;$D23&amp;"'!"&amp;'גיליון עזר'!$L$1&amp;ROW('מרכז מורשת בבל'!$J$78)))</f>
        <v>0</v>
      </c>
      <c r="Y23" s="63">
        <f t="array" ref="Y23:Z23" ca="1">IF($D23="","",TRANSPOSE(INDIRECT("'"&amp;$D23&amp;"'!"&amp;'גיליון עזר'!$J$1&amp;ROW('מרכז מורשת בבל'!$D$17)):INDIRECT("'"&amp;$D23&amp;"'!"&amp;'גיליון עזר'!$J$1&amp;ROW('מרכז מורשת בבל'!$D$18))))</f>
        <v>338238</v>
      </c>
      <c r="Z23" s="63">
        <f ca="1"/>
        <v>794993</v>
      </c>
      <c r="AA23" s="104" t="str">
        <f ca="1">IF($D23="","",IF(INDIRECT("'"&amp;$D23&amp;"'!"&amp;'גיליון עזר'!$J$1&amp;ROW('מרכז מורשת בבל'!$D$21))="","",INDIRECT("'"&amp;$D23&amp;"'!"&amp;'גיליון עזר'!$J$1&amp;ROW('מרכז מורשת בבל'!$D$21))))</f>
        <v/>
      </c>
      <c r="AC23" s="1" t="str">
        <f t="shared" ca="1" si="1"/>
        <v>כינוס</v>
      </c>
      <c r="AD23" s="65" t="str">
        <f t="shared" ca="1" si="1"/>
        <v>הרצאה</v>
      </c>
      <c r="AE23" s="65" t="str">
        <f t="shared" ca="1" si="1"/>
        <v>יום עיון</v>
      </c>
      <c r="AF23" s="65" t="str">
        <f t="shared" ca="1" si="1"/>
        <v>הפקה מורכבת</v>
      </c>
      <c r="AG23" s="1" t="str">
        <f t="shared" ca="1" si="1"/>
        <v>כן</v>
      </c>
      <c r="AH23" s="64" t="str">
        <f t="shared" ca="1" si="1"/>
        <v>לא</v>
      </c>
      <c r="AI23" s="1" t="str">
        <f t="shared" ca="1" si="1"/>
        <v>נאותה</v>
      </c>
      <c r="AJ23" s="1" t="str">
        <f t="shared" ca="1" si="2"/>
        <v>טובה</v>
      </c>
      <c r="AK23" s="64" t="str">
        <f t="shared" ca="1" si="2"/>
        <v>טובה מאוד</v>
      </c>
      <c r="AL23" s="1" t="str">
        <f t="shared" ca="1" si="2"/>
        <v>אחד בשנה</v>
      </c>
      <c r="AM23" s="1" t="str">
        <f t="shared" ca="1" si="2"/>
        <v>שניים בשנה</v>
      </c>
      <c r="AN23" s="1" t="str">
        <f t="shared" ca="1" si="2"/>
        <v>שלוש בשנה</v>
      </c>
      <c r="AO23" s="1" t="str">
        <f t="shared" ca="1" si="2"/>
        <v>מעל 4 בשנה</v>
      </c>
      <c r="AP23" s="3">
        <f t="shared" ca="1" si="3"/>
        <v>5</v>
      </c>
      <c r="AQ23" s="3">
        <f t="shared" ca="1" si="4"/>
        <v>9</v>
      </c>
      <c r="AR23" s="3">
        <f t="shared" ca="1" si="5"/>
        <v>3</v>
      </c>
      <c r="AS23" s="3">
        <f t="shared" ca="1" si="6"/>
        <v>1</v>
      </c>
      <c r="AT23" s="3">
        <f t="shared" ca="1" si="7"/>
        <v>0</v>
      </c>
      <c r="AU23" s="3">
        <f t="shared" ca="1" si="8"/>
        <v>0</v>
      </c>
      <c r="AV23" s="3">
        <f t="shared" ca="1" si="9"/>
        <v>0</v>
      </c>
      <c r="AW23" s="3">
        <f t="shared" ca="1" si="10"/>
        <v>0</v>
      </c>
      <c r="AX23" s="3">
        <f t="shared" ca="1" si="11"/>
        <v>0</v>
      </c>
      <c r="AY23" s="3">
        <f t="shared" ca="1" si="12"/>
        <v>1</v>
      </c>
      <c r="AZ23" s="31">
        <f t="shared" ca="1" si="13"/>
        <v>0</v>
      </c>
      <c r="BA23" s="3">
        <f t="shared" ca="1" si="14"/>
        <v>15</v>
      </c>
      <c r="BB23" s="3" t="str">
        <f t="shared" ca="1" si="15"/>
        <v>נאותה</v>
      </c>
      <c r="BC23" s="37" t="str">
        <f t="shared" ca="1" si="16"/>
        <v>שלוש בשנה</v>
      </c>
      <c r="BD23" s="3">
        <f t="shared" ca="1" si="17"/>
        <v>70</v>
      </c>
      <c r="BE23" s="3">
        <f t="shared" ca="1" si="18"/>
        <v>150</v>
      </c>
      <c r="BF23" s="3" t="str">
        <f t="shared" ca="1" si="19"/>
        <v>כן</v>
      </c>
      <c r="BG23" s="3" t="str">
        <f t="shared" ca="1" si="20"/>
        <v>כן</v>
      </c>
      <c r="BH23" s="3" t="str">
        <f t="shared" ca="1" si="21"/>
        <v>לא</v>
      </c>
      <c r="BI23" s="3">
        <f t="shared" ca="1" si="22"/>
        <v>0</v>
      </c>
      <c r="BJ23" s="3">
        <f t="shared" ca="1" si="23"/>
        <v>338238</v>
      </c>
      <c r="BK23" s="3">
        <f t="shared" ca="1" si="24"/>
        <v>794993</v>
      </c>
      <c r="BL23" s="3" t="str">
        <f t="shared" ca="1" si="25"/>
        <v/>
      </c>
    </row>
    <row r="24" spans="1:64" x14ac:dyDescent="0.25">
      <c r="A24" t="str">
        <f ca="1">IF(AND(LEFT(B24,11)&lt;&gt;"גיליון הזנה",INDIRECT("'"&amp;$B24&amp;"'!"&amp;'גיליון עזר'!$I$1&amp;ROW('מרכז מורשת בבל'!$I$3))=""),"חסרה הזנה","")</f>
        <v/>
      </c>
      <c r="B24" s="200" t="str">
        <f ca="1">'אורות הגליל'!$D$3</f>
        <v>אורות הגליל</v>
      </c>
      <c r="C24" s="20">
        <v>8</v>
      </c>
      <c r="D24" s="40" t="str">
        <f ca="1">IF(OR(LEFT(B24,11)="גיליון הזנה",INDIRECT("'"&amp;$B24&amp;"'!"&amp;'גיליון עזר'!$I$1&amp;ROW('מרכז מורשת בבל'!$I$3))=0),"",B24)</f>
        <v>אורות הגליל</v>
      </c>
      <c r="E24" s="57">
        <f t="array" ref="E24:N24" ca="1">IF($D24="","",TRANSPOSE(INDIRECT("'"&amp;$D24&amp;"'!"&amp;'גיליון עזר'!$D$1&amp;ROW('מרכז מורשת בבל'!$D$16)):INDIRECT("'"&amp;$D24&amp;"'!"&amp;'גיליון עזר'!$D$1&amp;ROW('מרכז מורשת בבל'!$D$25))))</f>
        <v>28</v>
      </c>
      <c r="F24" s="58">
        <f ca="1"/>
        <v>3</v>
      </c>
      <c r="G24" s="58">
        <f ca="1"/>
        <v>0</v>
      </c>
      <c r="H24" s="57">
        <f ca="1"/>
        <v>5</v>
      </c>
      <c r="I24" s="57">
        <f ca="1"/>
        <v>0</v>
      </c>
      <c r="J24" s="57">
        <f ca="1"/>
        <v>16</v>
      </c>
      <c r="K24" s="57">
        <f ca="1"/>
        <v>0</v>
      </c>
      <c r="L24" s="57">
        <f ca="1"/>
        <v>9</v>
      </c>
      <c r="M24" s="57">
        <f ca="1"/>
        <v>0</v>
      </c>
      <c r="N24" s="59">
        <f ca="1"/>
        <v>6</v>
      </c>
      <c r="O24" s="60">
        <f ca="1">IF($D24="","",INDIRECT("'"&amp;$D24&amp;"'!"&amp;'גיליון עזר'!$F$1&amp;ROW('מרכז מורשת בבל'!$B$78)))</f>
        <v>210</v>
      </c>
      <c r="P24" s="58">
        <f t="array" ref="P24:Q24" ca="1">IF($D24="","",TRANSPOSE(INDIRECT("'"&amp;$D24&amp;"'!"&amp;'גיליון עזר'!$G$1&amp;ROW('מרכז מורשת בבל'!$D$16)):INDIRECT("'"&amp;$D24&amp;"'!"&amp;'גיליון עזר'!$G$1&amp;ROW('מרכז מורשת בבל'!$D$17))))</f>
        <v>400</v>
      </c>
      <c r="Q24" s="61" t="str">
        <f ca="1"/>
        <v>נאותה</v>
      </c>
      <c r="R24" s="62">
        <f t="array" ref="R24:V24" ca="1">IF($D24="","",TRANSPOSE(INDIRECT("'"&amp;$D24&amp;"'!"&amp;'גיליון עזר'!$N$1&amp;ROW('מרכז מורשת בבל'!$D$16)):INDIRECT("'"&amp;$D24&amp;"'!"&amp;'גיליון עזר'!$N$1&amp;ROW('מרכז מורשת בבל'!$D$20))))</f>
        <v>0</v>
      </c>
      <c r="S24" s="58">
        <f ca="1"/>
        <v>0</v>
      </c>
      <c r="T24" s="58">
        <f ca="1"/>
        <v>0</v>
      </c>
      <c r="U24" s="58">
        <f ca="1"/>
        <v>0</v>
      </c>
      <c r="V24" s="58">
        <f ca="1"/>
        <v>0</v>
      </c>
      <c r="W24" s="60">
        <f ca="1">IF($D24="","",INDIRECT("'"&amp;$D24&amp;"'!"&amp;'גיליון עזר'!$N$1&amp;ROW('מרכז מורשת בבל'!$J$21)))</f>
        <v>0</v>
      </c>
      <c r="X24" s="60">
        <f ca="1">IF($D24="","",INDIRECT("'"&amp;$D24&amp;"'!"&amp;'גיליון עזר'!$L$1&amp;ROW('מרכז מורשת בבל'!$J$78)))</f>
        <v>0</v>
      </c>
      <c r="Y24" s="63">
        <f t="array" ref="Y24:Z24" ca="1">IF($D24="","",TRANSPOSE(INDIRECT("'"&amp;$D24&amp;"'!"&amp;'גיליון עזר'!$J$1&amp;ROW('מרכז מורשת בבל'!$D$17)):INDIRECT("'"&amp;$D24&amp;"'!"&amp;'גיליון עזר'!$J$1&amp;ROW('מרכז מורשת בבל'!$D$18))))</f>
        <v>227310</v>
      </c>
      <c r="Z24" s="63">
        <f ca="1"/>
        <v>538632</v>
      </c>
      <c r="AA24" s="104" t="str">
        <f ca="1">IF($D24="","",IF(INDIRECT("'"&amp;$D24&amp;"'!"&amp;'גיליון עזר'!$J$1&amp;ROW('מרכז מורשת בבל'!$D$21))="","",INDIRECT("'"&amp;$D24&amp;"'!"&amp;'גיליון עזר'!$J$1&amp;ROW('מרכז מורשת בבל'!$D$21))))</f>
        <v>מעל 50%</v>
      </c>
      <c r="AC24" s="1" t="str">
        <f t="shared" ca="1" si="1"/>
        <v>כינוס</v>
      </c>
      <c r="AD24" s="65" t="str">
        <f t="shared" ca="1" si="1"/>
        <v>הרצאה</v>
      </c>
      <c r="AE24" s="65" t="str">
        <f t="shared" ca="1" si="1"/>
        <v>יום עיון</v>
      </c>
      <c r="AF24" s="65" t="str">
        <f t="shared" ca="1" si="1"/>
        <v>הפקה מורכבת</v>
      </c>
      <c r="AG24" s="1" t="str">
        <f t="shared" ca="1" si="1"/>
        <v>כן</v>
      </c>
      <c r="AH24" s="64" t="str">
        <f t="shared" ca="1" si="1"/>
        <v>לא</v>
      </c>
      <c r="AI24" s="1" t="str">
        <f t="shared" ca="1" si="1"/>
        <v>נאותה</v>
      </c>
      <c r="AJ24" s="1" t="str">
        <f t="shared" ca="1" si="2"/>
        <v>טובה</v>
      </c>
      <c r="AK24" s="64" t="str">
        <f t="shared" ca="1" si="2"/>
        <v>טובה מאוד</v>
      </c>
      <c r="AL24" s="1" t="str">
        <f t="shared" ca="1" si="2"/>
        <v>אחד בשנה</v>
      </c>
      <c r="AM24" s="1" t="str">
        <f t="shared" ca="1" si="2"/>
        <v>שניים בשנה</v>
      </c>
      <c r="AN24" s="1" t="str">
        <f t="shared" ca="1" si="2"/>
        <v>שלוש בשנה</v>
      </c>
      <c r="AO24" s="1" t="str">
        <f t="shared" ca="1" si="2"/>
        <v>מעל 4 בשנה</v>
      </c>
      <c r="AP24" s="3">
        <f t="shared" ca="1" si="3"/>
        <v>28</v>
      </c>
      <c r="AQ24" s="3">
        <f t="shared" ca="1" si="4"/>
        <v>3</v>
      </c>
      <c r="AR24" s="3">
        <f t="shared" ca="1" si="5"/>
        <v>0</v>
      </c>
      <c r="AS24" s="3">
        <f t="shared" ca="1" si="6"/>
        <v>5</v>
      </c>
      <c r="AT24" s="3">
        <f t="shared" ca="1" si="7"/>
        <v>0</v>
      </c>
      <c r="AU24" s="3">
        <f t="shared" ca="1" si="8"/>
        <v>16</v>
      </c>
      <c r="AV24" s="3">
        <f t="shared" ca="1" si="9"/>
        <v>0</v>
      </c>
      <c r="AW24" s="3">
        <f t="shared" ca="1" si="10"/>
        <v>9</v>
      </c>
      <c r="AX24" s="3">
        <f t="shared" ca="1" si="11"/>
        <v>0</v>
      </c>
      <c r="AY24" s="3">
        <f t="shared" ca="1" si="12"/>
        <v>6</v>
      </c>
      <c r="AZ24" s="31">
        <f t="shared" ca="1" si="13"/>
        <v>210</v>
      </c>
      <c r="BA24" s="3">
        <f t="shared" ca="1" si="14"/>
        <v>400</v>
      </c>
      <c r="BB24" s="3" t="str">
        <f t="shared" ca="1" si="15"/>
        <v>נאותה</v>
      </c>
      <c r="BC24" s="37">
        <f t="shared" ca="1" si="16"/>
        <v>0</v>
      </c>
      <c r="BD24" s="3">
        <f t="shared" ca="1" si="17"/>
        <v>0</v>
      </c>
      <c r="BE24" s="3">
        <f t="shared" ca="1" si="18"/>
        <v>0</v>
      </c>
      <c r="BF24" s="3">
        <f t="shared" ca="1" si="19"/>
        <v>0</v>
      </c>
      <c r="BG24" s="3">
        <f t="shared" ca="1" si="20"/>
        <v>0</v>
      </c>
      <c r="BH24" s="3">
        <f t="shared" ca="1" si="21"/>
        <v>0</v>
      </c>
      <c r="BI24" s="3">
        <f t="shared" ca="1" si="22"/>
        <v>0</v>
      </c>
      <c r="BJ24" s="3">
        <f t="shared" ca="1" si="23"/>
        <v>227310</v>
      </c>
      <c r="BK24" s="3">
        <f t="shared" ca="1" si="24"/>
        <v>538632</v>
      </c>
      <c r="BL24" s="3" t="str">
        <f t="shared" ca="1" si="25"/>
        <v>מעל 50%</v>
      </c>
    </row>
    <row r="25" spans="1:64" x14ac:dyDescent="0.25">
      <c r="A25" t="str">
        <f ca="1">IF(AND(LEFT(B25,11)&lt;&gt;"גיליון הזנה",INDIRECT("'"&amp;$B25&amp;"'!"&amp;'גיליון עזר'!$I$1&amp;ROW('מרכז מורשת בבל'!$I$3))=""),"חסרה הזנה","")</f>
        <v/>
      </c>
      <c r="B25" s="200" t="str">
        <f ca="1">אלמז!$D$3</f>
        <v>אלמז</v>
      </c>
      <c r="C25" s="20">
        <v>9</v>
      </c>
      <c r="D25" s="40" t="str">
        <f ca="1">IF(OR(LEFT(B25,11)="גיליון הזנה",INDIRECT("'"&amp;$B25&amp;"'!"&amp;'גיליון עזר'!$I$1&amp;ROW('מרכז מורשת בבל'!$I$3))=0),"",B25)</f>
        <v>אלמז</v>
      </c>
      <c r="E25" s="57">
        <f t="array" ref="E25:N25" ca="1">IF($D25="","",TRANSPOSE(INDIRECT("'"&amp;$D25&amp;"'!"&amp;'גיליון עזר'!$D$1&amp;ROW('מרכז מורשת בבל'!$D$16)):INDIRECT("'"&amp;$D25&amp;"'!"&amp;'גיליון עזר'!$D$1&amp;ROW('מרכז מורשת בבל'!$D$25))))</f>
        <v>3</v>
      </c>
      <c r="F25" s="58">
        <f ca="1"/>
        <v>10</v>
      </c>
      <c r="G25" s="58">
        <f ca="1"/>
        <v>0</v>
      </c>
      <c r="H25" s="57">
        <f ca="1"/>
        <v>2</v>
      </c>
      <c r="I25" s="57">
        <f ca="1"/>
        <v>1</v>
      </c>
      <c r="J25" s="57">
        <f ca="1"/>
        <v>4</v>
      </c>
      <c r="K25" s="57">
        <f ca="1"/>
        <v>1</v>
      </c>
      <c r="L25" s="57">
        <f ca="1"/>
        <v>4</v>
      </c>
      <c r="M25" s="57">
        <f ca="1"/>
        <v>1</v>
      </c>
      <c r="N25" s="59">
        <f ca="1"/>
        <v>2</v>
      </c>
      <c r="O25" s="60">
        <f ca="1">IF($D25="","",INDIRECT("'"&amp;$D25&amp;"'!"&amp;'גיליון עזר'!$F$1&amp;ROW('מרכז מורשת בבל'!$B$78)))</f>
        <v>150</v>
      </c>
      <c r="P25" s="58">
        <f t="array" ref="P25:Q25" ca="1">IF($D25="","",TRANSPOSE(INDIRECT("'"&amp;$D25&amp;"'!"&amp;'גיליון עזר'!$G$1&amp;ROW('מרכז מורשת בבל'!$D$16)):INDIRECT("'"&amp;$D25&amp;"'!"&amp;'גיליון עזר'!$G$1&amp;ROW('מרכז מורשת בבל'!$D$17))))</f>
        <v>10</v>
      </c>
      <c r="Q25" s="61">
        <f ca="1"/>
        <v>0</v>
      </c>
      <c r="R25" s="62" t="str">
        <f t="array" ref="R25:V25" ca="1">IF($D25="","",TRANSPOSE(INDIRECT("'"&amp;$D25&amp;"'!"&amp;'גיליון עזר'!$N$1&amp;ROW('מרכז מורשת בבל'!$D$16)):INDIRECT("'"&amp;$D25&amp;"'!"&amp;'גיליון עזר'!$N$1&amp;ROW('מרכז מורשת בבל'!$D$20))))</f>
        <v>שניים בשנה</v>
      </c>
      <c r="S25" s="58">
        <f ca="1"/>
        <v>16</v>
      </c>
      <c r="T25" s="58">
        <f ca="1"/>
        <v>200</v>
      </c>
      <c r="U25" s="58" t="str">
        <f ca="1"/>
        <v>לא</v>
      </c>
      <c r="V25" s="58" t="str">
        <f ca="1"/>
        <v>לא</v>
      </c>
      <c r="W25" s="60" t="str">
        <f ca="1">IF($D25="","",INDIRECT("'"&amp;$D25&amp;"'!"&amp;'גיליון עזר'!$N$1&amp;ROW('מרכז מורשת בבל'!$J$21)))</f>
        <v>לא</v>
      </c>
      <c r="X25" s="60">
        <f ca="1">IF($D25="","",INDIRECT("'"&amp;$D25&amp;"'!"&amp;'גיליון עזר'!$L$1&amp;ROW('מרכז מורשת בבל'!$J$78)))</f>
        <v>0</v>
      </c>
      <c r="Y25" s="63">
        <f t="array" ref="Y25:Z25" ca="1">IF($D25="","",TRANSPOSE(INDIRECT("'"&amp;$D25&amp;"'!"&amp;'גיליון עזר'!$J$1&amp;ROW('מרכז מורשת בבל'!$D$17)):INDIRECT("'"&amp;$D25&amp;"'!"&amp;'גיליון עזר'!$J$1&amp;ROW('מרכז מורשת בבל'!$D$18))))</f>
        <v>95748</v>
      </c>
      <c r="Z25" s="63">
        <f ca="1"/>
        <v>296291</v>
      </c>
      <c r="AA25" s="104" t="str">
        <f ca="1">IF($D25="","",IF(INDIRECT("'"&amp;$D25&amp;"'!"&amp;'גיליון עזר'!$J$1&amp;ROW('מרכז מורשת בבל'!$D$21))="","",INDIRECT("'"&amp;$D25&amp;"'!"&amp;'גיליון עזר'!$J$1&amp;ROW('מרכז מורשת בבל'!$D$21))))</f>
        <v/>
      </c>
      <c r="AC25" s="1" t="str">
        <f t="shared" ca="1" si="1"/>
        <v>כינוס</v>
      </c>
      <c r="AD25" s="65" t="str">
        <f t="shared" ca="1" si="1"/>
        <v>הרצאה</v>
      </c>
      <c r="AE25" s="65" t="str">
        <f t="shared" ca="1" si="1"/>
        <v>יום עיון</v>
      </c>
      <c r="AF25" s="65" t="str">
        <f t="shared" ca="1" si="1"/>
        <v>הפקה מורכבת</v>
      </c>
      <c r="AG25" s="1" t="str">
        <f t="shared" ca="1" si="1"/>
        <v>כן</v>
      </c>
      <c r="AH25" s="64" t="str">
        <f t="shared" ca="1" si="1"/>
        <v>לא</v>
      </c>
      <c r="AI25" s="1" t="str">
        <f t="shared" ca="1" si="1"/>
        <v>נאותה</v>
      </c>
      <c r="AJ25" s="1" t="str">
        <f t="shared" ca="1" si="2"/>
        <v>טובה</v>
      </c>
      <c r="AK25" s="64" t="str">
        <f t="shared" ca="1" si="2"/>
        <v>טובה מאוד</v>
      </c>
      <c r="AL25" s="1" t="str">
        <f t="shared" ca="1" si="2"/>
        <v>אחד בשנה</v>
      </c>
      <c r="AM25" s="1" t="str">
        <f t="shared" ca="1" si="2"/>
        <v>שניים בשנה</v>
      </c>
      <c r="AN25" s="1" t="str">
        <f t="shared" ca="1" si="2"/>
        <v>שלוש בשנה</v>
      </c>
      <c r="AO25" s="1" t="str">
        <f t="shared" ca="1" si="2"/>
        <v>מעל 4 בשנה</v>
      </c>
      <c r="AP25" s="3">
        <f t="shared" ca="1" si="3"/>
        <v>3</v>
      </c>
      <c r="AQ25" s="3">
        <f t="shared" ca="1" si="4"/>
        <v>10</v>
      </c>
      <c r="AR25" s="3">
        <f t="shared" ca="1" si="5"/>
        <v>0</v>
      </c>
      <c r="AS25" s="3">
        <f t="shared" ca="1" si="6"/>
        <v>2</v>
      </c>
      <c r="AT25" s="3">
        <f t="shared" ca="1" si="7"/>
        <v>1</v>
      </c>
      <c r="AU25" s="3">
        <f t="shared" ca="1" si="8"/>
        <v>4</v>
      </c>
      <c r="AV25" s="3">
        <f t="shared" ca="1" si="9"/>
        <v>1</v>
      </c>
      <c r="AW25" s="3">
        <f t="shared" ca="1" si="10"/>
        <v>4</v>
      </c>
      <c r="AX25" s="3">
        <f t="shared" ca="1" si="11"/>
        <v>1</v>
      </c>
      <c r="AY25" s="3">
        <f t="shared" ca="1" si="12"/>
        <v>2</v>
      </c>
      <c r="AZ25" s="31">
        <f t="shared" ca="1" si="13"/>
        <v>150</v>
      </c>
      <c r="BA25" s="3">
        <f t="shared" ca="1" si="14"/>
        <v>10</v>
      </c>
      <c r="BB25" s="3">
        <f t="shared" ca="1" si="15"/>
        <v>0</v>
      </c>
      <c r="BC25" s="37" t="str">
        <f t="shared" ca="1" si="16"/>
        <v>שניים בשנה</v>
      </c>
      <c r="BD25" s="3">
        <f t="shared" ca="1" si="17"/>
        <v>16</v>
      </c>
      <c r="BE25" s="3">
        <f t="shared" ca="1" si="18"/>
        <v>200</v>
      </c>
      <c r="BF25" s="3" t="str">
        <f t="shared" ca="1" si="19"/>
        <v>לא</v>
      </c>
      <c r="BG25" s="3" t="str">
        <f t="shared" ca="1" si="20"/>
        <v>לא</v>
      </c>
      <c r="BH25" s="3" t="str">
        <f t="shared" ca="1" si="21"/>
        <v>לא</v>
      </c>
      <c r="BI25" s="3">
        <f t="shared" ca="1" si="22"/>
        <v>0</v>
      </c>
      <c r="BJ25" s="3">
        <f t="shared" ca="1" si="23"/>
        <v>95748</v>
      </c>
      <c r="BK25" s="3">
        <f t="shared" ca="1" si="24"/>
        <v>296291</v>
      </c>
      <c r="BL25" s="3" t="str">
        <f t="shared" ca="1" si="25"/>
        <v/>
      </c>
    </row>
    <row r="26" spans="1:64" x14ac:dyDescent="0.25">
      <c r="A26" t="str">
        <f ca="1">IF(AND(LEFT(B26,11)&lt;&gt;"גיליון הזנה",INDIRECT("'"&amp;$B26&amp;"'!"&amp;'גיליון עזר'!$I$1&amp;ROW('מרכז מורשת בבל'!$I$3))=""),"חסרה הזנה","")</f>
        <v/>
      </c>
      <c r="B26" s="200" t="str">
        <f ca="1">'קונגרס יהודי בוכרה'!$D$3</f>
        <v>קונגרס יהודי בוכרה</v>
      </c>
      <c r="C26" s="20">
        <v>10</v>
      </c>
      <c r="D26" s="40" t="str">
        <f ca="1">IF(OR(LEFT(B26,11)="גיליון הזנה",INDIRECT("'"&amp;$B26&amp;"'!"&amp;'גיליון עזר'!$I$1&amp;ROW('מרכז מורשת בבל'!$I$3))=0),"",B26)</f>
        <v>קונגרס יהודי בוכרה</v>
      </c>
      <c r="E26" s="57">
        <f t="array" ref="E26:N26" ca="1">IF($D26="","",TRANSPOSE(INDIRECT("'"&amp;$D26&amp;"'!"&amp;'גיליון עזר'!$D$1&amp;ROW('מרכז מורשת בבל'!$D$16)):INDIRECT("'"&amp;$D26&amp;"'!"&amp;'גיליון עזר'!$D$1&amp;ROW('מרכז מורשת בבל'!$D$25))))</f>
        <v>0</v>
      </c>
      <c r="F26" s="58">
        <f ca="1"/>
        <v>159</v>
      </c>
      <c r="G26" s="58">
        <f ca="1"/>
        <v>0</v>
      </c>
      <c r="H26" s="57">
        <f ca="1"/>
        <v>0</v>
      </c>
      <c r="I26" s="57">
        <f ca="1"/>
        <v>0</v>
      </c>
      <c r="J26" s="57">
        <f ca="1"/>
        <v>30</v>
      </c>
      <c r="K26" s="57">
        <f ca="1"/>
        <v>0</v>
      </c>
      <c r="L26" s="57">
        <f ca="1"/>
        <v>30</v>
      </c>
      <c r="M26" s="57">
        <f ca="1"/>
        <v>0</v>
      </c>
      <c r="N26" s="59">
        <f ca="1"/>
        <v>74</v>
      </c>
      <c r="O26" s="60">
        <f ca="1">IF($D26="","",INDIRECT("'"&amp;$D26&amp;"'!"&amp;'גיליון עזר'!$F$1&amp;ROW('מרכז מורשת בבל'!$B$78)))</f>
        <v>0</v>
      </c>
      <c r="P26" s="58">
        <f t="array" ref="P26:Q26" ca="1">IF($D26="","",TRANSPOSE(INDIRECT("'"&amp;$D26&amp;"'!"&amp;'גיליון עזר'!$G$1&amp;ROW('מרכז מורשת בבל'!$D$16)):INDIRECT("'"&amp;$D26&amp;"'!"&amp;'גיליון עזר'!$G$1&amp;ROW('מרכז מורשת בבל'!$D$17))))</f>
        <v>18</v>
      </c>
      <c r="Q26" s="61" t="str">
        <f ca="1"/>
        <v>נאותה</v>
      </c>
      <c r="R26" s="62" t="str">
        <f t="array" ref="R26:V26" ca="1">IF($D26="","",TRANSPOSE(INDIRECT("'"&amp;$D26&amp;"'!"&amp;'גיליון עזר'!$N$1&amp;ROW('מרכז מורשת בבל'!$D$16)):INDIRECT("'"&amp;$D26&amp;"'!"&amp;'גיליון עזר'!$N$1&amp;ROW('מרכז מורשת בבל'!$D$20))))</f>
        <v>מעל 4 בשנה</v>
      </c>
      <c r="S26" s="58">
        <f ca="1"/>
        <v>40</v>
      </c>
      <c r="T26" s="58">
        <f ca="1"/>
        <v>12000</v>
      </c>
      <c r="U26" s="58" t="str">
        <f ca="1"/>
        <v>כן</v>
      </c>
      <c r="V26" s="58" t="str">
        <f ca="1"/>
        <v>כן</v>
      </c>
      <c r="W26" s="60" t="str">
        <f ca="1">IF($D26="","",INDIRECT("'"&amp;$D26&amp;"'!"&amp;'גיליון עזר'!$N$1&amp;ROW('מרכז מורשת בבל'!$J$21)))</f>
        <v>לא</v>
      </c>
      <c r="X26" s="60">
        <f ca="1">IF($D26="","",INDIRECT("'"&amp;$D26&amp;"'!"&amp;'גיליון עזר'!$L$1&amp;ROW('מרכז מורשת בבל'!$J$78)))</f>
        <v>0</v>
      </c>
      <c r="Y26" s="63">
        <f t="array" ref="Y26:Z26" ca="1">IF($D26="","",TRANSPOSE(INDIRECT("'"&amp;$D26&amp;"'!"&amp;'גיליון עזר'!$J$1&amp;ROW('מרכז מורשת בבל'!$D$17)):INDIRECT("'"&amp;$D26&amp;"'!"&amp;'גיליון עזר'!$J$1&amp;ROW('מרכז מורשת בבל'!$D$18))))</f>
        <v>2231514</v>
      </c>
      <c r="Z26" s="63">
        <f ca="1"/>
        <v>3331514</v>
      </c>
      <c r="AA26" s="104" t="str">
        <f ca="1">IF($D26="","",IF(INDIRECT("'"&amp;$D26&amp;"'!"&amp;'גיליון עזר'!$J$1&amp;ROW('מרכז מורשת בבל'!$D$21))="","",INDIRECT("'"&amp;$D26&amp;"'!"&amp;'גיליון עזר'!$J$1&amp;ROW('מרכז מורשת בבל'!$D$21))))</f>
        <v>מעל 20%</v>
      </c>
      <c r="AC26" s="1" t="str">
        <f t="shared" ca="1" si="1"/>
        <v>כינוס</v>
      </c>
      <c r="AD26" s="65" t="str">
        <f t="shared" ca="1" si="1"/>
        <v>הרצאה</v>
      </c>
      <c r="AE26" s="65" t="str">
        <f t="shared" ca="1" si="1"/>
        <v>יום עיון</v>
      </c>
      <c r="AF26" s="65" t="str">
        <f t="shared" ca="1" si="1"/>
        <v>הפקה מורכבת</v>
      </c>
      <c r="AG26" s="1" t="str">
        <f t="shared" ca="1" si="1"/>
        <v>כן</v>
      </c>
      <c r="AH26" s="64" t="str">
        <f t="shared" ca="1" si="1"/>
        <v>לא</v>
      </c>
      <c r="AI26" s="1" t="str">
        <f t="shared" ca="1" si="1"/>
        <v>נאותה</v>
      </c>
      <c r="AJ26" s="1" t="str">
        <f t="shared" ca="1" si="2"/>
        <v>טובה</v>
      </c>
      <c r="AK26" s="64" t="str">
        <f t="shared" ca="1" si="2"/>
        <v>טובה מאוד</v>
      </c>
      <c r="AL26" s="1" t="str">
        <f t="shared" ca="1" si="2"/>
        <v>אחד בשנה</v>
      </c>
      <c r="AM26" s="1" t="str">
        <f t="shared" ca="1" si="2"/>
        <v>שניים בשנה</v>
      </c>
      <c r="AN26" s="1" t="str">
        <f t="shared" ca="1" si="2"/>
        <v>שלוש בשנה</v>
      </c>
      <c r="AO26" s="1" t="str">
        <f t="shared" ca="1" si="2"/>
        <v>מעל 4 בשנה</v>
      </c>
      <c r="AP26" s="3">
        <f t="shared" ca="1" si="3"/>
        <v>0</v>
      </c>
      <c r="AQ26" s="3">
        <f t="shared" ca="1" si="4"/>
        <v>159</v>
      </c>
      <c r="AR26" s="3">
        <f t="shared" ca="1" si="5"/>
        <v>0</v>
      </c>
      <c r="AS26" s="3">
        <f t="shared" ca="1" si="6"/>
        <v>0</v>
      </c>
      <c r="AT26" s="3">
        <f t="shared" ca="1" si="7"/>
        <v>0</v>
      </c>
      <c r="AU26" s="3">
        <f t="shared" ca="1" si="8"/>
        <v>30</v>
      </c>
      <c r="AV26" s="3">
        <f t="shared" ca="1" si="9"/>
        <v>0</v>
      </c>
      <c r="AW26" s="3">
        <f t="shared" ca="1" si="10"/>
        <v>30</v>
      </c>
      <c r="AX26" s="3">
        <f t="shared" ca="1" si="11"/>
        <v>0</v>
      </c>
      <c r="AY26" s="3">
        <f t="shared" ca="1" si="12"/>
        <v>74</v>
      </c>
      <c r="AZ26" s="31">
        <f t="shared" ca="1" si="13"/>
        <v>0</v>
      </c>
      <c r="BA26" s="3">
        <f t="shared" ca="1" si="14"/>
        <v>18</v>
      </c>
      <c r="BB26" s="3" t="str">
        <f t="shared" ca="1" si="15"/>
        <v>נאותה</v>
      </c>
      <c r="BC26" s="37" t="str">
        <f t="shared" ca="1" si="16"/>
        <v>מעל 4 בשנה</v>
      </c>
      <c r="BD26" s="3">
        <f t="shared" ca="1" si="17"/>
        <v>40</v>
      </c>
      <c r="BE26" s="3">
        <f t="shared" ca="1" si="18"/>
        <v>12000</v>
      </c>
      <c r="BF26" s="3" t="str">
        <f t="shared" ca="1" si="19"/>
        <v>כן</v>
      </c>
      <c r="BG26" s="3" t="str">
        <f t="shared" ca="1" si="20"/>
        <v>כן</v>
      </c>
      <c r="BH26" s="3" t="str">
        <f t="shared" ca="1" si="21"/>
        <v>לא</v>
      </c>
      <c r="BI26" s="3">
        <f t="shared" ca="1" si="22"/>
        <v>0</v>
      </c>
      <c r="BJ26" s="3">
        <f t="shared" ca="1" si="23"/>
        <v>2231514</v>
      </c>
      <c r="BK26" s="3">
        <f t="shared" ca="1" si="24"/>
        <v>3331514</v>
      </c>
      <c r="BL26" s="3" t="str">
        <f t="shared" ca="1" si="25"/>
        <v>מעל 20%</v>
      </c>
    </row>
    <row r="27" spans="1:64" x14ac:dyDescent="0.25">
      <c r="A27" t="str">
        <f ca="1">IF(AND(LEFT(B27,11)&lt;&gt;"גיליון הזנה",INDIRECT("'"&amp;$B27&amp;"'!"&amp;'גיליון עזר'!$I$1&amp;ROW('מרכז מורשת בבל'!$I$3))=""),"חסרה הזנה","")</f>
        <v/>
      </c>
      <c r="B27" s="200" t="str">
        <f ca="1">'יהדות שאלוניקי יוון'!$D$3</f>
        <v>יהדות שאלוניקי יוון</v>
      </c>
      <c r="C27" s="20">
        <v>11</v>
      </c>
      <c r="D27" s="40" t="str">
        <f ca="1">IF(OR(LEFT(B27,11)="גיליון הזנה",INDIRECT("'"&amp;$B27&amp;"'!"&amp;'גיליון עזר'!$I$1&amp;ROW('מרכז מורשת בבל'!$I$3))=0),"",B27)</f>
        <v>יהדות שאלוניקי יוון</v>
      </c>
      <c r="E27" s="57">
        <f t="array" ref="E27:N27" ca="1">IF($D27="","",TRANSPOSE(INDIRECT("'"&amp;$D27&amp;"'!"&amp;'גיליון עזר'!$D$1&amp;ROW('מרכז מורשת בבל'!$D$16)):INDIRECT("'"&amp;$D27&amp;"'!"&amp;'גיליון עזר'!$D$1&amp;ROW('מרכז מורשת בבל'!$D$25))))</f>
        <v>69</v>
      </c>
      <c r="F27" s="58">
        <f ca="1"/>
        <v>1</v>
      </c>
      <c r="G27" s="58">
        <f ca="1"/>
        <v>1</v>
      </c>
      <c r="H27" s="57">
        <f ca="1"/>
        <v>1</v>
      </c>
      <c r="I27" s="57">
        <f ca="1"/>
        <v>0</v>
      </c>
      <c r="J27" s="57">
        <f ca="1"/>
        <v>1</v>
      </c>
      <c r="K27" s="57">
        <f ca="1"/>
        <v>0</v>
      </c>
      <c r="L27" s="57">
        <f ca="1"/>
        <v>1</v>
      </c>
      <c r="M27" s="57">
        <f ca="1"/>
        <v>0</v>
      </c>
      <c r="N27" s="59">
        <f ca="1"/>
        <v>6</v>
      </c>
      <c r="O27" s="60">
        <f ca="1">IF($D27="","",INDIRECT("'"&amp;$D27&amp;"'!"&amp;'גיליון עזר'!$F$1&amp;ROW('מרכז מורשת בבל'!$B$78)))</f>
        <v>300</v>
      </c>
      <c r="P27" s="58">
        <f t="array" ref="P27:Q27" ca="1">IF($D27="","",TRANSPOSE(INDIRECT("'"&amp;$D27&amp;"'!"&amp;'גיליון עזר'!$G$1&amp;ROW('מרכז מורשת בבל'!$D$16)):INDIRECT("'"&amp;$D27&amp;"'!"&amp;'גיליון עזר'!$G$1&amp;ROW('מרכז מורשת בבל'!$D$17))))</f>
        <v>21</v>
      </c>
      <c r="Q27" s="61" t="str">
        <f ca="1"/>
        <v>טובה מאוד</v>
      </c>
      <c r="R27" s="62">
        <f t="array" ref="R27:V27" ca="1">IF($D27="","",TRANSPOSE(INDIRECT("'"&amp;$D27&amp;"'!"&amp;'גיליון עזר'!$N$1&amp;ROW('מרכז מורשת בבל'!$D$16)):INDIRECT("'"&amp;$D27&amp;"'!"&amp;'גיליון עזר'!$N$1&amp;ROW('מרכז מורשת בבל'!$D$20))))</f>
        <v>0</v>
      </c>
      <c r="S27" s="58">
        <f ca="1"/>
        <v>0</v>
      </c>
      <c r="T27" s="58">
        <f ca="1"/>
        <v>0</v>
      </c>
      <c r="U27" s="58">
        <f ca="1"/>
        <v>0</v>
      </c>
      <c r="V27" s="58">
        <f ca="1"/>
        <v>0</v>
      </c>
      <c r="W27" s="60">
        <f ca="1">IF($D27="","",INDIRECT("'"&amp;$D27&amp;"'!"&amp;'גיליון עזר'!$N$1&amp;ROW('מרכז מורשת בבל'!$J$21)))</f>
        <v>0</v>
      </c>
      <c r="X27" s="60">
        <f ca="1">IF($D27="","",INDIRECT("'"&amp;$D27&amp;"'!"&amp;'גיליון עזר'!$L$1&amp;ROW('מרכז מורשת בבל'!$J$78)))</f>
        <v>0</v>
      </c>
      <c r="Y27" s="63">
        <f t="array" ref="Y27:Z27" ca="1">IF($D27="","",TRANSPOSE(INDIRECT("'"&amp;$D27&amp;"'!"&amp;'גיליון עזר'!$J$1&amp;ROW('מרכז מורשת בבל'!$D$17)):INDIRECT("'"&amp;$D27&amp;"'!"&amp;'גיליון עזר'!$J$1&amp;ROW('מרכז מורשת בבל'!$D$18))))</f>
        <v>710115</v>
      </c>
      <c r="Z27" s="63">
        <f ca="1"/>
        <v>1114167</v>
      </c>
      <c r="AA27" s="104" t="str">
        <f ca="1">IF($D27="","",IF(INDIRECT("'"&amp;$D27&amp;"'!"&amp;'גיליון עזר'!$J$1&amp;ROW('מרכז מורשת בבל'!$D$21))="","",INDIRECT("'"&amp;$D27&amp;"'!"&amp;'גיליון עזר'!$J$1&amp;ROW('מרכז מורשת בבל'!$D$21))))</f>
        <v/>
      </c>
      <c r="AC27" s="1" t="str">
        <f t="shared" ca="1" si="1"/>
        <v>כינוס</v>
      </c>
      <c r="AD27" s="65" t="str">
        <f t="shared" ca="1" si="1"/>
        <v>הרצאה</v>
      </c>
      <c r="AE27" s="65" t="str">
        <f t="shared" ca="1" si="1"/>
        <v>יום עיון</v>
      </c>
      <c r="AF27" s="65" t="str">
        <f t="shared" ca="1" si="1"/>
        <v>הפקה מורכבת</v>
      </c>
      <c r="AG27" s="1" t="str">
        <f t="shared" ca="1" si="1"/>
        <v>כן</v>
      </c>
      <c r="AH27" s="64" t="str">
        <f t="shared" ca="1" si="1"/>
        <v>לא</v>
      </c>
      <c r="AI27" s="1" t="str">
        <f t="shared" ca="1" si="1"/>
        <v>נאותה</v>
      </c>
      <c r="AJ27" s="1" t="str">
        <f t="shared" ca="1" si="2"/>
        <v>טובה</v>
      </c>
      <c r="AK27" s="64" t="str">
        <f t="shared" ca="1" si="2"/>
        <v>טובה מאוד</v>
      </c>
      <c r="AL27" s="1" t="str">
        <f t="shared" ca="1" si="2"/>
        <v>אחד בשנה</v>
      </c>
      <c r="AM27" s="1" t="str">
        <f t="shared" ca="1" si="2"/>
        <v>שניים בשנה</v>
      </c>
      <c r="AN27" s="1" t="str">
        <f t="shared" ca="1" si="2"/>
        <v>שלוש בשנה</v>
      </c>
      <c r="AO27" s="1" t="str">
        <f t="shared" ca="1" si="2"/>
        <v>מעל 4 בשנה</v>
      </c>
      <c r="AP27" s="3">
        <f t="shared" ca="1" si="3"/>
        <v>69</v>
      </c>
      <c r="AQ27" s="3">
        <f t="shared" ca="1" si="4"/>
        <v>1</v>
      </c>
      <c r="AR27" s="3">
        <f t="shared" ca="1" si="5"/>
        <v>1</v>
      </c>
      <c r="AS27" s="3">
        <f t="shared" ca="1" si="6"/>
        <v>1</v>
      </c>
      <c r="AT27" s="3">
        <f t="shared" ca="1" si="7"/>
        <v>0</v>
      </c>
      <c r="AU27" s="3">
        <f t="shared" ca="1" si="8"/>
        <v>1</v>
      </c>
      <c r="AV27" s="3">
        <f t="shared" ca="1" si="9"/>
        <v>0</v>
      </c>
      <c r="AW27" s="3">
        <f t="shared" ca="1" si="10"/>
        <v>1</v>
      </c>
      <c r="AX27" s="3">
        <f t="shared" ca="1" si="11"/>
        <v>0</v>
      </c>
      <c r="AY27" s="3">
        <f t="shared" ca="1" si="12"/>
        <v>6</v>
      </c>
      <c r="AZ27" s="31">
        <f t="shared" ca="1" si="13"/>
        <v>300</v>
      </c>
      <c r="BA27" s="3">
        <f t="shared" ca="1" si="14"/>
        <v>21</v>
      </c>
      <c r="BB27" s="3" t="str">
        <f t="shared" ca="1" si="15"/>
        <v>טובה מאוד</v>
      </c>
      <c r="BC27" s="37">
        <f t="shared" ca="1" si="16"/>
        <v>0</v>
      </c>
      <c r="BD27" s="3">
        <f t="shared" ca="1" si="17"/>
        <v>0</v>
      </c>
      <c r="BE27" s="3">
        <f t="shared" ca="1" si="18"/>
        <v>0</v>
      </c>
      <c r="BF27" s="3">
        <f t="shared" ca="1" si="19"/>
        <v>0</v>
      </c>
      <c r="BG27" s="3">
        <f t="shared" ca="1" si="20"/>
        <v>0</v>
      </c>
      <c r="BH27" s="3">
        <f t="shared" ca="1" si="21"/>
        <v>0</v>
      </c>
      <c r="BI27" s="3">
        <f t="shared" ca="1" si="22"/>
        <v>0</v>
      </c>
      <c r="BJ27" s="3">
        <f t="shared" ca="1" si="23"/>
        <v>710115</v>
      </c>
      <c r="BK27" s="3">
        <f t="shared" ca="1" si="24"/>
        <v>1114167</v>
      </c>
      <c r="BL27" s="3" t="str">
        <f t="shared" ca="1" si="25"/>
        <v/>
      </c>
    </row>
    <row r="28" spans="1:64" x14ac:dyDescent="0.25">
      <c r="A28" t="str">
        <f ca="1">IF(AND(LEFT(B28,11)&lt;&gt;"גיליון הזנה",INDIRECT("'"&amp;$B28&amp;"'!"&amp;'גיליון עזר'!$I$1&amp;ROW('מרכז מורשת בבל'!$I$3))=""),"חסרה הזנה","")</f>
        <v/>
      </c>
      <c r="B28" s="200" t="str">
        <f ca="1">'גיליון הזנה 12'!$D$3</f>
        <v>גיליון הזנה 12</v>
      </c>
      <c r="C28" s="20">
        <v>12</v>
      </c>
      <c r="D28" s="40" t="str">
        <f ca="1">IF(OR(LEFT(B28,11)="גיליון הזנה",INDIRECT("'"&amp;$B28&amp;"'!"&amp;'גיליון עזר'!$I$1&amp;ROW('מרכז מורשת בבל'!$I$3))=0),"",B28)</f>
        <v/>
      </c>
      <c r="E28" s="57" t="str">
        <f t="array" aca="1" ref="E28:N28" ca="1">IF($D28="","",TRANSPOSE(INDIRECT("'"&amp;$D28&amp;"'!"&amp;'גיליון עזר'!$D$1&amp;ROW('מרכז מורשת בבל'!$D$16)):INDIRECT("'"&amp;$D28&amp;"'!"&amp;'גיליון עזר'!$D$1&amp;ROW('מרכז מורשת בבל'!$D$25))))</f>
        <v/>
      </c>
      <c r="F28" s="58" t="str">
        <f ca="1"/>
        <v/>
      </c>
      <c r="G28" s="58" t="str">
        <f ca="1"/>
        <v/>
      </c>
      <c r="H28" s="57" t="str">
        <f ca="1"/>
        <v/>
      </c>
      <c r="I28" s="57" t="str">
        <f ca="1"/>
        <v/>
      </c>
      <c r="J28" s="57" t="str">
        <f ca="1"/>
        <v/>
      </c>
      <c r="K28" s="57" t="str">
        <f ca="1"/>
        <v/>
      </c>
      <c r="L28" s="57" t="str">
        <f ca="1"/>
        <v/>
      </c>
      <c r="M28" s="57" t="str">
        <f ca="1"/>
        <v/>
      </c>
      <c r="N28" s="59" t="str">
        <f ca="1"/>
        <v/>
      </c>
      <c r="O28" s="60" t="str">
        <f ca="1">IF($D28="","",INDIRECT("'"&amp;$D28&amp;"'!"&amp;'גיליון עזר'!$F$1&amp;ROW('מרכז מורשת בבל'!$B$78)))</f>
        <v/>
      </c>
      <c r="P28" s="58" t="str">
        <f t="array" aca="1" ref="P28:Q28" ca="1">IF($D28="","",TRANSPOSE(INDIRECT("'"&amp;$D28&amp;"'!"&amp;'גיליון עזר'!$G$1&amp;ROW('מרכז מורשת בבל'!$D$16)):INDIRECT("'"&amp;$D28&amp;"'!"&amp;'גיליון עזר'!$G$1&amp;ROW('מרכז מורשת בבל'!$D$17))))</f>
        <v/>
      </c>
      <c r="Q28" s="61" t="str">
        <f ca="1"/>
        <v/>
      </c>
      <c r="R28" s="62" t="str">
        <f t="array" aca="1" ref="R28:V28" ca="1">IF($D28="","",TRANSPOSE(INDIRECT("'"&amp;$D28&amp;"'!"&amp;'גיליון עזר'!$N$1&amp;ROW('מרכז מורשת בבל'!$D$16)):INDIRECT("'"&amp;$D28&amp;"'!"&amp;'גיליון עזר'!$N$1&amp;ROW('מרכז מורשת בבל'!$D$20))))</f>
        <v/>
      </c>
      <c r="S28" s="58" t="str">
        <f ca="1"/>
        <v/>
      </c>
      <c r="T28" s="58" t="str">
        <f ca="1"/>
        <v/>
      </c>
      <c r="U28" s="58" t="str">
        <f ca="1"/>
        <v/>
      </c>
      <c r="V28" s="58" t="str">
        <f ca="1"/>
        <v/>
      </c>
      <c r="W28" s="60" t="str">
        <f ca="1">IF($D28="","",INDIRECT("'"&amp;$D28&amp;"'!"&amp;'גיליון עזר'!$N$1&amp;ROW('מרכז מורשת בבל'!$J$21)))</f>
        <v/>
      </c>
      <c r="X28" s="60" t="str">
        <f ca="1">IF($D28="","",INDIRECT("'"&amp;$D28&amp;"'!"&amp;'גיליון עזר'!$L$1&amp;ROW('מרכז מורשת בבל'!$J$78)))</f>
        <v/>
      </c>
      <c r="Y28" s="63" t="str">
        <f t="array" aca="1" ref="Y28:Z28" ca="1">IF($D28="","",TRANSPOSE(INDIRECT("'"&amp;$D28&amp;"'!"&amp;'גיליון עזר'!$J$1&amp;ROW('מרכז מורשת בבל'!$D$17)):INDIRECT("'"&amp;$D28&amp;"'!"&amp;'גיליון עזר'!$J$1&amp;ROW('מרכז מורשת בבל'!$D$18))))</f>
        <v/>
      </c>
      <c r="Z28" s="63" t="str">
        <f ca="1"/>
        <v/>
      </c>
      <c r="AA28" s="104" t="str">
        <f ca="1">IF($D28="","",IF(INDIRECT("'"&amp;$D28&amp;"'!"&amp;'גיליון עזר'!$J$1&amp;ROW('מרכז מורשת בבל'!$D$21))="","",INDIRECT("'"&amp;$D28&amp;"'!"&amp;'גיליון עזר'!$J$1&amp;ROW('מרכז מורשת בבל'!$D$21))))</f>
        <v/>
      </c>
      <c r="AC28" s="1" t="str">
        <f t="shared" ca="1" si="1"/>
        <v/>
      </c>
      <c r="AD28" s="65" t="str">
        <f t="shared" ca="1" si="1"/>
        <v/>
      </c>
      <c r="AE28" s="65" t="str">
        <f t="shared" ca="1" si="1"/>
        <v/>
      </c>
      <c r="AF28" s="65" t="str">
        <f t="shared" ca="1" si="1"/>
        <v/>
      </c>
      <c r="AG28" s="1" t="str">
        <f t="shared" ca="1" si="1"/>
        <v/>
      </c>
      <c r="AH28" s="64" t="str">
        <f t="shared" ca="1" si="1"/>
        <v/>
      </c>
      <c r="AI28" s="1" t="str">
        <f t="shared" ca="1" si="1"/>
        <v/>
      </c>
      <c r="AJ28" s="1" t="str">
        <f t="shared" ca="1" si="2"/>
        <v/>
      </c>
      <c r="AK28" s="64" t="str">
        <f t="shared" ca="1" si="2"/>
        <v/>
      </c>
      <c r="AL28" s="1" t="str">
        <f t="shared" ca="1" si="2"/>
        <v/>
      </c>
      <c r="AM28" s="1" t="str">
        <f t="shared" ca="1" si="2"/>
        <v/>
      </c>
      <c r="AN28" s="1" t="str">
        <f t="shared" ca="1" si="2"/>
        <v/>
      </c>
      <c r="AO28" s="1" t="str">
        <f t="shared" ca="1" si="2"/>
        <v/>
      </c>
      <c r="AP28" s="3" t="str">
        <f t="shared" ca="1" si="3"/>
        <v/>
      </c>
      <c r="AQ28" s="3" t="str">
        <f t="shared" ca="1" si="4"/>
        <v/>
      </c>
      <c r="AR28" s="3" t="str">
        <f t="shared" ca="1" si="5"/>
        <v/>
      </c>
      <c r="AS28" s="3" t="str">
        <f t="shared" ca="1" si="6"/>
        <v/>
      </c>
      <c r="AT28" s="3" t="str">
        <f t="shared" ca="1" si="7"/>
        <v/>
      </c>
      <c r="AU28" s="3" t="str">
        <f t="shared" ca="1" si="8"/>
        <v/>
      </c>
      <c r="AV28" s="3" t="str">
        <f t="shared" ca="1" si="9"/>
        <v/>
      </c>
      <c r="AW28" s="3" t="str">
        <f t="shared" ca="1" si="10"/>
        <v/>
      </c>
      <c r="AX28" s="3" t="str">
        <f t="shared" ca="1" si="11"/>
        <v/>
      </c>
      <c r="AY28" s="3" t="str">
        <f t="shared" ca="1" si="12"/>
        <v/>
      </c>
      <c r="AZ28" s="31" t="str">
        <f t="shared" ca="1" si="13"/>
        <v/>
      </c>
      <c r="BA28" s="3" t="str">
        <f t="shared" ca="1" si="14"/>
        <v/>
      </c>
      <c r="BB28" s="3" t="str">
        <f t="shared" ca="1" si="15"/>
        <v/>
      </c>
      <c r="BC28" s="37" t="str">
        <f t="shared" ca="1" si="16"/>
        <v/>
      </c>
      <c r="BD28" s="3" t="str">
        <f t="shared" ca="1" si="17"/>
        <v/>
      </c>
      <c r="BE28" s="3" t="str">
        <f t="shared" ca="1" si="18"/>
        <v/>
      </c>
      <c r="BF28" s="3" t="str">
        <f t="shared" ca="1" si="19"/>
        <v/>
      </c>
      <c r="BG28" s="3" t="str">
        <f t="shared" ca="1" si="20"/>
        <v/>
      </c>
      <c r="BH28" s="3" t="str">
        <f t="shared" ca="1" si="21"/>
        <v/>
      </c>
      <c r="BI28" s="3" t="str">
        <f t="shared" ca="1" si="22"/>
        <v/>
      </c>
      <c r="BJ28" s="3" t="str">
        <f t="shared" ca="1" si="23"/>
        <v/>
      </c>
      <c r="BK28" s="3" t="str">
        <f t="shared" ca="1" si="24"/>
        <v/>
      </c>
      <c r="BL28" s="3" t="str">
        <f t="shared" ca="1" si="25"/>
        <v/>
      </c>
    </row>
    <row r="29" spans="1:64" x14ac:dyDescent="0.25">
      <c r="A29" t="str">
        <f ca="1">IF(AND(LEFT(B29,11)&lt;&gt;"גיליון הזנה",INDIRECT("'"&amp;$B29&amp;"'!"&amp;'גיליון עזר'!$I$1&amp;ROW('מרכז מורשת בבל'!$I$3))=""),"חסרה הזנה","")</f>
        <v/>
      </c>
      <c r="B29" s="200" t="str">
        <f ca="1">'גיליון הזנה 13'!$D$3</f>
        <v>גיליון הזנה 13</v>
      </c>
      <c r="C29" s="20">
        <v>13</v>
      </c>
      <c r="D29" s="40" t="str">
        <f ca="1">IF(OR(LEFT(B29,11)="גיליון הזנה",INDIRECT("'"&amp;$B29&amp;"'!"&amp;'גיליון עזר'!$I$1&amp;ROW('מרכז מורשת בבל'!$I$3))=0),"",B29)</f>
        <v/>
      </c>
      <c r="E29" s="57" t="str">
        <f t="array" aca="1" ref="E29:N29" ca="1">IF($D29="","",TRANSPOSE(INDIRECT("'"&amp;$D29&amp;"'!"&amp;'גיליון עזר'!$D$1&amp;ROW('מרכז מורשת בבל'!$D$16)):INDIRECT("'"&amp;$D29&amp;"'!"&amp;'גיליון עזר'!$D$1&amp;ROW('מרכז מורשת בבל'!$D$25))))</f>
        <v/>
      </c>
      <c r="F29" s="58" t="str">
        <f ca="1"/>
        <v/>
      </c>
      <c r="G29" s="58" t="str">
        <f ca="1"/>
        <v/>
      </c>
      <c r="H29" s="57" t="str">
        <f ca="1"/>
        <v/>
      </c>
      <c r="I29" s="57" t="str">
        <f ca="1"/>
        <v/>
      </c>
      <c r="J29" s="57" t="str">
        <f ca="1"/>
        <v/>
      </c>
      <c r="K29" s="57" t="str">
        <f ca="1"/>
        <v/>
      </c>
      <c r="L29" s="57" t="str">
        <f ca="1"/>
        <v/>
      </c>
      <c r="M29" s="57" t="str">
        <f ca="1"/>
        <v/>
      </c>
      <c r="N29" s="59" t="str">
        <f ca="1"/>
        <v/>
      </c>
      <c r="O29" s="60" t="str">
        <f ca="1">IF($D29="","",INDIRECT("'"&amp;$D29&amp;"'!"&amp;'גיליון עזר'!$F$1&amp;ROW('מרכז מורשת בבל'!$B$78)))</f>
        <v/>
      </c>
      <c r="P29" s="58" t="str">
        <f t="array" aca="1" ref="P29:Q29" ca="1">IF($D29="","",TRANSPOSE(INDIRECT("'"&amp;$D29&amp;"'!"&amp;'גיליון עזר'!$G$1&amp;ROW('מרכז מורשת בבל'!$D$16)):INDIRECT("'"&amp;$D29&amp;"'!"&amp;'גיליון עזר'!$G$1&amp;ROW('מרכז מורשת בבל'!$D$17))))</f>
        <v/>
      </c>
      <c r="Q29" s="61" t="str">
        <f ca="1"/>
        <v/>
      </c>
      <c r="R29" s="62" t="str">
        <f t="array" aca="1" ref="R29:V29" ca="1">IF($D29="","",TRANSPOSE(INDIRECT("'"&amp;$D29&amp;"'!"&amp;'גיליון עזר'!$N$1&amp;ROW('מרכז מורשת בבל'!$D$16)):INDIRECT("'"&amp;$D29&amp;"'!"&amp;'גיליון עזר'!$N$1&amp;ROW('מרכז מורשת בבל'!$D$20))))</f>
        <v/>
      </c>
      <c r="S29" s="58" t="str">
        <f ca="1"/>
        <v/>
      </c>
      <c r="T29" s="58" t="str">
        <f ca="1"/>
        <v/>
      </c>
      <c r="U29" s="58" t="str">
        <f ca="1"/>
        <v/>
      </c>
      <c r="V29" s="58" t="str">
        <f ca="1"/>
        <v/>
      </c>
      <c r="W29" s="60" t="str">
        <f ca="1">IF($D29="","",INDIRECT("'"&amp;$D29&amp;"'!"&amp;'גיליון עזר'!$N$1&amp;ROW('מרכז מורשת בבל'!$J$21)))</f>
        <v/>
      </c>
      <c r="X29" s="60" t="str">
        <f ca="1">IF($D29="","",INDIRECT("'"&amp;$D29&amp;"'!"&amp;'גיליון עזר'!$L$1&amp;ROW('מרכז מורשת בבל'!$J$78)))</f>
        <v/>
      </c>
      <c r="Y29" s="63" t="str">
        <f t="array" aca="1" ref="Y29:Z29" ca="1">IF($D29="","",TRANSPOSE(INDIRECT("'"&amp;$D29&amp;"'!"&amp;'גיליון עזר'!$J$1&amp;ROW('מרכז מורשת בבל'!$D$17)):INDIRECT("'"&amp;$D29&amp;"'!"&amp;'גיליון עזר'!$J$1&amp;ROW('מרכז מורשת בבל'!$D$18))))</f>
        <v/>
      </c>
      <c r="Z29" s="63" t="str">
        <f ca="1"/>
        <v/>
      </c>
      <c r="AA29" s="104" t="str">
        <f ca="1">IF($D29="","",IF(INDIRECT("'"&amp;$D29&amp;"'!"&amp;'גיליון עזר'!$J$1&amp;ROW('מרכז מורשת בבל'!$D$21))="","",INDIRECT("'"&amp;$D29&amp;"'!"&amp;'גיליון עזר'!$J$1&amp;ROW('מרכז מורשת בבל'!$D$21))))</f>
        <v/>
      </c>
      <c r="AC29" s="1" t="str">
        <f t="shared" ca="1" si="1"/>
        <v/>
      </c>
      <c r="AD29" s="65" t="str">
        <f t="shared" ca="1" si="1"/>
        <v/>
      </c>
      <c r="AE29" s="65" t="str">
        <f t="shared" ca="1" si="1"/>
        <v/>
      </c>
      <c r="AF29" s="65" t="str">
        <f t="shared" ca="1" si="1"/>
        <v/>
      </c>
      <c r="AG29" s="1" t="str">
        <f t="shared" ca="1" si="1"/>
        <v/>
      </c>
      <c r="AH29" s="64" t="str">
        <f t="shared" ca="1" si="1"/>
        <v/>
      </c>
      <c r="AI29" s="1" t="str">
        <f t="shared" ca="1" si="1"/>
        <v/>
      </c>
      <c r="AJ29" s="1" t="str">
        <f t="shared" ca="1" si="2"/>
        <v/>
      </c>
      <c r="AK29" s="64" t="str">
        <f t="shared" ca="1" si="2"/>
        <v/>
      </c>
      <c r="AL29" s="1" t="str">
        <f t="shared" ca="1" si="2"/>
        <v/>
      </c>
      <c r="AM29" s="1" t="str">
        <f t="shared" ca="1" si="2"/>
        <v/>
      </c>
      <c r="AN29" s="1" t="str">
        <f t="shared" ca="1" si="2"/>
        <v/>
      </c>
      <c r="AO29" s="1" t="str">
        <f t="shared" ca="1" si="2"/>
        <v/>
      </c>
      <c r="AP29" s="3" t="str">
        <f t="shared" ca="1" si="3"/>
        <v/>
      </c>
      <c r="AQ29" s="3" t="str">
        <f t="shared" ca="1" si="4"/>
        <v/>
      </c>
      <c r="AR29" s="3" t="str">
        <f t="shared" ca="1" si="5"/>
        <v/>
      </c>
      <c r="AS29" s="3" t="str">
        <f t="shared" ca="1" si="6"/>
        <v/>
      </c>
      <c r="AT29" s="3" t="str">
        <f t="shared" ca="1" si="7"/>
        <v/>
      </c>
      <c r="AU29" s="3" t="str">
        <f t="shared" ca="1" si="8"/>
        <v/>
      </c>
      <c r="AV29" s="3" t="str">
        <f t="shared" ca="1" si="9"/>
        <v/>
      </c>
      <c r="AW29" s="3" t="str">
        <f t="shared" ca="1" si="10"/>
        <v/>
      </c>
      <c r="AX29" s="3" t="str">
        <f t="shared" ca="1" si="11"/>
        <v/>
      </c>
      <c r="AY29" s="3" t="str">
        <f t="shared" ca="1" si="12"/>
        <v/>
      </c>
      <c r="AZ29" s="31" t="str">
        <f t="shared" ca="1" si="13"/>
        <v/>
      </c>
      <c r="BA29" s="3" t="str">
        <f t="shared" ca="1" si="14"/>
        <v/>
      </c>
      <c r="BB29" s="3" t="str">
        <f t="shared" ca="1" si="15"/>
        <v/>
      </c>
      <c r="BC29" s="37" t="str">
        <f t="shared" ca="1" si="16"/>
        <v/>
      </c>
      <c r="BD29" s="3" t="str">
        <f t="shared" ca="1" si="17"/>
        <v/>
      </c>
      <c r="BE29" s="3" t="str">
        <f t="shared" ca="1" si="18"/>
        <v/>
      </c>
      <c r="BF29" s="3" t="str">
        <f t="shared" ca="1" si="19"/>
        <v/>
      </c>
      <c r="BG29" s="3" t="str">
        <f t="shared" ca="1" si="20"/>
        <v/>
      </c>
      <c r="BH29" s="3" t="str">
        <f t="shared" ca="1" si="21"/>
        <v/>
      </c>
      <c r="BI29" s="3" t="str">
        <f t="shared" ca="1" si="22"/>
        <v/>
      </c>
      <c r="BJ29" s="3" t="str">
        <f t="shared" ca="1" si="23"/>
        <v/>
      </c>
      <c r="BK29" s="3" t="str">
        <f t="shared" ca="1" si="24"/>
        <v/>
      </c>
      <c r="BL29" s="3" t="str">
        <f t="shared" ca="1" si="25"/>
        <v/>
      </c>
    </row>
    <row r="30" spans="1:64" x14ac:dyDescent="0.25">
      <c r="A30" t="str">
        <f ca="1">IF(AND(LEFT(B30,11)&lt;&gt;"גיליון הזנה",INDIRECT("'"&amp;$B30&amp;"'!"&amp;'גיליון עזר'!$I$1&amp;ROW('מרכז מורשת בבל'!$I$3))=""),"חסרה הזנה","")</f>
        <v/>
      </c>
      <c r="B30" s="200" t="str">
        <f ca="1">'גיליון הזנה 14'!$D$3</f>
        <v>גיליון הזנה 14</v>
      </c>
      <c r="C30" s="20">
        <v>14</v>
      </c>
      <c r="D30" s="40" t="str">
        <f ca="1">IF(OR(LEFT(B30,11)="גיליון הזנה",INDIRECT("'"&amp;$B30&amp;"'!"&amp;'גיליון עזר'!$I$1&amp;ROW('מרכז מורשת בבל'!$I$3))=0),"",B30)</f>
        <v/>
      </c>
      <c r="E30" s="57" t="str">
        <f t="array" aca="1" ref="E30:N30" ca="1">IF($D30="","",TRANSPOSE(INDIRECT("'"&amp;$D30&amp;"'!"&amp;'גיליון עזר'!$D$1&amp;ROW('מרכז מורשת בבל'!$D$16)):INDIRECT("'"&amp;$D30&amp;"'!"&amp;'גיליון עזר'!$D$1&amp;ROW('מרכז מורשת בבל'!$D$25))))</f>
        <v/>
      </c>
      <c r="F30" s="58" t="str">
        <f ca="1"/>
        <v/>
      </c>
      <c r="G30" s="58" t="str">
        <f ca="1"/>
        <v/>
      </c>
      <c r="H30" s="57" t="str">
        <f ca="1"/>
        <v/>
      </c>
      <c r="I30" s="57" t="str">
        <f ca="1"/>
        <v/>
      </c>
      <c r="J30" s="57" t="str">
        <f ca="1"/>
        <v/>
      </c>
      <c r="K30" s="57" t="str">
        <f ca="1"/>
        <v/>
      </c>
      <c r="L30" s="57" t="str">
        <f ca="1"/>
        <v/>
      </c>
      <c r="M30" s="57" t="str">
        <f ca="1"/>
        <v/>
      </c>
      <c r="N30" s="59" t="str">
        <f ca="1"/>
        <v/>
      </c>
      <c r="O30" s="60" t="str">
        <f ca="1">IF($D30="","",INDIRECT("'"&amp;$D30&amp;"'!"&amp;'גיליון עזר'!$F$1&amp;ROW('מרכז מורשת בבל'!$B$78)))</f>
        <v/>
      </c>
      <c r="P30" s="58" t="str">
        <f t="array" aca="1" ref="P30:Q30" ca="1">IF($D30="","",TRANSPOSE(INDIRECT("'"&amp;$D30&amp;"'!"&amp;'גיליון עזר'!$G$1&amp;ROW('מרכז מורשת בבל'!$D$16)):INDIRECT("'"&amp;$D30&amp;"'!"&amp;'גיליון עזר'!$G$1&amp;ROW('מרכז מורשת בבל'!$D$17))))</f>
        <v/>
      </c>
      <c r="Q30" s="61" t="str">
        <f ca="1"/>
        <v/>
      </c>
      <c r="R30" s="62" t="str">
        <f t="array" aca="1" ref="R30:V30" ca="1">IF($D30="","",TRANSPOSE(INDIRECT("'"&amp;$D30&amp;"'!"&amp;'גיליון עזר'!$N$1&amp;ROW('מרכז מורשת בבל'!$D$16)):INDIRECT("'"&amp;$D30&amp;"'!"&amp;'גיליון עזר'!$N$1&amp;ROW('מרכז מורשת בבל'!$D$20))))</f>
        <v/>
      </c>
      <c r="S30" s="58" t="str">
        <f ca="1"/>
        <v/>
      </c>
      <c r="T30" s="58" t="str">
        <f ca="1"/>
        <v/>
      </c>
      <c r="U30" s="58" t="str">
        <f ca="1"/>
        <v/>
      </c>
      <c r="V30" s="58" t="str">
        <f ca="1"/>
        <v/>
      </c>
      <c r="W30" s="60" t="str">
        <f ca="1">IF($D30="","",INDIRECT("'"&amp;$D30&amp;"'!"&amp;'גיליון עזר'!$N$1&amp;ROW('מרכז מורשת בבל'!$J$21)))</f>
        <v/>
      </c>
      <c r="X30" s="60" t="str">
        <f ca="1">IF($D30="","",INDIRECT("'"&amp;$D30&amp;"'!"&amp;'גיליון עזר'!$L$1&amp;ROW('מרכז מורשת בבל'!$J$78)))</f>
        <v/>
      </c>
      <c r="Y30" s="63" t="str">
        <f t="array" aca="1" ref="Y30:Z30" ca="1">IF($D30="","",TRANSPOSE(INDIRECT("'"&amp;$D30&amp;"'!"&amp;'גיליון עזר'!$J$1&amp;ROW('מרכז מורשת בבל'!$D$17)):INDIRECT("'"&amp;$D30&amp;"'!"&amp;'גיליון עזר'!$J$1&amp;ROW('מרכז מורשת בבל'!$D$18))))</f>
        <v/>
      </c>
      <c r="Z30" s="63" t="str">
        <f ca="1"/>
        <v/>
      </c>
      <c r="AA30" s="104" t="str">
        <f ca="1">IF($D30="","",IF(INDIRECT("'"&amp;$D30&amp;"'!"&amp;'גיליון עזר'!$J$1&amp;ROW('מרכז מורשת בבל'!$D$21))="","",INDIRECT("'"&amp;$D30&amp;"'!"&amp;'גיליון עזר'!$J$1&amp;ROW('מרכז מורשת בבל'!$D$21))))</f>
        <v/>
      </c>
      <c r="AC30" s="1" t="str">
        <f t="shared" ca="1" si="1"/>
        <v/>
      </c>
      <c r="AD30" s="65" t="str">
        <f t="shared" ca="1" si="1"/>
        <v/>
      </c>
      <c r="AE30" s="65" t="str">
        <f t="shared" ca="1" si="1"/>
        <v/>
      </c>
      <c r="AF30" s="65" t="str">
        <f t="shared" ca="1" si="1"/>
        <v/>
      </c>
      <c r="AG30" s="1" t="str">
        <f t="shared" ca="1" si="1"/>
        <v/>
      </c>
      <c r="AH30" s="64" t="str">
        <f t="shared" ca="1" si="1"/>
        <v/>
      </c>
      <c r="AI30" s="1" t="str">
        <f t="shared" ca="1" si="1"/>
        <v/>
      </c>
      <c r="AJ30" s="1" t="str">
        <f t="shared" ca="1" si="2"/>
        <v/>
      </c>
      <c r="AK30" s="64" t="str">
        <f t="shared" ca="1" si="2"/>
        <v/>
      </c>
      <c r="AL30" s="1" t="str">
        <f t="shared" ca="1" si="2"/>
        <v/>
      </c>
      <c r="AM30" s="1" t="str">
        <f t="shared" ca="1" si="2"/>
        <v/>
      </c>
      <c r="AN30" s="1" t="str">
        <f t="shared" ca="1" si="2"/>
        <v/>
      </c>
      <c r="AO30" s="1" t="str">
        <f t="shared" ca="1" si="2"/>
        <v/>
      </c>
      <c r="AP30" s="3" t="str">
        <f t="shared" ca="1" si="3"/>
        <v/>
      </c>
      <c r="AQ30" s="3" t="str">
        <f t="shared" ca="1" si="4"/>
        <v/>
      </c>
      <c r="AR30" s="3" t="str">
        <f t="shared" ca="1" si="5"/>
        <v/>
      </c>
      <c r="AS30" s="3" t="str">
        <f t="shared" ca="1" si="6"/>
        <v/>
      </c>
      <c r="AT30" s="3" t="str">
        <f t="shared" ca="1" si="7"/>
        <v/>
      </c>
      <c r="AU30" s="3" t="str">
        <f t="shared" ca="1" si="8"/>
        <v/>
      </c>
      <c r="AV30" s="3" t="str">
        <f t="shared" ca="1" si="9"/>
        <v/>
      </c>
      <c r="AW30" s="3" t="str">
        <f t="shared" ca="1" si="10"/>
        <v/>
      </c>
      <c r="AX30" s="3" t="str">
        <f t="shared" ca="1" si="11"/>
        <v/>
      </c>
      <c r="AY30" s="3" t="str">
        <f t="shared" ca="1" si="12"/>
        <v/>
      </c>
      <c r="AZ30" s="31" t="str">
        <f t="shared" ca="1" si="13"/>
        <v/>
      </c>
      <c r="BA30" s="3" t="str">
        <f t="shared" ca="1" si="14"/>
        <v/>
      </c>
      <c r="BB30" s="3" t="str">
        <f t="shared" ca="1" si="15"/>
        <v/>
      </c>
      <c r="BC30" s="37" t="str">
        <f t="shared" ca="1" si="16"/>
        <v/>
      </c>
      <c r="BD30" s="3" t="str">
        <f t="shared" ca="1" si="17"/>
        <v/>
      </c>
      <c r="BE30" s="3" t="str">
        <f t="shared" ca="1" si="18"/>
        <v/>
      </c>
      <c r="BF30" s="3" t="str">
        <f t="shared" ca="1" si="19"/>
        <v/>
      </c>
      <c r="BG30" s="3" t="str">
        <f t="shared" ca="1" si="20"/>
        <v/>
      </c>
      <c r="BH30" s="3" t="str">
        <f t="shared" ca="1" si="21"/>
        <v/>
      </c>
      <c r="BI30" s="3" t="str">
        <f t="shared" ca="1" si="22"/>
        <v/>
      </c>
      <c r="BJ30" s="3" t="str">
        <f t="shared" ca="1" si="23"/>
        <v/>
      </c>
      <c r="BK30" s="3" t="str">
        <f t="shared" ca="1" si="24"/>
        <v/>
      </c>
      <c r="BL30" s="3" t="str">
        <f t="shared" ca="1" si="25"/>
        <v/>
      </c>
    </row>
    <row r="31" spans="1:64" x14ac:dyDescent="0.25">
      <c r="A31" t="str">
        <f ca="1">IF(AND(LEFT(B31,11)&lt;&gt;"גיליון הזנה",INDIRECT("'"&amp;$B31&amp;"'!"&amp;'גיליון עזר'!$I$1&amp;ROW('מרכז מורשת בבל'!$I$3))=""),"חסרה הזנה","")</f>
        <v/>
      </c>
      <c r="B31" s="200" t="str">
        <f ca="1">'החברה לטיפוח חברה תרבות תיעוד '!$D$3</f>
        <v xml:space="preserve">החברה לטיפוח חברה תרבות תיעוד </v>
      </c>
      <c r="C31" s="20">
        <v>15</v>
      </c>
      <c r="D31" s="40" t="str">
        <f ca="1">IF(OR(LEFT(B31,11)="גיליון הזנה",INDIRECT("'"&amp;$B31&amp;"'!"&amp;'גיליון עזר'!$I$1&amp;ROW('מרכז מורשת בבל'!$I$3))=0),"",B31)</f>
        <v xml:space="preserve">החברה לטיפוח חברה תרבות תיעוד </v>
      </c>
      <c r="E31" s="57">
        <f t="array" ref="E31:N31" ca="1">IF($D31="","",TRANSPOSE(INDIRECT("'"&amp;$D31&amp;"'!"&amp;'גיליון עזר'!$D$1&amp;ROW('מרכז מורשת בבל'!$D$16)):INDIRECT("'"&amp;$D31&amp;"'!"&amp;'גיליון עזר'!$D$1&amp;ROW('מרכז מורשת בבל'!$D$25))))</f>
        <v>60</v>
      </c>
      <c r="F31" s="58">
        <f ca="1"/>
        <v>136</v>
      </c>
      <c r="G31" s="58">
        <f ca="1"/>
        <v>63</v>
      </c>
      <c r="H31" s="57">
        <f ca="1"/>
        <v>23</v>
      </c>
      <c r="I31" s="57">
        <f ca="1"/>
        <v>20</v>
      </c>
      <c r="J31" s="57">
        <f ca="1"/>
        <v>168</v>
      </c>
      <c r="K31" s="57">
        <f ca="1"/>
        <v>0</v>
      </c>
      <c r="L31" s="57">
        <f ca="1"/>
        <v>65</v>
      </c>
      <c r="M31" s="57">
        <f ca="1"/>
        <v>0</v>
      </c>
      <c r="N31" s="59">
        <f ca="1"/>
        <v>6</v>
      </c>
      <c r="O31" s="60">
        <f ca="1">IF($D31="","",INDIRECT("'"&amp;$D31&amp;"'!"&amp;'גיליון עזר'!$F$1&amp;ROW('מרכז מורשת בבל'!$B$78)))</f>
        <v>0</v>
      </c>
      <c r="P31" s="58">
        <f t="array" ref="P31:Q31" ca="1">IF($D31="","",TRANSPOSE(INDIRECT("'"&amp;$D31&amp;"'!"&amp;'גיליון עזר'!$G$1&amp;ROW('מרכז מורשת בבל'!$D$16)):INDIRECT("'"&amp;$D31&amp;"'!"&amp;'גיליון עזר'!$G$1&amp;ROW('מרכז מורשת בבל'!$D$17))))</f>
        <v>20100</v>
      </c>
      <c r="Q31" s="61" t="str">
        <f ca="1"/>
        <v>טובה מאוד</v>
      </c>
      <c r="R31" s="62" t="str">
        <f t="array" ref="R31:V31" ca="1">IF($D31="","",TRANSPOSE(INDIRECT("'"&amp;$D31&amp;"'!"&amp;'גיליון עזר'!$N$1&amp;ROW('מרכז מורשת בבל'!$D$16)):INDIRECT("'"&amp;$D31&amp;"'!"&amp;'גיליון עזר'!$N$1&amp;ROW('מרכז מורשת בבל'!$D$20))))</f>
        <v>מעל 4 בשנה</v>
      </c>
      <c r="S31" s="58">
        <f ca="1"/>
        <v>16</v>
      </c>
      <c r="T31" s="58">
        <f ca="1"/>
        <v>1000</v>
      </c>
      <c r="U31" s="58" t="str">
        <f ca="1"/>
        <v>כן</v>
      </c>
      <c r="V31" s="58" t="str">
        <f ca="1"/>
        <v>כן</v>
      </c>
      <c r="W31" s="60" t="str">
        <f ca="1">IF($D31="","",INDIRECT("'"&amp;$D31&amp;"'!"&amp;'גיליון עזר'!$N$1&amp;ROW('מרכז מורשת בבל'!$J$21)))</f>
        <v>לא</v>
      </c>
      <c r="X31" s="60">
        <f ca="1">IF($D31="","",INDIRECT("'"&amp;$D31&amp;"'!"&amp;'גיליון עזר'!$L$1&amp;ROW('מרכז מורשת בבל'!$J$78)))</f>
        <v>9</v>
      </c>
      <c r="Y31" s="63">
        <f t="array" ref="Y31:Z31" ca="1">IF($D31="","",TRANSPOSE(INDIRECT("'"&amp;$D31&amp;"'!"&amp;'גיליון עזר'!$J$1&amp;ROW('מרכז מורשת בבל'!$D$17)):INDIRECT("'"&amp;$D31&amp;"'!"&amp;'גיליון עזר'!$J$1&amp;ROW('מרכז מורשת בבל'!$D$18))))</f>
        <v>3002870</v>
      </c>
      <c r="Z31" s="63">
        <f ca="1"/>
        <v>5103322</v>
      </c>
      <c r="AA31" s="104" t="str">
        <f ca="1">IF($D31="","",IF(INDIRECT("'"&amp;$D31&amp;"'!"&amp;'גיליון עזר'!$J$1&amp;ROW('מרכז מורשת בבל'!$D$21))="","",INDIRECT("'"&amp;$D31&amp;"'!"&amp;'גיליון עזר'!$J$1&amp;ROW('מרכז מורשת בבל'!$D$21))))</f>
        <v>מעל 50%</v>
      </c>
      <c r="AC31" s="1" t="str">
        <f t="shared" ca="1" si="1"/>
        <v>כינוס</v>
      </c>
      <c r="AD31" s="65" t="str">
        <f t="shared" ca="1" si="1"/>
        <v>הרצאה</v>
      </c>
      <c r="AE31" s="65" t="str">
        <f t="shared" ca="1" si="1"/>
        <v>יום עיון</v>
      </c>
      <c r="AF31" s="65" t="str">
        <f t="shared" ca="1" si="1"/>
        <v>הפקה מורכבת</v>
      </c>
      <c r="AG31" s="1" t="str">
        <f t="shared" ca="1" si="1"/>
        <v>כן</v>
      </c>
      <c r="AH31" s="64" t="str">
        <f t="shared" ca="1" si="1"/>
        <v>לא</v>
      </c>
      <c r="AI31" s="1" t="str">
        <f t="shared" ca="1" si="1"/>
        <v>נאותה</v>
      </c>
      <c r="AJ31" s="1" t="str">
        <f t="shared" ca="1" si="2"/>
        <v>טובה</v>
      </c>
      <c r="AK31" s="64" t="str">
        <f t="shared" ca="1" si="2"/>
        <v>טובה מאוד</v>
      </c>
      <c r="AL31" s="1" t="str">
        <f t="shared" ca="1" si="2"/>
        <v>אחד בשנה</v>
      </c>
      <c r="AM31" s="1" t="str">
        <f t="shared" ca="1" si="2"/>
        <v>שניים בשנה</v>
      </c>
      <c r="AN31" s="1" t="str">
        <f t="shared" ca="1" si="2"/>
        <v>שלוש בשנה</v>
      </c>
      <c r="AO31" s="1" t="str">
        <f t="shared" ca="1" si="2"/>
        <v>מעל 4 בשנה</v>
      </c>
      <c r="AP31" s="3">
        <f t="shared" ca="1" si="3"/>
        <v>60</v>
      </c>
      <c r="AQ31" s="3">
        <f t="shared" ca="1" si="4"/>
        <v>136</v>
      </c>
      <c r="AR31" s="3">
        <f t="shared" ca="1" si="5"/>
        <v>63</v>
      </c>
      <c r="AS31" s="3">
        <f t="shared" ca="1" si="6"/>
        <v>23</v>
      </c>
      <c r="AT31" s="3">
        <f t="shared" ca="1" si="7"/>
        <v>20</v>
      </c>
      <c r="AU31" s="3">
        <f t="shared" ca="1" si="8"/>
        <v>168</v>
      </c>
      <c r="AV31" s="3">
        <f t="shared" ca="1" si="9"/>
        <v>0</v>
      </c>
      <c r="AW31" s="3">
        <f t="shared" ca="1" si="10"/>
        <v>65</v>
      </c>
      <c r="AX31" s="3">
        <f t="shared" ca="1" si="11"/>
        <v>0</v>
      </c>
      <c r="AY31" s="3">
        <f t="shared" ca="1" si="12"/>
        <v>6</v>
      </c>
      <c r="AZ31" s="31">
        <f t="shared" ca="1" si="13"/>
        <v>0</v>
      </c>
      <c r="BA31" s="3">
        <f t="shared" ca="1" si="14"/>
        <v>20100</v>
      </c>
      <c r="BB31" s="3" t="str">
        <f t="shared" ca="1" si="15"/>
        <v>טובה מאוד</v>
      </c>
      <c r="BC31" s="37" t="str">
        <f t="shared" ca="1" si="16"/>
        <v>מעל 4 בשנה</v>
      </c>
      <c r="BD31" s="3">
        <f t="shared" ca="1" si="17"/>
        <v>16</v>
      </c>
      <c r="BE31" s="3">
        <f t="shared" ca="1" si="18"/>
        <v>1000</v>
      </c>
      <c r="BF31" s="3" t="str">
        <f t="shared" ca="1" si="19"/>
        <v>כן</v>
      </c>
      <c r="BG31" s="3" t="str">
        <f t="shared" ca="1" si="20"/>
        <v>כן</v>
      </c>
      <c r="BH31" s="3" t="str">
        <f t="shared" ca="1" si="21"/>
        <v>לא</v>
      </c>
      <c r="BI31" s="3">
        <f t="shared" ca="1" si="22"/>
        <v>9</v>
      </c>
      <c r="BJ31" s="3">
        <f t="shared" ca="1" si="23"/>
        <v>3002870</v>
      </c>
      <c r="BK31" s="3">
        <f t="shared" ca="1" si="24"/>
        <v>5103322</v>
      </c>
      <c r="BL31" s="3" t="str">
        <f t="shared" ca="1" si="25"/>
        <v>מעל 50%</v>
      </c>
    </row>
    <row r="32" spans="1:64" x14ac:dyDescent="0.25">
      <c r="A32" t="str">
        <f ca="1">IF(AND(LEFT(B32,11)&lt;&gt;"גיליון הזנה",INDIRECT("'"&amp;$B32&amp;"'!"&amp;'גיליון עזר'!$I$1&amp;ROW('מרכז מורשת בבל'!$I$3))=""),"חסרה הזנה","")</f>
        <v/>
      </c>
      <c r="B32" s="200" t="str">
        <f ca="1">'עמותת אור שלום'!$D$3</f>
        <v>עמותת אור שלום</v>
      </c>
      <c r="C32" s="20">
        <v>16</v>
      </c>
      <c r="D32" s="40" t="str">
        <f ca="1">IF(OR(LEFT(B32,11)="גיליון הזנה",INDIRECT("'"&amp;$B32&amp;"'!"&amp;'גיליון עזר'!$I$1&amp;ROW('מרכז מורשת בבל'!$I$3))=0),"",B32)</f>
        <v>עמותת אור שלום</v>
      </c>
      <c r="E32" s="57">
        <f t="array" ref="E32:N32" ca="1">IF($D32="","",TRANSPOSE(INDIRECT("'"&amp;$D32&amp;"'!"&amp;'גיליון עזר'!$D$1&amp;ROW('מרכז מורשת בבל'!$D$16)):INDIRECT("'"&amp;$D32&amp;"'!"&amp;'גיליון עזר'!$D$1&amp;ROW('מרכז מורשת בבל'!$D$25))))</f>
        <v>0</v>
      </c>
      <c r="F32" s="58">
        <f ca="1"/>
        <v>2</v>
      </c>
      <c r="G32" s="58">
        <f ca="1"/>
        <v>0</v>
      </c>
      <c r="H32" s="57">
        <f ca="1"/>
        <v>0</v>
      </c>
      <c r="I32" s="57">
        <f ca="1"/>
        <v>0</v>
      </c>
      <c r="J32" s="57">
        <f ca="1"/>
        <v>9</v>
      </c>
      <c r="K32" s="57">
        <f ca="1"/>
        <v>0</v>
      </c>
      <c r="L32" s="57">
        <f ca="1"/>
        <v>9</v>
      </c>
      <c r="M32" s="57">
        <f ca="1"/>
        <v>0</v>
      </c>
      <c r="N32" s="59">
        <f ca="1"/>
        <v>1</v>
      </c>
      <c r="O32" s="60">
        <f ca="1">IF($D32="","",INDIRECT("'"&amp;$D32&amp;"'!"&amp;'גיליון עזר'!$F$1&amp;ROW('מרכז מורשת בבל'!$B$78)))</f>
        <v>610</v>
      </c>
      <c r="P32" s="58">
        <f t="array" ref="P32:Q32" ca="1">IF($D32="","",TRANSPOSE(INDIRECT("'"&amp;$D32&amp;"'!"&amp;'גיליון עזר'!$G$1&amp;ROW('מרכז מורשת בבל'!$D$16)):INDIRECT("'"&amp;$D32&amp;"'!"&amp;'גיליון עזר'!$G$1&amp;ROW('מרכז מורשת בבל'!$D$17))))</f>
        <v>500</v>
      </c>
      <c r="Q32" s="61" t="str">
        <f ca="1"/>
        <v>נאותה</v>
      </c>
      <c r="R32" s="62" t="str">
        <f t="array" ref="R32:V32" ca="1">IF($D32="","",TRANSPOSE(INDIRECT("'"&amp;$D32&amp;"'!"&amp;'גיליון עזר'!$N$1&amp;ROW('מרכז מורשת בבל'!$D$16)):INDIRECT("'"&amp;$D32&amp;"'!"&amp;'גיליון עזר'!$N$1&amp;ROW('מרכז מורשת בבל'!$D$20))))</f>
        <v>מעל 4 בשנה</v>
      </c>
      <c r="S32" s="58">
        <f ca="1"/>
        <v>60</v>
      </c>
      <c r="T32" s="58">
        <f ca="1"/>
        <v>2500</v>
      </c>
      <c r="U32" s="58" t="str">
        <f ca="1"/>
        <v>כן</v>
      </c>
      <c r="V32" s="58" t="str">
        <f ca="1"/>
        <v>כן</v>
      </c>
      <c r="W32" s="60" t="str">
        <f ca="1">IF($D32="","",INDIRECT("'"&amp;$D32&amp;"'!"&amp;'גיליון עזר'!$N$1&amp;ROW('מרכז מורשת בבל'!$J$21)))</f>
        <v>לא</v>
      </c>
      <c r="X32" s="60">
        <f ca="1">IF($D32="","",INDIRECT("'"&amp;$D32&amp;"'!"&amp;'גיליון עזר'!$L$1&amp;ROW('מרכז מורשת בבל'!$J$78)))</f>
        <v>1</v>
      </c>
      <c r="Y32" s="63">
        <f t="array" ref="Y32:Z32" ca="1">IF($D32="","",TRANSPOSE(INDIRECT("'"&amp;$D32&amp;"'!"&amp;'גיליון עזר'!$J$1&amp;ROW('מרכז מורשת בבל'!$D$17)):INDIRECT("'"&amp;$D32&amp;"'!"&amp;'גיליון עזר'!$J$1&amp;ROW('מרכז מורשת בבל'!$D$18))))</f>
        <v>258650</v>
      </c>
      <c r="Z32" s="63">
        <f ca="1"/>
        <v>849541</v>
      </c>
      <c r="AA32" s="104" t="str">
        <f ca="1">IF($D32="","",IF(INDIRECT("'"&amp;$D32&amp;"'!"&amp;'גיליון עזר'!$J$1&amp;ROW('מרכז מורשת בבל'!$D$21))="","",INDIRECT("'"&amp;$D32&amp;"'!"&amp;'גיליון עזר'!$J$1&amp;ROW('מרכז מורשת בבל'!$D$21))))</f>
        <v>מעל 50%</v>
      </c>
      <c r="AC32" s="1" t="str">
        <f t="shared" ca="1" si="1"/>
        <v>כינוס</v>
      </c>
      <c r="AD32" s="65" t="str">
        <f t="shared" ca="1" si="1"/>
        <v>הרצאה</v>
      </c>
      <c r="AE32" s="65" t="str">
        <f t="shared" ca="1" si="1"/>
        <v>יום עיון</v>
      </c>
      <c r="AF32" s="65" t="str">
        <f t="shared" ca="1" si="1"/>
        <v>הפקה מורכבת</v>
      </c>
      <c r="AG32" s="1" t="str">
        <f t="shared" ca="1" si="1"/>
        <v>כן</v>
      </c>
      <c r="AH32" s="64" t="str">
        <f t="shared" ca="1" si="1"/>
        <v>לא</v>
      </c>
      <c r="AI32" s="1" t="str">
        <f t="shared" ca="1" si="1"/>
        <v>נאותה</v>
      </c>
      <c r="AJ32" s="1" t="str">
        <f t="shared" ca="1" si="2"/>
        <v>טובה</v>
      </c>
      <c r="AK32" s="64" t="str">
        <f t="shared" ca="1" si="2"/>
        <v>טובה מאוד</v>
      </c>
      <c r="AL32" s="1" t="str">
        <f t="shared" ca="1" si="2"/>
        <v>אחד בשנה</v>
      </c>
      <c r="AM32" s="1" t="str">
        <f t="shared" ca="1" si="2"/>
        <v>שניים בשנה</v>
      </c>
      <c r="AN32" s="1" t="str">
        <f t="shared" ca="1" si="2"/>
        <v>שלוש בשנה</v>
      </c>
      <c r="AO32" s="1" t="str">
        <f t="shared" ca="1" si="2"/>
        <v>מעל 4 בשנה</v>
      </c>
      <c r="AP32" s="3">
        <f t="shared" ca="1" si="3"/>
        <v>0</v>
      </c>
      <c r="AQ32" s="3">
        <f t="shared" ca="1" si="4"/>
        <v>2</v>
      </c>
      <c r="AR32" s="3">
        <f t="shared" ca="1" si="5"/>
        <v>0</v>
      </c>
      <c r="AS32" s="3">
        <f t="shared" ca="1" si="6"/>
        <v>0</v>
      </c>
      <c r="AT32" s="3">
        <f t="shared" ca="1" si="7"/>
        <v>0</v>
      </c>
      <c r="AU32" s="3">
        <f t="shared" ca="1" si="8"/>
        <v>9</v>
      </c>
      <c r="AV32" s="3">
        <f t="shared" ca="1" si="9"/>
        <v>0</v>
      </c>
      <c r="AW32" s="3">
        <f t="shared" ca="1" si="10"/>
        <v>9</v>
      </c>
      <c r="AX32" s="3">
        <f t="shared" ca="1" si="11"/>
        <v>0</v>
      </c>
      <c r="AY32" s="3">
        <f t="shared" ca="1" si="12"/>
        <v>1</v>
      </c>
      <c r="AZ32" s="31">
        <f t="shared" ca="1" si="13"/>
        <v>610</v>
      </c>
      <c r="BA32" s="3">
        <f t="shared" ca="1" si="14"/>
        <v>500</v>
      </c>
      <c r="BB32" s="3" t="str">
        <f t="shared" ca="1" si="15"/>
        <v>נאותה</v>
      </c>
      <c r="BC32" s="37" t="str">
        <f t="shared" ca="1" si="16"/>
        <v>מעל 4 בשנה</v>
      </c>
      <c r="BD32" s="3">
        <f t="shared" ca="1" si="17"/>
        <v>60</v>
      </c>
      <c r="BE32" s="3">
        <f t="shared" ca="1" si="18"/>
        <v>2500</v>
      </c>
      <c r="BF32" s="3" t="str">
        <f t="shared" ca="1" si="19"/>
        <v>כן</v>
      </c>
      <c r="BG32" s="3" t="str">
        <f t="shared" ca="1" si="20"/>
        <v>כן</v>
      </c>
      <c r="BH32" s="3" t="str">
        <f t="shared" ca="1" si="21"/>
        <v>לא</v>
      </c>
      <c r="BI32" s="3">
        <f t="shared" ca="1" si="22"/>
        <v>1</v>
      </c>
      <c r="BJ32" s="3">
        <f t="shared" ca="1" si="23"/>
        <v>258650</v>
      </c>
      <c r="BK32" s="3">
        <f t="shared" ca="1" si="24"/>
        <v>849541</v>
      </c>
      <c r="BL32" s="3" t="str">
        <f t="shared" ca="1" si="25"/>
        <v>מעל 50%</v>
      </c>
    </row>
    <row r="33" spans="1:64" x14ac:dyDescent="0.25">
      <c r="A33" t="str">
        <f ca="1">IF(AND(LEFT(B33,11)&lt;&gt;"גיליון הזנה",INDIRECT("'"&amp;$B33&amp;"'!"&amp;'גיליון עזר'!$I$1&amp;ROW('מרכז מורשת בבל'!$I$3))=""),"חסרה הזנה","")</f>
        <v/>
      </c>
      <c r="B33" s="200" t="str">
        <f ca="1">'גיליון הזנה 17'!$D$3</f>
        <v>גיליון הזנה 17</v>
      </c>
      <c r="C33" s="20">
        <v>17</v>
      </c>
      <c r="D33" s="40" t="str">
        <f ca="1">IF(OR(LEFT(B33,11)="גיליון הזנה",INDIRECT("'"&amp;$B33&amp;"'!"&amp;'גיליון עזר'!$I$1&amp;ROW('מרכז מורשת בבל'!$I$3))=0),"",B33)</f>
        <v/>
      </c>
      <c r="E33" s="57" t="str">
        <f t="array" aca="1" ref="E33:N33" ca="1">IF($D33="","",TRANSPOSE(INDIRECT("'"&amp;$D33&amp;"'!"&amp;'גיליון עזר'!$D$1&amp;ROW('מרכז מורשת בבל'!$D$16)):INDIRECT("'"&amp;$D33&amp;"'!"&amp;'גיליון עזר'!$D$1&amp;ROW('מרכז מורשת בבל'!$D$25))))</f>
        <v/>
      </c>
      <c r="F33" s="58" t="str">
        <f ca="1"/>
        <v/>
      </c>
      <c r="G33" s="58" t="str">
        <f ca="1"/>
        <v/>
      </c>
      <c r="H33" s="57" t="str">
        <f ca="1"/>
        <v/>
      </c>
      <c r="I33" s="57" t="str">
        <f ca="1"/>
        <v/>
      </c>
      <c r="J33" s="57" t="str">
        <f ca="1"/>
        <v/>
      </c>
      <c r="K33" s="57" t="str">
        <f ca="1"/>
        <v/>
      </c>
      <c r="L33" s="57" t="str">
        <f ca="1"/>
        <v/>
      </c>
      <c r="M33" s="57" t="str">
        <f ca="1"/>
        <v/>
      </c>
      <c r="N33" s="59" t="str">
        <f ca="1"/>
        <v/>
      </c>
      <c r="O33" s="60" t="str">
        <f ca="1">IF($D33="","",INDIRECT("'"&amp;$D33&amp;"'!"&amp;'גיליון עזר'!$F$1&amp;ROW('מרכז מורשת בבל'!$B$78)))</f>
        <v/>
      </c>
      <c r="P33" s="58" t="str">
        <f t="array" aca="1" ref="P33:Q33" ca="1">IF($D33="","",TRANSPOSE(INDIRECT("'"&amp;$D33&amp;"'!"&amp;'גיליון עזר'!$G$1&amp;ROW('מרכז מורשת בבל'!$D$16)):INDIRECT("'"&amp;$D33&amp;"'!"&amp;'גיליון עזר'!$G$1&amp;ROW('מרכז מורשת בבל'!$D$17))))</f>
        <v/>
      </c>
      <c r="Q33" s="61" t="str">
        <f ca="1"/>
        <v/>
      </c>
      <c r="R33" s="62" t="str">
        <f t="array" aca="1" ref="R33:V33" ca="1">IF($D33="","",TRANSPOSE(INDIRECT("'"&amp;$D33&amp;"'!"&amp;'גיליון עזר'!$N$1&amp;ROW('מרכז מורשת בבל'!$D$16)):INDIRECT("'"&amp;$D33&amp;"'!"&amp;'גיליון עזר'!$N$1&amp;ROW('מרכז מורשת בבל'!$D$20))))</f>
        <v/>
      </c>
      <c r="S33" s="58" t="str">
        <f ca="1"/>
        <v/>
      </c>
      <c r="T33" s="58" t="str">
        <f ca="1"/>
        <v/>
      </c>
      <c r="U33" s="58" t="str">
        <f ca="1"/>
        <v/>
      </c>
      <c r="V33" s="58" t="str">
        <f ca="1"/>
        <v/>
      </c>
      <c r="W33" s="60" t="str">
        <f ca="1">IF($D33="","",INDIRECT("'"&amp;$D33&amp;"'!"&amp;'גיליון עזר'!$N$1&amp;ROW('מרכז מורשת בבל'!$J$21)))</f>
        <v/>
      </c>
      <c r="X33" s="60" t="str">
        <f ca="1">IF($D33="","",INDIRECT("'"&amp;$D33&amp;"'!"&amp;'גיליון עזר'!$L$1&amp;ROW('מרכז מורשת בבל'!$J$78)))</f>
        <v/>
      </c>
      <c r="Y33" s="63" t="str">
        <f t="array" aca="1" ref="Y33:Z33" ca="1">IF($D33="","",TRANSPOSE(INDIRECT("'"&amp;$D33&amp;"'!"&amp;'גיליון עזר'!$J$1&amp;ROW('מרכז מורשת בבל'!$D$17)):INDIRECT("'"&amp;$D33&amp;"'!"&amp;'גיליון עזר'!$J$1&amp;ROW('מרכז מורשת בבל'!$D$18))))</f>
        <v/>
      </c>
      <c r="Z33" s="63" t="str">
        <f ca="1"/>
        <v/>
      </c>
      <c r="AA33" s="104" t="str">
        <f ca="1">IF($D33="","",IF(INDIRECT("'"&amp;$D33&amp;"'!"&amp;'גיליון עזר'!$J$1&amp;ROW('מרכז מורשת בבל'!$D$21))="","",INDIRECT("'"&amp;$D33&amp;"'!"&amp;'גיליון עזר'!$J$1&amp;ROW('מרכז מורשת בבל'!$D$21))))</f>
        <v/>
      </c>
      <c r="AC33" s="1" t="str">
        <f t="shared" ca="1" si="1"/>
        <v/>
      </c>
      <c r="AD33" s="65" t="str">
        <f t="shared" ca="1" si="1"/>
        <v/>
      </c>
      <c r="AE33" s="65" t="str">
        <f t="shared" ca="1" si="1"/>
        <v/>
      </c>
      <c r="AF33" s="65" t="str">
        <f t="shared" ca="1" si="1"/>
        <v/>
      </c>
      <c r="AG33" s="1" t="str">
        <f t="shared" ca="1" si="1"/>
        <v/>
      </c>
      <c r="AH33" s="64" t="str">
        <f t="shared" ca="1" si="1"/>
        <v/>
      </c>
      <c r="AI33" s="1" t="str">
        <f t="shared" ca="1" si="1"/>
        <v/>
      </c>
      <c r="AJ33" s="1" t="str">
        <f t="shared" ca="1" si="1"/>
        <v/>
      </c>
      <c r="AK33" s="64" t="str">
        <f t="shared" ca="1" si="1"/>
        <v/>
      </c>
      <c r="AL33" s="1" t="str">
        <f t="shared" ca="1" si="1"/>
        <v/>
      </c>
      <c r="AM33" s="1" t="str">
        <f t="shared" ca="1" si="1"/>
        <v/>
      </c>
      <c r="AN33" s="1" t="str">
        <f t="shared" ca="1" si="1"/>
        <v/>
      </c>
      <c r="AO33" s="1" t="str">
        <f t="shared" ca="1" si="1"/>
        <v/>
      </c>
      <c r="AP33" s="3" t="str">
        <f t="shared" ca="1" si="3"/>
        <v/>
      </c>
      <c r="AQ33" s="3" t="str">
        <f t="shared" ca="1" si="4"/>
        <v/>
      </c>
      <c r="AR33" s="3" t="str">
        <f t="shared" ca="1" si="5"/>
        <v/>
      </c>
      <c r="AS33" s="3" t="str">
        <f t="shared" ca="1" si="6"/>
        <v/>
      </c>
      <c r="AT33" s="3" t="str">
        <f t="shared" ca="1" si="7"/>
        <v/>
      </c>
      <c r="AU33" s="3" t="str">
        <f t="shared" ca="1" si="8"/>
        <v/>
      </c>
      <c r="AV33" s="3" t="str">
        <f t="shared" ca="1" si="9"/>
        <v/>
      </c>
      <c r="AW33" s="3" t="str">
        <f t="shared" ca="1" si="10"/>
        <v/>
      </c>
      <c r="AX33" s="3" t="str">
        <f t="shared" ca="1" si="11"/>
        <v/>
      </c>
      <c r="AY33" s="3" t="str">
        <f t="shared" ca="1" si="12"/>
        <v/>
      </c>
      <c r="AZ33" s="31" t="str">
        <f t="shared" ca="1" si="13"/>
        <v/>
      </c>
      <c r="BA33" s="3" t="str">
        <f t="shared" ca="1" si="14"/>
        <v/>
      </c>
      <c r="BB33" s="3" t="str">
        <f t="shared" ca="1" si="15"/>
        <v/>
      </c>
      <c r="BC33" s="37" t="str">
        <f t="shared" ca="1" si="16"/>
        <v/>
      </c>
      <c r="BD33" s="3" t="str">
        <f t="shared" ca="1" si="17"/>
        <v/>
      </c>
      <c r="BE33" s="3" t="str">
        <f t="shared" ca="1" si="18"/>
        <v/>
      </c>
      <c r="BF33" s="3" t="str">
        <f t="shared" ca="1" si="19"/>
        <v/>
      </c>
      <c r="BG33" s="3" t="str">
        <f t="shared" ca="1" si="20"/>
        <v/>
      </c>
      <c r="BH33" s="3" t="str">
        <f t="shared" ca="1" si="21"/>
        <v/>
      </c>
      <c r="BI33" s="3" t="str">
        <f t="shared" ca="1" si="22"/>
        <v/>
      </c>
      <c r="BJ33" s="3" t="str">
        <f t="shared" ca="1" si="23"/>
        <v/>
      </c>
      <c r="BK33" s="3" t="str">
        <f t="shared" ca="1" si="24"/>
        <v/>
      </c>
      <c r="BL33" s="3" t="str">
        <f t="shared" ca="1" si="25"/>
        <v/>
      </c>
    </row>
    <row r="34" spans="1:64" x14ac:dyDescent="0.25">
      <c r="A34" t="str">
        <f ca="1">IF(AND(LEFT(B34,11)&lt;&gt;"גיליון הזנה",INDIRECT("'"&amp;$B34&amp;"'!"&amp;'גיליון עזר'!$I$1&amp;ROW('מרכז מורשת בבל'!$I$3))=""),"חסרה הזנה","")</f>
        <v/>
      </c>
      <c r="B34" s="200" t="str">
        <f ca="1">'ישיבת קרלין סטולין'!$D$3</f>
        <v>ישיבת קרלין סטולין</v>
      </c>
      <c r="C34" s="20">
        <v>18</v>
      </c>
      <c r="D34" s="40" t="str">
        <f ca="1">IF(OR(LEFT(B34,11)="גיליון הזנה",INDIRECT("'"&amp;$B34&amp;"'!"&amp;'גיליון עזר'!$I$1&amp;ROW('מרכז מורשת בבל'!$I$3))=0),"",B34)</f>
        <v>ישיבת קרלין סטולין</v>
      </c>
      <c r="E34" s="57">
        <f t="array" ref="E34:N34" ca="1">IF($D34="","",TRANSPOSE(INDIRECT("'"&amp;$D34&amp;"'!"&amp;'גיליון עזר'!$D$1&amp;ROW('מרכז מורשת בבל'!$D$16)):INDIRECT("'"&amp;$D34&amp;"'!"&amp;'גיליון עזר'!$D$1&amp;ROW('מרכז מורשת בבל'!$D$25))))</f>
        <v>0</v>
      </c>
      <c r="F34" s="58">
        <f ca="1"/>
        <v>128</v>
      </c>
      <c r="G34" s="58">
        <f ca="1"/>
        <v>0</v>
      </c>
      <c r="H34" s="57">
        <f ca="1"/>
        <v>0</v>
      </c>
      <c r="I34" s="57">
        <f ca="1"/>
        <v>0</v>
      </c>
      <c r="J34" s="57">
        <f ca="1"/>
        <v>0</v>
      </c>
      <c r="K34" s="57">
        <f ca="1"/>
        <v>0</v>
      </c>
      <c r="L34" s="57">
        <f ca="1"/>
        <v>0</v>
      </c>
      <c r="M34" s="57">
        <f ca="1"/>
        <v>0</v>
      </c>
      <c r="N34" s="59">
        <f ca="1"/>
        <v>8</v>
      </c>
      <c r="O34" s="60">
        <f ca="1">IF($D34="","",INDIRECT("'"&amp;$D34&amp;"'!"&amp;'גיליון עזר'!$F$1&amp;ROW('מרכז מורשת בבל'!$B$78)))</f>
        <v>0</v>
      </c>
      <c r="P34" s="58">
        <f t="array" ref="P34:Q34" ca="1">IF($D34="","",TRANSPOSE(INDIRECT("'"&amp;$D34&amp;"'!"&amp;'גיליון עזר'!$G$1&amp;ROW('מרכז מורשת בבל'!$D$16)):INDIRECT("'"&amp;$D34&amp;"'!"&amp;'גיליון עזר'!$G$1&amp;ROW('מרכז מורשת בבל'!$D$17))))</f>
        <v>0</v>
      </c>
      <c r="Q34" s="61">
        <f ca="1"/>
        <v>0</v>
      </c>
      <c r="R34" s="62">
        <f t="array" ref="R34:V34" ca="1">IF($D34="","",TRANSPOSE(INDIRECT("'"&amp;$D34&amp;"'!"&amp;'גיליון עזר'!$N$1&amp;ROW('מרכז מורשת בבל'!$D$16)):INDIRECT("'"&amp;$D34&amp;"'!"&amp;'גיליון עזר'!$N$1&amp;ROW('מרכז מורשת בבל'!$D$20))))</f>
        <v>0</v>
      </c>
      <c r="S34" s="58">
        <f ca="1"/>
        <v>0</v>
      </c>
      <c r="T34" s="58">
        <f ca="1"/>
        <v>0</v>
      </c>
      <c r="U34" s="58">
        <f ca="1"/>
        <v>0</v>
      </c>
      <c r="V34" s="58">
        <f ca="1"/>
        <v>0</v>
      </c>
      <c r="W34" s="60">
        <f ca="1">IF($D34="","",INDIRECT("'"&amp;$D34&amp;"'!"&amp;'גיליון עזר'!$N$1&amp;ROW('מרכז מורשת בבל'!$J$21)))</f>
        <v>0</v>
      </c>
      <c r="X34" s="60">
        <f ca="1">IF($D34="","",INDIRECT("'"&amp;$D34&amp;"'!"&amp;'גיליון עזר'!$L$1&amp;ROW('מרכז מורשת בבל'!$J$78)))</f>
        <v>0</v>
      </c>
      <c r="Y34" s="63">
        <f t="array" ref="Y34:Z34" ca="1">IF($D34="","",TRANSPOSE(INDIRECT("'"&amp;$D34&amp;"'!"&amp;'גיליון עזר'!$J$1&amp;ROW('מרכז מורשת בבל'!$D$17)):INDIRECT("'"&amp;$D34&amp;"'!"&amp;'גיליון עזר'!$J$1&amp;ROW('מרכז מורשת בבל'!$D$18))))</f>
        <v>508401</v>
      </c>
      <c r="Z34" s="63">
        <f ca="1"/>
        <v>1041932</v>
      </c>
      <c r="AA34" s="104" t="str">
        <f ca="1">IF($D34="","",IF(INDIRECT("'"&amp;$D34&amp;"'!"&amp;'גיליון עזר'!$J$1&amp;ROW('מרכז מורשת בבל'!$D$21))="","",INDIRECT("'"&amp;$D34&amp;"'!"&amp;'גיליון עזר'!$J$1&amp;ROW('מרכז מורשת בבל'!$D$21))))</f>
        <v/>
      </c>
      <c r="AC34" s="1" t="str">
        <f t="shared" ca="1" si="1"/>
        <v>כינוס</v>
      </c>
      <c r="AD34" s="65" t="str">
        <f t="shared" ca="1" si="1"/>
        <v>הרצאה</v>
      </c>
      <c r="AE34" s="65" t="str">
        <f t="shared" ca="1" si="1"/>
        <v>יום עיון</v>
      </c>
      <c r="AF34" s="65" t="str">
        <f t="shared" ca="1" si="1"/>
        <v>הפקה מורכבת</v>
      </c>
      <c r="AG34" s="1" t="str">
        <f t="shared" ca="1" si="1"/>
        <v>כן</v>
      </c>
      <c r="AH34" s="64" t="str">
        <f t="shared" ca="1" si="1"/>
        <v>לא</v>
      </c>
      <c r="AI34" s="1" t="str">
        <f t="shared" ca="1" si="1"/>
        <v>נאותה</v>
      </c>
      <c r="AJ34" s="1" t="str">
        <f t="shared" ca="1" si="1"/>
        <v>טובה</v>
      </c>
      <c r="AK34" s="64" t="str">
        <f t="shared" ca="1" si="1"/>
        <v>טובה מאוד</v>
      </c>
      <c r="AL34" s="1" t="str">
        <f t="shared" ca="1" si="1"/>
        <v>אחד בשנה</v>
      </c>
      <c r="AM34" s="1" t="str">
        <f t="shared" ca="1" si="1"/>
        <v>שניים בשנה</v>
      </c>
      <c r="AN34" s="1" t="str">
        <f t="shared" ca="1" si="1"/>
        <v>שלוש בשנה</v>
      </c>
      <c r="AO34" s="1" t="str">
        <f t="shared" ca="1" si="1"/>
        <v>מעל 4 בשנה</v>
      </c>
      <c r="AP34" s="3">
        <f t="shared" ca="1" si="3"/>
        <v>0</v>
      </c>
      <c r="AQ34" s="3">
        <f t="shared" ca="1" si="4"/>
        <v>128</v>
      </c>
      <c r="AR34" s="3">
        <f t="shared" ca="1" si="5"/>
        <v>0</v>
      </c>
      <c r="AS34" s="3">
        <f t="shared" ca="1" si="6"/>
        <v>0</v>
      </c>
      <c r="AT34" s="3">
        <f t="shared" ca="1" si="7"/>
        <v>0</v>
      </c>
      <c r="AU34" s="3">
        <f t="shared" ca="1" si="8"/>
        <v>0</v>
      </c>
      <c r="AV34" s="3">
        <f t="shared" ca="1" si="9"/>
        <v>0</v>
      </c>
      <c r="AW34" s="3">
        <f t="shared" ca="1" si="10"/>
        <v>0</v>
      </c>
      <c r="AX34" s="3">
        <f t="shared" ca="1" si="11"/>
        <v>0</v>
      </c>
      <c r="AY34" s="3">
        <f t="shared" ca="1" si="12"/>
        <v>8</v>
      </c>
      <c r="AZ34" s="31">
        <f t="shared" ca="1" si="13"/>
        <v>0</v>
      </c>
      <c r="BA34" s="3">
        <f t="shared" ca="1" si="14"/>
        <v>0</v>
      </c>
      <c r="BB34" s="3">
        <f t="shared" ca="1" si="15"/>
        <v>0</v>
      </c>
      <c r="BC34" s="37">
        <f t="shared" ca="1" si="16"/>
        <v>0</v>
      </c>
      <c r="BD34" s="3">
        <f t="shared" ca="1" si="17"/>
        <v>0</v>
      </c>
      <c r="BE34" s="3">
        <f t="shared" ca="1" si="18"/>
        <v>0</v>
      </c>
      <c r="BF34" s="3">
        <f t="shared" ca="1" si="19"/>
        <v>0</v>
      </c>
      <c r="BG34" s="3">
        <f t="shared" ca="1" si="20"/>
        <v>0</v>
      </c>
      <c r="BH34" s="3">
        <f t="shared" ca="1" si="21"/>
        <v>0</v>
      </c>
      <c r="BI34" s="3">
        <f t="shared" ca="1" si="22"/>
        <v>0</v>
      </c>
      <c r="BJ34" s="3">
        <f t="shared" ca="1" si="23"/>
        <v>508401</v>
      </c>
      <c r="BK34" s="3">
        <f t="shared" ca="1" si="24"/>
        <v>1041932</v>
      </c>
      <c r="BL34" s="3" t="str">
        <f t="shared" ca="1" si="25"/>
        <v/>
      </c>
    </row>
    <row r="35" spans="1:64" x14ac:dyDescent="0.25">
      <c r="A35" t="str">
        <f ca="1">IF(AND(LEFT(B35,11)&lt;&gt;"גיליון הזנה",INDIRECT("'"&amp;$B35&amp;"'!"&amp;'גיליון עזר'!$I$1&amp;ROW('מרכז מורשת בבל'!$I$3))=""),"חסרה הזנה","")</f>
        <v/>
      </c>
      <c r="B35" s="200" t="str">
        <f ca="1">'גיליון הזנה 19'!$D$3</f>
        <v>גיליון הזנה 19</v>
      </c>
      <c r="C35" s="20">
        <v>19</v>
      </c>
      <c r="D35" s="40" t="str">
        <f ca="1">IF(OR(LEFT(B35,11)="גיליון הזנה",INDIRECT("'"&amp;$B35&amp;"'!"&amp;'גיליון עזר'!$I$1&amp;ROW('מרכז מורשת בבל'!$I$3))=0),"",B35)</f>
        <v/>
      </c>
      <c r="E35" s="57" t="str">
        <f t="array" aca="1" ref="E35:N35" ca="1">IF($D35="","",TRANSPOSE(INDIRECT("'"&amp;$D35&amp;"'!"&amp;'גיליון עזר'!$D$1&amp;ROW('מרכז מורשת בבל'!$D$16)):INDIRECT("'"&amp;$D35&amp;"'!"&amp;'גיליון עזר'!$D$1&amp;ROW('מרכז מורשת בבל'!$D$25))))</f>
        <v/>
      </c>
      <c r="F35" s="58" t="str">
        <f ca="1"/>
        <v/>
      </c>
      <c r="G35" s="58" t="str">
        <f ca="1"/>
        <v/>
      </c>
      <c r="H35" s="57" t="str">
        <f ca="1"/>
        <v/>
      </c>
      <c r="I35" s="57" t="str">
        <f ca="1"/>
        <v/>
      </c>
      <c r="J35" s="57" t="str">
        <f ca="1"/>
        <v/>
      </c>
      <c r="K35" s="57" t="str">
        <f ca="1"/>
        <v/>
      </c>
      <c r="L35" s="57" t="str">
        <f ca="1"/>
        <v/>
      </c>
      <c r="M35" s="57" t="str">
        <f ca="1"/>
        <v/>
      </c>
      <c r="N35" s="59" t="str">
        <f ca="1"/>
        <v/>
      </c>
      <c r="O35" s="60" t="str">
        <f ca="1">IF($D35="","",INDIRECT("'"&amp;$D35&amp;"'!"&amp;'גיליון עזר'!$F$1&amp;ROW('מרכז מורשת בבל'!$B$78)))</f>
        <v/>
      </c>
      <c r="P35" s="58" t="str">
        <f t="array" aca="1" ref="P35:Q35" ca="1">IF($D35="","",TRANSPOSE(INDIRECT("'"&amp;$D35&amp;"'!"&amp;'גיליון עזר'!$G$1&amp;ROW('מרכז מורשת בבל'!$D$16)):INDIRECT("'"&amp;$D35&amp;"'!"&amp;'גיליון עזר'!$G$1&amp;ROW('מרכז מורשת בבל'!$D$17))))</f>
        <v/>
      </c>
      <c r="Q35" s="61" t="str">
        <f ca="1"/>
        <v/>
      </c>
      <c r="R35" s="62" t="str">
        <f t="array" aca="1" ref="R35:V35" ca="1">IF($D35="","",TRANSPOSE(INDIRECT("'"&amp;$D35&amp;"'!"&amp;'גיליון עזר'!$N$1&amp;ROW('מרכז מורשת בבל'!$D$16)):INDIRECT("'"&amp;$D35&amp;"'!"&amp;'גיליון עזר'!$N$1&amp;ROW('מרכז מורשת בבל'!$D$20))))</f>
        <v/>
      </c>
      <c r="S35" s="58" t="str">
        <f ca="1"/>
        <v/>
      </c>
      <c r="T35" s="58" t="str">
        <f ca="1"/>
        <v/>
      </c>
      <c r="U35" s="58" t="str">
        <f ca="1"/>
        <v/>
      </c>
      <c r="V35" s="58" t="str">
        <f ca="1"/>
        <v/>
      </c>
      <c r="W35" s="60" t="str">
        <f ca="1">IF($D35="","",INDIRECT("'"&amp;$D35&amp;"'!"&amp;'גיליון עזר'!$N$1&amp;ROW('מרכז מורשת בבל'!$J$21)))</f>
        <v/>
      </c>
      <c r="X35" s="60" t="str">
        <f ca="1">IF($D35="","",INDIRECT("'"&amp;$D35&amp;"'!"&amp;'גיליון עזר'!$L$1&amp;ROW('מרכז מורשת בבל'!$J$78)))</f>
        <v/>
      </c>
      <c r="Y35" s="63" t="str">
        <f t="array" aca="1" ref="Y35:Z35" ca="1">IF($D35="","",TRANSPOSE(INDIRECT("'"&amp;$D35&amp;"'!"&amp;'גיליון עזר'!$J$1&amp;ROW('מרכז מורשת בבל'!$D$17)):INDIRECT("'"&amp;$D35&amp;"'!"&amp;'גיליון עזר'!$J$1&amp;ROW('מרכז מורשת בבל'!$D$18))))</f>
        <v/>
      </c>
      <c r="Z35" s="63" t="str">
        <f ca="1"/>
        <v/>
      </c>
      <c r="AA35" s="104" t="str">
        <f ca="1">IF($D35="","",IF(INDIRECT("'"&amp;$D35&amp;"'!"&amp;'גיליון עזר'!$J$1&amp;ROW('מרכז מורשת בבל'!$D$21))="","",INDIRECT("'"&amp;$D35&amp;"'!"&amp;'גיליון עזר'!$J$1&amp;ROW('מרכז מורשת בבל'!$D$21))))</f>
        <v/>
      </c>
      <c r="AC35" s="1" t="str">
        <f t="shared" ca="1" si="1"/>
        <v/>
      </c>
      <c r="AD35" s="65" t="str">
        <f t="shared" ca="1" si="1"/>
        <v/>
      </c>
      <c r="AE35" s="65" t="str">
        <f t="shared" ca="1" si="1"/>
        <v/>
      </c>
      <c r="AF35" s="65" t="str">
        <f t="shared" ca="1" si="1"/>
        <v/>
      </c>
      <c r="AG35" s="1" t="str">
        <f t="shared" ca="1" si="1"/>
        <v/>
      </c>
      <c r="AH35" s="64" t="str">
        <f t="shared" ca="1" si="1"/>
        <v/>
      </c>
      <c r="AI35" s="1" t="str">
        <f t="shared" ca="1" si="1"/>
        <v/>
      </c>
      <c r="AJ35" s="1" t="str">
        <f t="shared" ca="1" si="1"/>
        <v/>
      </c>
      <c r="AK35" s="64" t="str">
        <f t="shared" ca="1" si="1"/>
        <v/>
      </c>
      <c r="AL35" s="1" t="str">
        <f t="shared" ca="1" si="1"/>
        <v/>
      </c>
      <c r="AM35" s="1" t="str">
        <f t="shared" ca="1" si="1"/>
        <v/>
      </c>
      <c r="AN35" s="1" t="str">
        <f t="shared" ca="1" si="1"/>
        <v/>
      </c>
      <c r="AO35" s="1" t="str">
        <f t="shared" ca="1" si="1"/>
        <v/>
      </c>
      <c r="AP35" s="3" t="str">
        <f t="shared" ca="1" si="3"/>
        <v/>
      </c>
      <c r="AQ35" s="3" t="str">
        <f t="shared" ca="1" si="4"/>
        <v/>
      </c>
      <c r="AR35" s="3" t="str">
        <f t="shared" ca="1" si="5"/>
        <v/>
      </c>
      <c r="AS35" s="3" t="str">
        <f t="shared" ca="1" si="6"/>
        <v/>
      </c>
      <c r="AT35" s="3" t="str">
        <f t="shared" ca="1" si="7"/>
        <v/>
      </c>
      <c r="AU35" s="3" t="str">
        <f t="shared" ca="1" si="8"/>
        <v/>
      </c>
      <c r="AV35" s="3" t="str">
        <f t="shared" ca="1" si="9"/>
        <v/>
      </c>
      <c r="AW35" s="3" t="str">
        <f t="shared" ca="1" si="10"/>
        <v/>
      </c>
      <c r="AX35" s="3" t="str">
        <f t="shared" ca="1" si="11"/>
        <v/>
      </c>
      <c r="AY35" s="3" t="str">
        <f t="shared" ca="1" si="12"/>
        <v/>
      </c>
      <c r="AZ35" s="31" t="str">
        <f t="shared" ca="1" si="13"/>
        <v/>
      </c>
      <c r="BA35" s="3" t="str">
        <f t="shared" ca="1" si="14"/>
        <v/>
      </c>
      <c r="BB35" s="3" t="str">
        <f t="shared" ca="1" si="15"/>
        <v/>
      </c>
      <c r="BC35" s="37" t="str">
        <f t="shared" ca="1" si="16"/>
        <v/>
      </c>
      <c r="BD35" s="3" t="str">
        <f t="shared" ca="1" si="17"/>
        <v/>
      </c>
      <c r="BE35" s="3" t="str">
        <f t="shared" ca="1" si="18"/>
        <v/>
      </c>
      <c r="BF35" s="3" t="str">
        <f t="shared" ca="1" si="19"/>
        <v/>
      </c>
      <c r="BG35" s="3" t="str">
        <f t="shared" ca="1" si="20"/>
        <v/>
      </c>
      <c r="BH35" s="3" t="str">
        <f t="shared" ca="1" si="21"/>
        <v/>
      </c>
      <c r="BI35" s="3" t="str">
        <f t="shared" ca="1" si="22"/>
        <v/>
      </c>
      <c r="BJ35" s="3" t="str">
        <f t="shared" ca="1" si="23"/>
        <v/>
      </c>
      <c r="BK35" s="3" t="str">
        <f t="shared" ca="1" si="24"/>
        <v/>
      </c>
      <c r="BL35" s="3" t="str">
        <f t="shared" ca="1" si="25"/>
        <v/>
      </c>
    </row>
    <row r="36" spans="1:64" x14ac:dyDescent="0.25">
      <c r="A36" t="str">
        <f ca="1">IF(AND(LEFT(B36,11)&lt;&gt;"גיליון הזנה",INDIRECT("'"&amp;$B36&amp;"'!"&amp;'גיליון עזר'!$I$1&amp;ROW('מרכז מורשת בבל'!$I$3))=""),"חסרה הזנה","")</f>
        <v/>
      </c>
      <c r="B36" s="200" t="str">
        <f ca="1">'גיליון הזנה 20'!$D$3</f>
        <v>גיליון הזנה 20</v>
      </c>
      <c r="C36" s="20">
        <v>20</v>
      </c>
      <c r="D36" s="40" t="str">
        <f ca="1">IF(OR(LEFT(B36,11)="גיליון הזנה",INDIRECT("'"&amp;$B36&amp;"'!"&amp;'גיליון עזר'!$I$1&amp;ROW('מרכז מורשת בבל'!$I$3))=0),"",B36)</f>
        <v/>
      </c>
      <c r="E36" s="57" t="str">
        <f t="array" aca="1" ref="E36:N36" ca="1">IF($D36="","",TRANSPOSE(INDIRECT("'"&amp;$D36&amp;"'!"&amp;'גיליון עזר'!$D$1&amp;ROW('מרכז מורשת בבל'!$D$16)):INDIRECT("'"&amp;$D36&amp;"'!"&amp;'גיליון עזר'!$D$1&amp;ROW('מרכז מורשת בבל'!$D$25))))</f>
        <v/>
      </c>
      <c r="F36" s="58" t="str">
        <f ca="1"/>
        <v/>
      </c>
      <c r="G36" s="58" t="str">
        <f ca="1"/>
        <v/>
      </c>
      <c r="H36" s="57" t="str">
        <f ca="1"/>
        <v/>
      </c>
      <c r="I36" s="57" t="str">
        <f ca="1"/>
        <v/>
      </c>
      <c r="J36" s="57" t="str">
        <f ca="1"/>
        <v/>
      </c>
      <c r="K36" s="57" t="str">
        <f ca="1"/>
        <v/>
      </c>
      <c r="L36" s="57" t="str">
        <f ca="1"/>
        <v/>
      </c>
      <c r="M36" s="57" t="str">
        <f ca="1"/>
        <v/>
      </c>
      <c r="N36" s="59" t="str">
        <f ca="1"/>
        <v/>
      </c>
      <c r="O36" s="60" t="str">
        <f ca="1">IF($D36="","",INDIRECT("'"&amp;$D36&amp;"'!"&amp;'גיליון עזר'!$F$1&amp;ROW('מרכז מורשת בבל'!$B$78)))</f>
        <v/>
      </c>
      <c r="P36" s="58" t="str">
        <f t="array" aca="1" ref="P36:Q36" ca="1">IF($D36="","",TRANSPOSE(INDIRECT("'"&amp;$D36&amp;"'!"&amp;'גיליון עזר'!$G$1&amp;ROW('מרכז מורשת בבל'!$D$16)):INDIRECT("'"&amp;$D36&amp;"'!"&amp;'גיליון עזר'!$G$1&amp;ROW('מרכז מורשת בבל'!$D$17))))</f>
        <v/>
      </c>
      <c r="Q36" s="61" t="str">
        <f ca="1"/>
        <v/>
      </c>
      <c r="R36" s="62" t="str">
        <f t="array" aca="1" ref="R36:V36" ca="1">IF($D36="","",TRANSPOSE(INDIRECT("'"&amp;$D36&amp;"'!"&amp;'גיליון עזר'!$N$1&amp;ROW('מרכז מורשת בבל'!$D$16)):INDIRECT("'"&amp;$D36&amp;"'!"&amp;'גיליון עזר'!$N$1&amp;ROW('מרכז מורשת בבל'!$D$20))))</f>
        <v/>
      </c>
      <c r="S36" s="58" t="str">
        <f ca="1"/>
        <v/>
      </c>
      <c r="T36" s="58" t="str">
        <f ca="1"/>
        <v/>
      </c>
      <c r="U36" s="58" t="str">
        <f ca="1"/>
        <v/>
      </c>
      <c r="V36" s="58" t="str">
        <f ca="1"/>
        <v/>
      </c>
      <c r="W36" s="60" t="str">
        <f ca="1">IF($D36="","",INDIRECT("'"&amp;$D36&amp;"'!"&amp;'גיליון עזר'!$N$1&amp;ROW('מרכז מורשת בבל'!$J$21)))</f>
        <v/>
      </c>
      <c r="X36" s="60" t="str">
        <f ca="1">IF($D36="","",INDIRECT("'"&amp;$D36&amp;"'!"&amp;'גיליון עזר'!$L$1&amp;ROW('מרכז מורשת בבל'!$J$78)))</f>
        <v/>
      </c>
      <c r="Y36" s="63" t="str">
        <f t="array" aca="1" ref="Y36:Z36" ca="1">IF($D36="","",TRANSPOSE(INDIRECT("'"&amp;$D36&amp;"'!"&amp;'גיליון עזר'!$J$1&amp;ROW('מרכז מורשת בבל'!$D$17)):INDIRECT("'"&amp;$D36&amp;"'!"&amp;'גיליון עזר'!$J$1&amp;ROW('מרכז מורשת בבל'!$D$18))))</f>
        <v/>
      </c>
      <c r="Z36" s="63" t="str">
        <f ca="1"/>
        <v/>
      </c>
      <c r="AA36" s="104" t="str">
        <f ca="1">IF($D36="","",IF(INDIRECT("'"&amp;$D36&amp;"'!"&amp;'גיליון עזר'!$J$1&amp;ROW('מרכז מורשת בבל'!$D$21))="","",INDIRECT("'"&amp;$D36&amp;"'!"&amp;'גיליון עזר'!$J$1&amp;ROW('מרכז מורשת בבל'!$D$21))))</f>
        <v/>
      </c>
      <c r="AC36" s="1" t="str">
        <f t="shared" ca="1" si="1"/>
        <v/>
      </c>
      <c r="AD36" s="65" t="str">
        <f t="shared" ca="1" si="1"/>
        <v/>
      </c>
      <c r="AE36" s="65" t="str">
        <f t="shared" ca="1" si="1"/>
        <v/>
      </c>
      <c r="AF36" s="65" t="str">
        <f t="shared" ca="1" si="1"/>
        <v/>
      </c>
      <c r="AG36" s="1" t="str">
        <f t="shared" ca="1" si="1"/>
        <v/>
      </c>
      <c r="AH36" s="64" t="str">
        <f t="shared" ca="1" si="1"/>
        <v/>
      </c>
      <c r="AI36" s="1" t="str">
        <f t="shared" ca="1" si="1"/>
        <v/>
      </c>
      <c r="AJ36" s="1" t="str">
        <f t="shared" ca="1" si="1"/>
        <v/>
      </c>
      <c r="AK36" s="64" t="str">
        <f t="shared" ca="1" si="1"/>
        <v/>
      </c>
      <c r="AL36" s="1" t="str">
        <f t="shared" ca="1" si="1"/>
        <v/>
      </c>
      <c r="AM36" s="1" t="str">
        <f t="shared" ca="1" si="1"/>
        <v/>
      </c>
      <c r="AN36" s="1" t="str">
        <f t="shared" ca="1" si="1"/>
        <v/>
      </c>
      <c r="AO36" s="1" t="str">
        <f t="shared" ca="1" si="1"/>
        <v/>
      </c>
      <c r="AP36" s="3" t="str">
        <f t="shared" ca="1" si="3"/>
        <v/>
      </c>
      <c r="AQ36" s="3" t="str">
        <f t="shared" ca="1" si="4"/>
        <v/>
      </c>
      <c r="AR36" s="3" t="str">
        <f t="shared" ca="1" si="5"/>
        <v/>
      </c>
      <c r="AS36" s="3" t="str">
        <f t="shared" ca="1" si="6"/>
        <v/>
      </c>
      <c r="AT36" s="3" t="str">
        <f t="shared" ca="1" si="7"/>
        <v/>
      </c>
      <c r="AU36" s="3" t="str">
        <f t="shared" ca="1" si="8"/>
        <v/>
      </c>
      <c r="AV36" s="3" t="str">
        <f t="shared" ca="1" si="9"/>
        <v/>
      </c>
      <c r="AW36" s="3" t="str">
        <f t="shared" ca="1" si="10"/>
        <v/>
      </c>
      <c r="AX36" s="3" t="str">
        <f t="shared" ca="1" si="11"/>
        <v/>
      </c>
      <c r="AY36" s="3" t="str">
        <f t="shared" ca="1" si="12"/>
        <v/>
      </c>
      <c r="AZ36" s="31" t="str">
        <f t="shared" ca="1" si="13"/>
        <v/>
      </c>
      <c r="BA36" s="3" t="str">
        <f t="shared" ca="1" si="14"/>
        <v/>
      </c>
      <c r="BB36" s="3" t="str">
        <f t="shared" ca="1" si="15"/>
        <v/>
      </c>
      <c r="BC36" s="37" t="str">
        <f t="shared" ca="1" si="16"/>
        <v/>
      </c>
      <c r="BD36" s="3" t="str">
        <f t="shared" ca="1" si="17"/>
        <v/>
      </c>
      <c r="BE36" s="3" t="str">
        <f t="shared" ca="1" si="18"/>
        <v/>
      </c>
      <c r="BF36" s="3" t="str">
        <f t="shared" ca="1" si="19"/>
        <v/>
      </c>
      <c r="BG36" s="3" t="str">
        <f t="shared" ca="1" si="20"/>
        <v/>
      </c>
      <c r="BH36" s="3" t="str">
        <f t="shared" ca="1" si="21"/>
        <v/>
      </c>
      <c r="BI36" s="3" t="str">
        <f t="shared" ca="1" si="22"/>
        <v/>
      </c>
      <c r="BJ36" s="3" t="str">
        <f t="shared" ca="1" si="23"/>
        <v/>
      </c>
      <c r="BK36" s="3" t="str">
        <f t="shared" ca="1" si="24"/>
        <v/>
      </c>
      <c r="BL36" s="3" t="str">
        <f t="shared" ca="1" si="25"/>
        <v/>
      </c>
    </row>
    <row r="37" spans="1:64" x14ac:dyDescent="0.25">
      <c r="A37" t="str">
        <f ca="1">IF(AND(LEFT(B37,11)&lt;&gt;"גיליון הזנה",INDIRECT("'"&amp;$B37&amp;"'!"&amp;'גיליון עזר'!$I$1&amp;ROW('מרכז מורשת בבל'!$I$3))=""),"חסרה הזנה","")</f>
        <v/>
      </c>
      <c r="B37" s="200" t="str">
        <f ca="1">'ברית יוצאי מרוקו'!$D$3</f>
        <v>ברית יוצאי מרוקו</v>
      </c>
      <c r="C37" s="20">
        <v>21</v>
      </c>
      <c r="D37" s="40" t="str">
        <f ca="1">IF(OR(LEFT(B37,11)="גיליון הזנה",INDIRECT("'"&amp;$B37&amp;"'!"&amp;'גיליון עזר'!$I$1&amp;ROW('מרכז מורשת בבל'!$I$3))=0),"",B37)</f>
        <v>ברית יוצאי מרוקו</v>
      </c>
      <c r="E37" s="57">
        <f t="array" ref="E37:N37" ca="1">IF($D37="","",TRANSPOSE(INDIRECT("'"&amp;$D37&amp;"'!"&amp;'גיליון עזר'!$D$1&amp;ROW('מרכז מורשת בבל'!$D$16)):INDIRECT("'"&amp;$D37&amp;"'!"&amp;'גיליון עזר'!$D$1&amp;ROW('מרכז מורשת בבל'!$D$25))))</f>
        <v>1</v>
      </c>
      <c r="F37" s="58">
        <f ca="1"/>
        <v>0</v>
      </c>
      <c r="G37" s="58">
        <f ca="1"/>
        <v>0</v>
      </c>
      <c r="H37" s="57">
        <f ca="1"/>
        <v>2</v>
      </c>
      <c r="I37" s="57">
        <f ca="1"/>
        <v>1</v>
      </c>
      <c r="J37" s="57">
        <f ca="1"/>
        <v>4</v>
      </c>
      <c r="K37" s="57">
        <f ca="1"/>
        <v>0</v>
      </c>
      <c r="L37" s="57">
        <f ca="1"/>
        <v>2</v>
      </c>
      <c r="M37" s="57">
        <f ca="1"/>
        <v>0</v>
      </c>
      <c r="N37" s="59">
        <f ca="1"/>
        <v>6</v>
      </c>
      <c r="O37" s="60">
        <f ca="1">IF($D37="","",INDIRECT("'"&amp;$D37&amp;"'!"&amp;'גיליון עזר'!$F$1&amp;ROW('מרכז מורשת בבל'!$B$78)))</f>
        <v>150</v>
      </c>
      <c r="P37" s="58">
        <f t="array" ref="P37:Q37" ca="1">IF($D37="","",TRANSPOSE(INDIRECT("'"&amp;$D37&amp;"'!"&amp;'גיליון עזר'!$G$1&amp;ROW('מרכז מורשת בבל'!$D$16)):INDIRECT("'"&amp;$D37&amp;"'!"&amp;'גיליון עזר'!$G$1&amp;ROW('מרכז מורשת בבל'!$D$17))))</f>
        <v>20</v>
      </c>
      <c r="Q37" s="61">
        <f ca="1"/>
        <v>0</v>
      </c>
      <c r="R37" s="62">
        <f t="array" ref="R37:V37" ca="1">IF($D37="","",TRANSPOSE(INDIRECT("'"&amp;$D37&amp;"'!"&amp;'גיליון עזר'!$N$1&amp;ROW('מרכז מורשת בבל'!$D$16)):INDIRECT("'"&amp;$D37&amp;"'!"&amp;'גיליון עזר'!$N$1&amp;ROW('מרכז מורשת בבל'!$D$20))))</f>
        <v>0</v>
      </c>
      <c r="S37" s="58">
        <f ca="1"/>
        <v>0</v>
      </c>
      <c r="T37" s="58">
        <f ca="1"/>
        <v>0</v>
      </c>
      <c r="U37" s="58">
        <f ca="1"/>
        <v>0</v>
      </c>
      <c r="V37" s="58">
        <f ca="1"/>
        <v>0</v>
      </c>
      <c r="W37" s="60">
        <f ca="1">IF($D37="","",INDIRECT("'"&amp;$D37&amp;"'!"&amp;'גיליון עזר'!$N$1&amp;ROW('מרכז מורשת בבל'!$J$21)))</f>
        <v>0</v>
      </c>
      <c r="X37" s="60">
        <f ca="1">IF($D37="","",INDIRECT("'"&amp;$D37&amp;"'!"&amp;'גיליון עזר'!$L$1&amp;ROW('מרכז מורשת בבל'!$J$78)))</f>
        <v>0</v>
      </c>
      <c r="Y37" s="63">
        <f t="array" ref="Y37:Z37" ca="1">IF($D37="","",TRANSPOSE(INDIRECT("'"&amp;$D37&amp;"'!"&amp;'גיליון עזר'!$J$1&amp;ROW('מרכז מורשת בבל'!$D$17)):INDIRECT("'"&amp;$D37&amp;"'!"&amp;'גיליון עזר'!$J$1&amp;ROW('מרכז מורשת בבל'!$D$18))))</f>
        <v>1304803</v>
      </c>
      <c r="Z37" s="63">
        <f ca="1"/>
        <v>1517219</v>
      </c>
      <c r="AA37" s="104" t="str">
        <f ca="1">IF($D37="","",IF(INDIRECT("'"&amp;$D37&amp;"'!"&amp;'גיליון עזר'!$J$1&amp;ROW('מרכז מורשת בבל'!$D$21))="","",INDIRECT("'"&amp;$D37&amp;"'!"&amp;'גיליון עזר'!$J$1&amp;ROW('מרכז מורשת בבל'!$D$21))))</f>
        <v/>
      </c>
      <c r="AC37" s="1" t="str">
        <f t="shared" ref="AC37:AO56" ca="1" si="26">IF($D37="","",AC$16)</f>
        <v>כינוס</v>
      </c>
      <c r="AD37" s="65" t="str">
        <f t="shared" ca="1" si="26"/>
        <v>הרצאה</v>
      </c>
      <c r="AE37" s="65" t="str">
        <f t="shared" ca="1" si="26"/>
        <v>יום עיון</v>
      </c>
      <c r="AF37" s="65" t="str">
        <f t="shared" ca="1" si="26"/>
        <v>הפקה מורכבת</v>
      </c>
      <c r="AG37" s="1" t="str">
        <f t="shared" ca="1" si="26"/>
        <v>כן</v>
      </c>
      <c r="AH37" s="64" t="str">
        <f t="shared" ca="1" si="26"/>
        <v>לא</v>
      </c>
      <c r="AI37" s="1" t="str">
        <f t="shared" ca="1" si="26"/>
        <v>נאותה</v>
      </c>
      <c r="AJ37" s="1" t="str">
        <f t="shared" ca="1" si="26"/>
        <v>טובה</v>
      </c>
      <c r="AK37" s="64" t="str">
        <f t="shared" ca="1" si="26"/>
        <v>טובה מאוד</v>
      </c>
      <c r="AL37" s="1" t="str">
        <f t="shared" ca="1" si="26"/>
        <v>אחד בשנה</v>
      </c>
      <c r="AM37" s="1" t="str">
        <f t="shared" ca="1" si="26"/>
        <v>שניים בשנה</v>
      </c>
      <c r="AN37" s="1" t="str">
        <f t="shared" ca="1" si="26"/>
        <v>שלוש בשנה</v>
      </c>
      <c r="AO37" s="1" t="str">
        <f t="shared" ca="1" si="26"/>
        <v>מעל 4 בשנה</v>
      </c>
      <c r="AP37" s="3">
        <f t="shared" ca="1" si="3"/>
        <v>1</v>
      </c>
      <c r="AQ37" s="3">
        <f t="shared" ca="1" si="4"/>
        <v>0</v>
      </c>
      <c r="AR37" s="3">
        <f t="shared" ca="1" si="5"/>
        <v>0</v>
      </c>
      <c r="AS37" s="3">
        <f t="shared" ca="1" si="6"/>
        <v>2</v>
      </c>
      <c r="AT37" s="3">
        <f t="shared" ca="1" si="7"/>
        <v>1</v>
      </c>
      <c r="AU37" s="3">
        <f t="shared" ca="1" si="8"/>
        <v>4</v>
      </c>
      <c r="AV37" s="3">
        <f t="shared" ca="1" si="9"/>
        <v>0</v>
      </c>
      <c r="AW37" s="3">
        <f t="shared" ca="1" si="10"/>
        <v>2</v>
      </c>
      <c r="AX37" s="3">
        <f t="shared" ca="1" si="11"/>
        <v>0</v>
      </c>
      <c r="AY37" s="3">
        <f t="shared" ca="1" si="12"/>
        <v>6</v>
      </c>
      <c r="AZ37" s="31">
        <f t="shared" ca="1" si="13"/>
        <v>150</v>
      </c>
      <c r="BA37" s="3">
        <f t="shared" ca="1" si="14"/>
        <v>20</v>
      </c>
      <c r="BB37" s="3">
        <f t="shared" ca="1" si="15"/>
        <v>0</v>
      </c>
      <c r="BC37" s="37">
        <f t="shared" ca="1" si="16"/>
        <v>0</v>
      </c>
      <c r="BD37" s="3">
        <f t="shared" ca="1" si="17"/>
        <v>0</v>
      </c>
      <c r="BE37" s="3">
        <f t="shared" ca="1" si="18"/>
        <v>0</v>
      </c>
      <c r="BF37" s="3">
        <f t="shared" ca="1" si="19"/>
        <v>0</v>
      </c>
      <c r="BG37" s="3">
        <f t="shared" ca="1" si="20"/>
        <v>0</v>
      </c>
      <c r="BH37" s="3">
        <f t="shared" ca="1" si="21"/>
        <v>0</v>
      </c>
      <c r="BI37" s="3">
        <f t="shared" ca="1" si="22"/>
        <v>0</v>
      </c>
      <c r="BJ37" s="3">
        <f t="shared" ca="1" si="23"/>
        <v>1304803</v>
      </c>
      <c r="BK37" s="3">
        <f t="shared" ca="1" si="24"/>
        <v>1517219</v>
      </c>
      <c r="BL37" s="3" t="str">
        <f t="shared" ca="1" si="25"/>
        <v/>
      </c>
    </row>
    <row r="38" spans="1:64" x14ac:dyDescent="0.25">
      <c r="A38" t="str">
        <f ca="1">IF(AND(LEFT(B38,11)&lt;&gt;"גיליון הזנה",INDIRECT("'"&amp;$B38&amp;"'!"&amp;'גיליון עזר'!$I$1&amp;ROW('מרכז מורשת בבל'!$I$3))=""),"חסרה הזנה","")</f>
        <v/>
      </c>
      <c r="B38" s="200" t="str">
        <f ca="1">'הקם - בית הקונפדרציה'!$D$3</f>
        <v>הקם - בית הקונפדרציה</v>
      </c>
      <c r="C38" s="20">
        <v>22</v>
      </c>
      <c r="D38" s="40" t="str">
        <f ca="1">IF(OR(LEFT(B38,11)="גיליון הזנה",INDIRECT("'"&amp;$B38&amp;"'!"&amp;'גיליון עזר'!$I$1&amp;ROW('מרכז מורשת בבל'!$I$3))=0),"",B38)</f>
        <v>הקם - בית הקונפדרציה</v>
      </c>
      <c r="E38" s="57">
        <f t="array" ref="E38:N38" ca="1">IF($D38="","",TRANSPOSE(INDIRECT("'"&amp;$D38&amp;"'!"&amp;'גיליון עזר'!$D$1&amp;ROW('מרכז מורשת בבל'!$D$16)):INDIRECT("'"&amp;$D38&amp;"'!"&amp;'גיליון עזר'!$D$1&amp;ROW('מרכז מורשת בבל'!$D$25))))</f>
        <v>0</v>
      </c>
      <c r="F38" s="58">
        <f ca="1"/>
        <v>0</v>
      </c>
      <c r="G38" s="58">
        <f ca="1"/>
        <v>0</v>
      </c>
      <c r="H38" s="57">
        <f ca="1"/>
        <v>0</v>
      </c>
      <c r="I38" s="57">
        <f ca="1"/>
        <v>0</v>
      </c>
      <c r="J38" s="57">
        <f ca="1"/>
        <v>30</v>
      </c>
      <c r="K38" s="57">
        <f ca="1"/>
        <v>0</v>
      </c>
      <c r="L38" s="57">
        <f ca="1"/>
        <v>29</v>
      </c>
      <c r="M38" s="57">
        <f ca="1"/>
        <v>0</v>
      </c>
      <c r="N38" s="59">
        <f ca="1"/>
        <v>3</v>
      </c>
      <c r="O38" s="60">
        <f ca="1">IF($D38="","",INDIRECT("'"&amp;$D38&amp;"'!"&amp;'גיליון עזר'!$F$1&amp;ROW('מרכז מורשת בבל'!$B$78)))</f>
        <v>0</v>
      </c>
      <c r="P38" s="58">
        <f t="array" ref="P38:Q38" ca="1">IF($D38="","",TRANSPOSE(INDIRECT("'"&amp;$D38&amp;"'!"&amp;'גיליון עזר'!$G$1&amp;ROW('מרכז מורשת בבל'!$D$16)):INDIRECT("'"&amp;$D38&amp;"'!"&amp;'גיליון עזר'!$G$1&amp;ROW('מרכז מורשת בבל'!$D$17))))</f>
        <v>140</v>
      </c>
      <c r="Q38" s="61">
        <f ca="1"/>
        <v>0</v>
      </c>
      <c r="R38" s="62">
        <f t="array" ref="R38:V38" ca="1">IF($D38="","",TRANSPOSE(INDIRECT("'"&amp;$D38&amp;"'!"&amp;'גיליון עזר'!$N$1&amp;ROW('מרכז מורשת בבל'!$D$16)):INDIRECT("'"&amp;$D38&amp;"'!"&amp;'גיליון עזר'!$N$1&amp;ROW('מרכז מורשת בבל'!$D$20))))</f>
        <v>0</v>
      </c>
      <c r="S38" s="58">
        <f ca="1"/>
        <v>0</v>
      </c>
      <c r="T38" s="58">
        <f ca="1"/>
        <v>0</v>
      </c>
      <c r="U38" s="58">
        <f ca="1"/>
        <v>0</v>
      </c>
      <c r="V38" s="58">
        <f ca="1"/>
        <v>0</v>
      </c>
      <c r="W38" s="60">
        <f ca="1">IF($D38="","",INDIRECT("'"&amp;$D38&amp;"'!"&amp;'גיליון עזר'!$N$1&amp;ROW('מרכז מורשת בבל'!$J$21)))</f>
        <v>0</v>
      </c>
      <c r="X38" s="60">
        <f ca="1">IF($D38="","",INDIRECT("'"&amp;$D38&amp;"'!"&amp;'גיליון עזר'!$L$1&amp;ROW('מרכז מורשת בבל'!$J$78)))</f>
        <v>0</v>
      </c>
      <c r="Y38" s="63">
        <f t="array" ref="Y38:Z38" ca="1">IF($D38="","",TRANSPOSE(INDIRECT("'"&amp;$D38&amp;"'!"&amp;'גיליון עזר'!$J$1&amp;ROW('מרכז מורשת בבל'!$D$17)):INDIRECT("'"&amp;$D38&amp;"'!"&amp;'גיליון עזר'!$J$1&amp;ROW('מרכז מורשת בבל'!$D$18))))</f>
        <v>413936</v>
      </c>
      <c r="Z38" s="63">
        <f ca="1"/>
        <v>1429932</v>
      </c>
      <c r="AA38" s="104" t="str">
        <f ca="1">IF($D38="","",IF(INDIRECT("'"&amp;$D38&amp;"'!"&amp;'גיליון עזר'!$J$1&amp;ROW('מרכז מורשת בבל'!$D$21))="","",INDIRECT("'"&amp;$D38&amp;"'!"&amp;'גיליון עזר'!$J$1&amp;ROW('מרכז מורשת בבל'!$D$21))))</f>
        <v>מעל 50%</v>
      </c>
      <c r="AC38" s="1" t="str">
        <f t="shared" ca="1" si="26"/>
        <v>כינוס</v>
      </c>
      <c r="AD38" s="65" t="str">
        <f t="shared" ca="1" si="26"/>
        <v>הרצאה</v>
      </c>
      <c r="AE38" s="65" t="str">
        <f t="shared" ca="1" si="26"/>
        <v>יום עיון</v>
      </c>
      <c r="AF38" s="65" t="str">
        <f t="shared" ca="1" si="26"/>
        <v>הפקה מורכבת</v>
      </c>
      <c r="AG38" s="1" t="str">
        <f t="shared" ca="1" si="26"/>
        <v>כן</v>
      </c>
      <c r="AH38" s="64" t="str">
        <f t="shared" ca="1" si="26"/>
        <v>לא</v>
      </c>
      <c r="AI38" s="1" t="str">
        <f t="shared" ca="1" si="26"/>
        <v>נאותה</v>
      </c>
      <c r="AJ38" s="1" t="str">
        <f t="shared" ca="1" si="26"/>
        <v>טובה</v>
      </c>
      <c r="AK38" s="64" t="str">
        <f t="shared" ca="1" si="26"/>
        <v>טובה מאוד</v>
      </c>
      <c r="AL38" s="1" t="str">
        <f t="shared" ca="1" si="26"/>
        <v>אחד בשנה</v>
      </c>
      <c r="AM38" s="1" t="str">
        <f t="shared" ca="1" si="26"/>
        <v>שניים בשנה</v>
      </c>
      <c r="AN38" s="1" t="str">
        <f t="shared" ca="1" si="26"/>
        <v>שלוש בשנה</v>
      </c>
      <c r="AO38" s="1" t="str">
        <f t="shared" ca="1" si="26"/>
        <v>מעל 4 בשנה</v>
      </c>
      <c r="AP38" s="3">
        <f t="shared" ca="1" si="3"/>
        <v>0</v>
      </c>
      <c r="AQ38" s="3">
        <f t="shared" ca="1" si="4"/>
        <v>0</v>
      </c>
      <c r="AR38" s="3">
        <f t="shared" ca="1" si="5"/>
        <v>0</v>
      </c>
      <c r="AS38" s="3">
        <f t="shared" ca="1" si="6"/>
        <v>0</v>
      </c>
      <c r="AT38" s="3">
        <f t="shared" ca="1" si="7"/>
        <v>0</v>
      </c>
      <c r="AU38" s="3">
        <f t="shared" ca="1" si="8"/>
        <v>30</v>
      </c>
      <c r="AV38" s="3">
        <f t="shared" ca="1" si="9"/>
        <v>0</v>
      </c>
      <c r="AW38" s="3">
        <f t="shared" ca="1" si="10"/>
        <v>29</v>
      </c>
      <c r="AX38" s="3">
        <f t="shared" ca="1" si="11"/>
        <v>0</v>
      </c>
      <c r="AY38" s="3">
        <f t="shared" ca="1" si="12"/>
        <v>3</v>
      </c>
      <c r="AZ38" s="31">
        <f t="shared" ca="1" si="13"/>
        <v>0</v>
      </c>
      <c r="BA38" s="3">
        <f t="shared" ca="1" si="14"/>
        <v>140</v>
      </c>
      <c r="BB38" s="3">
        <f t="shared" ca="1" si="15"/>
        <v>0</v>
      </c>
      <c r="BC38" s="37">
        <f t="shared" ca="1" si="16"/>
        <v>0</v>
      </c>
      <c r="BD38" s="3">
        <f t="shared" ca="1" si="17"/>
        <v>0</v>
      </c>
      <c r="BE38" s="3">
        <f t="shared" ca="1" si="18"/>
        <v>0</v>
      </c>
      <c r="BF38" s="3">
        <f t="shared" ca="1" si="19"/>
        <v>0</v>
      </c>
      <c r="BG38" s="3">
        <f t="shared" ca="1" si="20"/>
        <v>0</v>
      </c>
      <c r="BH38" s="3">
        <f t="shared" ca="1" si="21"/>
        <v>0</v>
      </c>
      <c r="BI38" s="3">
        <f t="shared" ca="1" si="22"/>
        <v>0</v>
      </c>
      <c r="BJ38" s="3">
        <f t="shared" ca="1" si="23"/>
        <v>413936</v>
      </c>
      <c r="BK38" s="3">
        <f t="shared" ca="1" si="24"/>
        <v>1429932</v>
      </c>
      <c r="BL38" s="3" t="str">
        <f t="shared" ca="1" si="25"/>
        <v>מעל 50%</v>
      </c>
    </row>
    <row r="39" spans="1:64" x14ac:dyDescent="0.25">
      <c r="A39" t="str">
        <f ca="1">IF(AND(LEFT(B39,11)&lt;&gt;"גיליון הזנה",INDIRECT("'"&amp;$B39&amp;"'!"&amp;'גיליון עזר'!$I$1&amp;ROW('מרכז מורשת בבל'!$I$3))=""),"חסרה הזנה","")</f>
        <v/>
      </c>
      <c r="B39" s="200" t="str">
        <f ca="1">'מוסיקה מזרח מערב'!$D$3</f>
        <v>מוסיקה מזרח מערב</v>
      </c>
      <c r="C39" s="20">
        <v>23</v>
      </c>
      <c r="D39" s="40" t="str">
        <f ca="1">IF(OR(LEFT(B39,11)="גיליון הזנה",INDIRECT("'"&amp;$B39&amp;"'!"&amp;'גיליון עזר'!$I$1&amp;ROW('מרכז מורשת בבל'!$I$3))=0),"",B39)</f>
        <v>מוסיקה מזרח מערב</v>
      </c>
      <c r="E39" s="57">
        <f t="array" ref="E39:N39" ca="1">IF($D39="","",TRANSPOSE(INDIRECT("'"&amp;$D39&amp;"'!"&amp;'גיליון עזר'!$D$1&amp;ROW('מרכז מורשת בבל'!$D$16)):INDIRECT("'"&amp;$D39&amp;"'!"&amp;'גיליון עזר'!$D$1&amp;ROW('מרכז מורשת בבל'!$D$25))))</f>
        <v>0</v>
      </c>
      <c r="F39" s="58">
        <f ca="1"/>
        <v>0</v>
      </c>
      <c r="G39" s="58">
        <f ca="1"/>
        <v>0</v>
      </c>
      <c r="H39" s="57">
        <f ca="1"/>
        <v>0</v>
      </c>
      <c r="I39" s="57">
        <f ca="1"/>
        <v>0</v>
      </c>
      <c r="J39" s="57">
        <f ca="1"/>
        <v>75</v>
      </c>
      <c r="K39" s="57">
        <f ca="1"/>
        <v>0</v>
      </c>
      <c r="L39" s="57">
        <f ca="1"/>
        <v>68</v>
      </c>
      <c r="M39" s="57">
        <f ca="1"/>
        <v>0</v>
      </c>
      <c r="N39" s="59">
        <f ca="1"/>
        <v>6</v>
      </c>
      <c r="O39" s="60">
        <f ca="1">IF($D39="","",INDIRECT("'"&amp;$D39&amp;"'!"&amp;'גיליון עזר'!$F$1&amp;ROW('מרכז מורשת בבל'!$B$78)))</f>
        <v>102</v>
      </c>
      <c r="P39" s="58">
        <f t="array" ref="P39:Q39" ca="1">IF($D39="","",TRANSPOSE(INDIRECT("'"&amp;$D39&amp;"'!"&amp;'גיליון עזר'!$G$1&amp;ROW('מרכז מורשת בבל'!$D$16)):INDIRECT("'"&amp;$D39&amp;"'!"&amp;'גיליון עזר'!$G$1&amp;ROW('מרכז מורשת בבל'!$D$17))))</f>
        <v>61</v>
      </c>
      <c r="Q39" s="61" t="str">
        <f ca="1"/>
        <v>טובה מאוד</v>
      </c>
      <c r="R39" s="62">
        <f t="array" ref="R39:V39" ca="1">IF($D39="","",TRANSPOSE(INDIRECT("'"&amp;$D39&amp;"'!"&amp;'גיליון עזר'!$N$1&amp;ROW('מרכז מורשת בבל'!$D$16)):INDIRECT("'"&amp;$D39&amp;"'!"&amp;'גיליון עזר'!$N$1&amp;ROW('מרכז מורשת בבל'!$D$20))))</f>
        <v>0</v>
      </c>
      <c r="S39" s="58">
        <f ca="1"/>
        <v>0</v>
      </c>
      <c r="T39" s="58">
        <f ca="1"/>
        <v>0</v>
      </c>
      <c r="U39" s="58">
        <f ca="1"/>
        <v>0</v>
      </c>
      <c r="V39" s="58">
        <f ca="1"/>
        <v>0</v>
      </c>
      <c r="W39" s="60">
        <f ca="1">IF($D39="","",INDIRECT("'"&amp;$D39&amp;"'!"&amp;'גיליון עזר'!$N$1&amp;ROW('מרכז מורשת בבל'!$J$21)))</f>
        <v>0</v>
      </c>
      <c r="X39" s="60">
        <f ca="1">IF($D39="","",INDIRECT("'"&amp;$D39&amp;"'!"&amp;'גיליון עזר'!$L$1&amp;ROW('מרכז מורשת בבל'!$J$78)))</f>
        <v>0</v>
      </c>
      <c r="Y39" s="63">
        <f t="array" ref="Y39:Z39" ca="1">IF($D39="","",TRANSPOSE(INDIRECT("'"&amp;$D39&amp;"'!"&amp;'גיליון עזר'!$J$1&amp;ROW('מרכז מורשת בבל'!$D$17)):INDIRECT("'"&amp;$D39&amp;"'!"&amp;'גיליון עזר'!$J$1&amp;ROW('מרכז מורשת בבל'!$D$18))))</f>
        <v>130448</v>
      </c>
      <c r="Z39" s="63">
        <f ca="1"/>
        <v>1216380</v>
      </c>
      <c r="AA39" s="104" t="str">
        <f ca="1">IF($D39="","",IF(INDIRECT("'"&amp;$D39&amp;"'!"&amp;'גיליון עזר'!$J$1&amp;ROW('מרכז מורשת בבל'!$D$21))="","",INDIRECT("'"&amp;$D39&amp;"'!"&amp;'גיליון עזר'!$J$1&amp;ROW('מרכז מורשת בבל'!$D$21))))</f>
        <v>מעל 50%</v>
      </c>
      <c r="AC39" s="1" t="str">
        <f t="shared" ca="1" si="26"/>
        <v>כינוס</v>
      </c>
      <c r="AD39" s="65" t="str">
        <f t="shared" ca="1" si="26"/>
        <v>הרצאה</v>
      </c>
      <c r="AE39" s="65" t="str">
        <f t="shared" ca="1" si="26"/>
        <v>יום עיון</v>
      </c>
      <c r="AF39" s="65" t="str">
        <f t="shared" ca="1" si="26"/>
        <v>הפקה מורכבת</v>
      </c>
      <c r="AG39" s="1" t="str">
        <f t="shared" ca="1" si="26"/>
        <v>כן</v>
      </c>
      <c r="AH39" s="64" t="str">
        <f t="shared" ca="1" si="26"/>
        <v>לא</v>
      </c>
      <c r="AI39" s="1" t="str">
        <f t="shared" ca="1" si="26"/>
        <v>נאותה</v>
      </c>
      <c r="AJ39" s="1" t="str">
        <f t="shared" ca="1" si="26"/>
        <v>טובה</v>
      </c>
      <c r="AK39" s="64" t="str">
        <f t="shared" ca="1" si="26"/>
        <v>טובה מאוד</v>
      </c>
      <c r="AL39" s="1" t="str">
        <f t="shared" ca="1" si="26"/>
        <v>אחד בשנה</v>
      </c>
      <c r="AM39" s="1" t="str">
        <f t="shared" ca="1" si="26"/>
        <v>שניים בשנה</v>
      </c>
      <c r="AN39" s="1" t="str">
        <f t="shared" ca="1" si="26"/>
        <v>שלוש בשנה</v>
      </c>
      <c r="AO39" s="1" t="str">
        <f t="shared" ca="1" si="26"/>
        <v>מעל 4 בשנה</v>
      </c>
      <c r="AP39" s="3">
        <f t="shared" ca="1" si="3"/>
        <v>0</v>
      </c>
      <c r="AQ39" s="3">
        <f t="shared" ca="1" si="4"/>
        <v>0</v>
      </c>
      <c r="AR39" s="3">
        <f t="shared" ca="1" si="5"/>
        <v>0</v>
      </c>
      <c r="AS39" s="3">
        <f t="shared" ca="1" si="6"/>
        <v>0</v>
      </c>
      <c r="AT39" s="3">
        <f t="shared" ca="1" si="7"/>
        <v>0</v>
      </c>
      <c r="AU39" s="3">
        <f t="shared" ca="1" si="8"/>
        <v>75</v>
      </c>
      <c r="AV39" s="3">
        <f t="shared" ca="1" si="9"/>
        <v>0</v>
      </c>
      <c r="AW39" s="3">
        <f t="shared" ca="1" si="10"/>
        <v>68</v>
      </c>
      <c r="AX39" s="3">
        <f t="shared" ca="1" si="11"/>
        <v>0</v>
      </c>
      <c r="AY39" s="3">
        <f t="shared" ca="1" si="12"/>
        <v>6</v>
      </c>
      <c r="AZ39" s="31">
        <f t="shared" ca="1" si="13"/>
        <v>102</v>
      </c>
      <c r="BA39" s="3">
        <f t="shared" ca="1" si="14"/>
        <v>61</v>
      </c>
      <c r="BB39" s="3" t="str">
        <f t="shared" ca="1" si="15"/>
        <v>טובה מאוד</v>
      </c>
      <c r="BC39" s="37">
        <f t="shared" ca="1" si="16"/>
        <v>0</v>
      </c>
      <c r="BD39" s="3">
        <f t="shared" ca="1" si="17"/>
        <v>0</v>
      </c>
      <c r="BE39" s="3">
        <f t="shared" ca="1" si="18"/>
        <v>0</v>
      </c>
      <c r="BF39" s="3">
        <f t="shared" ca="1" si="19"/>
        <v>0</v>
      </c>
      <c r="BG39" s="3">
        <f t="shared" ca="1" si="20"/>
        <v>0</v>
      </c>
      <c r="BH39" s="3">
        <f t="shared" ca="1" si="21"/>
        <v>0</v>
      </c>
      <c r="BI39" s="3">
        <f t="shared" ca="1" si="22"/>
        <v>0</v>
      </c>
      <c r="BJ39" s="3">
        <f t="shared" ca="1" si="23"/>
        <v>130448</v>
      </c>
      <c r="BK39" s="3">
        <f t="shared" ca="1" si="24"/>
        <v>1216380</v>
      </c>
      <c r="BL39" s="3" t="str">
        <f t="shared" ca="1" si="25"/>
        <v>מעל 50%</v>
      </c>
    </row>
    <row r="40" spans="1:64" x14ac:dyDescent="0.25">
      <c r="A40" t="str">
        <f ca="1">IF(AND(LEFT(B40,11)&lt;&gt;"גיליון הזנה",INDIRECT("'"&amp;$B40&amp;"'!"&amp;'גיליון עזר'!$I$1&amp;ROW('מרכז מורשת בבל'!$I$3))=""),"חסרה הזנה","")</f>
        <v/>
      </c>
      <c r="B40" s="200" t="str">
        <f ca="1">'אעלה בתמר'!$D$3</f>
        <v>אעלה בתמר</v>
      </c>
      <c r="C40" s="20">
        <v>24</v>
      </c>
      <c r="D40" s="40" t="str">
        <f ca="1">IF(OR(LEFT(B40,11)="גיליון הזנה",INDIRECT("'"&amp;$B40&amp;"'!"&amp;'גיליון עזר'!$I$1&amp;ROW('מרכז מורשת בבל'!$I$3))=0),"",B40)</f>
        <v>אעלה בתמר</v>
      </c>
      <c r="E40" s="57">
        <f t="array" ref="E40:N40" ca="1">IF($D40="","",TRANSPOSE(INDIRECT("'"&amp;$D40&amp;"'!"&amp;'גיליון עזר'!$D$1&amp;ROW('מרכז מורשת בבל'!$D$16)):INDIRECT("'"&amp;$D40&amp;"'!"&amp;'גיליון עזר'!$D$1&amp;ROW('מרכז מורשת בבל'!$D$25))))</f>
        <v>15</v>
      </c>
      <c r="F40" s="58">
        <f ca="1"/>
        <v>35</v>
      </c>
      <c r="G40" s="58">
        <f ca="1"/>
        <v>6</v>
      </c>
      <c r="H40" s="57">
        <f ca="1"/>
        <v>32</v>
      </c>
      <c r="I40" s="57">
        <f ca="1"/>
        <v>24</v>
      </c>
      <c r="J40" s="57">
        <f ca="1"/>
        <v>141</v>
      </c>
      <c r="K40" s="57">
        <f ca="1"/>
        <v>6</v>
      </c>
      <c r="L40" s="57">
        <f ca="1"/>
        <v>140</v>
      </c>
      <c r="M40" s="57">
        <f ca="1"/>
        <v>6</v>
      </c>
      <c r="N40" s="59">
        <f ca="1"/>
        <v>1</v>
      </c>
      <c r="O40" s="60">
        <f ca="1">IF($D40="","",INDIRECT("'"&amp;$D40&amp;"'!"&amp;'גיליון עזר'!$F$1&amp;ROW('מרכז מורשת בבל'!$B$78)))</f>
        <v>0</v>
      </c>
      <c r="P40" s="58">
        <f t="array" ref="P40:Q40" ca="1">IF($D40="","",TRANSPOSE(INDIRECT("'"&amp;$D40&amp;"'!"&amp;'גיליון עזר'!$G$1&amp;ROW('מרכז מורשת בבל'!$D$16)):INDIRECT("'"&amp;$D40&amp;"'!"&amp;'גיליון עזר'!$G$1&amp;ROW('מרכז מורשת בבל'!$D$17))))</f>
        <v>350</v>
      </c>
      <c r="Q40" s="61" t="str">
        <f ca="1"/>
        <v>טובה מאוד</v>
      </c>
      <c r="R40" s="62" t="str">
        <f t="array" ref="R40:V40" ca="1">IF($D40="","",TRANSPOSE(INDIRECT("'"&amp;$D40&amp;"'!"&amp;'גיליון עזר'!$N$1&amp;ROW('מרכז מורשת בבל'!$D$16)):INDIRECT("'"&amp;$D40&amp;"'!"&amp;'גיליון עזר'!$N$1&amp;ROW('מרכז מורשת בבל'!$D$20))))</f>
        <v>מעל 4 בשנה</v>
      </c>
      <c r="S40" s="58">
        <f ca="1"/>
        <v>36</v>
      </c>
      <c r="T40" s="58">
        <f ca="1"/>
        <v>70</v>
      </c>
      <c r="U40" s="58" t="str">
        <f ca="1"/>
        <v>כן</v>
      </c>
      <c r="V40" s="58" t="str">
        <f ca="1"/>
        <v>כן</v>
      </c>
      <c r="W40" s="60" t="str">
        <f ca="1">IF($D40="","",INDIRECT("'"&amp;$D40&amp;"'!"&amp;'גיליון עזר'!$N$1&amp;ROW('מרכז מורשת בבל'!$J$21)))</f>
        <v>לא</v>
      </c>
      <c r="X40" s="60">
        <f ca="1">IF($D40="","",INDIRECT("'"&amp;$D40&amp;"'!"&amp;'גיליון עזר'!$L$1&amp;ROW('מרכז מורשת בבל'!$J$78)))</f>
        <v>5</v>
      </c>
      <c r="Y40" s="63">
        <f t="array" ref="Y40:Z40" ca="1">IF($D40="","",TRANSPOSE(INDIRECT("'"&amp;$D40&amp;"'!"&amp;'גיליון עזר'!$J$1&amp;ROW('מרכז מורשת בבל'!$D$17)):INDIRECT("'"&amp;$D40&amp;"'!"&amp;'גיליון עזר'!$J$1&amp;ROW('מרכז מורשת בבל'!$D$18))))</f>
        <v>1443660</v>
      </c>
      <c r="Z40" s="63">
        <f ca="1"/>
        <v>3074858</v>
      </c>
      <c r="AA40" s="104" t="str">
        <f ca="1">IF($D40="","",IF(INDIRECT("'"&amp;$D40&amp;"'!"&amp;'גיליון עזר'!$J$1&amp;ROW('מרכז מורשת בבל'!$D$21))="","",INDIRECT("'"&amp;$D40&amp;"'!"&amp;'גיליון עזר'!$J$1&amp;ROW('מרכז מורשת בבל'!$D$21))))</f>
        <v>מעל 20%</v>
      </c>
      <c r="AC40" s="1" t="str">
        <f t="shared" ca="1" si="26"/>
        <v>כינוס</v>
      </c>
      <c r="AD40" s="65" t="str">
        <f t="shared" ca="1" si="26"/>
        <v>הרצאה</v>
      </c>
      <c r="AE40" s="65" t="str">
        <f t="shared" ca="1" si="26"/>
        <v>יום עיון</v>
      </c>
      <c r="AF40" s="65" t="str">
        <f t="shared" ca="1" si="26"/>
        <v>הפקה מורכבת</v>
      </c>
      <c r="AG40" s="1" t="str">
        <f t="shared" ca="1" si="26"/>
        <v>כן</v>
      </c>
      <c r="AH40" s="64" t="str">
        <f t="shared" ca="1" si="26"/>
        <v>לא</v>
      </c>
      <c r="AI40" s="1" t="str">
        <f t="shared" ca="1" si="26"/>
        <v>נאותה</v>
      </c>
      <c r="AJ40" s="1" t="str">
        <f t="shared" ca="1" si="26"/>
        <v>טובה</v>
      </c>
      <c r="AK40" s="64" t="str">
        <f t="shared" ca="1" si="26"/>
        <v>טובה מאוד</v>
      </c>
      <c r="AL40" s="1" t="str">
        <f t="shared" ca="1" si="26"/>
        <v>אחד בשנה</v>
      </c>
      <c r="AM40" s="1" t="str">
        <f t="shared" ca="1" si="26"/>
        <v>שניים בשנה</v>
      </c>
      <c r="AN40" s="1" t="str">
        <f t="shared" ca="1" si="26"/>
        <v>שלוש בשנה</v>
      </c>
      <c r="AO40" s="1" t="str">
        <f t="shared" ca="1" si="26"/>
        <v>מעל 4 בשנה</v>
      </c>
      <c r="AP40" s="3">
        <f t="shared" ca="1" si="3"/>
        <v>15</v>
      </c>
      <c r="AQ40" s="3">
        <f t="shared" ca="1" si="4"/>
        <v>35</v>
      </c>
      <c r="AR40" s="3">
        <f t="shared" ca="1" si="5"/>
        <v>6</v>
      </c>
      <c r="AS40" s="3">
        <f t="shared" ca="1" si="6"/>
        <v>32</v>
      </c>
      <c r="AT40" s="3">
        <f t="shared" ca="1" si="7"/>
        <v>24</v>
      </c>
      <c r="AU40" s="3">
        <f t="shared" ca="1" si="8"/>
        <v>141</v>
      </c>
      <c r="AV40" s="3">
        <f t="shared" ca="1" si="9"/>
        <v>6</v>
      </c>
      <c r="AW40" s="3">
        <f t="shared" ca="1" si="10"/>
        <v>140</v>
      </c>
      <c r="AX40" s="3">
        <f t="shared" ca="1" si="11"/>
        <v>6</v>
      </c>
      <c r="AY40" s="3">
        <f t="shared" ca="1" si="12"/>
        <v>1</v>
      </c>
      <c r="AZ40" s="31">
        <f t="shared" ca="1" si="13"/>
        <v>0</v>
      </c>
      <c r="BA40" s="3">
        <f t="shared" ca="1" si="14"/>
        <v>350</v>
      </c>
      <c r="BB40" s="3" t="str">
        <f t="shared" ca="1" si="15"/>
        <v>טובה מאוד</v>
      </c>
      <c r="BC40" s="37" t="str">
        <f t="shared" ca="1" si="16"/>
        <v>מעל 4 בשנה</v>
      </c>
      <c r="BD40" s="3">
        <f t="shared" ca="1" si="17"/>
        <v>36</v>
      </c>
      <c r="BE40" s="3">
        <f t="shared" ca="1" si="18"/>
        <v>70</v>
      </c>
      <c r="BF40" s="3" t="str">
        <f t="shared" ca="1" si="19"/>
        <v>כן</v>
      </c>
      <c r="BG40" s="3" t="str">
        <f t="shared" ca="1" si="20"/>
        <v>כן</v>
      </c>
      <c r="BH40" s="3" t="str">
        <f t="shared" ca="1" si="21"/>
        <v>לא</v>
      </c>
      <c r="BI40" s="3">
        <f t="shared" ca="1" si="22"/>
        <v>5</v>
      </c>
      <c r="BJ40" s="3">
        <f t="shared" ca="1" si="23"/>
        <v>1443660</v>
      </c>
      <c r="BK40" s="3">
        <f t="shared" ca="1" si="24"/>
        <v>3074858</v>
      </c>
      <c r="BL40" s="3" t="str">
        <f t="shared" ca="1" si="25"/>
        <v>מעל 20%</v>
      </c>
    </row>
    <row r="41" spans="1:64" x14ac:dyDescent="0.25">
      <c r="A41" t="str">
        <f ca="1">IF(AND(LEFT(B41,11)&lt;&gt;"גיליון הזנה",INDIRECT("'"&amp;$B41&amp;"'!"&amp;'גיליון עזר'!$I$1&amp;ROW('מרכז מורשת בבל'!$I$3))=""),"חסרה הזנה","")</f>
        <v/>
      </c>
      <c r="B41" s="200" t="str">
        <f ca="1">'גיליון הזנה 25'!$D$3</f>
        <v>גיליון הזנה 25</v>
      </c>
      <c r="C41" s="20">
        <v>25</v>
      </c>
      <c r="D41" s="40" t="str">
        <f ca="1">IF(OR(LEFT(B41,11)="גיליון הזנה",INDIRECT("'"&amp;$B41&amp;"'!"&amp;'גיליון עזר'!$I$1&amp;ROW('מרכז מורשת בבל'!$I$3))=0),"",B41)</f>
        <v/>
      </c>
      <c r="E41" s="57" t="str">
        <f t="array" aca="1" ref="E41:N41" ca="1">IF($D41="","",TRANSPOSE(INDIRECT("'"&amp;$D41&amp;"'!"&amp;'גיליון עזר'!$D$1&amp;ROW('מרכז מורשת בבל'!$D$16)):INDIRECT("'"&amp;$D41&amp;"'!"&amp;'גיליון עזר'!$D$1&amp;ROW('מרכז מורשת בבל'!$D$25))))</f>
        <v/>
      </c>
      <c r="F41" s="58" t="str">
        <f ca="1"/>
        <v/>
      </c>
      <c r="G41" s="58" t="str">
        <f ca="1"/>
        <v/>
      </c>
      <c r="H41" s="57" t="str">
        <f ca="1"/>
        <v/>
      </c>
      <c r="I41" s="57" t="str">
        <f ca="1"/>
        <v/>
      </c>
      <c r="J41" s="57" t="str">
        <f ca="1"/>
        <v/>
      </c>
      <c r="K41" s="57" t="str">
        <f ca="1"/>
        <v/>
      </c>
      <c r="L41" s="57" t="str">
        <f ca="1"/>
        <v/>
      </c>
      <c r="M41" s="57" t="str">
        <f ca="1"/>
        <v/>
      </c>
      <c r="N41" s="59" t="str">
        <f ca="1"/>
        <v/>
      </c>
      <c r="O41" s="60" t="str">
        <f ca="1">IF($D41="","",INDIRECT("'"&amp;$D41&amp;"'!"&amp;'גיליון עזר'!$F$1&amp;ROW('מרכז מורשת בבל'!$B$78)))</f>
        <v/>
      </c>
      <c r="P41" s="58" t="str">
        <f t="array" aca="1" ref="P41:Q41" ca="1">IF($D41="","",TRANSPOSE(INDIRECT("'"&amp;$D41&amp;"'!"&amp;'גיליון עזר'!$G$1&amp;ROW('מרכז מורשת בבל'!$D$16)):INDIRECT("'"&amp;$D41&amp;"'!"&amp;'גיליון עזר'!$G$1&amp;ROW('מרכז מורשת בבל'!$D$17))))</f>
        <v/>
      </c>
      <c r="Q41" s="61" t="str">
        <f ca="1"/>
        <v/>
      </c>
      <c r="R41" s="62" t="str">
        <f t="array" aca="1" ref="R41:V41" ca="1">IF($D41="","",TRANSPOSE(INDIRECT("'"&amp;$D41&amp;"'!"&amp;'גיליון עזר'!$N$1&amp;ROW('מרכז מורשת בבל'!$D$16)):INDIRECT("'"&amp;$D41&amp;"'!"&amp;'גיליון עזר'!$N$1&amp;ROW('מרכז מורשת בבל'!$D$20))))</f>
        <v/>
      </c>
      <c r="S41" s="58" t="str">
        <f ca="1"/>
        <v/>
      </c>
      <c r="T41" s="58" t="str">
        <f ca="1"/>
        <v/>
      </c>
      <c r="U41" s="58" t="str">
        <f ca="1"/>
        <v/>
      </c>
      <c r="V41" s="58" t="str">
        <f ca="1"/>
        <v/>
      </c>
      <c r="W41" s="60" t="str">
        <f ca="1">IF($D41="","",INDIRECT("'"&amp;$D41&amp;"'!"&amp;'גיליון עזר'!$N$1&amp;ROW('מרכז מורשת בבל'!$J$21)))</f>
        <v/>
      </c>
      <c r="X41" s="60" t="str">
        <f ca="1">IF($D41="","",INDIRECT("'"&amp;$D41&amp;"'!"&amp;'גיליון עזר'!$L$1&amp;ROW('מרכז מורשת בבל'!$J$78)))</f>
        <v/>
      </c>
      <c r="Y41" s="63" t="str">
        <f t="array" aca="1" ref="Y41:Z41" ca="1">IF($D41="","",TRANSPOSE(INDIRECT("'"&amp;$D41&amp;"'!"&amp;'גיליון עזר'!$J$1&amp;ROW('מרכז מורשת בבל'!$D$17)):INDIRECT("'"&amp;$D41&amp;"'!"&amp;'גיליון עזר'!$J$1&amp;ROW('מרכז מורשת בבל'!$D$18))))</f>
        <v/>
      </c>
      <c r="Z41" s="63" t="str">
        <f ca="1"/>
        <v/>
      </c>
      <c r="AA41" s="104" t="str">
        <f ca="1">IF($D41="","",IF(INDIRECT("'"&amp;$D41&amp;"'!"&amp;'גיליון עזר'!$J$1&amp;ROW('מרכז מורשת בבל'!$D$21))="","",INDIRECT("'"&amp;$D41&amp;"'!"&amp;'גיליון עזר'!$J$1&amp;ROW('מרכז מורשת בבל'!$D$21))))</f>
        <v/>
      </c>
      <c r="AC41" s="1" t="str">
        <f t="shared" ca="1" si="26"/>
        <v/>
      </c>
      <c r="AD41" s="65" t="str">
        <f t="shared" ca="1" si="26"/>
        <v/>
      </c>
      <c r="AE41" s="65" t="str">
        <f t="shared" ca="1" si="26"/>
        <v/>
      </c>
      <c r="AF41" s="65" t="str">
        <f t="shared" ca="1" si="26"/>
        <v/>
      </c>
      <c r="AG41" s="1" t="str">
        <f t="shared" ca="1" si="26"/>
        <v/>
      </c>
      <c r="AH41" s="64" t="str">
        <f t="shared" ca="1" si="26"/>
        <v/>
      </c>
      <c r="AI41" s="1" t="str">
        <f t="shared" ca="1" si="26"/>
        <v/>
      </c>
      <c r="AJ41" s="1" t="str">
        <f t="shared" ca="1" si="26"/>
        <v/>
      </c>
      <c r="AK41" s="64" t="str">
        <f t="shared" ca="1" si="26"/>
        <v/>
      </c>
      <c r="AL41" s="1" t="str">
        <f t="shared" ca="1" si="26"/>
        <v/>
      </c>
      <c r="AM41" s="1" t="str">
        <f t="shared" ca="1" si="26"/>
        <v/>
      </c>
      <c r="AN41" s="1" t="str">
        <f t="shared" ca="1" si="26"/>
        <v/>
      </c>
      <c r="AO41" s="1" t="str">
        <f t="shared" ca="1" si="26"/>
        <v/>
      </c>
      <c r="AP41" s="3" t="str">
        <f t="shared" ca="1" si="3"/>
        <v/>
      </c>
      <c r="AQ41" s="3" t="str">
        <f t="shared" ca="1" si="4"/>
        <v/>
      </c>
      <c r="AR41" s="3" t="str">
        <f t="shared" ca="1" si="5"/>
        <v/>
      </c>
      <c r="AS41" s="3" t="str">
        <f t="shared" ca="1" si="6"/>
        <v/>
      </c>
      <c r="AT41" s="3" t="str">
        <f t="shared" ca="1" si="7"/>
        <v/>
      </c>
      <c r="AU41" s="3" t="str">
        <f t="shared" ca="1" si="8"/>
        <v/>
      </c>
      <c r="AV41" s="3" t="str">
        <f t="shared" ca="1" si="9"/>
        <v/>
      </c>
      <c r="AW41" s="3" t="str">
        <f t="shared" ca="1" si="10"/>
        <v/>
      </c>
      <c r="AX41" s="3" t="str">
        <f t="shared" ca="1" si="11"/>
        <v/>
      </c>
      <c r="AY41" s="3" t="str">
        <f t="shared" ca="1" si="12"/>
        <v/>
      </c>
      <c r="AZ41" s="31" t="str">
        <f t="shared" ca="1" si="13"/>
        <v/>
      </c>
      <c r="BA41" s="3" t="str">
        <f t="shared" ca="1" si="14"/>
        <v/>
      </c>
      <c r="BB41" s="3" t="str">
        <f t="shared" ca="1" si="15"/>
        <v/>
      </c>
      <c r="BC41" s="37" t="str">
        <f t="shared" ca="1" si="16"/>
        <v/>
      </c>
      <c r="BD41" s="3" t="str">
        <f t="shared" ca="1" si="17"/>
        <v/>
      </c>
      <c r="BE41" s="3" t="str">
        <f t="shared" ca="1" si="18"/>
        <v/>
      </c>
      <c r="BF41" s="3" t="str">
        <f t="shared" ca="1" si="19"/>
        <v/>
      </c>
      <c r="BG41" s="3" t="str">
        <f t="shared" ca="1" si="20"/>
        <v/>
      </c>
      <c r="BH41" s="3" t="str">
        <f t="shared" ca="1" si="21"/>
        <v/>
      </c>
      <c r="BI41" s="3" t="str">
        <f t="shared" ca="1" si="22"/>
        <v/>
      </c>
      <c r="BJ41" s="3" t="str">
        <f t="shared" ca="1" si="23"/>
        <v/>
      </c>
      <c r="BK41" s="3" t="str">
        <f t="shared" ca="1" si="24"/>
        <v/>
      </c>
      <c r="BL41" s="3" t="str">
        <f t="shared" ca="1" si="25"/>
        <v/>
      </c>
    </row>
    <row r="42" spans="1:64" x14ac:dyDescent="0.25">
      <c r="A42" t="str">
        <f ca="1">IF(AND(LEFT(B42,11)&lt;&gt;"גיליון הזנה",INDIRECT("'"&amp;$B42&amp;"'!"&amp;'גיליון עזר'!$I$1&amp;ROW('מרכז מורשת בבל'!$I$3))=""),"חסרה הזנה","")</f>
        <v/>
      </c>
      <c r="B42" s="200" t="str">
        <f ca="1">'גיליון הזנה 26'!$D$3</f>
        <v>גיליון הזנה 26</v>
      </c>
      <c r="C42" s="20">
        <v>26</v>
      </c>
      <c r="D42" s="40" t="str">
        <f ca="1">IF(OR(LEFT(B42,11)="גיליון הזנה",INDIRECT("'"&amp;$B42&amp;"'!"&amp;'גיליון עזר'!$I$1&amp;ROW('מרכז מורשת בבל'!$I$3))=0),"",B42)</f>
        <v/>
      </c>
      <c r="E42" s="57" t="str">
        <f t="array" aca="1" ref="E42:N42" ca="1">IF($D42="","",TRANSPOSE(INDIRECT("'"&amp;$D42&amp;"'!"&amp;'גיליון עזר'!$D$1&amp;ROW('מרכז מורשת בבל'!$D$16)):INDIRECT("'"&amp;$D42&amp;"'!"&amp;'גיליון עזר'!$D$1&amp;ROW('מרכז מורשת בבל'!$D$25))))</f>
        <v/>
      </c>
      <c r="F42" s="58" t="str">
        <f ca="1"/>
        <v/>
      </c>
      <c r="G42" s="58" t="str">
        <f ca="1"/>
        <v/>
      </c>
      <c r="H42" s="57" t="str">
        <f ca="1"/>
        <v/>
      </c>
      <c r="I42" s="57" t="str">
        <f ca="1"/>
        <v/>
      </c>
      <c r="J42" s="57" t="str">
        <f ca="1"/>
        <v/>
      </c>
      <c r="K42" s="57" t="str">
        <f ca="1"/>
        <v/>
      </c>
      <c r="L42" s="57" t="str">
        <f ca="1"/>
        <v/>
      </c>
      <c r="M42" s="57" t="str">
        <f ca="1"/>
        <v/>
      </c>
      <c r="N42" s="59" t="str">
        <f ca="1"/>
        <v/>
      </c>
      <c r="O42" s="60" t="str">
        <f ca="1">IF($D42="","",INDIRECT("'"&amp;$D42&amp;"'!"&amp;'גיליון עזר'!$F$1&amp;ROW('מרכז מורשת בבל'!$B$78)))</f>
        <v/>
      </c>
      <c r="P42" s="58" t="str">
        <f t="array" aca="1" ref="P42:Q42" ca="1">IF($D42="","",TRANSPOSE(INDIRECT("'"&amp;$D42&amp;"'!"&amp;'גיליון עזר'!$G$1&amp;ROW('מרכז מורשת בבל'!$D$16)):INDIRECT("'"&amp;$D42&amp;"'!"&amp;'גיליון עזר'!$G$1&amp;ROW('מרכז מורשת בבל'!$D$17))))</f>
        <v/>
      </c>
      <c r="Q42" s="61" t="str">
        <f ca="1"/>
        <v/>
      </c>
      <c r="R42" s="62" t="str">
        <f t="array" aca="1" ref="R42:V42" ca="1">IF($D42="","",TRANSPOSE(INDIRECT("'"&amp;$D42&amp;"'!"&amp;'גיליון עזר'!$N$1&amp;ROW('מרכז מורשת בבל'!$D$16)):INDIRECT("'"&amp;$D42&amp;"'!"&amp;'גיליון עזר'!$N$1&amp;ROW('מרכז מורשת בבל'!$D$20))))</f>
        <v/>
      </c>
      <c r="S42" s="58" t="str">
        <f ca="1"/>
        <v/>
      </c>
      <c r="T42" s="58" t="str">
        <f ca="1"/>
        <v/>
      </c>
      <c r="U42" s="58" t="str">
        <f ca="1"/>
        <v/>
      </c>
      <c r="V42" s="58" t="str">
        <f ca="1"/>
        <v/>
      </c>
      <c r="W42" s="60" t="str">
        <f ca="1">IF($D42="","",INDIRECT("'"&amp;$D42&amp;"'!"&amp;'גיליון עזר'!$N$1&amp;ROW('מרכז מורשת בבל'!$J$21)))</f>
        <v/>
      </c>
      <c r="X42" s="60" t="str">
        <f ca="1">IF($D42="","",INDIRECT("'"&amp;$D42&amp;"'!"&amp;'גיליון עזר'!$L$1&amp;ROW('מרכז מורשת בבל'!$J$78)))</f>
        <v/>
      </c>
      <c r="Y42" s="63" t="str">
        <f t="array" aca="1" ref="Y42:Z42" ca="1">IF($D42="","",TRANSPOSE(INDIRECT("'"&amp;$D42&amp;"'!"&amp;'גיליון עזר'!$J$1&amp;ROW('מרכז מורשת בבל'!$D$17)):INDIRECT("'"&amp;$D42&amp;"'!"&amp;'גיליון עזר'!$J$1&amp;ROW('מרכז מורשת בבל'!$D$18))))</f>
        <v/>
      </c>
      <c r="Z42" s="63" t="str">
        <f ca="1"/>
        <v/>
      </c>
      <c r="AA42" s="104" t="str">
        <f ca="1">IF($D42="","",IF(INDIRECT("'"&amp;$D42&amp;"'!"&amp;'גיליון עזר'!$J$1&amp;ROW('מרכז מורשת בבל'!$D$21))="","",INDIRECT("'"&amp;$D42&amp;"'!"&amp;'גיליון עזר'!$J$1&amp;ROW('מרכז מורשת בבל'!$D$21))))</f>
        <v/>
      </c>
      <c r="AC42" s="1" t="str">
        <f t="shared" ca="1" si="26"/>
        <v/>
      </c>
      <c r="AD42" s="65" t="str">
        <f t="shared" ca="1" si="26"/>
        <v/>
      </c>
      <c r="AE42" s="65" t="str">
        <f t="shared" ca="1" si="26"/>
        <v/>
      </c>
      <c r="AF42" s="65" t="str">
        <f t="shared" ca="1" si="26"/>
        <v/>
      </c>
      <c r="AG42" s="1" t="str">
        <f t="shared" ca="1" si="26"/>
        <v/>
      </c>
      <c r="AH42" s="64" t="str">
        <f t="shared" ca="1" si="26"/>
        <v/>
      </c>
      <c r="AI42" s="1" t="str">
        <f t="shared" ca="1" si="26"/>
        <v/>
      </c>
      <c r="AJ42" s="1" t="str">
        <f t="shared" ca="1" si="26"/>
        <v/>
      </c>
      <c r="AK42" s="64" t="str">
        <f t="shared" ca="1" si="26"/>
        <v/>
      </c>
      <c r="AL42" s="1" t="str">
        <f t="shared" ca="1" si="26"/>
        <v/>
      </c>
      <c r="AM42" s="1" t="str">
        <f t="shared" ca="1" si="26"/>
        <v/>
      </c>
      <c r="AN42" s="1" t="str">
        <f t="shared" ca="1" si="26"/>
        <v/>
      </c>
      <c r="AO42" s="1" t="str">
        <f t="shared" ca="1" si="26"/>
        <v/>
      </c>
      <c r="AP42" s="3" t="str">
        <f t="shared" ca="1" si="3"/>
        <v/>
      </c>
      <c r="AQ42" s="3" t="str">
        <f t="shared" ca="1" si="4"/>
        <v/>
      </c>
      <c r="AR42" s="3" t="str">
        <f t="shared" ca="1" si="5"/>
        <v/>
      </c>
      <c r="AS42" s="3" t="str">
        <f t="shared" ca="1" si="6"/>
        <v/>
      </c>
      <c r="AT42" s="3" t="str">
        <f t="shared" ca="1" si="7"/>
        <v/>
      </c>
      <c r="AU42" s="3" t="str">
        <f t="shared" ca="1" si="8"/>
        <v/>
      </c>
      <c r="AV42" s="3" t="str">
        <f t="shared" ca="1" si="9"/>
        <v/>
      </c>
      <c r="AW42" s="3" t="str">
        <f t="shared" ca="1" si="10"/>
        <v/>
      </c>
      <c r="AX42" s="3" t="str">
        <f t="shared" ca="1" si="11"/>
        <v/>
      </c>
      <c r="AY42" s="3" t="str">
        <f t="shared" ca="1" si="12"/>
        <v/>
      </c>
      <c r="AZ42" s="31" t="str">
        <f t="shared" ca="1" si="13"/>
        <v/>
      </c>
      <c r="BA42" s="3" t="str">
        <f t="shared" ca="1" si="14"/>
        <v/>
      </c>
      <c r="BB42" s="3" t="str">
        <f t="shared" ca="1" si="15"/>
        <v/>
      </c>
      <c r="BC42" s="37" t="str">
        <f t="shared" ca="1" si="16"/>
        <v/>
      </c>
      <c r="BD42" s="3" t="str">
        <f t="shared" ca="1" si="17"/>
        <v/>
      </c>
      <c r="BE42" s="3" t="str">
        <f t="shared" ca="1" si="18"/>
        <v/>
      </c>
      <c r="BF42" s="3" t="str">
        <f t="shared" ca="1" si="19"/>
        <v/>
      </c>
      <c r="BG42" s="3" t="str">
        <f t="shared" ca="1" si="20"/>
        <v/>
      </c>
      <c r="BH42" s="3" t="str">
        <f t="shared" ca="1" si="21"/>
        <v/>
      </c>
      <c r="BI42" s="3" t="str">
        <f t="shared" ca="1" si="22"/>
        <v/>
      </c>
      <c r="BJ42" s="3" t="str">
        <f t="shared" ca="1" si="23"/>
        <v/>
      </c>
      <c r="BK42" s="3" t="str">
        <f t="shared" ca="1" si="24"/>
        <v/>
      </c>
      <c r="BL42" s="3" t="str">
        <f t="shared" ca="1" si="25"/>
        <v/>
      </c>
    </row>
    <row r="43" spans="1:64" x14ac:dyDescent="0.25">
      <c r="A43" t="str">
        <f ca="1">IF(AND(LEFT(B43,11)&lt;&gt;"גיליון הזנה",INDIRECT("'"&amp;$B43&amp;"'!"&amp;'גיליון עזר'!$I$1&amp;ROW('מרכז מורשת בבל'!$I$3))=""),"חסרה הזנה","")</f>
        <v/>
      </c>
      <c r="B43" s="200" t="str">
        <f ca="1">'מכון הברמן'!$D$3</f>
        <v>מכון הברמן</v>
      </c>
      <c r="C43" s="20">
        <v>27</v>
      </c>
      <c r="D43" s="40" t="str">
        <f ca="1">IF(OR(LEFT(B43,11)="גיליון הזנה",INDIRECT("'"&amp;$B43&amp;"'!"&amp;'גיליון עזר'!$I$1&amp;ROW('מרכז מורשת בבל'!$I$3))=0),"",B43)</f>
        <v>מכון הברמן</v>
      </c>
      <c r="E43" s="57">
        <f t="array" ref="E43:N43" ca="1">IF($D43="","",TRANSPOSE(INDIRECT("'"&amp;$D43&amp;"'!"&amp;'גיליון עזר'!$D$1&amp;ROW('מרכז מורשת בבל'!$D$16)):INDIRECT("'"&amp;$D43&amp;"'!"&amp;'גיליון עזר'!$D$1&amp;ROW('מרכז מורשת בבל'!$D$25))))</f>
        <v>2</v>
      </c>
      <c r="F43" s="58">
        <f ca="1"/>
        <v>27</v>
      </c>
      <c r="G43" s="58">
        <f ca="1"/>
        <v>12</v>
      </c>
      <c r="H43" s="57">
        <f ca="1"/>
        <v>13</v>
      </c>
      <c r="I43" s="57">
        <f ca="1"/>
        <v>7</v>
      </c>
      <c r="J43" s="57">
        <f ca="1"/>
        <v>5</v>
      </c>
      <c r="K43" s="57">
        <f ca="1"/>
        <v>0</v>
      </c>
      <c r="L43" s="57">
        <f ca="1"/>
        <v>5</v>
      </c>
      <c r="M43" s="57">
        <f ca="1"/>
        <v>0</v>
      </c>
      <c r="N43" s="59">
        <f ca="1"/>
        <v>3</v>
      </c>
      <c r="O43" s="60">
        <f ca="1">IF($D43="","",INDIRECT("'"&amp;$D43&amp;"'!"&amp;'גיליון עזר'!$F$1&amp;ROW('מרכז מורשת בבל'!$B$78)))</f>
        <v>1879</v>
      </c>
      <c r="P43" s="58">
        <f t="array" ref="P43:Q43" ca="1">IF($D43="","",TRANSPOSE(INDIRECT("'"&amp;$D43&amp;"'!"&amp;'גיליון עזר'!$G$1&amp;ROW('מרכז מורשת בבל'!$D$16)):INDIRECT("'"&amp;$D43&amp;"'!"&amp;'גיליון עזר'!$G$1&amp;ROW('מרכז מורשת בבל'!$D$17))))</f>
        <v>80</v>
      </c>
      <c r="Q43" s="61">
        <f ca="1"/>
        <v>0</v>
      </c>
      <c r="R43" s="62" t="str">
        <f t="array" ref="R43:V43" ca="1">IF($D43="","",TRANSPOSE(INDIRECT("'"&amp;$D43&amp;"'!"&amp;'גיליון עזר'!$N$1&amp;ROW('מרכז מורשת בבל'!$D$16)):INDIRECT("'"&amp;$D43&amp;"'!"&amp;'גיליון עזר'!$N$1&amp;ROW('מרכז מורשת בבל'!$D$20))))</f>
        <v>שניים בשנה</v>
      </c>
      <c r="S43" s="58">
        <f ca="1"/>
        <v>125</v>
      </c>
      <c r="T43" s="58">
        <f ca="1"/>
        <v>500</v>
      </c>
      <c r="U43" s="58" t="str">
        <f ca="1"/>
        <v>כן</v>
      </c>
      <c r="V43" s="58" t="str">
        <f ca="1"/>
        <v>לא</v>
      </c>
      <c r="W43" s="60" t="str">
        <f ca="1">IF($D43="","",INDIRECT("'"&amp;$D43&amp;"'!"&amp;'גיליון עזר'!$N$1&amp;ROW('מרכז מורשת בבל'!$J$21)))</f>
        <v>לא</v>
      </c>
      <c r="X43" s="60">
        <f ca="1">IF($D43="","",INDIRECT("'"&amp;$D43&amp;"'!"&amp;'גיליון עזר'!$L$1&amp;ROW('מרכז מורשת בבל'!$J$78)))</f>
        <v>0</v>
      </c>
      <c r="Y43" s="63">
        <f t="array" ref="Y43:Z43" ca="1">IF($D43="","",TRANSPOSE(INDIRECT("'"&amp;$D43&amp;"'!"&amp;'גיליון עזר'!$J$1&amp;ROW('מרכז מורשת בבל'!$D$17)):INDIRECT("'"&amp;$D43&amp;"'!"&amp;'גיליון עזר'!$J$1&amp;ROW('מרכז מורשת בבל'!$D$18))))</f>
        <v>118648</v>
      </c>
      <c r="Z43" s="63">
        <f ca="1"/>
        <v>502396</v>
      </c>
      <c r="AA43" s="104" t="str">
        <f ca="1">IF($D43="","",IF(INDIRECT("'"&amp;$D43&amp;"'!"&amp;'גיליון עזר'!$J$1&amp;ROW('מרכז מורשת בבל'!$D$21))="","",INDIRECT("'"&amp;$D43&amp;"'!"&amp;'גיליון עזר'!$J$1&amp;ROW('מרכז מורשת בבל'!$D$21))))</f>
        <v>מעל 20%</v>
      </c>
      <c r="AC43" s="1" t="str">
        <f t="shared" ca="1" si="26"/>
        <v>כינוס</v>
      </c>
      <c r="AD43" s="65" t="str">
        <f t="shared" ca="1" si="26"/>
        <v>הרצאה</v>
      </c>
      <c r="AE43" s="65" t="str">
        <f t="shared" ca="1" si="26"/>
        <v>יום עיון</v>
      </c>
      <c r="AF43" s="65" t="str">
        <f t="shared" ca="1" si="26"/>
        <v>הפקה מורכבת</v>
      </c>
      <c r="AG43" s="1" t="str">
        <f t="shared" ca="1" si="26"/>
        <v>כן</v>
      </c>
      <c r="AH43" s="64" t="str">
        <f t="shared" ca="1" si="26"/>
        <v>לא</v>
      </c>
      <c r="AI43" s="1" t="str">
        <f t="shared" ca="1" si="26"/>
        <v>נאותה</v>
      </c>
      <c r="AJ43" s="1" t="str">
        <f t="shared" ca="1" si="26"/>
        <v>טובה</v>
      </c>
      <c r="AK43" s="64" t="str">
        <f t="shared" ca="1" si="26"/>
        <v>טובה מאוד</v>
      </c>
      <c r="AL43" s="1" t="str">
        <f t="shared" ca="1" si="26"/>
        <v>אחד בשנה</v>
      </c>
      <c r="AM43" s="1" t="str">
        <f t="shared" ca="1" si="26"/>
        <v>שניים בשנה</v>
      </c>
      <c r="AN43" s="1" t="str">
        <f t="shared" ca="1" si="26"/>
        <v>שלוש בשנה</v>
      </c>
      <c r="AO43" s="1" t="str">
        <f t="shared" ca="1" si="26"/>
        <v>מעל 4 בשנה</v>
      </c>
      <c r="AP43" s="3">
        <f t="shared" ca="1" si="3"/>
        <v>2</v>
      </c>
      <c r="AQ43" s="3">
        <f t="shared" ca="1" si="4"/>
        <v>27</v>
      </c>
      <c r="AR43" s="3">
        <f t="shared" ca="1" si="5"/>
        <v>12</v>
      </c>
      <c r="AS43" s="3">
        <f t="shared" ca="1" si="6"/>
        <v>13</v>
      </c>
      <c r="AT43" s="3">
        <f t="shared" ca="1" si="7"/>
        <v>7</v>
      </c>
      <c r="AU43" s="3">
        <f t="shared" ca="1" si="8"/>
        <v>5</v>
      </c>
      <c r="AV43" s="3">
        <f t="shared" ca="1" si="9"/>
        <v>0</v>
      </c>
      <c r="AW43" s="3">
        <f t="shared" ca="1" si="10"/>
        <v>5</v>
      </c>
      <c r="AX43" s="3">
        <f t="shared" ca="1" si="11"/>
        <v>0</v>
      </c>
      <c r="AY43" s="3">
        <f t="shared" ca="1" si="12"/>
        <v>3</v>
      </c>
      <c r="AZ43" s="31">
        <f t="shared" ca="1" si="13"/>
        <v>1879</v>
      </c>
      <c r="BA43" s="3">
        <f t="shared" ca="1" si="14"/>
        <v>80</v>
      </c>
      <c r="BB43" s="3">
        <f t="shared" ca="1" si="15"/>
        <v>0</v>
      </c>
      <c r="BC43" s="37" t="str">
        <f t="shared" ca="1" si="16"/>
        <v>שניים בשנה</v>
      </c>
      <c r="BD43" s="3">
        <f t="shared" ca="1" si="17"/>
        <v>125</v>
      </c>
      <c r="BE43" s="3">
        <f t="shared" ca="1" si="18"/>
        <v>500</v>
      </c>
      <c r="BF43" s="3" t="str">
        <f t="shared" ca="1" si="19"/>
        <v>כן</v>
      </c>
      <c r="BG43" s="3" t="str">
        <f t="shared" ca="1" si="20"/>
        <v>לא</v>
      </c>
      <c r="BH43" s="3" t="str">
        <f t="shared" ca="1" si="21"/>
        <v>לא</v>
      </c>
      <c r="BI43" s="3">
        <f t="shared" ca="1" si="22"/>
        <v>0</v>
      </c>
      <c r="BJ43" s="3">
        <f t="shared" ca="1" si="23"/>
        <v>118648</v>
      </c>
      <c r="BK43" s="3">
        <f t="shared" ca="1" si="24"/>
        <v>502396</v>
      </c>
      <c r="BL43" s="3" t="str">
        <f t="shared" ca="1" si="25"/>
        <v>מעל 20%</v>
      </c>
    </row>
    <row r="44" spans="1:64" x14ac:dyDescent="0.25">
      <c r="A44" t="str">
        <f ca="1">IF(AND(LEFT(B44,11)&lt;&gt;"גיליון הזנה",INDIRECT("'"&amp;$B44&amp;"'!"&amp;'גיליון עזר'!$I$1&amp;ROW('מרכז מורשת בבל'!$I$3))=""),"חסרה הזנה","")</f>
        <v/>
      </c>
      <c r="B44" s="200" t="str">
        <f ca="1">'גיליון הזנה 28'!$D$3</f>
        <v>גיליון הזנה 28</v>
      </c>
      <c r="C44" s="20">
        <v>28</v>
      </c>
      <c r="D44" s="40" t="str">
        <f ca="1">IF(OR(LEFT(B44,11)="גיליון הזנה",INDIRECT("'"&amp;$B44&amp;"'!"&amp;'גיליון עזר'!$I$1&amp;ROW('מרכז מורשת בבל'!$I$3))=0),"",B44)</f>
        <v/>
      </c>
      <c r="E44" s="57" t="str">
        <f t="array" aca="1" ref="E44:N44" ca="1">IF($D44="","",TRANSPOSE(INDIRECT("'"&amp;$D44&amp;"'!"&amp;'גיליון עזר'!$D$1&amp;ROW('מרכז מורשת בבל'!$D$16)):INDIRECT("'"&amp;$D44&amp;"'!"&amp;'גיליון עזר'!$D$1&amp;ROW('מרכז מורשת בבל'!$D$25))))</f>
        <v/>
      </c>
      <c r="F44" s="58" t="str">
        <f ca="1"/>
        <v/>
      </c>
      <c r="G44" s="58" t="str">
        <f ca="1"/>
        <v/>
      </c>
      <c r="H44" s="57" t="str">
        <f ca="1"/>
        <v/>
      </c>
      <c r="I44" s="57" t="str">
        <f ca="1"/>
        <v/>
      </c>
      <c r="J44" s="57" t="str">
        <f ca="1"/>
        <v/>
      </c>
      <c r="K44" s="57" t="str">
        <f ca="1"/>
        <v/>
      </c>
      <c r="L44" s="57" t="str">
        <f ca="1"/>
        <v/>
      </c>
      <c r="M44" s="57" t="str">
        <f ca="1"/>
        <v/>
      </c>
      <c r="N44" s="59" t="str">
        <f ca="1"/>
        <v/>
      </c>
      <c r="O44" s="60" t="str">
        <f ca="1">IF($D44="","",INDIRECT("'"&amp;$D44&amp;"'!"&amp;'גיליון עזר'!$F$1&amp;ROW('מרכז מורשת בבל'!$B$78)))</f>
        <v/>
      </c>
      <c r="P44" s="58" t="str">
        <f t="array" aca="1" ref="P44:Q44" ca="1">IF($D44="","",TRANSPOSE(INDIRECT("'"&amp;$D44&amp;"'!"&amp;'גיליון עזר'!$G$1&amp;ROW('מרכז מורשת בבל'!$D$16)):INDIRECT("'"&amp;$D44&amp;"'!"&amp;'גיליון עזר'!$G$1&amp;ROW('מרכז מורשת בבל'!$D$17))))</f>
        <v/>
      </c>
      <c r="Q44" s="61" t="str">
        <f ca="1"/>
        <v/>
      </c>
      <c r="R44" s="62" t="str">
        <f t="array" aca="1" ref="R44:V44" ca="1">IF($D44="","",TRANSPOSE(INDIRECT("'"&amp;$D44&amp;"'!"&amp;'גיליון עזר'!$N$1&amp;ROW('מרכז מורשת בבל'!$D$16)):INDIRECT("'"&amp;$D44&amp;"'!"&amp;'גיליון עזר'!$N$1&amp;ROW('מרכז מורשת בבל'!$D$20))))</f>
        <v/>
      </c>
      <c r="S44" s="58" t="str">
        <f ca="1"/>
        <v/>
      </c>
      <c r="T44" s="58" t="str">
        <f ca="1"/>
        <v/>
      </c>
      <c r="U44" s="58" t="str">
        <f ca="1"/>
        <v/>
      </c>
      <c r="V44" s="58" t="str">
        <f ca="1"/>
        <v/>
      </c>
      <c r="W44" s="60" t="str">
        <f ca="1">IF($D44="","",INDIRECT("'"&amp;$D44&amp;"'!"&amp;'גיליון עזר'!$N$1&amp;ROW('מרכז מורשת בבל'!$J$21)))</f>
        <v/>
      </c>
      <c r="X44" s="60" t="str">
        <f ca="1">IF($D44="","",INDIRECT("'"&amp;$D44&amp;"'!"&amp;'גיליון עזר'!$L$1&amp;ROW('מרכז מורשת בבל'!$J$78)))</f>
        <v/>
      </c>
      <c r="Y44" s="63" t="str">
        <f t="array" aca="1" ref="Y44:Z44" ca="1">IF($D44="","",TRANSPOSE(INDIRECT("'"&amp;$D44&amp;"'!"&amp;'גיליון עזר'!$J$1&amp;ROW('מרכז מורשת בבל'!$D$17)):INDIRECT("'"&amp;$D44&amp;"'!"&amp;'גיליון עזר'!$J$1&amp;ROW('מרכז מורשת בבל'!$D$18))))</f>
        <v/>
      </c>
      <c r="Z44" s="63" t="str">
        <f ca="1"/>
        <v/>
      </c>
      <c r="AA44" s="104" t="str">
        <f ca="1">IF($D44="","",IF(INDIRECT("'"&amp;$D44&amp;"'!"&amp;'גיליון עזר'!$J$1&amp;ROW('מרכז מורשת בבל'!$D$21))="","",INDIRECT("'"&amp;$D44&amp;"'!"&amp;'גיליון עזר'!$J$1&amp;ROW('מרכז מורשת בבל'!$D$21))))</f>
        <v/>
      </c>
      <c r="AC44" s="1" t="str">
        <f t="shared" ca="1" si="26"/>
        <v/>
      </c>
      <c r="AD44" s="65" t="str">
        <f t="shared" ca="1" si="26"/>
        <v/>
      </c>
      <c r="AE44" s="65" t="str">
        <f t="shared" ca="1" si="26"/>
        <v/>
      </c>
      <c r="AF44" s="65" t="str">
        <f t="shared" ca="1" si="26"/>
        <v/>
      </c>
      <c r="AG44" s="1" t="str">
        <f t="shared" ca="1" si="26"/>
        <v/>
      </c>
      <c r="AH44" s="64" t="str">
        <f t="shared" ca="1" si="26"/>
        <v/>
      </c>
      <c r="AI44" s="1" t="str">
        <f t="shared" ca="1" si="26"/>
        <v/>
      </c>
      <c r="AJ44" s="1" t="str">
        <f t="shared" ca="1" si="26"/>
        <v/>
      </c>
      <c r="AK44" s="64" t="str">
        <f t="shared" ca="1" si="26"/>
        <v/>
      </c>
      <c r="AL44" s="1" t="str">
        <f t="shared" ca="1" si="26"/>
        <v/>
      </c>
      <c r="AM44" s="1" t="str">
        <f t="shared" ca="1" si="26"/>
        <v/>
      </c>
      <c r="AN44" s="1" t="str">
        <f t="shared" ca="1" si="26"/>
        <v/>
      </c>
      <c r="AO44" s="1" t="str">
        <f t="shared" ca="1" si="26"/>
        <v/>
      </c>
      <c r="AP44" s="3" t="str">
        <f t="shared" ca="1" si="3"/>
        <v/>
      </c>
      <c r="AQ44" s="3" t="str">
        <f t="shared" ca="1" si="4"/>
        <v/>
      </c>
      <c r="AR44" s="3" t="str">
        <f t="shared" ca="1" si="5"/>
        <v/>
      </c>
      <c r="AS44" s="3" t="str">
        <f t="shared" ca="1" si="6"/>
        <v/>
      </c>
      <c r="AT44" s="3" t="str">
        <f t="shared" ca="1" si="7"/>
        <v/>
      </c>
      <c r="AU44" s="3" t="str">
        <f t="shared" ca="1" si="8"/>
        <v/>
      </c>
      <c r="AV44" s="3" t="str">
        <f t="shared" ca="1" si="9"/>
        <v/>
      </c>
      <c r="AW44" s="3" t="str">
        <f t="shared" ca="1" si="10"/>
        <v/>
      </c>
      <c r="AX44" s="3" t="str">
        <f t="shared" ca="1" si="11"/>
        <v/>
      </c>
      <c r="AY44" s="3" t="str">
        <f t="shared" ca="1" si="12"/>
        <v/>
      </c>
      <c r="AZ44" s="31" t="str">
        <f t="shared" ca="1" si="13"/>
        <v/>
      </c>
      <c r="BA44" s="3" t="str">
        <f t="shared" ca="1" si="14"/>
        <v/>
      </c>
      <c r="BB44" s="3" t="str">
        <f t="shared" ca="1" si="15"/>
        <v/>
      </c>
      <c r="BC44" s="37" t="str">
        <f t="shared" ca="1" si="16"/>
        <v/>
      </c>
      <c r="BD44" s="3" t="str">
        <f t="shared" ca="1" si="17"/>
        <v/>
      </c>
      <c r="BE44" s="3" t="str">
        <f t="shared" ca="1" si="18"/>
        <v/>
      </c>
      <c r="BF44" s="3" t="str">
        <f t="shared" ca="1" si="19"/>
        <v/>
      </c>
      <c r="BG44" s="3" t="str">
        <f t="shared" ca="1" si="20"/>
        <v/>
      </c>
      <c r="BH44" s="3" t="str">
        <f t="shared" ca="1" si="21"/>
        <v/>
      </c>
      <c r="BI44" s="3" t="str">
        <f t="shared" ca="1" si="22"/>
        <v/>
      </c>
      <c r="BJ44" s="3" t="str">
        <f t="shared" ca="1" si="23"/>
        <v/>
      </c>
      <c r="BK44" s="3" t="str">
        <f t="shared" ca="1" si="24"/>
        <v/>
      </c>
      <c r="BL44" s="3" t="str">
        <f t="shared" ca="1" si="25"/>
        <v/>
      </c>
    </row>
    <row r="45" spans="1:64" x14ac:dyDescent="0.25">
      <c r="A45" t="str">
        <f ca="1">IF(AND(LEFT(B45,11)&lt;&gt;"גיליון הזנה",INDIRECT("'"&amp;$B45&amp;"'!"&amp;'גיליון עזר'!$I$1&amp;ROW('מרכז מורשת בבל'!$I$3))=""),"חסרה הזנה","")</f>
        <v/>
      </c>
      <c r="B45" s="200" t="str">
        <f ca="1">'גיליון הזנה 29'!$D$3</f>
        <v>גיליון הזנה 29</v>
      </c>
      <c r="C45" s="20">
        <v>29</v>
      </c>
      <c r="D45" s="40" t="str">
        <f ca="1">IF(OR(LEFT(B45,11)="גיליון הזנה",INDIRECT("'"&amp;$B45&amp;"'!"&amp;'גיליון עזר'!$I$1&amp;ROW('מרכז מורשת בבל'!$I$3))=0),"",B45)</f>
        <v/>
      </c>
      <c r="E45" s="57" t="str">
        <f t="array" aca="1" ref="E45:N45" ca="1">IF($D45="","",TRANSPOSE(INDIRECT("'"&amp;$D45&amp;"'!"&amp;'גיליון עזר'!$D$1&amp;ROW('מרכז מורשת בבל'!$D$16)):INDIRECT("'"&amp;$D45&amp;"'!"&amp;'גיליון עזר'!$D$1&amp;ROW('מרכז מורשת בבל'!$D$25))))</f>
        <v/>
      </c>
      <c r="F45" s="58" t="str">
        <f ca="1"/>
        <v/>
      </c>
      <c r="G45" s="58" t="str">
        <f ca="1"/>
        <v/>
      </c>
      <c r="H45" s="57" t="str">
        <f ca="1"/>
        <v/>
      </c>
      <c r="I45" s="57" t="str">
        <f ca="1"/>
        <v/>
      </c>
      <c r="J45" s="57" t="str">
        <f ca="1"/>
        <v/>
      </c>
      <c r="K45" s="57" t="str">
        <f ca="1"/>
        <v/>
      </c>
      <c r="L45" s="57" t="str">
        <f ca="1"/>
        <v/>
      </c>
      <c r="M45" s="57" t="str">
        <f ca="1"/>
        <v/>
      </c>
      <c r="N45" s="59" t="str">
        <f ca="1"/>
        <v/>
      </c>
      <c r="O45" s="60" t="str">
        <f ca="1">IF($D45="","",INDIRECT("'"&amp;$D45&amp;"'!"&amp;'גיליון עזר'!$F$1&amp;ROW('מרכז מורשת בבל'!$B$78)))</f>
        <v/>
      </c>
      <c r="P45" s="58" t="str">
        <f t="array" aca="1" ref="P45:Q45" ca="1">IF($D45="","",TRANSPOSE(INDIRECT("'"&amp;$D45&amp;"'!"&amp;'גיליון עזר'!$G$1&amp;ROW('מרכז מורשת בבל'!$D$16)):INDIRECT("'"&amp;$D45&amp;"'!"&amp;'גיליון עזר'!$G$1&amp;ROW('מרכז מורשת בבל'!$D$17))))</f>
        <v/>
      </c>
      <c r="Q45" s="61" t="str">
        <f ca="1"/>
        <v/>
      </c>
      <c r="R45" s="62" t="str">
        <f t="array" aca="1" ref="R45:V45" ca="1">IF($D45="","",TRANSPOSE(INDIRECT("'"&amp;$D45&amp;"'!"&amp;'גיליון עזר'!$N$1&amp;ROW('מרכז מורשת בבל'!$D$16)):INDIRECT("'"&amp;$D45&amp;"'!"&amp;'גיליון עזר'!$N$1&amp;ROW('מרכז מורשת בבל'!$D$20))))</f>
        <v/>
      </c>
      <c r="S45" s="58" t="str">
        <f ca="1"/>
        <v/>
      </c>
      <c r="T45" s="58" t="str">
        <f ca="1"/>
        <v/>
      </c>
      <c r="U45" s="58" t="str">
        <f ca="1"/>
        <v/>
      </c>
      <c r="V45" s="58" t="str">
        <f ca="1"/>
        <v/>
      </c>
      <c r="W45" s="60" t="str">
        <f ca="1">IF($D45="","",INDIRECT("'"&amp;$D45&amp;"'!"&amp;'גיליון עזר'!$N$1&amp;ROW('מרכז מורשת בבל'!$J$21)))</f>
        <v/>
      </c>
      <c r="X45" s="60" t="str">
        <f ca="1">IF($D45="","",INDIRECT("'"&amp;$D45&amp;"'!"&amp;'גיליון עזר'!$L$1&amp;ROW('מרכז מורשת בבל'!$J$78)))</f>
        <v/>
      </c>
      <c r="Y45" s="63" t="str">
        <f t="array" aca="1" ref="Y45:Z45" ca="1">IF($D45="","",TRANSPOSE(INDIRECT("'"&amp;$D45&amp;"'!"&amp;'גיליון עזר'!$J$1&amp;ROW('מרכז מורשת בבל'!$D$17)):INDIRECT("'"&amp;$D45&amp;"'!"&amp;'גיליון עזר'!$J$1&amp;ROW('מרכז מורשת בבל'!$D$18))))</f>
        <v/>
      </c>
      <c r="Z45" s="63" t="str">
        <f ca="1"/>
        <v/>
      </c>
      <c r="AA45" s="104" t="str">
        <f ca="1">IF($D45="","",IF(INDIRECT("'"&amp;$D45&amp;"'!"&amp;'גיליון עזר'!$J$1&amp;ROW('מרכז מורשת בבל'!$D$21))="","",INDIRECT("'"&amp;$D45&amp;"'!"&amp;'גיליון עזר'!$J$1&amp;ROW('מרכז מורשת בבל'!$D$21))))</f>
        <v/>
      </c>
      <c r="AC45" s="1" t="str">
        <f t="shared" ca="1" si="26"/>
        <v/>
      </c>
      <c r="AD45" s="65" t="str">
        <f t="shared" ca="1" si="26"/>
        <v/>
      </c>
      <c r="AE45" s="65" t="str">
        <f t="shared" ca="1" si="26"/>
        <v/>
      </c>
      <c r="AF45" s="65" t="str">
        <f t="shared" ca="1" si="26"/>
        <v/>
      </c>
      <c r="AG45" s="1" t="str">
        <f t="shared" ca="1" si="26"/>
        <v/>
      </c>
      <c r="AH45" s="64" t="str">
        <f t="shared" ca="1" si="26"/>
        <v/>
      </c>
      <c r="AI45" s="1" t="str">
        <f t="shared" ca="1" si="26"/>
        <v/>
      </c>
      <c r="AJ45" s="1" t="str">
        <f t="shared" ca="1" si="26"/>
        <v/>
      </c>
      <c r="AK45" s="64" t="str">
        <f t="shared" ca="1" si="26"/>
        <v/>
      </c>
      <c r="AL45" s="1" t="str">
        <f t="shared" ca="1" si="26"/>
        <v/>
      </c>
      <c r="AM45" s="1" t="str">
        <f t="shared" ca="1" si="26"/>
        <v/>
      </c>
      <c r="AN45" s="1" t="str">
        <f t="shared" ca="1" si="26"/>
        <v/>
      </c>
      <c r="AO45" s="1" t="str">
        <f t="shared" ca="1" si="26"/>
        <v/>
      </c>
      <c r="AP45" s="3" t="str">
        <f t="shared" ca="1" si="3"/>
        <v/>
      </c>
      <c r="AQ45" s="3" t="str">
        <f t="shared" ca="1" si="4"/>
        <v/>
      </c>
      <c r="AR45" s="3" t="str">
        <f t="shared" ca="1" si="5"/>
        <v/>
      </c>
      <c r="AS45" s="3" t="str">
        <f t="shared" ca="1" si="6"/>
        <v/>
      </c>
      <c r="AT45" s="3" t="str">
        <f t="shared" ca="1" si="7"/>
        <v/>
      </c>
      <c r="AU45" s="3" t="str">
        <f t="shared" ca="1" si="8"/>
        <v/>
      </c>
      <c r="AV45" s="3" t="str">
        <f t="shared" ca="1" si="9"/>
        <v/>
      </c>
      <c r="AW45" s="3" t="str">
        <f t="shared" ca="1" si="10"/>
        <v/>
      </c>
      <c r="AX45" s="3" t="str">
        <f t="shared" ca="1" si="11"/>
        <v/>
      </c>
      <c r="AY45" s="3" t="str">
        <f t="shared" ca="1" si="12"/>
        <v/>
      </c>
      <c r="AZ45" s="31" t="str">
        <f t="shared" ca="1" si="13"/>
        <v/>
      </c>
      <c r="BA45" s="3" t="str">
        <f t="shared" ca="1" si="14"/>
        <v/>
      </c>
      <c r="BB45" s="3" t="str">
        <f t="shared" ca="1" si="15"/>
        <v/>
      </c>
      <c r="BC45" s="37" t="str">
        <f t="shared" ca="1" si="16"/>
        <v/>
      </c>
      <c r="BD45" s="3" t="str">
        <f t="shared" ca="1" si="17"/>
        <v/>
      </c>
      <c r="BE45" s="3" t="str">
        <f t="shared" ca="1" si="18"/>
        <v/>
      </c>
      <c r="BF45" s="3" t="str">
        <f t="shared" ca="1" si="19"/>
        <v/>
      </c>
      <c r="BG45" s="3" t="str">
        <f t="shared" ca="1" si="20"/>
        <v/>
      </c>
      <c r="BH45" s="3" t="str">
        <f t="shared" ca="1" si="21"/>
        <v/>
      </c>
      <c r="BI45" s="3" t="str">
        <f t="shared" ca="1" si="22"/>
        <v/>
      </c>
      <c r="BJ45" s="3" t="str">
        <f t="shared" ca="1" si="23"/>
        <v/>
      </c>
      <c r="BK45" s="3" t="str">
        <f t="shared" ca="1" si="24"/>
        <v/>
      </c>
      <c r="BL45" s="3" t="str">
        <f t="shared" ca="1" si="25"/>
        <v/>
      </c>
    </row>
    <row r="46" spans="1:64" x14ac:dyDescent="0.25">
      <c r="A46" t="str">
        <f ca="1">IF(AND(LEFT(B46,11)&lt;&gt;"גיליון הזנה",INDIRECT("'"&amp;$B46&amp;"'!"&amp;'גיליון עזר'!$I$1&amp;ROW('מרכז מורשת בבל'!$I$3))=""),"חסרה הזנה","")</f>
        <v/>
      </c>
      <c r="B46" s="200" t="str">
        <f ca="1">'גיליון הזנה 30'!$D$3</f>
        <v>גיליון הזנה 30</v>
      </c>
      <c r="C46" s="20">
        <v>30</v>
      </c>
      <c r="D46" s="40" t="str">
        <f ca="1">IF(OR(LEFT(B46,11)="גיליון הזנה",INDIRECT("'"&amp;$B46&amp;"'!"&amp;'גיליון עזר'!$I$1&amp;ROW('מרכז מורשת בבל'!$I$3))=0),"",B46)</f>
        <v/>
      </c>
      <c r="E46" s="57" t="str">
        <f t="array" ref="E46:N46" ca="1">IF($D46="","",TRANSPOSE(INDIRECT("'"&amp;$D46&amp;"'!"&amp;'גיליון עזר'!$D$1&amp;ROW('מרכז מורשת בבל'!$D$16)):INDIRECT("'"&amp;$D46&amp;"'!"&amp;'גיליון עזר'!$D$1&amp;ROW('מרכז מורשת בבל'!$D$25))))</f>
        <v/>
      </c>
      <c r="F46" s="58" t="str">
        <f ca="1"/>
        <v/>
      </c>
      <c r="G46" s="58" t="str">
        <f ca="1"/>
        <v/>
      </c>
      <c r="H46" s="57" t="str">
        <f ca="1"/>
        <v/>
      </c>
      <c r="I46" s="57" t="str">
        <f ca="1"/>
        <v/>
      </c>
      <c r="J46" s="57" t="str">
        <f ca="1"/>
        <v/>
      </c>
      <c r="K46" s="57" t="str">
        <f ca="1"/>
        <v/>
      </c>
      <c r="L46" s="57" t="str">
        <f ca="1"/>
        <v/>
      </c>
      <c r="M46" s="57" t="str">
        <f ca="1"/>
        <v/>
      </c>
      <c r="N46" s="59" t="str">
        <f ca="1"/>
        <v/>
      </c>
      <c r="O46" s="60" t="str">
        <f ca="1">IF($D46="","",INDIRECT("'"&amp;$D46&amp;"'!"&amp;'גיליון עזר'!$F$1&amp;ROW('מרכז מורשת בבל'!$B$78)))</f>
        <v/>
      </c>
      <c r="P46" s="58" t="str">
        <f t="array" ref="P46:Q46" ca="1">IF($D46="","",TRANSPOSE(INDIRECT("'"&amp;$D46&amp;"'!"&amp;'גיליון עזר'!$G$1&amp;ROW('מרכז מורשת בבל'!$D$16)):INDIRECT("'"&amp;$D46&amp;"'!"&amp;'גיליון עזר'!$G$1&amp;ROW('מרכז מורשת בבל'!$D$17))))</f>
        <v/>
      </c>
      <c r="Q46" s="61" t="str">
        <f ca="1"/>
        <v/>
      </c>
      <c r="R46" s="62" t="str">
        <f t="array" ref="R46:V46" ca="1">IF($D46="","",TRANSPOSE(INDIRECT("'"&amp;$D46&amp;"'!"&amp;'גיליון עזר'!$N$1&amp;ROW('מרכז מורשת בבל'!$D$16)):INDIRECT("'"&amp;$D46&amp;"'!"&amp;'גיליון עזר'!$N$1&amp;ROW('מרכז מורשת בבל'!$D$20))))</f>
        <v/>
      </c>
      <c r="S46" s="58" t="str">
        <f ca="1"/>
        <v/>
      </c>
      <c r="T46" s="58" t="str">
        <f ca="1"/>
        <v/>
      </c>
      <c r="U46" s="58" t="str">
        <f ca="1"/>
        <v/>
      </c>
      <c r="V46" s="58" t="str">
        <f ca="1"/>
        <v/>
      </c>
      <c r="W46" s="60" t="str">
        <f ca="1">IF($D46="","",INDIRECT("'"&amp;$D46&amp;"'!"&amp;'גיליון עזר'!$N$1&amp;ROW('מרכז מורשת בבל'!$J$21)))</f>
        <v/>
      </c>
      <c r="X46" s="60" t="str">
        <f ca="1">IF($D46="","",INDIRECT("'"&amp;$D46&amp;"'!"&amp;'גיליון עזר'!$L$1&amp;ROW('מרכז מורשת בבל'!$J$78)))</f>
        <v/>
      </c>
      <c r="Y46" s="63" t="str">
        <f t="array" ref="Y46:Z46" ca="1">IF($D46="","",TRANSPOSE(INDIRECT("'"&amp;$D46&amp;"'!"&amp;'גיליון עזר'!$J$1&amp;ROW('מרכז מורשת בבל'!$D$17)):INDIRECT("'"&amp;$D46&amp;"'!"&amp;'גיליון עזר'!$J$1&amp;ROW('מרכז מורשת בבל'!$D$18))))</f>
        <v/>
      </c>
      <c r="Z46" s="63" t="str">
        <f ca="1"/>
        <v/>
      </c>
      <c r="AA46" s="104" t="str">
        <f ca="1">IF($D46="","",IF(INDIRECT("'"&amp;$D46&amp;"'!"&amp;'גיליון עזר'!$J$1&amp;ROW('מרכז מורשת בבל'!$D$21))="","",INDIRECT("'"&amp;$D46&amp;"'!"&amp;'גיליון עזר'!$J$1&amp;ROW('מרכז מורשת בבל'!$D$21))))</f>
        <v/>
      </c>
      <c r="AC46" s="1" t="str">
        <f t="shared" ca="1" si="26"/>
        <v/>
      </c>
      <c r="AD46" s="65" t="str">
        <f t="shared" ca="1" si="26"/>
        <v/>
      </c>
      <c r="AE46" s="65" t="str">
        <f t="shared" ca="1" si="26"/>
        <v/>
      </c>
      <c r="AF46" s="65" t="str">
        <f t="shared" ca="1" si="26"/>
        <v/>
      </c>
      <c r="AG46" s="1" t="str">
        <f t="shared" ca="1" si="26"/>
        <v/>
      </c>
      <c r="AH46" s="64" t="str">
        <f t="shared" ca="1" si="26"/>
        <v/>
      </c>
      <c r="AI46" s="1" t="str">
        <f t="shared" ca="1" si="26"/>
        <v/>
      </c>
      <c r="AJ46" s="1" t="str">
        <f t="shared" ca="1" si="26"/>
        <v/>
      </c>
      <c r="AK46" s="64" t="str">
        <f t="shared" ca="1" si="26"/>
        <v/>
      </c>
      <c r="AL46" s="1" t="str">
        <f t="shared" ca="1" si="26"/>
        <v/>
      </c>
      <c r="AM46" s="1" t="str">
        <f t="shared" ca="1" si="26"/>
        <v/>
      </c>
      <c r="AN46" s="1" t="str">
        <f t="shared" ca="1" si="26"/>
        <v/>
      </c>
      <c r="AO46" s="1" t="str">
        <f t="shared" ca="1" si="26"/>
        <v/>
      </c>
      <c r="AP46" s="3" t="str">
        <f t="shared" ca="1" si="3"/>
        <v/>
      </c>
      <c r="AQ46" s="3" t="str">
        <f t="shared" ca="1" si="4"/>
        <v/>
      </c>
      <c r="AR46" s="3" t="str">
        <f t="shared" ca="1" si="5"/>
        <v/>
      </c>
      <c r="AS46" s="3" t="str">
        <f t="shared" ca="1" si="6"/>
        <v/>
      </c>
      <c r="AT46" s="3" t="str">
        <f t="shared" ca="1" si="7"/>
        <v/>
      </c>
      <c r="AU46" s="3" t="str">
        <f t="shared" ca="1" si="8"/>
        <v/>
      </c>
      <c r="AV46" s="3" t="str">
        <f t="shared" ca="1" si="9"/>
        <v/>
      </c>
      <c r="AW46" s="3" t="str">
        <f t="shared" ca="1" si="10"/>
        <v/>
      </c>
      <c r="AX46" s="3" t="str">
        <f t="shared" ca="1" si="11"/>
        <v/>
      </c>
      <c r="AY46" s="3" t="str">
        <f t="shared" ca="1" si="12"/>
        <v/>
      </c>
      <c r="AZ46" s="31" t="str">
        <f t="shared" ca="1" si="13"/>
        <v/>
      </c>
      <c r="BA46" s="3" t="str">
        <f t="shared" ca="1" si="14"/>
        <v/>
      </c>
      <c r="BB46" s="3" t="str">
        <f t="shared" ca="1" si="15"/>
        <v/>
      </c>
      <c r="BC46" s="37" t="str">
        <f t="shared" ca="1" si="16"/>
        <v/>
      </c>
      <c r="BD46" s="3" t="str">
        <f t="shared" ca="1" si="17"/>
        <v/>
      </c>
      <c r="BE46" s="3" t="str">
        <f t="shared" ca="1" si="18"/>
        <v/>
      </c>
      <c r="BF46" s="3" t="str">
        <f t="shared" ca="1" si="19"/>
        <v/>
      </c>
      <c r="BG46" s="3" t="str">
        <f t="shared" ca="1" si="20"/>
        <v/>
      </c>
      <c r="BH46" s="3" t="str">
        <f t="shared" ca="1" si="21"/>
        <v/>
      </c>
      <c r="BI46" s="3" t="str">
        <f t="shared" ca="1" si="22"/>
        <v/>
      </c>
      <c r="BJ46" s="3" t="str">
        <f t="shared" ca="1" si="23"/>
        <v/>
      </c>
      <c r="BK46" s="3" t="str">
        <f t="shared" ca="1" si="24"/>
        <v/>
      </c>
      <c r="BL46" s="3" t="str">
        <f t="shared" ca="1" si="25"/>
        <v/>
      </c>
    </row>
    <row r="47" spans="1:64" x14ac:dyDescent="0.25">
      <c r="A47" t="str">
        <f ca="1">IF(AND(LEFT(B47,11)&lt;&gt;"גיליון הזנה",INDIRECT("'"&amp;$B47&amp;"'!"&amp;'גיליון עזר'!$I$1&amp;ROW('מרכז מורשת בבל'!$I$3))=""),"חסרה הזנה","")</f>
        <v/>
      </c>
      <c r="B47" s="200" t="str">
        <f ca="1">כולנא!$D$3</f>
        <v>כולנא</v>
      </c>
      <c r="C47" s="20">
        <v>31</v>
      </c>
      <c r="D47" s="40" t="str">
        <f ca="1">IF(OR(LEFT(B47,11)="גיליון הזנה",INDIRECT("'"&amp;$B47&amp;"'!"&amp;'גיליון עזר'!$I$1&amp;ROW('מרכז מורשת בבל'!$I$3))=0),"",B47)</f>
        <v>כולנא</v>
      </c>
      <c r="E47" s="57">
        <f t="array" ref="E47:N47" ca="1">IF($D47="","",TRANSPOSE(INDIRECT("'"&amp;$D47&amp;"'!"&amp;'גיליון עזר'!$D$1&amp;ROW('מרכז מורשת בבל'!$D$16)):INDIRECT("'"&amp;$D47&amp;"'!"&amp;'גיליון עזר'!$D$1&amp;ROW('מרכז מורשת בבל'!$D$25))))</f>
        <v>36</v>
      </c>
      <c r="F47" s="58">
        <f ca="1"/>
        <v>20</v>
      </c>
      <c r="G47" s="58">
        <f ca="1"/>
        <v>6</v>
      </c>
      <c r="H47" s="57">
        <f ca="1"/>
        <v>43</v>
      </c>
      <c r="I47" s="57">
        <f ca="1"/>
        <v>15</v>
      </c>
      <c r="J47" s="57">
        <f ca="1"/>
        <v>15</v>
      </c>
      <c r="K47" s="57">
        <f ca="1"/>
        <v>2</v>
      </c>
      <c r="L47" s="57">
        <f ca="1"/>
        <v>15</v>
      </c>
      <c r="M47" s="57">
        <f ca="1"/>
        <v>2</v>
      </c>
      <c r="N47" s="59">
        <f ca="1"/>
        <v>7</v>
      </c>
      <c r="O47" s="60">
        <f ca="1">IF($D47="","",INDIRECT("'"&amp;$D47&amp;"'!"&amp;'גיליון עזר'!$F$1&amp;ROW('מרכז מורשת בבל'!$B$78)))</f>
        <v>300</v>
      </c>
      <c r="P47" s="58">
        <f t="array" ref="P47:Q47" ca="1">IF($D47="","",TRANSPOSE(INDIRECT("'"&amp;$D47&amp;"'!"&amp;'גיליון עזר'!$G$1&amp;ROW('מרכז מורשת בבל'!$D$16)):INDIRECT("'"&amp;$D47&amp;"'!"&amp;'גיליון עזר'!$G$1&amp;ROW('מרכז מורשת בבל'!$D$17))))</f>
        <v>14</v>
      </c>
      <c r="Q47" s="61" t="str">
        <f ca="1"/>
        <v>נאותה</v>
      </c>
      <c r="R47" s="62" t="str">
        <f t="array" ref="R47:V47" ca="1">IF($D47="","",TRANSPOSE(INDIRECT("'"&amp;$D47&amp;"'!"&amp;'גיליון עזר'!$N$1&amp;ROW('מרכז מורשת בבל'!$D$16)):INDIRECT("'"&amp;$D47&amp;"'!"&amp;'גיליון עזר'!$N$1&amp;ROW('מרכז מורשת בבל'!$D$20))))</f>
        <v>אחד בשנה</v>
      </c>
      <c r="S47" s="58">
        <f ca="1"/>
        <v>80</v>
      </c>
      <c r="T47" s="58">
        <f ca="1"/>
        <v>150</v>
      </c>
      <c r="U47" s="58" t="str">
        <f ca="1"/>
        <v>לא</v>
      </c>
      <c r="V47" s="58" t="str">
        <f ca="1"/>
        <v>לא</v>
      </c>
      <c r="W47" s="60" t="str">
        <f ca="1">IF($D47="","",INDIRECT("'"&amp;$D47&amp;"'!"&amp;'גיליון עזר'!$N$1&amp;ROW('מרכז מורשת בבל'!$J$21)))</f>
        <v>לא</v>
      </c>
      <c r="X47" s="60">
        <f ca="1">IF($D47="","",INDIRECT("'"&amp;$D47&amp;"'!"&amp;'גיליון עזר'!$L$1&amp;ROW('מרכז מורשת בבל'!$J$78)))</f>
        <v>0</v>
      </c>
      <c r="Y47" s="63">
        <f t="array" ref="Y47:Z47" ca="1">IF($D47="","",TRANSPOSE(INDIRECT("'"&amp;$D47&amp;"'!"&amp;'גיליון עזר'!$J$1&amp;ROW('מרכז מורשת בבל'!$D$17)):INDIRECT("'"&amp;$D47&amp;"'!"&amp;'גיליון עזר'!$J$1&amp;ROW('מרכז מורשת בבל'!$D$18))))</f>
        <v>120000</v>
      </c>
      <c r="Z47" s="63">
        <f ca="1"/>
        <v>1750000</v>
      </c>
      <c r="AA47" s="104" t="str">
        <f ca="1">IF($D47="","",IF(INDIRECT("'"&amp;$D47&amp;"'!"&amp;'גיליון עזר'!$J$1&amp;ROW('מרכז מורשת בבל'!$D$21))="","",INDIRECT("'"&amp;$D47&amp;"'!"&amp;'גיליון עזר'!$J$1&amp;ROW('מרכז מורשת בבל'!$D$21))))</f>
        <v/>
      </c>
      <c r="AC47" s="1" t="str">
        <f t="shared" ca="1" si="26"/>
        <v>כינוס</v>
      </c>
      <c r="AD47" s="65" t="str">
        <f t="shared" ca="1" si="26"/>
        <v>הרצאה</v>
      </c>
      <c r="AE47" s="65" t="str">
        <f t="shared" ca="1" si="26"/>
        <v>יום עיון</v>
      </c>
      <c r="AF47" s="65" t="str">
        <f t="shared" ca="1" si="26"/>
        <v>הפקה מורכבת</v>
      </c>
      <c r="AG47" s="1" t="str">
        <f t="shared" ca="1" si="26"/>
        <v>כן</v>
      </c>
      <c r="AH47" s="64" t="str">
        <f t="shared" ca="1" si="26"/>
        <v>לא</v>
      </c>
      <c r="AI47" s="1" t="str">
        <f t="shared" ca="1" si="26"/>
        <v>נאותה</v>
      </c>
      <c r="AJ47" s="1" t="str">
        <f t="shared" ca="1" si="26"/>
        <v>טובה</v>
      </c>
      <c r="AK47" s="64" t="str">
        <f t="shared" ca="1" si="26"/>
        <v>טובה מאוד</v>
      </c>
      <c r="AL47" s="1" t="str">
        <f t="shared" ca="1" si="26"/>
        <v>אחד בשנה</v>
      </c>
      <c r="AM47" s="1" t="str">
        <f t="shared" ca="1" si="26"/>
        <v>שניים בשנה</v>
      </c>
      <c r="AN47" s="1" t="str">
        <f t="shared" ca="1" si="26"/>
        <v>שלוש בשנה</v>
      </c>
      <c r="AO47" s="1" t="str">
        <f t="shared" ca="1" si="26"/>
        <v>מעל 4 בשנה</v>
      </c>
      <c r="AP47" s="3">
        <f t="shared" ca="1" si="3"/>
        <v>36</v>
      </c>
      <c r="AQ47" s="3">
        <f t="shared" ca="1" si="4"/>
        <v>20</v>
      </c>
      <c r="AR47" s="3">
        <f t="shared" ca="1" si="5"/>
        <v>6</v>
      </c>
      <c r="AS47" s="3">
        <f t="shared" ca="1" si="6"/>
        <v>43</v>
      </c>
      <c r="AT47" s="3">
        <f t="shared" ca="1" si="7"/>
        <v>15</v>
      </c>
      <c r="AU47" s="3">
        <f t="shared" ca="1" si="8"/>
        <v>15</v>
      </c>
      <c r="AV47" s="3">
        <f t="shared" ca="1" si="9"/>
        <v>2</v>
      </c>
      <c r="AW47" s="3">
        <f t="shared" ca="1" si="10"/>
        <v>15</v>
      </c>
      <c r="AX47" s="3">
        <f t="shared" ca="1" si="11"/>
        <v>2</v>
      </c>
      <c r="AY47" s="3">
        <f t="shared" ca="1" si="12"/>
        <v>7</v>
      </c>
      <c r="AZ47" s="31">
        <f t="shared" ca="1" si="13"/>
        <v>300</v>
      </c>
      <c r="BA47" s="3">
        <f t="shared" ca="1" si="14"/>
        <v>14</v>
      </c>
      <c r="BB47" s="3" t="str">
        <f t="shared" ca="1" si="15"/>
        <v>נאותה</v>
      </c>
      <c r="BC47" s="37" t="str">
        <f t="shared" ca="1" si="16"/>
        <v>אחד בשנה</v>
      </c>
      <c r="BD47" s="3">
        <f t="shared" ca="1" si="17"/>
        <v>80</v>
      </c>
      <c r="BE47" s="3">
        <f t="shared" ca="1" si="18"/>
        <v>150</v>
      </c>
      <c r="BF47" s="3" t="str">
        <f t="shared" ca="1" si="19"/>
        <v>לא</v>
      </c>
      <c r="BG47" s="3" t="str">
        <f t="shared" ca="1" si="20"/>
        <v>לא</v>
      </c>
      <c r="BH47" s="3" t="str">
        <f t="shared" ca="1" si="21"/>
        <v>לא</v>
      </c>
      <c r="BI47" s="3">
        <f t="shared" ca="1" si="22"/>
        <v>0</v>
      </c>
      <c r="BJ47" s="3">
        <f t="shared" ca="1" si="23"/>
        <v>120000</v>
      </c>
      <c r="BK47" s="3">
        <f t="shared" ca="1" si="24"/>
        <v>1750000</v>
      </c>
      <c r="BL47" s="3" t="str">
        <f t="shared" ca="1" si="25"/>
        <v/>
      </c>
    </row>
    <row r="48" spans="1:64" ht="14.25" customHeight="1" x14ac:dyDescent="0.25">
      <c r="A48" t="str">
        <f ca="1">IF(AND(LEFT(B48,11)&lt;&gt;"גיליון הזנה",INDIRECT("'"&amp;$B48&amp;"'!"&amp;'גיליון עזר'!$I$1&amp;ROW('מרכז מורשת בבל'!$I$3))=""),"חסרה הזנה","")</f>
        <v/>
      </c>
      <c r="B48" s="200" t="str">
        <f ca="1">'גיליון הזנה 32'!$D$3</f>
        <v>גיליון הזנה 32</v>
      </c>
      <c r="C48" s="20">
        <v>32</v>
      </c>
      <c r="D48" s="40" t="str">
        <f ca="1">IF(OR(LEFT(B48,11)="גיליון הזנה",INDIRECT("'"&amp;$B48&amp;"'!"&amp;'גיליון עזר'!$I$1&amp;ROW('מרכז מורשת בבל'!$I$3))=0),"",B48)</f>
        <v/>
      </c>
      <c r="E48" s="57" t="str">
        <f t="array" aca="1" ref="E48:N48" ca="1">IF($D48="","",TRANSPOSE(INDIRECT("'"&amp;$D48&amp;"'!"&amp;'גיליון עזר'!$D$1&amp;ROW('מרכז מורשת בבל'!$D$16)):INDIRECT("'"&amp;$D48&amp;"'!"&amp;'גיליון עזר'!$D$1&amp;ROW('מרכז מורשת בבל'!$D$25))))</f>
        <v/>
      </c>
      <c r="F48" s="58" t="str">
        <f ca="1"/>
        <v/>
      </c>
      <c r="G48" s="58" t="str">
        <f ca="1"/>
        <v/>
      </c>
      <c r="H48" s="57" t="str">
        <f ca="1"/>
        <v/>
      </c>
      <c r="I48" s="57" t="str">
        <f ca="1"/>
        <v/>
      </c>
      <c r="J48" s="57" t="str">
        <f ca="1"/>
        <v/>
      </c>
      <c r="K48" s="57" t="str">
        <f ca="1"/>
        <v/>
      </c>
      <c r="L48" s="57" t="str">
        <f ca="1"/>
        <v/>
      </c>
      <c r="M48" s="57" t="str">
        <f ca="1"/>
        <v/>
      </c>
      <c r="N48" s="59" t="str">
        <f ca="1"/>
        <v/>
      </c>
      <c r="O48" s="60" t="str">
        <f ca="1">IF($D48="","",INDIRECT("'"&amp;$D48&amp;"'!"&amp;'גיליון עזר'!$F$1&amp;ROW('מרכז מורשת בבל'!$B$78)))</f>
        <v/>
      </c>
      <c r="P48" s="58" t="str">
        <f t="array" aca="1" ref="P48:Q48" ca="1">IF($D48="","",TRANSPOSE(INDIRECT("'"&amp;$D48&amp;"'!"&amp;'גיליון עזר'!$G$1&amp;ROW('מרכז מורשת בבל'!$D$16)):INDIRECT("'"&amp;$D48&amp;"'!"&amp;'גיליון עזר'!$G$1&amp;ROW('מרכז מורשת בבל'!$D$17))))</f>
        <v/>
      </c>
      <c r="Q48" s="61" t="str">
        <f ca="1"/>
        <v/>
      </c>
      <c r="R48" s="62" t="str">
        <f t="array" aca="1" ref="R48:V48" ca="1">IF($D48="","",TRANSPOSE(INDIRECT("'"&amp;$D48&amp;"'!"&amp;'גיליון עזר'!$N$1&amp;ROW('מרכז מורשת בבל'!$D$16)):INDIRECT("'"&amp;$D48&amp;"'!"&amp;'גיליון עזר'!$N$1&amp;ROW('מרכז מורשת בבל'!$D$20))))</f>
        <v/>
      </c>
      <c r="S48" s="58" t="str">
        <f ca="1"/>
        <v/>
      </c>
      <c r="T48" s="58" t="str">
        <f ca="1"/>
        <v/>
      </c>
      <c r="U48" s="58" t="str">
        <f ca="1"/>
        <v/>
      </c>
      <c r="V48" s="58" t="str">
        <f ca="1"/>
        <v/>
      </c>
      <c r="W48" s="60" t="str">
        <f ca="1">IF($D48="","",INDIRECT("'"&amp;$D48&amp;"'!"&amp;'גיליון עזר'!$N$1&amp;ROW('מרכז מורשת בבל'!$J$21)))</f>
        <v/>
      </c>
      <c r="X48" s="60" t="str">
        <f ca="1">IF($D48="","",INDIRECT("'"&amp;$D48&amp;"'!"&amp;'גיליון עזר'!$L$1&amp;ROW('מרכז מורשת בבל'!$J$78)))</f>
        <v/>
      </c>
      <c r="Y48" s="63" t="str">
        <f t="array" aca="1" ref="Y48:Z48" ca="1">IF($D48="","",TRANSPOSE(INDIRECT("'"&amp;$D48&amp;"'!"&amp;'גיליון עזר'!$J$1&amp;ROW('מרכז מורשת בבל'!$D$17)):INDIRECT("'"&amp;$D48&amp;"'!"&amp;'גיליון עזר'!$J$1&amp;ROW('מרכז מורשת בבל'!$D$18))))</f>
        <v/>
      </c>
      <c r="Z48" s="63" t="str">
        <f ca="1"/>
        <v/>
      </c>
      <c r="AA48" s="104" t="str">
        <f ca="1">IF($D48="","",IF(INDIRECT("'"&amp;$D48&amp;"'!"&amp;'גיליון עזר'!$J$1&amp;ROW('מרכז מורשת בבל'!$D$21))="","",INDIRECT("'"&amp;$D48&amp;"'!"&amp;'גיליון עזר'!$J$1&amp;ROW('מרכז מורשת בבל'!$D$21))))</f>
        <v/>
      </c>
      <c r="AC48" s="1" t="str">
        <f t="shared" ca="1" si="26"/>
        <v/>
      </c>
      <c r="AD48" s="65" t="str">
        <f t="shared" ca="1" si="26"/>
        <v/>
      </c>
      <c r="AE48" s="65" t="str">
        <f t="shared" ca="1" si="26"/>
        <v/>
      </c>
      <c r="AF48" s="65" t="str">
        <f t="shared" ca="1" si="26"/>
        <v/>
      </c>
      <c r="AG48" s="1" t="str">
        <f t="shared" ca="1" si="26"/>
        <v/>
      </c>
      <c r="AH48" s="64" t="str">
        <f t="shared" ca="1" si="26"/>
        <v/>
      </c>
      <c r="AI48" s="1" t="str">
        <f t="shared" ca="1" si="26"/>
        <v/>
      </c>
      <c r="AJ48" s="1" t="str">
        <f t="shared" ca="1" si="26"/>
        <v/>
      </c>
      <c r="AK48" s="64" t="str">
        <f t="shared" ca="1" si="26"/>
        <v/>
      </c>
      <c r="AL48" s="1" t="str">
        <f t="shared" ca="1" si="26"/>
        <v/>
      </c>
      <c r="AM48" s="1" t="str">
        <f t="shared" ca="1" si="26"/>
        <v/>
      </c>
      <c r="AN48" s="1" t="str">
        <f t="shared" ca="1" si="26"/>
        <v/>
      </c>
      <c r="AO48" s="1" t="str">
        <f t="shared" ca="1" si="26"/>
        <v/>
      </c>
      <c r="AP48" s="3" t="str">
        <f t="shared" ca="1" si="3"/>
        <v/>
      </c>
      <c r="AQ48" s="3" t="str">
        <f t="shared" ca="1" si="4"/>
        <v/>
      </c>
      <c r="AR48" s="3" t="str">
        <f t="shared" ca="1" si="5"/>
        <v/>
      </c>
      <c r="AS48" s="3" t="str">
        <f t="shared" ca="1" si="6"/>
        <v/>
      </c>
      <c r="AT48" s="3" t="str">
        <f t="shared" ca="1" si="7"/>
        <v/>
      </c>
      <c r="AU48" s="3" t="str">
        <f t="shared" ca="1" si="8"/>
        <v/>
      </c>
      <c r="AV48" s="3" t="str">
        <f t="shared" ca="1" si="9"/>
        <v/>
      </c>
      <c r="AW48" s="3" t="str">
        <f t="shared" ca="1" si="10"/>
        <v/>
      </c>
      <c r="AX48" s="3" t="str">
        <f t="shared" ca="1" si="11"/>
        <v/>
      </c>
      <c r="AY48" s="3" t="str">
        <f t="shared" ca="1" si="12"/>
        <v/>
      </c>
      <c r="AZ48" s="31" t="str">
        <f t="shared" ca="1" si="13"/>
        <v/>
      </c>
      <c r="BA48" s="3" t="str">
        <f t="shared" ca="1" si="14"/>
        <v/>
      </c>
      <c r="BB48" s="3" t="str">
        <f t="shared" ca="1" si="15"/>
        <v/>
      </c>
      <c r="BC48" s="37" t="str">
        <f t="shared" ca="1" si="16"/>
        <v/>
      </c>
      <c r="BD48" s="3" t="str">
        <f t="shared" ca="1" si="17"/>
        <v/>
      </c>
      <c r="BE48" s="3" t="str">
        <f t="shared" ca="1" si="18"/>
        <v/>
      </c>
      <c r="BF48" s="3" t="str">
        <f t="shared" ca="1" si="19"/>
        <v/>
      </c>
      <c r="BG48" s="3" t="str">
        <f t="shared" ca="1" si="20"/>
        <v/>
      </c>
      <c r="BH48" s="3" t="str">
        <f t="shared" ca="1" si="21"/>
        <v/>
      </c>
      <c r="BI48" s="3" t="str">
        <f t="shared" ca="1" si="22"/>
        <v/>
      </c>
      <c r="BJ48" s="3" t="str">
        <f t="shared" ca="1" si="23"/>
        <v/>
      </c>
      <c r="BK48" s="3" t="str">
        <f t="shared" ca="1" si="24"/>
        <v/>
      </c>
      <c r="BL48" s="3" t="str">
        <f t="shared" ca="1" si="25"/>
        <v/>
      </c>
    </row>
    <row r="49" spans="1:64" x14ac:dyDescent="0.25">
      <c r="A49" t="str">
        <f ca="1">IF(AND(LEFT(B49,11)&lt;&gt;"גיליון הזנה",INDIRECT("'"&amp;$B49&amp;"'!"&amp;'גיליון עזר'!$I$1&amp;ROW('מרכז מורשת בבל'!$I$3))=""),"חסרה הזנה","")</f>
        <v/>
      </c>
      <c r="B49" s="200" t="str">
        <f ca="1">'גיליון הזנה 33'!$D$3</f>
        <v>גיליון הזנה 33</v>
      </c>
      <c r="C49" s="20">
        <v>33</v>
      </c>
      <c r="D49" s="40" t="str">
        <f ca="1">IF(OR(LEFT(B49,11)="גיליון הזנה",INDIRECT("'"&amp;$B49&amp;"'!"&amp;'גיליון עזר'!$I$1&amp;ROW('מרכז מורשת בבל'!$I$3))=0),"",B49)</f>
        <v/>
      </c>
      <c r="E49" s="57" t="str">
        <f t="array" aca="1" ref="E49:N49" ca="1">IF($D49="","",TRANSPOSE(INDIRECT("'"&amp;$D49&amp;"'!"&amp;'גיליון עזר'!$D$1&amp;ROW('מרכז מורשת בבל'!$D$16)):INDIRECT("'"&amp;$D49&amp;"'!"&amp;'גיליון עזר'!$D$1&amp;ROW('מרכז מורשת בבל'!$D$25))))</f>
        <v/>
      </c>
      <c r="F49" s="58" t="str">
        <f ca="1"/>
        <v/>
      </c>
      <c r="G49" s="58" t="str">
        <f ca="1"/>
        <v/>
      </c>
      <c r="H49" s="57" t="str">
        <f ca="1"/>
        <v/>
      </c>
      <c r="I49" s="57" t="str">
        <f ca="1"/>
        <v/>
      </c>
      <c r="J49" s="57" t="str">
        <f ca="1"/>
        <v/>
      </c>
      <c r="K49" s="57" t="str">
        <f ca="1"/>
        <v/>
      </c>
      <c r="L49" s="57" t="str">
        <f ca="1"/>
        <v/>
      </c>
      <c r="M49" s="57" t="str">
        <f ca="1"/>
        <v/>
      </c>
      <c r="N49" s="59" t="str">
        <f ca="1"/>
        <v/>
      </c>
      <c r="O49" s="60" t="str">
        <f ca="1">IF($D49="","",INDIRECT("'"&amp;$D49&amp;"'!"&amp;'גיליון עזר'!$F$1&amp;ROW('מרכז מורשת בבל'!$B$78)))</f>
        <v/>
      </c>
      <c r="P49" s="58" t="str">
        <f t="array" aca="1" ref="P49:Q49" ca="1">IF($D49="","",TRANSPOSE(INDIRECT("'"&amp;$D49&amp;"'!"&amp;'גיליון עזר'!$G$1&amp;ROW('מרכז מורשת בבל'!$D$16)):INDIRECT("'"&amp;$D49&amp;"'!"&amp;'גיליון עזר'!$G$1&amp;ROW('מרכז מורשת בבל'!$D$17))))</f>
        <v/>
      </c>
      <c r="Q49" s="61" t="str">
        <f ca="1"/>
        <v/>
      </c>
      <c r="R49" s="62" t="str">
        <f t="array" aca="1" ref="R49:V49" ca="1">IF($D49="","",TRANSPOSE(INDIRECT("'"&amp;$D49&amp;"'!"&amp;'גיליון עזר'!$N$1&amp;ROW('מרכז מורשת בבל'!$D$16)):INDIRECT("'"&amp;$D49&amp;"'!"&amp;'גיליון עזר'!$N$1&amp;ROW('מרכז מורשת בבל'!$D$20))))</f>
        <v/>
      </c>
      <c r="S49" s="58" t="str">
        <f ca="1"/>
        <v/>
      </c>
      <c r="T49" s="58" t="str">
        <f ca="1"/>
        <v/>
      </c>
      <c r="U49" s="58" t="str">
        <f ca="1"/>
        <v/>
      </c>
      <c r="V49" s="58" t="str">
        <f ca="1"/>
        <v/>
      </c>
      <c r="W49" s="60" t="str">
        <f ca="1">IF($D49="","",INDIRECT("'"&amp;$D49&amp;"'!"&amp;'גיליון עזר'!$N$1&amp;ROW('מרכז מורשת בבל'!$J$21)))</f>
        <v/>
      </c>
      <c r="X49" s="60" t="str">
        <f ca="1">IF($D49="","",INDIRECT("'"&amp;$D49&amp;"'!"&amp;'גיליון עזר'!$L$1&amp;ROW('מרכז מורשת בבל'!$J$78)))</f>
        <v/>
      </c>
      <c r="Y49" s="63" t="str">
        <f t="array" aca="1" ref="Y49:Z49" ca="1">IF($D49="","",TRANSPOSE(INDIRECT("'"&amp;$D49&amp;"'!"&amp;'גיליון עזר'!$J$1&amp;ROW('מרכז מורשת בבל'!$D$17)):INDIRECT("'"&amp;$D49&amp;"'!"&amp;'גיליון עזר'!$J$1&amp;ROW('מרכז מורשת בבל'!$D$18))))</f>
        <v/>
      </c>
      <c r="Z49" s="63" t="str">
        <f ca="1"/>
        <v/>
      </c>
      <c r="AA49" s="104" t="str">
        <f ca="1">IF($D49="","",IF(INDIRECT("'"&amp;$D49&amp;"'!"&amp;'גיליון עזר'!$J$1&amp;ROW('מרכז מורשת בבל'!$D$21))="","",INDIRECT("'"&amp;$D49&amp;"'!"&amp;'גיליון עזר'!$J$1&amp;ROW('מרכז מורשת בבל'!$D$21))))</f>
        <v/>
      </c>
      <c r="AC49" s="1" t="str">
        <f t="shared" ca="1" si="26"/>
        <v/>
      </c>
      <c r="AD49" s="65" t="str">
        <f t="shared" ca="1" si="26"/>
        <v/>
      </c>
      <c r="AE49" s="65" t="str">
        <f t="shared" ca="1" si="26"/>
        <v/>
      </c>
      <c r="AF49" s="65" t="str">
        <f t="shared" ca="1" si="26"/>
        <v/>
      </c>
      <c r="AG49" s="1" t="str">
        <f t="shared" ca="1" si="26"/>
        <v/>
      </c>
      <c r="AH49" s="64" t="str">
        <f t="shared" ca="1" si="26"/>
        <v/>
      </c>
      <c r="AI49" s="1" t="str">
        <f t="shared" ca="1" si="26"/>
        <v/>
      </c>
      <c r="AJ49" s="1" t="str">
        <f t="shared" ca="1" si="26"/>
        <v/>
      </c>
      <c r="AK49" s="64" t="str">
        <f t="shared" ca="1" si="26"/>
        <v/>
      </c>
      <c r="AL49" s="1" t="str">
        <f t="shared" ca="1" si="26"/>
        <v/>
      </c>
      <c r="AM49" s="1" t="str">
        <f t="shared" ca="1" si="26"/>
        <v/>
      </c>
      <c r="AN49" s="1" t="str">
        <f t="shared" ca="1" si="26"/>
        <v/>
      </c>
      <c r="AO49" s="1" t="str">
        <f t="shared" ca="1" si="26"/>
        <v/>
      </c>
      <c r="AP49" s="3" t="str">
        <f t="shared" ref="AP49:AP76" ca="1" si="27">IF($D49="","",IF(ISERR(E49/3),$AP$14,E49))</f>
        <v/>
      </c>
      <c r="AQ49" s="3" t="str">
        <f t="shared" ref="AQ49:AQ76" ca="1" si="28">IF($D49="","",IF(ISERR(F49/3),$AP$14,F49))</f>
        <v/>
      </c>
      <c r="AR49" s="3" t="str">
        <f t="shared" ref="AR49:AR76" ca="1" si="29">IF($D49="","",IF(ISERR(G49/3),$AP$14,G49))</f>
        <v/>
      </c>
      <c r="AS49" s="3" t="str">
        <f t="shared" ref="AS49:AS76" ca="1" si="30">IF($D49="","",IF(ISERR(H49/3),$AP$14,H49))</f>
        <v/>
      </c>
      <c r="AT49" s="3" t="str">
        <f t="shared" ref="AT49:AT76" ca="1" si="31">IF($D49="","",IF(ISERR(I49/3),$AP$14,I49))</f>
        <v/>
      </c>
      <c r="AU49" s="3" t="str">
        <f t="shared" ref="AU49:AU76" ca="1" si="32">IF($D49="","",IF(ISERR(J49/3),$AP$14,J49))</f>
        <v/>
      </c>
      <c r="AV49" s="3" t="str">
        <f t="shared" ref="AV49:AV76" ca="1" si="33">IF($D49="","",IF(ISERR(K49/3),$AP$14,K49))</f>
        <v/>
      </c>
      <c r="AW49" s="3" t="str">
        <f t="shared" ref="AW49:AW76" ca="1" si="34">IF($D49="","",IF(ISERR(L49/3),$AP$14,L49))</f>
        <v/>
      </c>
      <c r="AX49" s="3" t="str">
        <f t="shared" ref="AX49:AX76" ca="1" si="35">IF($D49="","",IF(ISERR(M49/3),$AP$14,M49))</f>
        <v/>
      </c>
      <c r="AY49" s="3" t="str">
        <f t="shared" ref="AY49:AY76" ca="1" si="36">IF($D49="","",IF(ISERR(N49/3),$AP$14,N49))</f>
        <v/>
      </c>
      <c r="AZ49" s="31" t="str">
        <f t="shared" ref="AZ49:AZ76" ca="1" si="37">IF($D49="","",IF(ISERR(O49/3),$AP$14,O49))</f>
        <v/>
      </c>
      <c r="BA49" s="3" t="str">
        <f t="shared" ref="BA49:BA76" ca="1" si="38">IF($D49="","",IF(ISERR(P49/3),$AP$14,P49))</f>
        <v/>
      </c>
      <c r="BB49" s="3" t="str">
        <f t="shared" ref="BB49:BB76" ca="1" si="39">IF(Q49="","",Q49)</f>
        <v/>
      </c>
      <c r="BC49" s="37" t="str">
        <f t="shared" ref="BC49:BC76" ca="1" si="40">IF(R49="","",R49)</f>
        <v/>
      </c>
      <c r="BD49" s="3" t="str">
        <f t="shared" ref="BD49:BD76" ca="1" si="41">IF($D49="","",IF(ISERR(S49/3),$AP$14,S49))</f>
        <v/>
      </c>
      <c r="BE49" s="3" t="str">
        <f t="shared" ref="BE49:BE76" ca="1" si="42">IF($D49="","",IF(ISERR(T49/3),$AP$14,T49))</f>
        <v/>
      </c>
      <c r="BF49" s="3" t="str">
        <f t="shared" ref="BF49:BF76" ca="1" si="43">IF($D49="","",IF(U49="","",U49))</f>
        <v/>
      </c>
      <c r="BG49" s="3" t="str">
        <f t="shared" ref="BG49:BG76" ca="1" si="44">IF($D49="","",IF(V49="","",V49))</f>
        <v/>
      </c>
      <c r="BH49" s="3" t="str">
        <f t="shared" ref="BH49:BH76" ca="1" si="45">IF($D49="","",IF(W49="","",W49))</f>
        <v/>
      </c>
      <c r="BI49" s="3" t="str">
        <f t="shared" ref="BI49:BI76" ca="1" si="46">IF($D49="","",IF(ISERR(X49/3),$AP$14,X49))</f>
        <v/>
      </c>
      <c r="BJ49" s="3" t="str">
        <f t="shared" ref="BJ49:BJ76" ca="1" si="47">IF($D49="","",IF(ISERR(Y49/3),$AP$14,Y49))</f>
        <v/>
      </c>
      <c r="BK49" s="3" t="str">
        <f t="shared" ref="BK49:BK76" ca="1" si="48">IF($D49="","",IF(ISERR(Z49/3),$AP$14,Z49))</f>
        <v/>
      </c>
      <c r="BL49" s="3" t="str">
        <f t="shared" ca="1" si="25"/>
        <v/>
      </c>
    </row>
    <row r="50" spans="1:64" x14ac:dyDescent="0.25">
      <c r="A50" t="str">
        <f ca="1">IF(AND(LEFT(B50,11)&lt;&gt;"גיליון הזנה",INDIRECT("'"&amp;$B50&amp;"'!"&amp;'גיליון עזר'!$I$1&amp;ROW('מרכז מורשת בבל'!$I$3))=""),"חסרה הזנה","")</f>
        <v/>
      </c>
      <c r="B50" s="200" t="str">
        <f ca="1">'גיליון הזנה 34'!$D$3</f>
        <v>גיליון הזנה 34</v>
      </c>
      <c r="C50" s="20">
        <v>34</v>
      </c>
      <c r="D50" s="40" t="str">
        <f ca="1">IF(OR(LEFT(B50,11)="גיליון הזנה",INDIRECT("'"&amp;$B50&amp;"'!"&amp;'גיליון עזר'!$I$1&amp;ROW('מרכז מורשת בבל'!$I$3))=0),"",B50)</f>
        <v/>
      </c>
      <c r="E50" s="57" t="str">
        <f t="array" aca="1" ref="E50:N50" ca="1">IF($D50="","",TRANSPOSE(INDIRECT("'"&amp;$D50&amp;"'!"&amp;'גיליון עזר'!$D$1&amp;ROW('מרכז מורשת בבל'!$D$16)):INDIRECT("'"&amp;$D50&amp;"'!"&amp;'גיליון עזר'!$D$1&amp;ROW('מרכז מורשת בבל'!$D$25))))</f>
        <v/>
      </c>
      <c r="F50" s="58" t="str">
        <f ca="1"/>
        <v/>
      </c>
      <c r="G50" s="58" t="str">
        <f ca="1"/>
        <v/>
      </c>
      <c r="H50" s="57" t="str">
        <f ca="1"/>
        <v/>
      </c>
      <c r="I50" s="57" t="str">
        <f ca="1"/>
        <v/>
      </c>
      <c r="J50" s="57" t="str">
        <f ca="1"/>
        <v/>
      </c>
      <c r="K50" s="57" t="str">
        <f ca="1"/>
        <v/>
      </c>
      <c r="L50" s="57" t="str">
        <f ca="1"/>
        <v/>
      </c>
      <c r="M50" s="57" t="str">
        <f ca="1"/>
        <v/>
      </c>
      <c r="N50" s="59" t="str">
        <f ca="1"/>
        <v/>
      </c>
      <c r="O50" s="60" t="str">
        <f ca="1">IF($D50="","",INDIRECT("'"&amp;$D50&amp;"'!"&amp;'גיליון עזר'!$F$1&amp;ROW('מרכז מורשת בבל'!$B$78)))</f>
        <v/>
      </c>
      <c r="P50" s="58" t="str">
        <f t="array" aca="1" ref="P50:Q50" ca="1">IF($D50="","",TRANSPOSE(INDIRECT("'"&amp;$D50&amp;"'!"&amp;'גיליון עזר'!$G$1&amp;ROW('מרכז מורשת בבל'!$D$16)):INDIRECT("'"&amp;$D50&amp;"'!"&amp;'גיליון עזר'!$G$1&amp;ROW('מרכז מורשת בבל'!$D$17))))</f>
        <v/>
      </c>
      <c r="Q50" s="61" t="str">
        <f ca="1"/>
        <v/>
      </c>
      <c r="R50" s="62" t="str">
        <f t="array" aca="1" ref="R50:V50" ca="1">IF($D50="","",TRANSPOSE(INDIRECT("'"&amp;$D50&amp;"'!"&amp;'גיליון עזר'!$N$1&amp;ROW('מרכז מורשת בבל'!$D$16)):INDIRECT("'"&amp;$D50&amp;"'!"&amp;'גיליון עזר'!$N$1&amp;ROW('מרכז מורשת בבל'!$D$20))))</f>
        <v/>
      </c>
      <c r="S50" s="58" t="str">
        <f ca="1"/>
        <v/>
      </c>
      <c r="T50" s="58" t="str">
        <f ca="1"/>
        <v/>
      </c>
      <c r="U50" s="58" t="str">
        <f ca="1"/>
        <v/>
      </c>
      <c r="V50" s="58" t="str">
        <f ca="1"/>
        <v/>
      </c>
      <c r="W50" s="60" t="str">
        <f ca="1">IF($D50="","",INDIRECT("'"&amp;$D50&amp;"'!"&amp;'גיליון עזר'!$N$1&amp;ROW('מרכז מורשת בבל'!$J$21)))</f>
        <v/>
      </c>
      <c r="X50" s="60" t="str">
        <f ca="1">IF($D50="","",INDIRECT("'"&amp;$D50&amp;"'!"&amp;'גיליון עזר'!$L$1&amp;ROW('מרכז מורשת בבל'!$J$78)))</f>
        <v/>
      </c>
      <c r="Y50" s="63" t="str">
        <f t="array" aca="1" ref="Y50:Z50" ca="1">IF($D50="","",TRANSPOSE(INDIRECT("'"&amp;$D50&amp;"'!"&amp;'גיליון עזר'!$J$1&amp;ROW('מרכז מורשת בבל'!$D$17)):INDIRECT("'"&amp;$D50&amp;"'!"&amp;'גיליון עזר'!$J$1&amp;ROW('מרכז מורשת בבל'!$D$18))))</f>
        <v/>
      </c>
      <c r="Z50" s="63" t="str">
        <f ca="1"/>
        <v/>
      </c>
      <c r="AA50" s="104" t="str">
        <f ca="1">IF($D50="","",IF(INDIRECT("'"&amp;$D50&amp;"'!"&amp;'גיליון עזר'!$J$1&amp;ROW('מרכז מורשת בבל'!$D$21))="","",INDIRECT("'"&amp;$D50&amp;"'!"&amp;'גיליון עזר'!$J$1&amp;ROW('מרכז מורשת בבל'!$D$21))))</f>
        <v/>
      </c>
      <c r="AC50" s="1" t="str">
        <f t="shared" ca="1" si="26"/>
        <v/>
      </c>
      <c r="AD50" s="65" t="str">
        <f t="shared" ca="1" si="26"/>
        <v/>
      </c>
      <c r="AE50" s="65" t="str">
        <f t="shared" ca="1" si="26"/>
        <v/>
      </c>
      <c r="AF50" s="65" t="str">
        <f t="shared" ca="1" si="26"/>
        <v/>
      </c>
      <c r="AG50" s="1" t="str">
        <f t="shared" ca="1" si="26"/>
        <v/>
      </c>
      <c r="AH50" s="64" t="str">
        <f t="shared" ca="1" si="26"/>
        <v/>
      </c>
      <c r="AI50" s="1" t="str">
        <f t="shared" ca="1" si="26"/>
        <v/>
      </c>
      <c r="AJ50" s="1" t="str">
        <f t="shared" ca="1" si="26"/>
        <v/>
      </c>
      <c r="AK50" s="64" t="str">
        <f t="shared" ca="1" si="26"/>
        <v/>
      </c>
      <c r="AL50" s="1" t="str">
        <f t="shared" ca="1" si="26"/>
        <v/>
      </c>
      <c r="AM50" s="1" t="str">
        <f t="shared" ca="1" si="26"/>
        <v/>
      </c>
      <c r="AN50" s="1" t="str">
        <f t="shared" ca="1" si="26"/>
        <v/>
      </c>
      <c r="AO50" s="1" t="str">
        <f t="shared" ca="1" si="26"/>
        <v/>
      </c>
      <c r="AP50" s="3" t="str">
        <f t="shared" ca="1" si="27"/>
        <v/>
      </c>
      <c r="AQ50" s="3" t="str">
        <f t="shared" ca="1" si="28"/>
        <v/>
      </c>
      <c r="AR50" s="3" t="str">
        <f t="shared" ca="1" si="29"/>
        <v/>
      </c>
      <c r="AS50" s="3" t="str">
        <f t="shared" ca="1" si="30"/>
        <v/>
      </c>
      <c r="AT50" s="3" t="str">
        <f t="shared" ca="1" si="31"/>
        <v/>
      </c>
      <c r="AU50" s="3" t="str">
        <f t="shared" ca="1" si="32"/>
        <v/>
      </c>
      <c r="AV50" s="3" t="str">
        <f t="shared" ca="1" si="33"/>
        <v/>
      </c>
      <c r="AW50" s="3" t="str">
        <f t="shared" ca="1" si="34"/>
        <v/>
      </c>
      <c r="AX50" s="3" t="str">
        <f t="shared" ca="1" si="35"/>
        <v/>
      </c>
      <c r="AY50" s="3" t="str">
        <f t="shared" ca="1" si="36"/>
        <v/>
      </c>
      <c r="AZ50" s="31" t="str">
        <f t="shared" ca="1" si="37"/>
        <v/>
      </c>
      <c r="BA50" s="3" t="str">
        <f t="shared" ca="1" si="38"/>
        <v/>
      </c>
      <c r="BB50" s="3" t="str">
        <f t="shared" ca="1" si="39"/>
        <v/>
      </c>
      <c r="BC50" s="37" t="str">
        <f t="shared" ca="1" si="40"/>
        <v/>
      </c>
      <c r="BD50" s="3" t="str">
        <f t="shared" ca="1" si="41"/>
        <v/>
      </c>
      <c r="BE50" s="3" t="str">
        <f t="shared" ca="1" si="42"/>
        <v/>
      </c>
      <c r="BF50" s="3" t="str">
        <f t="shared" ca="1" si="43"/>
        <v/>
      </c>
      <c r="BG50" s="3" t="str">
        <f t="shared" ca="1" si="44"/>
        <v/>
      </c>
      <c r="BH50" s="3" t="str">
        <f t="shared" ca="1" si="45"/>
        <v/>
      </c>
      <c r="BI50" s="3" t="str">
        <f t="shared" ca="1" si="46"/>
        <v/>
      </c>
      <c r="BJ50" s="3" t="str">
        <f t="shared" ca="1" si="47"/>
        <v/>
      </c>
      <c r="BK50" s="3" t="str">
        <f t="shared" ca="1" si="48"/>
        <v/>
      </c>
      <c r="BL50" s="3" t="str">
        <f t="shared" ca="1" si="25"/>
        <v/>
      </c>
    </row>
    <row r="51" spans="1:64" x14ac:dyDescent="0.25">
      <c r="A51" t="str">
        <f ca="1">IF(AND(LEFT(B51,11)&lt;&gt;"גיליון הזנה",INDIRECT("'"&amp;$B51&amp;"'!"&amp;'גיליון עזר'!$I$1&amp;ROW('מרכז מורשת בבל'!$I$3))=""),"חסרה הזנה","")</f>
        <v/>
      </c>
      <c r="B51" s="200" t="str">
        <f ca="1">'גיליון הזנה 35'!$D$3</f>
        <v>גיליון הזנה 35</v>
      </c>
      <c r="C51" s="20">
        <v>35</v>
      </c>
      <c r="D51" s="40" t="str">
        <f ca="1">IF(OR(LEFT(B51,11)="גיליון הזנה",INDIRECT("'"&amp;$B51&amp;"'!"&amp;'גיליון עזר'!$I$1&amp;ROW('מרכז מורשת בבל'!$I$3))=0),"",B51)</f>
        <v/>
      </c>
      <c r="E51" s="57" t="str">
        <f t="array" aca="1" ref="E51:N51" ca="1">IF($D51="","",TRANSPOSE(INDIRECT("'"&amp;$D51&amp;"'!"&amp;'גיליון עזר'!$D$1&amp;ROW('מרכז מורשת בבל'!$D$16)):INDIRECT("'"&amp;$D51&amp;"'!"&amp;'גיליון עזר'!$D$1&amp;ROW('מרכז מורשת בבל'!$D$25))))</f>
        <v/>
      </c>
      <c r="F51" s="58" t="str">
        <f ca="1"/>
        <v/>
      </c>
      <c r="G51" s="58" t="str">
        <f ca="1"/>
        <v/>
      </c>
      <c r="H51" s="57" t="str">
        <f ca="1"/>
        <v/>
      </c>
      <c r="I51" s="57" t="str">
        <f ca="1"/>
        <v/>
      </c>
      <c r="J51" s="57" t="str">
        <f ca="1"/>
        <v/>
      </c>
      <c r="K51" s="57" t="str">
        <f ca="1"/>
        <v/>
      </c>
      <c r="L51" s="57" t="str">
        <f ca="1"/>
        <v/>
      </c>
      <c r="M51" s="57" t="str">
        <f ca="1"/>
        <v/>
      </c>
      <c r="N51" s="59" t="str">
        <f ca="1"/>
        <v/>
      </c>
      <c r="O51" s="60" t="str">
        <f ca="1">IF($D51="","",INDIRECT("'"&amp;$D51&amp;"'!"&amp;'גיליון עזר'!$F$1&amp;ROW('מרכז מורשת בבל'!$B$78)))</f>
        <v/>
      </c>
      <c r="P51" s="58" t="str">
        <f t="array" aca="1" ref="P51:Q51" ca="1">IF($D51="","",TRANSPOSE(INDIRECT("'"&amp;$D51&amp;"'!"&amp;'גיליון עזר'!$G$1&amp;ROW('מרכז מורשת בבל'!$D$16)):INDIRECT("'"&amp;$D51&amp;"'!"&amp;'גיליון עזר'!$G$1&amp;ROW('מרכז מורשת בבל'!$D$17))))</f>
        <v/>
      </c>
      <c r="Q51" s="61" t="str">
        <f ca="1"/>
        <v/>
      </c>
      <c r="R51" s="62" t="str">
        <f t="array" aca="1" ref="R51:V51" ca="1">IF($D51="","",TRANSPOSE(INDIRECT("'"&amp;$D51&amp;"'!"&amp;'גיליון עזר'!$N$1&amp;ROW('מרכז מורשת בבל'!$D$16)):INDIRECT("'"&amp;$D51&amp;"'!"&amp;'גיליון עזר'!$N$1&amp;ROW('מרכז מורשת בבל'!$D$20))))</f>
        <v/>
      </c>
      <c r="S51" s="58" t="str">
        <f ca="1"/>
        <v/>
      </c>
      <c r="T51" s="58" t="str">
        <f ca="1"/>
        <v/>
      </c>
      <c r="U51" s="58" t="str">
        <f ca="1"/>
        <v/>
      </c>
      <c r="V51" s="58" t="str">
        <f ca="1"/>
        <v/>
      </c>
      <c r="W51" s="60" t="str">
        <f ca="1">IF($D51="","",INDIRECT("'"&amp;$D51&amp;"'!"&amp;'גיליון עזר'!$N$1&amp;ROW('מרכז מורשת בבל'!$J$21)))</f>
        <v/>
      </c>
      <c r="X51" s="60" t="str">
        <f ca="1">IF($D51="","",INDIRECT("'"&amp;$D51&amp;"'!"&amp;'גיליון עזר'!$L$1&amp;ROW('מרכז מורשת בבל'!$J$78)))</f>
        <v/>
      </c>
      <c r="Y51" s="63" t="str">
        <f t="array" aca="1" ref="Y51:Z51" ca="1">IF($D51="","",TRANSPOSE(INDIRECT("'"&amp;$D51&amp;"'!"&amp;'גיליון עזר'!$J$1&amp;ROW('מרכז מורשת בבל'!$D$17)):INDIRECT("'"&amp;$D51&amp;"'!"&amp;'גיליון עזר'!$J$1&amp;ROW('מרכז מורשת בבל'!$D$18))))</f>
        <v/>
      </c>
      <c r="Z51" s="63" t="str">
        <f ca="1"/>
        <v/>
      </c>
      <c r="AA51" s="104" t="str">
        <f ca="1">IF($D51="","",IF(INDIRECT("'"&amp;$D51&amp;"'!"&amp;'גיליון עזר'!$J$1&amp;ROW('מרכז מורשת בבל'!$D$21))="","",INDIRECT("'"&amp;$D51&amp;"'!"&amp;'גיליון עזר'!$J$1&amp;ROW('מרכז מורשת בבל'!$D$21))))</f>
        <v/>
      </c>
      <c r="AC51" s="1" t="str">
        <f t="shared" ca="1" si="26"/>
        <v/>
      </c>
      <c r="AD51" s="65" t="str">
        <f t="shared" ca="1" si="26"/>
        <v/>
      </c>
      <c r="AE51" s="65" t="str">
        <f t="shared" ca="1" si="26"/>
        <v/>
      </c>
      <c r="AF51" s="65" t="str">
        <f t="shared" ca="1" si="26"/>
        <v/>
      </c>
      <c r="AG51" s="1" t="str">
        <f t="shared" ca="1" si="26"/>
        <v/>
      </c>
      <c r="AH51" s="64" t="str">
        <f t="shared" ca="1" si="26"/>
        <v/>
      </c>
      <c r="AI51" s="1" t="str">
        <f t="shared" ca="1" si="26"/>
        <v/>
      </c>
      <c r="AJ51" s="1" t="str">
        <f t="shared" ca="1" si="26"/>
        <v/>
      </c>
      <c r="AK51" s="64" t="str">
        <f t="shared" ca="1" si="26"/>
        <v/>
      </c>
      <c r="AL51" s="1" t="str">
        <f t="shared" ca="1" si="26"/>
        <v/>
      </c>
      <c r="AM51" s="1" t="str">
        <f t="shared" ca="1" si="26"/>
        <v/>
      </c>
      <c r="AN51" s="1" t="str">
        <f t="shared" ca="1" si="26"/>
        <v/>
      </c>
      <c r="AO51" s="1" t="str">
        <f t="shared" ca="1" si="26"/>
        <v/>
      </c>
      <c r="AP51" s="3" t="str">
        <f t="shared" ca="1" si="27"/>
        <v/>
      </c>
      <c r="AQ51" s="3" t="str">
        <f t="shared" ca="1" si="28"/>
        <v/>
      </c>
      <c r="AR51" s="3" t="str">
        <f t="shared" ca="1" si="29"/>
        <v/>
      </c>
      <c r="AS51" s="3" t="str">
        <f t="shared" ca="1" si="30"/>
        <v/>
      </c>
      <c r="AT51" s="3" t="str">
        <f t="shared" ca="1" si="31"/>
        <v/>
      </c>
      <c r="AU51" s="3" t="str">
        <f t="shared" ca="1" si="32"/>
        <v/>
      </c>
      <c r="AV51" s="3" t="str">
        <f t="shared" ca="1" si="33"/>
        <v/>
      </c>
      <c r="AW51" s="3" t="str">
        <f t="shared" ca="1" si="34"/>
        <v/>
      </c>
      <c r="AX51" s="3" t="str">
        <f t="shared" ca="1" si="35"/>
        <v/>
      </c>
      <c r="AY51" s="3" t="str">
        <f t="shared" ca="1" si="36"/>
        <v/>
      </c>
      <c r="AZ51" s="31" t="str">
        <f t="shared" ca="1" si="37"/>
        <v/>
      </c>
      <c r="BA51" s="3" t="str">
        <f t="shared" ca="1" si="38"/>
        <v/>
      </c>
      <c r="BB51" s="3" t="str">
        <f t="shared" ca="1" si="39"/>
        <v/>
      </c>
      <c r="BC51" s="37" t="str">
        <f t="shared" ca="1" si="40"/>
        <v/>
      </c>
      <c r="BD51" s="3" t="str">
        <f t="shared" ca="1" si="41"/>
        <v/>
      </c>
      <c r="BE51" s="3" t="str">
        <f t="shared" ca="1" si="42"/>
        <v/>
      </c>
      <c r="BF51" s="3" t="str">
        <f t="shared" ca="1" si="43"/>
        <v/>
      </c>
      <c r="BG51" s="3" t="str">
        <f t="shared" ca="1" si="44"/>
        <v/>
      </c>
      <c r="BH51" s="3" t="str">
        <f t="shared" ca="1" si="45"/>
        <v/>
      </c>
      <c r="BI51" s="3" t="str">
        <f t="shared" ca="1" si="46"/>
        <v/>
      </c>
      <c r="BJ51" s="3" t="str">
        <f t="shared" ca="1" si="47"/>
        <v/>
      </c>
      <c r="BK51" s="3" t="str">
        <f t="shared" ca="1" si="48"/>
        <v/>
      </c>
      <c r="BL51" s="3" t="str">
        <f t="shared" ca="1" si="25"/>
        <v/>
      </c>
    </row>
    <row r="52" spans="1:64" x14ac:dyDescent="0.25">
      <c r="A52" t="str">
        <f ca="1">IF(AND(LEFT(B52,11)&lt;&gt;"גיליון הזנה",INDIRECT("'"&amp;$B52&amp;"'!"&amp;'גיליון עזר'!$I$1&amp;ROW('מרכז מורשת בבל'!$I$3))=""),"חסרה הזנה","")</f>
        <v/>
      </c>
      <c r="B52" s="200" t="str">
        <f ca="1">'גיליון הזנה 36'!$D$3</f>
        <v>גיליון הזנה 36</v>
      </c>
      <c r="C52" s="20">
        <v>36</v>
      </c>
      <c r="D52" s="40" t="str">
        <f ca="1">IF(OR(LEFT(B52,11)="גיליון הזנה",INDIRECT("'"&amp;$B52&amp;"'!"&amp;'גיליון עזר'!$I$1&amp;ROW('מרכז מורשת בבל'!$I$3))=0),"",B52)</f>
        <v/>
      </c>
      <c r="E52" s="57" t="str">
        <f t="array" aca="1" ref="E52:N52" ca="1">IF($D52="","",TRANSPOSE(INDIRECT("'"&amp;$D52&amp;"'!"&amp;'גיליון עזר'!$D$1&amp;ROW('מרכז מורשת בבל'!$D$16)):INDIRECT("'"&amp;$D52&amp;"'!"&amp;'גיליון עזר'!$D$1&amp;ROW('מרכז מורשת בבל'!$D$25))))</f>
        <v/>
      </c>
      <c r="F52" s="58" t="str">
        <f ca="1"/>
        <v/>
      </c>
      <c r="G52" s="58" t="str">
        <f ca="1"/>
        <v/>
      </c>
      <c r="H52" s="57" t="str">
        <f ca="1"/>
        <v/>
      </c>
      <c r="I52" s="57" t="str">
        <f ca="1"/>
        <v/>
      </c>
      <c r="J52" s="57" t="str">
        <f ca="1"/>
        <v/>
      </c>
      <c r="K52" s="57" t="str">
        <f ca="1"/>
        <v/>
      </c>
      <c r="L52" s="57" t="str">
        <f ca="1"/>
        <v/>
      </c>
      <c r="M52" s="57" t="str">
        <f ca="1"/>
        <v/>
      </c>
      <c r="N52" s="59" t="str">
        <f ca="1"/>
        <v/>
      </c>
      <c r="O52" s="60" t="str">
        <f ca="1">IF($D52="","",INDIRECT("'"&amp;$D52&amp;"'!"&amp;'גיליון עזר'!$F$1&amp;ROW('מרכז מורשת בבל'!$B$78)))</f>
        <v/>
      </c>
      <c r="P52" s="58" t="str">
        <f t="array" aca="1" ref="P52:Q52" ca="1">IF($D52="","",TRANSPOSE(INDIRECT("'"&amp;$D52&amp;"'!"&amp;'גיליון עזר'!$G$1&amp;ROW('מרכז מורשת בבל'!$D$16)):INDIRECT("'"&amp;$D52&amp;"'!"&amp;'גיליון עזר'!$G$1&amp;ROW('מרכז מורשת בבל'!$D$17))))</f>
        <v/>
      </c>
      <c r="Q52" s="61" t="str">
        <f ca="1"/>
        <v/>
      </c>
      <c r="R52" s="62" t="str">
        <f t="array" aca="1" ref="R52:V52" ca="1">IF($D52="","",TRANSPOSE(INDIRECT("'"&amp;$D52&amp;"'!"&amp;'גיליון עזר'!$N$1&amp;ROW('מרכז מורשת בבל'!$D$16)):INDIRECT("'"&amp;$D52&amp;"'!"&amp;'גיליון עזר'!$N$1&amp;ROW('מרכז מורשת בבל'!$D$20))))</f>
        <v/>
      </c>
      <c r="S52" s="58" t="str">
        <f ca="1"/>
        <v/>
      </c>
      <c r="T52" s="58" t="str">
        <f ca="1"/>
        <v/>
      </c>
      <c r="U52" s="58" t="str">
        <f ca="1"/>
        <v/>
      </c>
      <c r="V52" s="58" t="str">
        <f ca="1"/>
        <v/>
      </c>
      <c r="W52" s="60" t="str">
        <f ca="1">IF($D52="","",INDIRECT("'"&amp;$D52&amp;"'!"&amp;'גיליון עזר'!$N$1&amp;ROW('מרכז מורשת בבל'!$J$21)))</f>
        <v/>
      </c>
      <c r="X52" s="60" t="str">
        <f ca="1">IF($D52="","",INDIRECT("'"&amp;$D52&amp;"'!"&amp;'גיליון עזר'!$L$1&amp;ROW('מרכז מורשת בבל'!$J$78)))</f>
        <v/>
      </c>
      <c r="Y52" s="63" t="str">
        <f t="array" aca="1" ref="Y52:Z52" ca="1">IF($D52="","",TRANSPOSE(INDIRECT("'"&amp;$D52&amp;"'!"&amp;'גיליון עזר'!$J$1&amp;ROW('מרכז מורשת בבל'!$D$17)):INDIRECT("'"&amp;$D52&amp;"'!"&amp;'גיליון עזר'!$J$1&amp;ROW('מרכז מורשת בבל'!$D$18))))</f>
        <v/>
      </c>
      <c r="Z52" s="63" t="str">
        <f ca="1"/>
        <v/>
      </c>
      <c r="AA52" s="104" t="str">
        <f ca="1">IF($D52="","",IF(INDIRECT("'"&amp;$D52&amp;"'!"&amp;'גיליון עזר'!$J$1&amp;ROW('מרכז מורשת בבל'!$D$21))="","",INDIRECT("'"&amp;$D52&amp;"'!"&amp;'גיליון עזר'!$J$1&amp;ROW('מרכז מורשת בבל'!$D$21))))</f>
        <v/>
      </c>
      <c r="AC52" s="1" t="str">
        <f t="shared" ca="1" si="26"/>
        <v/>
      </c>
      <c r="AD52" s="65" t="str">
        <f t="shared" ca="1" si="26"/>
        <v/>
      </c>
      <c r="AE52" s="65" t="str">
        <f t="shared" ca="1" si="26"/>
        <v/>
      </c>
      <c r="AF52" s="65" t="str">
        <f t="shared" ca="1" si="26"/>
        <v/>
      </c>
      <c r="AG52" s="1" t="str">
        <f t="shared" ca="1" si="26"/>
        <v/>
      </c>
      <c r="AH52" s="64" t="str">
        <f t="shared" ca="1" si="26"/>
        <v/>
      </c>
      <c r="AI52" s="1" t="str">
        <f t="shared" ca="1" si="26"/>
        <v/>
      </c>
      <c r="AJ52" s="1" t="str">
        <f t="shared" ca="1" si="26"/>
        <v/>
      </c>
      <c r="AK52" s="64" t="str">
        <f t="shared" ca="1" si="26"/>
        <v/>
      </c>
      <c r="AL52" s="1" t="str">
        <f t="shared" ca="1" si="26"/>
        <v/>
      </c>
      <c r="AM52" s="1" t="str">
        <f t="shared" ca="1" si="26"/>
        <v/>
      </c>
      <c r="AN52" s="1" t="str">
        <f t="shared" ca="1" si="26"/>
        <v/>
      </c>
      <c r="AO52" s="1" t="str">
        <f t="shared" ref="AO52:AO78" ca="1" si="49">IF($D52="","",AO$16)</f>
        <v/>
      </c>
      <c r="AP52" s="3" t="str">
        <f t="shared" ca="1" si="27"/>
        <v/>
      </c>
      <c r="AQ52" s="3" t="str">
        <f t="shared" ca="1" si="28"/>
        <v/>
      </c>
      <c r="AR52" s="3" t="str">
        <f t="shared" ca="1" si="29"/>
        <v/>
      </c>
      <c r="AS52" s="3" t="str">
        <f t="shared" ca="1" si="30"/>
        <v/>
      </c>
      <c r="AT52" s="3" t="str">
        <f t="shared" ca="1" si="31"/>
        <v/>
      </c>
      <c r="AU52" s="3" t="str">
        <f t="shared" ca="1" si="32"/>
        <v/>
      </c>
      <c r="AV52" s="3" t="str">
        <f t="shared" ca="1" si="33"/>
        <v/>
      </c>
      <c r="AW52" s="3" t="str">
        <f t="shared" ca="1" si="34"/>
        <v/>
      </c>
      <c r="AX52" s="3" t="str">
        <f t="shared" ca="1" si="35"/>
        <v/>
      </c>
      <c r="AY52" s="3" t="str">
        <f t="shared" ca="1" si="36"/>
        <v/>
      </c>
      <c r="AZ52" s="31" t="str">
        <f t="shared" ca="1" si="37"/>
        <v/>
      </c>
      <c r="BA52" s="3" t="str">
        <f t="shared" ca="1" si="38"/>
        <v/>
      </c>
      <c r="BB52" s="3" t="str">
        <f t="shared" ca="1" si="39"/>
        <v/>
      </c>
      <c r="BC52" s="37" t="str">
        <f t="shared" ca="1" si="40"/>
        <v/>
      </c>
      <c r="BD52" s="3" t="str">
        <f t="shared" ca="1" si="41"/>
        <v/>
      </c>
      <c r="BE52" s="3" t="str">
        <f t="shared" ca="1" si="42"/>
        <v/>
      </c>
      <c r="BF52" s="3" t="str">
        <f t="shared" ca="1" si="43"/>
        <v/>
      </c>
      <c r="BG52" s="3" t="str">
        <f t="shared" ca="1" si="44"/>
        <v/>
      </c>
      <c r="BH52" s="3" t="str">
        <f t="shared" ca="1" si="45"/>
        <v/>
      </c>
      <c r="BI52" s="3" t="str">
        <f t="shared" ca="1" si="46"/>
        <v/>
      </c>
      <c r="BJ52" s="3" t="str">
        <f t="shared" ca="1" si="47"/>
        <v/>
      </c>
      <c r="BK52" s="3" t="str">
        <f t="shared" ca="1" si="48"/>
        <v/>
      </c>
      <c r="BL52" s="3" t="str">
        <f t="shared" ca="1" si="25"/>
        <v/>
      </c>
    </row>
    <row r="53" spans="1:64" ht="16.149999999999999" customHeight="1" x14ac:dyDescent="0.25">
      <c r="A53" t="str">
        <f ca="1">IF(AND(LEFT(B53,11)&lt;&gt;"גיליון הזנה",INDIRECT("'"&amp;$B53&amp;"'!"&amp;'גיליון עזר'!$I$1&amp;ROW('מרכז מורשת בבל'!$I$3))=""),"חסרה הזנה","")</f>
        <v/>
      </c>
      <c r="B53" s="200" t="str">
        <f ca="1">'גיליון הזנה 37'!$D$3</f>
        <v>גיליון הזנה 37</v>
      </c>
      <c r="C53" s="20">
        <v>37</v>
      </c>
      <c r="D53" s="40" t="str">
        <f ca="1">IF(OR(LEFT(B53,11)="גיליון הזנה",INDIRECT("'"&amp;$B53&amp;"'!"&amp;'גיליון עזר'!$I$1&amp;ROW('מרכז מורשת בבל'!$I$3))=0),"",B53)</f>
        <v/>
      </c>
      <c r="E53" s="57" t="str">
        <f t="array" aca="1" ref="E53:N53" ca="1">IF($D53="","",TRANSPOSE(INDIRECT("'"&amp;$D53&amp;"'!"&amp;'גיליון עזר'!$D$1&amp;ROW('מרכז מורשת בבל'!$D$16)):INDIRECT("'"&amp;$D53&amp;"'!"&amp;'גיליון עזר'!$D$1&amp;ROW('מרכז מורשת בבל'!$D$25))))</f>
        <v/>
      </c>
      <c r="F53" s="58" t="str">
        <f ca="1"/>
        <v/>
      </c>
      <c r="G53" s="58" t="str">
        <f ca="1"/>
        <v/>
      </c>
      <c r="H53" s="57" t="str">
        <f ca="1"/>
        <v/>
      </c>
      <c r="I53" s="57" t="str">
        <f ca="1"/>
        <v/>
      </c>
      <c r="J53" s="57" t="str">
        <f ca="1"/>
        <v/>
      </c>
      <c r="K53" s="57" t="str">
        <f ca="1"/>
        <v/>
      </c>
      <c r="L53" s="57" t="str">
        <f ca="1"/>
        <v/>
      </c>
      <c r="M53" s="57" t="str">
        <f ca="1"/>
        <v/>
      </c>
      <c r="N53" s="59" t="str">
        <f ca="1"/>
        <v/>
      </c>
      <c r="O53" s="60" t="str">
        <f ca="1">IF($D53="","",INDIRECT("'"&amp;$D53&amp;"'!"&amp;'גיליון עזר'!$F$1&amp;ROW('מרכז מורשת בבל'!$B$78)))</f>
        <v/>
      </c>
      <c r="P53" s="58" t="str">
        <f t="array" aca="1" ref="P53:Q53" ca="1">IF($D53="","",TRANSPOSE(INDIRECT("'"&amp;$D53&amp;"'!"&amp;'גיליון עזר'!$G$1&amp;ROW('מרכז מורשת בבל'!$D$16)):INDIRECT("'"&amp;$D53&amp;"'!"&amp;'גיליון עזר'!$G$1&amp;ROW('מרכז מורשת בבל'!$D$17))))</f>
        <v/>
      </c>
      <c r="Q53" s="61" t="str">
        <f ca="1"/>
        <v/>
      </c>
      <c r="R53" s="62" t="str">
        <f t="array" aca="1" ref="R53:V53" ca="1">IF($D53="","",TRANSPOSE(INDIRECT("'"&amp;$D53&amp;"'!"&amp;'גיליון עזר'!$N$1&amp;ROW('מרכז מורשת בבל'!$D$16)):INDIRECT("'"&amp;$D53&amp;"'!"&amp;'גיליון עזר'!$N$1&amp;ROW('מרכז מורשת בבל'!$D$20))))</f>
        <v/>
      </c>
      <c r="S53" s="58" t="str">
        <f ca="1"/>
        <v/>
      </c>
      <c r="T53" s="58" t="str">
        <f ca="1"/>
        <v/>
      </c>
      <c r="U53" s="58" t="str">
        <f ca="1"/>
        <v/>
      </c>
      <c r="V53" s="58" t="str">
        <f ca="1"/>
        <v/>
      </c>
      <c r="W53" s="60" t="str">
        <f ca="1">IF($D53="","",INDIRECT("'"&amp;$D53&amp;"'!"&amp;'גיליון עזר'!$N$1&amp;ROW('מרכז מורשת בבל'!$J$21)))</f>
        <v/>
      </c>
      <c r="X53" s="60" t="str">
        <f ca="1">IF($D53="","",INDIRECT("'"&amp;$D53&amp;"'!"&amp;'גיליון עזר'!$L$1&amp;ROW('מרכז מורשת בבל'!$J$78)))</f>
        <v/>
      </c>
      <c r="Y53" s="63" t="str">
        <f t="array" aca="1" ref="Y53:Z53" ca="1">IF($D53="","",TRANSPOSE(INDIRECT("'"&amp;$D53&amp;"'!"&amp;'גיליון עזר'!$J$1&amp;ROW('מרכז מורשת בבל'!$D$17)):INDIRECT("'"&amp;$D53&amp;"'!"&amp;'גיליון עזר'!$J$1&amp;ROW('מרכז מורשת בבל'!$D$18))))</f>
        <v/>
      </c>
      <c r="Z53" s="63" t="str">
        <f ca="1"/>
        <v/>
      </c>
      <c r="AA53" s="104" t="str">
        <f ca="1">IF($D53="","",IF(INDIRECT("'"&amp;$D53&amp;"'!"&amp;'גיליון עזר'!$J$1&amp;ROW('מרכז מורשת בבל'!$D$21))="","",INDIRECT("'"&amp;$D53&amp;"'!"&amp;'גיליון עזר'!$J$1&amp;ROW('מרכז מורשת בבל'!$D$21))))</f>
        <v/>
      </c>
      <c r="AC53" s="1" t="str">
        <f t="shared" ca="1" si="26"/>
        <v/>
      </c>
      <c r="AD53" s="65" t="str">
        <f t="shared" ca="1" si="26"/>
        <v/>
      </c>
      <c r="AE53" s="65" t="str">
        <f t="shared" ca="1" si="26"/>
        <v/>
      </c>
      <c r="AF53" s="65" t="str">
        <f t="shared" ca="1" si="26"/>
        <v/>
      </c>
      <c r="AG53" s="1" t="str">
        <f t="shared" ca="1" si="26"/>
        <v/>
      </c>
      <c r="AH53" s="64" t="str">
        <f t="shared" ca="1" si="26"/>
        <v/>
      </c>
      <c r="AI53" s="1" t="str">
        <f t="shared" ca="1" si="26"/>
        <v/>
      </c>
      <c r="AJ53" s="1" t="str">
        <f t="shared" ca="1" si="26"/>
        <v/>
      </c>
      <c r="AK53" s="64" t="str">
        <f t="shared" ca="1" si="26"/>
        <v/>
      </c>
      <c r="AL53" s="1" t="str">
        <f t="shared" ca="1" si="26"/>
        <v/>
      </c>
      <c r="AM53" s="1" t="str">
        <f t="shared" ca="1" si="26"/>
        <v/>
      </c>
      <c r="AN53" s="1" t="str">
        <f t="shared" ca="1" si="26"/>
        <v/>
      </c>
      <c r="AO53" s="1" t="str">
        <f t="shared" ca="1" si="49"/>
        <v/>
      </c>
      <c r="AP53" s="3" t="str">
        <f t="shared" ca="1" si="27"/>
        <v/>
      </c>
      <c r="AQ53" s="3" t="str">
        <f t="shared" ca="1" si="28"/>
        <v/>
      </c>
      <c r="AR53" s="3" t="str">
        <f t="shared" ca="1" si="29"/>
        <v/>
      </c>
      <c r="AS53" s="3" t="str">
        <f t="shared" ca="1" si="30"/>
        <v/>
      </c>
      <c r="AT53" s="3" t="str">
        <f t="shared" ca="1" si="31"/>
        <v/>
      </c>
      <c r="AU53" s="3" t="str">
        <f t="shared" ca="1" si="32"/>
        <v/>
      </c>
      <c r="AV53" s="3" t="str">
        <f t="shared" ca="1" si="33"/>
        <v/>
      </c>
      <c r="AW53" s="3" t="str">
        <f t="shared" ca="1" si="34"/>
        <v/>
      </c>
      <c r="AX53" s="3" t="str">
        <f t="shared" ca="1" si="35"/>
        <v/>
      </c>
      <c r="AY53" s="3" t="str">
        <f t="shared" ca="1" si="36"/>
        <v/>
      </c>
      <c r="AZ53" s="31" t="str">
        <f t="shared" ca="1" si="37"/>
        <v/>
      </c>
      <c r="BA53" s="3" t="str">
        <f t="shared" ca="1" si="38"/>
        <v/>
      </c>
      <c r="BB53" s="3" t="str">
        <f t="shared" ca="1" si="39"/>
        <v/>
      </c>
      <c r="BC53" s="37" t="str">
        <f t="shared" ca="1" si="40"/>
        <v/>
      </c>
      <c r="BD53" s="3" t="str">
        <f t="shared" ca="1" si="41"/>
        <v/>
      </c>
      <c r="BE53" s="3" t="str">
        <f t="shared" ca="1" si="42"/>
        <v/>
      </c>
      <c r="BF53" s="3" t="str">
        <f t="shared" ca="1" si="43"/>
        <v/>
      </c>
      <c r="BG53" s="3" t="str">
        <f t="shared" ca="1" si="44"/>
        <v/>
      </c>
      <c r="BH53" s="3" t="str">
        <f t="shared" ca="1" si="45"/>
        <v/>
      </c>
      <c r="BI53" s="3" t="str">
        <f t="shared" ca="1" si="46"/>
        <v/>
      </c>
      <c r="BJ53" s="3" t="str">
        <f t="shared" ca="1" si="47"/>
        <v/>
      </c>
      <c r="BK53" s="3" t="str">
        <f t="shared" ca="1" si="48"/>
        <v/>
      </c>
      <c r="BL53" s="3" t="str">
        <f t="shared" ca="1" si="25"/>
        <v/>
      </c>
    </row>
    <row r="54" spans="1:64" x14ac:dyDescent="0.25">
      <c r="A54" t="str">
        <f ca="1">IF(AND(LEFT(B54,11)&lt;&gt;"גיליון הזנה",INDIRECT("'"&amp;$B54&amp;"'!"&amp;'גיליון עזר'!$I$1&amp;ROW('מרכז מורשת בבל'!$I$3))=""),"חסרה הזנה","")</f>
        <v/>
      </c>
      <c r="B54" s="200" t="str">
        <f ca="1">'גיליון הזנה 38'!$D$3</f>
        <v>גיליון הזנה 38</v>
      </c>
      <c r="C54" s="20">
        <v>38</v>
      </c>
      <c r="D54" s="40" t="str">
        <f ca="1">IF(OR(LEFT(B54,11)="גיליון הזנה",INDIRECT("'"&amp;$B54&amp;"'!"&amp;'גיליון עזר'!$I$1&amp;ROW('מרכז מורשת בבל'!$I$3))=0),"",B54)</f>
        <v/>
      </c>
      <c r="E54" s="57" t="str">
        <f t="array" aca="1" ref="E54:N54" ca="1">IF($D54="","",TRANSPOSE(INDIRECT("'"&amp;$D54&amp;"'!"&amp;'גיליון עזר'!$D$1&amp;ROW('מרכז מורשת בבל'!$D$16)):INDIRECT("'"&amp;$D54&amp;"'!"&amp;'גיליון עזר'!$D$1&amp;ROW('מרכז מורשת בבל'!$D$25))))</f>
        <v/>
      </c>
      <c r="F54" s="58" t="str">
        <f ca="1"/>
        <v/>
      </c>
      <c r="G54" s="58" t="str">
        <f ca="1"/>
        <v/>
      </c>
      <c r="H54" s="57" t="str">
        <f ca="1"/>
        <v/>
      </c>
      <c r="I54" s="57" t="str">
        <f ca="1"/>
        <v/>
      </c>
      <c r="J54" s="57" t="str">
        <f ca="1"/>
        <v/>
      </c>
      <c r="K54" s="57" t="str">
        <f ca="1"/>
        <v/>
      </c>
      <c r="L54" s="57" t="str">
        <f ca="1"/>
        <v/>
      </c>
      <c r="M54" s="57" t="str">
        <f ca="1"/>
        <v/>
      </c>
      <c r="N54" s="59" t="str">
        <f ca="1"/>
        <v/>
      </c>
      <c r="O54" s="60" t="str">
        <f ca="1">IF($D54="","",INDIRECT("'"&amp;$D54&amp;"'!"&amp;'גיליון עזר'!$F$1&amp;ROW('מרכז מורשת בבל'!$B$78)))</f>
        <v/>
      </c>
      <c r="P54" s="58" t="str">
        <f t="array" aca="1" ref="P54:Q54" ca="1">IF($D54="","",TRANSPOSE(INDIRECT("'"&amp;$D54&amp;"'!"&amp;'גיליון עזר'!$G$1&amp;ROW('מרכז מורשת בבל'!$D$16)):INDIRECT("'"&amp;$D54&amp;"'!"&amp;'גיליון עזר'!$G$1&amp;ROW('מרכז מורשת בבל'!$D$17))))</f>
        <v/>
      </c>
      <c r="Q54" s="61" t="str">
        <f ca="1"/>
        <v/>
      </c>
      <c r="R54" s="62" t="str">
        <f t="array" aca="1" ref="R54:V54" ca="1">IF($D54="","",TRANSPOSE(INDIRECT("'"&amp;$D54&amp;"'!"&amp;'גיליון עזר'!$N$1&amp;ROW('מרכז מורשת בבל'!$D$16)):INDIRECT("'"&amp;$D54&amp;"'!"&amp;'גיליון עזר'!$N$1&amp;ROW('מרכז מורשת בבל'!$D$20))))</f>
        <v/>
      </c>
      <c r="S54" s="58" t="str">
        <f ca="1"/>
        <v/>
      </c>
      <c r="T54" s="58" t="str">
        <f ca="1"/>
        <v/>
      </c>
      <c r="U54" s="58" t="str">
        <f ca="1"/>
        <v/>
      </c>
      <c r="V54" s="58" t="str">
        <f ca="1"/>
        <v/>
      </c>
      <c r="W54" s="60" t="str">
        <f ca="1">IF($D54="","",INDIRECT("'"&amp;$D54&amp;"'!"&amp;'גיליון עזר'!$N$1&amp;ROW('מרכז מורשת בבל'!$J$21)))</f>
        <v/>
      </c>
      <c r="X54" s="60" t="str">
        <f ca="1">IF($D54="","",INDIRECT("'"&amp;$D54&amp;"'!"&amp;'גיליון עזר'!$L$1&amp;ROW('מרכז מורשת בבל'!$J$78)))</f>
        <v/>
      </c>
      <c r="Y54" s="63" t="str">
        <f t="array" aca="1" ref="Y54:Z54" ca="1">IF($D54="","",TRANSPOSE(INDIRECT("'"&amp;$D54&amp;"'!"&amp;'גיליון עזר'!$J$1&amp;ROW('מרכז מורשת בבל'!$D$17)):INDIRECT("'"&amp;$D54&amp;"'!"&amp;'גיליון עזר'!$J$1&amp;ROW('מרכז מורשת בבל'!$D$18))))</f>
        <v/>
      </c>
      <c r="Z54" s="63" t="str">
        <f ca="1"/>
        <v/>
      </c>
      <c r="AA54" s="104" t="str">
        <f ca="1">IF($D54="","",IF(INDIRECT("'"&amp;$D54&amp;"'!"&amp;'גיליון עזר'!$J$1&amp;ROW('מרכז מורשת בבל'!$D$21))="","",INDIRECT("'"&amp;$D54&amp;"'!"&amp;'גיליון עזר'!$J$1&amp;ROW('מרכז מורשת בבל'!$D$21))))</f>
        <v/>
      </c>
      <c r="AC54" s="1" t="str">
        <f t="shared" ca="1" si="26"/>
        <v/>
      </c>
      <c r="AD54" s="65" t="str">
        <f t="shared" ca="1" si="26"/>
        <v/>
      </c>
      <c r="AE54" s="65" t="str">
        <f t="shared" ca="1" si="26"/>
        <v/>
      </c>
      <c r="AF54" s="65" t="str">
        <f t="shared" ca="1" si="26"/>
        <v/>
      </c>
      <c r="AG54" s="1" t="str">
        <f t="shared" ca="1" si="26"/>
        <v/>
      </c>
      <c r="AH54" s="64" t="str">
        <f t="shared" ca="1" si="26"/>
        <v/>
      </c>
      <c r="AI54" s="1" t="str">
        <f t="shared" ca="1" si="26"/>
        <v/>
      </c>
      <c r="AJ54" s="1" t="str">
        <f t="shared" ca="1" si="26"/>
        <v/>
      </c>
      <c r="AK54" s="64" t="str">
        <f t="shared" ca="1" si="26"/>
        <v/>
      </c>
      <c r="AL54" s="1" t="str">
        <f t="shared" ca="1" si="26"/>
        <v/>
      </c>
      <c r="AM54" s="1" t="str">
        <f t="shared" ca="1" si="26"/>
        <v/>
      </c>
      <c r="AN54" s="1" t="str">
        <f t="shared" ca="1" si="26"/>
        <v/>
      </c>
      <c r="AO54" s="1" t="str">
        <f t="shared" ca="1" si="49"/>
        <v/>
      </c>
      <c r="AP54" s="3" t="str">
        <f t="shared" ca="1" si="27"/>
        <v/>
      </c>
      <c r="AQ54" s="3" t="str">
        <f t="shared" ca="1" si="28"/>
        <v/>
      </c>
      <c r="AR54" s="3" t="str">
        <f t="shared" ca="1" si="29"/>
        <v/>
      </c>
      <c r="AS54" s="3" t="str">
        <f t="shared" ca="1" si="30"/>
        <v/>
      </c>
      <c r="AT54" s="3" t="str">
        <f t="shared" ca="1" si="31"/>
        <v/>
      </c>
      <c r="AU54" s="3" t="str">
        <f t="shared" ca="1" si="32"/>
        <v/>
      </c>
      <c r="AV54" s="3" t="str">
        <f t="shared" ca="1" si="33"/>
        <v/>
      </c>
      <c r="AW54" s="3" t="str">
        <f t="shared" ca="1" si="34"/>
        <v/>
      </c>
      <c r="AX54" s="3" t="str">
        <f t="shared" ca="1" si="35"/>
        <v/>
      </c>
      <c r="AY54" s="3" t="str">
        <f t="shared" ca="1" si="36"/>
        <v/>
      </c>
      <c r="AZ54" s="31" t="str">
        <f t="shared" ca="1" si="37"/>
        <v/>
      </c>
      <c r="BA54" s="3" t="str">
        <f t="shared" ca="1" si="38"/>
        <v/>
      </c>
      <c r="BB54" s="3" t="str">
        <f t="shared" ca="1" si="39"/>
        <v/>
      </c>
      <c r="BC54" s="37" t="str">
        <f t="shared" ca="1" si="40"/>
        <v/>
      </c>
      <c r="BD54" s="3" t="str">
        <f t="shared" ca="1" si="41"/>
        <v/>
      </c>
      <c r="BE54" s="3" t="str">
        <f t="shared" ca="1" si="42"/>
        <v/>
      </c>
      <c r="BF54" s="3" t="str">
        <f t="shared" ca="1" si="43"/>
        <v/>
      </c>
      <c r="BG54" s="3" t="str">
        <f t="shared" ca="1" si="44"/>
        <v/>
      </c>
      <c r="BH54" s="3" t="str">
        <f t="shared" ca="1" si="45"/>
        <v/>
      </c>
      <c r="BI54" s="3" t="str">
        <f t="shared" ca="1" si="46"/>
        <v/>
      </c>
      <c r="BJ54" s="3" t="str">
        <f t="shared" ca="1" si="47"/>
        <v/>
      </c>
      <c r="BK54" s="3" t="str">
        <f t="shared" ca="1" si="48"/>
        <v/>
      </c>
      <c r="BL54" s="3" t="str">
        <f t="shared" ca="1" si="25"/>
        <v/>
      </c>
    </row>
    <row r="55" spans="1:64" x14ac:dyDescent="0.25">
      <c r="A55" t="str">
        <f ca="1">IF(AND(LEFT(B55,11)&lt;&gt;"גיליון הזנה",INDIRECT("'"&amp;$B55&amp;"'!"&amp;'גיליון עזר'!$I$1&amp;ROW('מרכז מורשת בבל'!$I$3))=""),"חסרה הזנה","")</f>
        <v/>
      </c>
      <c r="B55" s="200" t="str">
        <f ca="1">'גיליון הזנה 39'!$D$3</f>
        <v>גיליון הזנה 39</v>
      </c>
      <c r="C55" s="20">
        <v>39</v>
      </c>
      <c r="D55" s="40" t="str">
        <f ca="1">IF(OR(LEFT(B55,11)="גיליון הזנה",INDIRECT("'"&amp;$B55&amp;"'!"&amp;'גיליון עזר'!$I$1&amp;ROW('מרכז מורשת בבל'!$I$3))=0),"",B55)</f>
        <v/>
      </c>
      <c r="E55" s="57" t="str">
        <f t="array" aca="1" ref="E55:N55" ca="1">IF($D55="","",TRANSPOSE(INDIRECT("'"&amp;$D55&amp;"'!"&amp;'גיליון עזר'!$D$1&amp;ROW('מרכז מורשת בבל'!$D$16)):INDIRECT("'"&amp;$D55&amp;"'!"&amp;'גיליון עזר'!$D$1&amp;ROW('מרכז מורשת בבל'!$D$25))))</f>
        <v/>
      </c>
      <c r="F55" s="58" t="str">
        <f ca="1"/>
        <v/>
      </c>
      <c r="G55" s="58" t="str">
        <f ca="1"/>
        <v/>
      </c>
      <c r="H55" s="57" t="str">
        <f ca="1"/>
        <v/>
      </c>
      <c r="I55" s="57" t="str">
        <f ca="1"/>
        <v/>
      </c>
      <c r="J55" s="57" t="str">
        <f ca="1"/>
        <v/>
      </c>
      <c r="K55" s="57" t="str">
        <f ca="1"/>
        <v/>
      </c>
      <c r="L55" s="57" t="str">
        <f ca="1"/>
        <v/>
      </c>
      <c r="M55" s="57" t="str">
        <f ca="1"/>
        <v/>
      </c>
      <c r="N55" s="59" t="str">
        <f ca="1"/>
        <v/>
      </c>
      <c r="O55" s="60" t="str">
        <f ca="1">IF($D55="","",INDIRECT("'"&amp;$D55&amp;"'!"&amp;'גיליון עזר'!$F$1&amp;ROW('מרכז מורשת בבל'!$B$78)))</f>
        <v/>
      </c>
      <c r="P55" s="58" t="str">
        <f t="array" aca="1" ref="P55:Q55" ca="1">IF($D55="","",TRANSPOSE(INDIRECT("'"&amp;$D55&amp;"'!"&amp;'גיליון עזר'!$G$1&amp;ROW('מרכז מורשת בבל'!$D$16)):INDIRECT("'"&amp;$D55&amp;"'!"&amp;'גיליון עזר'!$G$1&amp;ROW('מרכז מורשת בבל'!$D$17))))</f>
        <v/>
      </c>
      <c r="Q55" s="61" t="str">
        <f ca="1"/>
        <v/>
      </c>
      <c r="R55" s="62" t="str">
        <f t="array" aca="1" ref="R55:V55" ca="1">IF($D55="","",TRANSPOSE(INDIRECT("'"&amp;$D55&amp;"'!"&amp;'גיליון עזר'!$N$1&amp;ROW('מרכז מורשת בבל'!$D$16)):INDIRECT("'"&amp;$D55&amp;"'!"&amp;'גיליון עזר'!$N$1&amp;ROW('מרכז מורשת בבל'!$D$20))))</f>
        <v/>
      </c>
      <c r="S55" s="58" t="str">
        <f ca="1"/>
        <v/>
      </c>
      <c r="T55" s="58" t="str">
        <f ca="1"/>
        <v/>
      </c>
      <c r="U55" s="58" t="str">
        <f ca="1"/>
        <v/>
      </c>
      <c r="V55" s="58" t="str">
        <f ca="1"/>
        <v/>
      </c>
      <c r="W55" s="60" t="str">
        <f ca="1">IF($D55="","",INDIRECT("'"&amp;$D55&amp;"'!"&amp;'גיליון עזר'!$N$1&amp;ROW('מרכז מורשת בבל'!$J$21)))</f>
        <v/>
      </c>
      <c r="X55" s="60" t="str">
        <f ca="1">IF($D55="","",INDIRECT("'"&amp;$D55&amp;"'!"&amp;'גיליון עזר'!$L$1&amp;ROW('מרכז מורשת בבל'!$J$78)))</f>
        <v/>
      </c>
      <c r="Y55" s="63" t="str">
        <f t="array" aca="1" ref="Y55:Z55" ca="1">IF($D55="","",TRANSPOSE(INDIRECT("'"&amp;$D55&amp;"'!"&amp;'גיליון עזר'!$J$1&amp;ROW('מרכז מורשת בבל'!$D$17)):INDIRECT("'"&amp;$D55&amp;"'!"&amp;'גיליון עזר'!$J$1&amp;ROW('מרכז מורשת בבל'!$D$18))))</f>
        <v/>
      </c>
      <c r="Z55" s="63" t="str">
        <f ca="1"/>
        <v/>
      </c>
      <c r="AA55" s="104" t="str">
        <f ca="1">IF($D55="","",IF(INDIRECT("'"&amp;$D55&amp;"'!"&amp;'גיליון עזר'!$J$1&amp;ROW('מרכז מורשת בבל'!$D$21))="","",INDIRECT("'"&amp;$D55&amp;"'!"&amp;'גיליון עזר'!$J$1&amp;ROW('מרכז מורשת בבל'!$D$21))))</f>
        <v/>
      </c>
      <c r="AC55" s="1" t="str">
        <f t="shared" ca="1" si="26"/>
        <v/>
      </c>
      <c r="AD55" s="65" t="str">
        <f t="shared" ca="1" si="26"/>
        <v/>
      </c>
      <c r="AE55" s="65" t="str">
        <f t="shared" ca="1" si="26"/>
        <v/>
      </c>
      <c r="AF55" s="65" t="str">
        <f t="shared" ca="1" si="26"/>
        <v/>
      </c>
      <c r="AG55" s="1" t="str">
        <f t="shared" ca="1" si="26"/>
        <v/>
      </c>
      <c r="AH55" s="64" t="str">
        <f t="shared" ca="1" si="26"/>
        <v/>
      </c>
      <c r="AI55" s="1" t="str">
        <f t="shared" ca="1" si="26"/>
        <v/>
      </c>
      <c r="AJ55" s="1" t="str">
        <f t="shared" ca="1" si="26"/>
        <v/>
      </c>
      <c r="AK55" s="64" t="str">
        <f t="shared" ca="1" si="26"/>
        <v/>
      </c>
      <c r="AL55" s="1" t="str">
        <f t="shared" ca="1" si="26"/>
        <v/>
      </c>
      <c r="AM55" s="1" t="str">
        <f t="shared" ca="1" si="26"/>
        <v/>
      </c>
      <c r="AN55" s="1" t="str">
        <f t="shared" ca="1" si="26"/>
        <v/>
      </c>
      <c r="AO55" s="1" t="str">
        <f t="shared" ca="1" si="49"/>
        <v/>
      </c>
      <c r="AP55" s="3" t="str">
        <f t="shared" ca="1" si="27"/>
        <v/>
      </c>
      <c r="AQ55" s="3" t="str">
        <f t="shared" ca="1" si="28"/>
        <v/>
      </c>
      <c r="AR55" s="3" t="str">
        <f t="shared" ca="1" si="29"/>
        <v/>
      </c>
      <c r="AS55" s="3" t="str">
        <f t="shared" ca="1" si="30"/>
        <v/>
      </c>
      <c r="AT55" s="3" t="str">
        <f t="shared" ca="1" si="31"/>
        <v/>
      </c>
      <c r="AU55" s="3" t="str">
        <f t="shared" ca="1" si="32"/>
        <v/>
      </c>
      <c r="AV55" s="3" t="str">
        <f t="shared" ca="1" si="33"/>
        <v/>
      </c>
      <c r="AW55" s="3" t="str">
        <f t="shared" ca="1" si="34"/>
        <v/>
      </c>
      <c r="AX55" s="3" t="str">
        <f t="shared" ca="1" si="35"/>
        <v/>
      </c>
      <c r="AY55" s="3" t="str">
        <f t="shared" ca="1" si="36"/>
        <v/>
      </c>
      <c r="AZ55" s="31" t="str">
        <f t="shared" ca="1" si="37"/>
        <v/>
      </c>
      <c r="BA55" s="3" t="str">
        <f t="shared" ca="1" si="38"/>
        <v/>
      </c>
      <c r="BB55" s="3" t="str">
        <f t="shared" ca="1" si="39"/>
        <v/>
      </c>
      <c r="BC55" s="37" t="str">
        <f t="shared" ca="1" si="40"/>
        <v/>
      </c>
      <c r="BD55" s="3" t="str">
        <f t="shared" ca="1" si="41"/>
        <v/>
      </c>
      <c r="BE55" s="3" t="str">
        <f t="shared" ca="1" si="42"/>
        <v/>
      </c>
      <c r="BF55" s="3" t="str">
        <f t="shared" ca="1" si="43"/>
        <v/>
      </c>
      <c r="BG55" s="3" t="str">
        <f t="shared" ca="1" si="44"/>
        <v/>
      </c>
      <c r="BH55" s="3" t="str">
        <f t="shared" ca="1" si="45"/>
        <v/>
      </c>
      <c r="BI55" s="3" t="str">
        <f t="shared" ca="1" si="46"/>
        <v/>
      </c>
      <c r="BJ55" s="3" t="str">
        <f t="shared" ca="1" si="47"/>
        <v/>
      </c>
      <c r="BK55" s="3" t="str">
        <f t="shared" ca="1" si="48"/>
        <v/>
      </c>
      <c r="BL55" s="3" t="str">
        <f t="shared" ca="1" si="25"/>
        <v/>
      </c>
    </row>
    <row r="56" spans="1:64" x14ac:dyDescent="0.25">
      <c r="A56" t="str">
        <f ca="1">IF(AND(LEFT(B56,11)&lt;&gt;"גיליון הזנה",INDIRECT("'"&amp;$B56&amp;"'!"&amp;'גיליון עזר'!$I$1&amp;ROW('מרכז מורשת בבל'!$I$3))=""),"חסרה הזנה","")</f>
        <v/>
      </c>
      <c r="B56" s="200" t="str">
        <f ca="1">'גיליון הזנה 40'!$D$3</f>
        <v>גיליון הזנה 40</v>
      </c>
      <c r="C56" s="20">
        <v>40</v>
      </c>
      <c r="D56" s="40" t="str">
        <f ca="1">IF(OR(LEFT(B56,11)="גיליון הזנה",INDIRECT("'"&amp;$B56&amp;"'!"&amp;'גיליון עזר'!$I$1&amp;ROW('מרכז מורשת בבל'!$I$3))=0),"",B56)</f>
        <v/>
      </c>
      <c r="E56" s="57" t="str">
        <f t="array" aca="1" ref="E56:N56" ca="1">IF($D56="","",TRANSPOSE(INDIRECT("'"&amp;$D56&amp;"'!"&amp;'גיליון עזר'!$D$1&amp;ROW('מרכז מורשת בבל'!$D$16)):INDIRECT("'"&amp;$D56&amp;"'!"&amp;'גיליון עזר'!$D$1&amp;ROW('מרכז מורשת בבל'!$D$25))))</f>
        <v/>
      </c>
      <c r="F56" s="58" t="str">
        <f ca="1"/>
        <v/>
      </c>
      <c r="G56" s="58" t="str">
        <f ca="1"/>
        <v/>
      </c>
      <c r="H56" s="57" t="str">
        <f ca="1"/>
        <v/>
      </c>
      <c r="I56" s="57" t="str">
        <f ca="1"/>
        <v/>
      </c>
      <c r="J56" s="57" t="str">
        <f ca="1"/>
        <v/>
      </c>
      <c r="K56" s="57" t="str">
        <f ca="1"/>
        <v/>
      </c>
      <c r="L56" s="57" t="str">
        <f ca="1"/>
        <v/>
      </c>
      <c r="M56" s="57" t="str">
        <f ca="1"/>
        <v/>
      </c>
      <c r="N56" s="59" t="str">
        <f ca="1"/>
        <v/>
      </c>
      <c r="O56" s="60" t="str">
        <f ca="1">IF($D56="","",INDIRECT("'"&amp;$D56&amp;"'!"&amp;'גיליון עזר'!$F$1&amp;ROW('מרכז מורשת בבל'!$B$78)))</f>
        <v/>
      </c>
      <c r="P56" s="58" t="str">
        <f t="array" aca="1" ref="P56:Q56" ca="1">IF($D56="","",TRANSPOSE(INDIRECT("'"&amp;$D56&amp;"'!"&amp;'גיליון עזר'!$G$1&amp;ROW('מרכז מורשת בבל'!$D$16)):INDIRECT("'"&amp;$D56&amp;"'!"&amp;'גיליון עזר'!$G$1&amp;ROW('מרכז מורשת בבל'!$D$17))))</f>
        <v/>
      </c>
      <c r="Q56" s="61" t="str">
        <f ca="1"/>
        <v/>
      </c>
      <c r="R56" s="62" t="str">
        <f t="array" aca="1" ref="R56:V56" ca="1">IF($D56="","",TRANSPOSE(INDIRECT("'"&amp;$D56&amp;"'!"&amp;'גיליון עזר'!$N$1&amp;ROW('מרכז מורשת בבל'!$D$16)):INDIRECT("'"&amp;$D56&amp;"'!"&amp;'גיליון עזר'!$N$1&amp;ROW('מרכז מורשת בבל'!$D$20))))</f>
        <v/>
      </c>
      <c r="S56" s="58" t="str">
        <f ca="1"/>
        <v/>
      </c>
      <c r="T56" s="58" t="str">
        <f ca="1"/>
        <v/>
      </c>
      <c r="U56" s="58" t="str">
        <f ca="1"/>
        <v/>
      </c>
      <c r="V56" s="58" t="str">
        <f ca="1"/>
        <v/>
      </c>
      <c r="W56" s="60" t="str">
        <f ca="1">IF($D56="","",INDIRECT("'"&amp;$D56&amp;"'!"&amp;'גיליון עזר'!$N$1&amp;ROW('מרכז מורשת בבל'!$J$21)))</f>
        <v/>
      </c>
      <c r="X56" s="60" t="str">
        <f ca="1">IF($D56="","",INDIRECT("'"&amp;$D56&amp;"'!"&amp;'גיליון עזר'!$L$1&amp;ROW('מרכז מורשת בבל'!$J$78)))</f>
        <v/>
      </c>
      <c r="Y56" s="63" t="str">
        <f t="array" aca="1" ref="Y56:Z56" ca="1">IF($D56="","",TRANSPOSE(INDIRECT("'"&amp;$D56&amp;"'!"&amp;'גיליון עזר'!$J$1&amp;ROW('מרכז מורשת בבל'!$D$17)):INDIRECT("'"&amp;$D56&amp;"'!"&amp;'גיליון עזר'!$J$1&amp;ROW('מרכז מורשת בבל'!$D$18))))</f>
        <v/>
      </c>
      <c r="Z56" s="63" t="str">
        <f ca="1"/>
        <v/>
      </c>
      <c r="AA56" s="104" t="str">
        <f ca="1">IF($D56="","",IF(INDIRECT("'"&amp;$D56&amp;"'!"&amp;'גיליון עזר'!$J$1&amp;ROW('מרכז מורשת בבל'!$D$21))="","",INDIRECT("'"&amp;$D56&amp;"'!"&amp;'גיליון עזר'!$J$1&amp;ROW('מרכז מורשת בבל'!$D$21))))</f>
        <v/>
      </c>
      <c r="AC56" s="1" t="str">
        <f t="shared" ca="1" si="26"/>
        <v/>
      </c>
      <c r="AD56" s="65" t="str">
        <f t="shared" ca="1" si="26"/>
        <v/>
      </c>
      <c r="AE56" s="65" t="str">
        <f t="shared" ca="1" si="26"/>
        <v/>
      </c>
      <c r="AF56" s="65" t="str">
        <f t="shared" ca="1" si="26"/>
        <v/>
      </c>
      <c r="AG56" s="1" t="str">
        <f t="shared" ca="1" si="26"/>
        <v/>
      </c>
      <c r="AH56" s="64" t="str">
        <f t="shared" ca="1" si="26"/>
        <v/>
      </c>
      <c r="AI56" s="1" t="str">
        <f t="shared" ca="1" si="26"/>
        <v/>
      </c>
      <c r="AJ56" s="1" t="str">
        <f t="shared" ca="1" si="26"/>
        <v/>
      </c>
      <c r="AK56" s="64" t="str">
        <f t="shared" ca="1" si="26"/>
        <v/>
      </c>
      <c r="AL56" s="1" t="str">
        <f t="shared" ca="1" si="26"/>
        <v/>
      </c>
      <c r="AM56" s="1" t="str">
        <f t="shared" ca="1" si="26"/>
        <v/>
      </c>
      <c r="AN56" s="1" t="str">
        <f t="shared" ca="1" si="26"/>
        <v/>
      </c>
      <c r="AO56" s="1" t="str">
        <f t="shared" ca="1" si="49"/>
        <v/>
      </c>
      <c r="AP56" s="3" t="str">
        <f t="shared" ca="1" si="27"/>
        <v/>
      </c>
      <c r="AQ56" s="3" t="str">
        <f t="shared" ca="1" si="28"/>
        <v/>
      </c>
      <c r="AR56" s="3" t="str">
        <f t="shared" ca="1" si="29"/>
        <v/>
      </c>
      <c r="AS56" s="3" t="str">
        <f t="shared" ca="1" si="30"/>
        <v/>
      </c>
      <c r="AT56" s="3" t="str">
        <f t="shared" ca="1" si="31"/>
        <v/>
      </c>
      <c r="AU56" s="3" t="str">
        <f t="shared" ca="1" si="32"/>
        <v/>
      </c>
      <c r="AV56" s="3" t="str">
        <f t="shared" ca="1" si="33"/>
        <v/>
      </c>
      <c r="AW56" s="3" t="str">
        <f t="shared" ca="1" si="34"/>
        <v/>
      </c>
      <c r="AX56" s="3" t="str">
        <f t="shared" ca="1" si="35"/>
        <v/>
      </c>
      <c r="AY56" s="3" t="str">
        <f t="shared" ca="1" si="36"/>
        <v/>
      </c>
      <c r="AZ56" s="31" t="str">
        <f t="shared" ca="1" si="37"/>
        <v/>
      </c>
      <c r="BA56" s="3" t="str">
        <f t="shared" ca="1" si="38"/>
        <v/>
      </c>
      <c r="BB56" s="3" t="str">
        <f t="shared" ca="1" si="39"/>
        <v/>
      </c>
      <c r="BC56" s="37" t="str">
        <f t="shared" ca="1" si="40"/>
        <v/>
      </c>
      <c r="BD56" s="3" t="str">
        <f t="shared" ca="1" si="41"/>
        <v/>
      </c>
      <c r="BE56" s="3" t="str">
        <f t="shared" ca="1" si="42"/>
        <v/>
      </c>
      <c r="BF56" s="3" t="str">
        <f t="shared" ca="1" si="43"/>
        <v/>
      </c>
      <c r="BG56" s="3" t="str">
        <f t="shared" ca="1" si="44"/>
        <v/>
      </c>
      <c r="BH56" s="3" t="str">
        <f t="shared" ca="1" si="45"/>
        <v/>
      </c>
      <c r="BI56" s="3" t="str">
        <f t="shared" ca="1" si="46"/>
        <v/>
      </c>
      <c r="BJ56" s="3" t="str">
        <f t="shared" ca="1" si="47"/>
        <v/>
      </c>
      <c r="BK56" s="3" t="str">
        <f t="shared" ca="1" si="48"/>
        <v/>
      </c>
      <c r="BL56" s="3" t="str">
        <f t="shared" ca="1" si="25"/>
        <v/>
      </c>
    </row>
    <row r="57" spans="1:64" x14ac:dyDescent="0.25">
      <c r="A57" t="str">
        <f ca="1">IF(AND(LEFT(B57,11)&lt;&gt;"גיליון הזנה",INDIRECT("'"&amp;$B57&amp;"'!"&amp;'גיליון עזר'!$I$1&amp;ROW('מרכז מורשת בבל'!$I$3))=""),"חסרה הזנה","")</f>
        <v/>
      </c>
      <c r="B57" s="200" t="str">
        <f ca="1">'גיליון הזנה 41'!$D$3</f>
        <v>גיליון הזנה 41</v>
      </c>
      <c r="C57" s="20">
        <v>41</v>
      </c>
      <c r="D57" s="40" t="str">
        <f ca="1">IF(OR(LEFT(B57,11)="גיליון הזנה",INDIRECT("'"&amp;$B57&amp;"'!"&amp;'גיליון עזר'!$I$1&amp;ROW('מרכז מורשת בבל'!$I$3))=0),"",B57)</f>
        <v/>
      </c>
      <c r="E57" s="57" t="str">
        <f t="array" aca="1" ref="E57:N57" ca="1">IF($D57="","",TRANSPOSE(INDIRECT("'"&amp;$D57&amp;"'!"&amp;'גיליון עזר'!$D$1&amp;ROW('מרכז מורשת בבל'!$D$16)):INDIRECT("'"&amp;$D57&amp;"'!"&amp;'גיליון עזר'!$D$1&amp;ROW('מרכז מורשת בבל'!$D$25))))</f>
        <v/>
      </c>
      <c r="F57" s="58" t="str">
        <f ca="1"/>
        <v/>
      </c>
      <c r="G57" s="58" t="str">
        <f ca="1"/>
        <v/>
      </c>
      <c r="H57" s="57" t="str">
        <f ca="1"/>
        <v/>
      </c>
      <c r="I57" s="57" t="str">
        <f ca="1"/>
        <v/>
      </c>
      <c r="J57" s="57" t="str">
        <f ca="1"/>
        <v/>
      </c>
      <c r="K57" s="57" t="str">
        <f ca="1"/>
        <v/>
      </c>
      <c r="L57" s="57" t="str">
        <f ca="1"/>
        <v/>
      </c>
      <c r="M57" s="57" t="str">
        <f ca="1"/>
        <v/>
      </c>
      <c r="N57" s="59" t="str">
        <f ca="1"/>
        <v/>
      </c>
      <c r="O57" s="60" t="str">
        <f ca="1">IF($D57="","",INDIRECT("'"&amp;$D57&amp;"'!"&amp;'גיליון עזר'!$F$1&amp;ROW('מרכז מורשת בבל'!$B$78)))</f>
        <v/>
      </c>
      <c r="P57" s="58" t="str">
        <f t="array" aca="1" ref="P57:Q57" ca="1">IF($D57="","",TRANSPOSE(INDIRECT("'"&amp;$D57&amp;"'!"&amp;'גיליון עזר'!$G$1&amp;ROW('מרכז מורשת בבל'!$D$16)):INDIRECT("'"&amp;$D57&amp;"'!"&amp;'גיליון עזר'!$G$1&amp;ROW('מרכז מורשת בבל'!$D$17))))</f>
        <v/>
      </c>
      <c r="Q57" s="61" t="str">
        <f ca="1"/>
        <v/>
      </c>
      <c r="R57" s="62" t="str">
        <f t="array" aca="1" ref="R57:V57" ca="1">IF($D57="","",TRANSPOSE(INDIRECT("'"&amp;$D57&amp;"'!"&amp;'גיליון עזר'!$N$1&amp;ROW('מרכז מורשת בבל'!$D$16)):INDIRECT("'"&amp;$D57&amp;"'!"&amp;'גיליון עזר'!$N$1&amp;ROW('מרכז מורשת בבל'!$D$20))))</f>
        <v/>
      </c>
      <c r="S57" s="58" t="str">
        <f ca="1"/>
        <v/>
      </c>
      <c r="T57" s="58" t="str">
        <f ca="1"/>
        <v/>
      </c>
      <c r="U57" s="58" t="str">
        <f ca="1"/>
        <v/>
      </c>
      <c r="V57" s="58" t="str">
        <f ca="1"/>
        <v/>
      </c>
      <c r="W57" s="60" t="str">
        <f ca="1">IF($D57="","",INDIRECT("'"&amp;$D57&amp;"'!"&amp;'גיליון עזר'!$N$1&amp;ROW('מרכז מורשת בבל'!$J$21)))</f>
        <v/>
      </c>
      <c r="X57" s="60" t="str">
        <f ca="1">IF($D57="","",INDIRECT("'"&amp;$D57&amp;"'!"&amp;'גיליון עזר'!$L$1&amp;ROW('מרכז מורשת בבל'!$J$78)))</f>
        <v/>
      </c>
      <c r="Y57" s="63" t="str">
        <f t="array" aca="1" ref="Y57:Z57" ca="1">IF($D57="","",TRANSPOSE(INDIRECT("'"&amp;$D57&amp;"'!"&amp;'גיליון עזר'!$J$1&amp;ROW('מרכז מורשת בבל'!$D$17)):INDIRECT("'"&amp;$D57&amp;"'!"&amp;'גיליון עזר'!$J$1&amp;ROW('מרכז מורשת בבל'!$D$18))))</f>
        <v/>
      </c>
      <c r="Z57" s="63" t="str">
        <f ca="1"/>
        <v/>
      </c>
      <c r="AA57" s="104" t="str">
        <f ca="1">IF($D57="","",IF(INDIRECT("'"&amp;$D57&amp;"'!"&amp;'גיליון עזר'!$J$1&amp;ROW('מרכז מורשת בבל'!$D$21))="","",INDIRECT("'"&amp;$D57&amp;"'!"&amp;'גיליון עזר'!$J$1&amp;ROW('מרכז מורשת בבל'!$D$21))))</f>
        <v/>
      </c>
      <c r="AC57" s="1" t="str">
        <f t="shared" ref="AC57:AN77" ca="1" si="50">IF($D57="","",AC$16)</f>
        <v/>
      </c>
      <c r="AD57" s="65" t="str">
        <f t="shared" ca="1" si="50"/>
        <v/>
      </c>
      <c r="AE57" s="65" t="str">
        <f t="shared" ca="1" si="50"/>
        <v/>
      </c>
      <c r="AF57" s="65" t="str">
        <f t="shared" ca="1" si="50"/>
        <v/>
      </c>
      <c r="AG57" s="1" t="str">
        <f t="shared" ca="1" si="50"/>
        <v/>
      </c>
      <c r="AH57" s="64" t="str">
        <f t="shared" ca="1" si="50"/>
        <v/>
      </c>
      <c r="AI57" s="1" t="str">
        <f t="shared" ca="1" si="50"/>
        <v/>
      </c>
      <c r="AJ57" s="1" t="str">
        <f t="shared" ca="1" si="50"/>
        <v/>
      </c>
      <c r="AK57" s="64" t="str">
        <f t="shared" ca="1" si="50"/>
        <v/>
      </c>
      <c r="AL57" s="1" t="str">
        <f t="shared" ca="1" si="50"/>
        <v/>
      </c>
      <c r="AM57" s="1" t="str">
        <f t="shared" ca="1" si="50"/>
        <v/>
      </c>
      <c r="AN57" s="1" t="str">
        <f t="shared" ca="1" si="50"/>
        <v/>
      </c>
      <c r="AO57" s="1" t="str">
        <f t="shared" ca="1" si="49"/>
        <v/>
      </c>
      <c r="AP57" s="3" t="str">
        <f t="shared" ca="1" si="27"/>
        <v/>
      </c>
      <c r="AQ57" s="3" t="str">
        <f t="shared" ca="1" si="28"/>
        <v/>
      </c>
      <c r="AR57" s="3" t="str">
        <f t="shared" ca="1" si="29"/>
        <v/>
      </c>
      <c r="AS57" s="3" t="str">
        <f t="shared" ca="1" si="30"/>
        <v/>
      </c>
      <c r="AT57" s="3" t="str">
        <f t="shared" ca="1" si="31"/>
        <v/>
      </c>
      <c r="AU57" s="3" t="str">
        <f t="shared" ca="1" si="32"/>
        <v/>
      </c>
      <c r="AV57" s="3" t="str">
        <f t="shared" ca="1" si="33"/>
        <v/>
      </c>
      <c r="AW57" s="3" t="str">
        <f t="shared" ca="1" si="34"/>
        <v/>
      </c>
      <c r="AX57" s="3" t="str">
        <f t="shared" ca="1" si="35"/>
        <v/>
      </c>
      <c r="AY57" s="3" t="str">
        <f t="shared" ca="1" si="36"/>
        <v/>
      </c>
      <c r="AZ57" s="31" t="str">
        <f t="shared" ca="1" si="37"/>
        <v/>
      </c>
      <c r="BA57" s="3" t="str">
        <f t="shared" ca="1" si="38"/>
        <v/>
      </c>
      <c r="BB57" s="3" t="str">
        <f t="shared" ca="1" si="39"/>
        <v/>
      </c>
      <c r="BC57" s="37" t="str">
        <f t="shared" ca="1" si="40"/>
        <v/>
      </c>
      <c r="BD57" s="3" t="str">
        <f t="shared" ca="1" si="41"/>
        <v/>
      </c>
      <c r="BE57" s="3" t="str">
        <f t="shared" ca="1" si="42"/>
        <v/>
      </c>
      <c r="BF57" s="3" t="str">
        <f t="shared" ca="1" si="43"/>
        <v/>
      </c>
      <c r="BG57" s="3" t="str">
        <f t="shared" ca="1" si="44"/>
        <v/>
      </c>
      <c r="BH57" s="3" t="str">
        <f t="shared" ca="1" si="45"/>
        <v/>
      </c>
      <c r="BI57" s="3" t="str">
        <f t="shared" ca="1" si="46"/>
        <v/>
      </c>
      <c r="BJ57" s="3" t="str">
        <f t="shared" ca="1" si="47"/>
        <v/>
      </c>
      <c r="BK57" s="3" t="str">
        <f t="shared" ca="1" si="48"/>
        <v/>
      </c>
      <c r="BL57" s="3" t="str">
        <f t="shared" ca="1" si="25"/>
        <v/>
      </c>
    </row>
    <row r="58" spans="1:64" x14ac:dyDescent="0.25">
      <c r="A58" t="str">
        <f ca="1">IF(AND(LEFT(B58,11)&lt;&gt;"גיליון הזנה",INDIRECT("'"&amp;$B58&amp;"'!"&amp;'גיליון עזר'!$I$1&amp;ROW('מרכז מורשת בבל'!$I$3))=""),"חסרה הזנה","")</f>
        <v/>
      </c>
      <c r="B58" s="200" t="str">
        <f ca="1">'גיליון הזנה 42'!$D$3</f>
        <v>גיליון הזנה 42</v>
      </c>
      <c r="C58" s="20">
        <v>42</v>
      </c>
      <c r="D58" s="40" t="str">
        <f ca="1">IF(OR(LEFT(B58,11)="גיליון הזנה",INDIRECT("'"&amp;$B58&amp;"'!"&amp;'גיליון עזר'!$I$1&amp;ROW('מרכז מורשת בבל'!$I$3))=0),"",B58)</f>
        <v/>
      </c>
      <c r="E58" s="57" t="str">
        <f t="array" aca="1" ref="E58:N58" ca="1">IF($D58="","",TRANSPOSE(INDIRECT("'"&amp;$D58&amp;"'!"&amp;'גיליון עזר'!$D$1&amp;ROW('מרכז מורשת בבל'!$D$16)):INDIRECT("'"&amp;$D58&amp;"'!"&amp;'גיליון עזר'!$D$1&amp;ROW('מרכז מורשת בבל'!$D$25))))</f>
        <v/>
      </c>
      <c r="F58" s="58" t="str">
        <f ca="1"/>
        <v/>
      </c>
      <c r="G58" s="58" t="str">
        <f ca="1"/>
        <v/>
      </c>
      <c r="H58" s="57" t="str">
        <f ca="1"/>
        <v/>
      </c>
      <c r="I58" s="57" t="str">
        <f ca="1"/>
        <v/>
      </c>
      <c r="J58" s="57" t="str">
        <f ca="1"/>
        <v/>
      </c>
      <c r="K58" s="57" t="str">
        <f ca="1"/>
        <v/>
      </c>
      <c r="L58" s="57" t="str">
        <f ca="1"/>
        <v/>
      </c>
      <c r="M58" s="57" t="str">
        <f ca="1"/>
        <v/>
      </c>
      <c r="N58" s="59" t="str">
        <f ca="1"/>
        <v/>
      </c>
      <c r="O58" s="60" t="str">
        <f ca="1">IF($D58="","",INDIRECT("'"&amp;$D58&amp;"'!"&amp;'גיליון עזר'!$F$1&amp;ROW('מרכז מורשת בבל'!$B$78)))</f>
        <v/>
      </c>
      <c r="P58" s="58" t="str">
        <f t="array" aca="1" ref="P58:Q58" ca="1">IF($D58="","",TRANSPOSE(INDIRECT("'"&amp;$D58&amp;"'!"&amp;'גיליון עזר'!$G$1&amp;ROW('מרכז מורשת בבל'!$D$16)):INDIRECT("'"&amp;$D58&amp;"'!"&amp;'גיליון עזר'!$G$1&amp;ROW('מרכז מורשת בבל'!$D$17))))</f>
        <v/>
      </c>
      <c r="Q58" s="61" t="str">
        <f ca="1"/>
        <v/>
      </c>
      <c r="R58" s="62" t="str">
        <f t="array" aca="1" ref="R58:V58" ca="1">IF($D58="","",TRANSPOSE(INDIRECT("'"&amp;$D58&amp;"'!"&amp;'גיליון עזר'!$N$1&amp;ROW('מרכז מורשת בבל'!$D$16)):INDIRECT("'"&amp;$D58&amp;"'!"&amp;'גיליון עזר'!$N$1&amp;ROW('מרכז מורשת בבל'!$D$20))))</f>
        <v/>
      </c>
      <c r="S58" s="58" t="str">
        <f ca="1"/>
        <v/>
      </c>
      <c r="T58" s="58" t="str">
        <f ca="1"/>
        <v/>
      </c>
      <c r="U58" s="58" t="str">
        <f ca="1"/>
        <v/>
      </c>
      <c r="V58" s="58" t="str">
        <f ca="1"/>
        <v/>
      </c>
      <c r="W58" s="60" t="str">
        <f ca="1">IF($D58="","",INDIRECT("'"&amp;$D58&amp;"'!"&amp;'גיליון עזר'!$N$1&amp;ROW('מרכז מורשת בבל'!$J$21)))</f>
        <v/>
      </c>
      <c r="X58" s="60" t="str">
        <f ca="1">IF($D58="","",INDIRECT("'"&amp;$D58&amp;"'!"&amp;'גיליון עזר'!$L$1&amp;ROW('מרכז מורשת בבל'!$J$78)))</f>
        <v/>
      </c>
      <c r="Y58" s="63" t="str">
        <f t="array" aca="1" ref="Y58:Z58" ca="1">IF($D58="","",TRANSPOSE(INDIRECT("'"&amp;$D58&amp;"'!"&amp;'גיליון עזר'!$J$1&amp;ROW('מרכז מורשת בבל'!$D$17)):INDIRECT("'"&amp;$D58&amp;"'!"&amp;'גיליון עזר'!$J$1&amp;ROW('מרכז מורשת בבל'!$D$18))))</f>
        <v/>
      </c>
      <c r="Z58" s="63" t="str">
        <f ca="1"/>
        <v/>
      </c>
      <c r="AA58" s="104" t="str">
        <f ca="1">IF($D58="","",IF(INDIRECT("'"&amp;$D58&amp;"'!"&amp;'גיליון עזר'!$J$1&amp;ROW('מרכז מורשת בבל'!$D$21))="","",INDIRECT("'"&amp;$D58&amp;"'!"&amp;'גיליון עזר'!$J$1&amp;ROW('מרכז מורשת בבל'!$D$21))))</f>
        <v/>
      </c>
      <c r="AC58" s="1" t="str">
        <f t="shared" ca="1" si="50"/>
        <v/>
      </c>
      <c r="AD58" s="65" t="str">
        <f t="shared" ca="1" si="50"/>
        <v/>
      </c>
      <c r="AE58" s="65" t="str">
        <f t="shared" ca="1" si="50"/>
        <v/>
      </c>
      <c r="AF58" s="65" t="str">
        <f t="shared" ca="1" si="50"/>
        <v/>
      </c>
      <c r="AG58" s="1" t="str">
        <f t="shared" ca="1" si="50"/>
        <v/>
      </c>
      <c r="AH58" s="64" t="str">
        <f t="shared" ca="1" si="50"/>
        <v/>
      </c>
      <c r="AI58" s="1" t="str">
        <f t="shared" ca="1" si="50"/>
        <v/>
      </c>
      <c r="AJ58" s="1" t="str">
        <f t="shared" ca="1" si="50"/>
        <v/>
      </c>
      <c r="AK58" s="64" t="str">
        <f t="shared" ca="1" si="50"/>
        <v/>
      </c>
      <c r="AL58" s="1" t="str">
        <f t="shared" ca="1" si="50"/>
        <v/>
      </c>
      <c r="AM58" s="1" t="str">
        <f t="shared" ca="1" si="50"/>
        <v/>
      </c>
      <c r="AN58" s="1" t="str">
        <f t="shared" ca="1" si="50"/>
        <v/>
      </c>
      <c r="AO58" s="1" t="str">
        <f t="shared" ca="1" si="49"/>
        <v/>
      </c>
      <c r="AP58" s="3" t="str">
        <f t="shared" ca="1" si="27"/>
        <v/>
      </c>
      <c r="AQ58" s="3" t="str">
        <f t="shared" ca="1" si="28"/>
        <v/>
      </c>
      <c r="AR58" s="3" t="str">
        <f t="shared" ca="1" si="29"/>
        <v/>
      </c>
      <c r="AS58" s="3" t="str">
        <f t="shared" ca="1" si="30"/>
        <v/>
      </c>
      <c r="AT58" s="3" t="str">
        <f t="shared" ca="1" si="31"/>
        <v/>
      </c>
      <c r="AU58" s="3" t="str">
        <f t="shared" ca="1" si="32"/>
        <v/>
      </c>
      <c r="AV58" s="3" t="str">
        <f t="shared" ca="1" si="33"/>
        <v/>
      </c>
      <c r="AW58" s="3" t="str">
        <f t="shared" ca="1" si="34"/>
        <v/>
      </c>
      <c r="AX58" s="3" t="str">
        <f t="shared" ca="1" si="35"/>
        <v/>
      </c>
      <c r="AY58" s="3" t="str">
        <f t="shared" ca="1" si="36"/>
        <v/>
      </c>
      <c r="AZ58" s="31" t="str">
        <f t="shared" ca="1" si="37"/>
        <v/>
      </c>
      <c r="BA58" s="3" t="str">
        <f t="shared" ca="1" si="38"/>
        <v/>
      </c>
      <c r="BB58" s="3" t="str">
        <f t="shared" ca="1" si="39"/>
        <v/>
      </c>
      <c r="BC58" s="37" t="str">
        <f t="shared" ca="1" si="40"/>
        <v/>
      </c>
      <c r="BD58" s="3" t="str">
        <f t="shared" ca="1" si="41"/>
        <v/>
      </c>
      <c r="BE58" s="3" t="str">
        <f t="shared" ca="1" si="42"/>
        <v/>
      </c>
      <c r="BF58" s="3" t="str">
        <f t="shared" ca="1" si="43"/>
        <v/>
      </c>
      <c r="BG58" s="3" t="str">
        <f t="shared" ca="1" si="44"/>
        <v/>
      </c>
      <c r="BH58" s="3" t="str">
        <f t="shared" ca="1" si="45"/>
        <v/>
      </c>
      <c r="BI58" s="3" t="str">
        <f t="shared" ca="1" si="46"/>
        <v/>
      </c>
      <c r="BJ58" s="3" t="str">
        <f t="shared" ca="1" si="47"/>
        <v/>
      </c>
      <c r="BK58" s="3" t="str">
        <f t="shared" ca="1" si="48"/>
        <v/>
      </c>
      <c r="BL58" s="3" t="str">
        <f t="shared" ca="1" si="25"/>
        <v/>
      </c>
    </row>
    <row r="59" spans="1:64" x14ac:dyDescent="0.25">
      <c r="A59" t="str">
        <f ca="1">IF(AND(LEFT(B59,11)&lt;&gt;"גיליון הזנה",INDIRECT("'"&amp;$B59&amp;"'!"&amp;'גיליון עזר'!$I$1&amp;ROW('מרכז מורשת בבל'!$I$3))=""),"חסרה הזנה","")</f>
        <v/>
      </c>
      <c r="B59" s="200" t="str">
        <f ca="1">'גיליון הזנה 44'!$D$3</f>
        <v>גיליון הזנה 44</v>
      </c>
      <c r="C59" s="20">
        <v>43</v>
      </c>
      <c r="D59" s="40" t="str">
        <f ca="1">IF(OR(LEFT(B59,11)="גיליון הזנה",INDIRECT("'"&amp;$B59&amp;"'!"&amp;'גיליון עזר'!$I$1&amp;ROW('מרכז מורשת בבל'!$I$3))=0),"",B59)</f>
        <v/>
      </c>
      <c r="E59" s="57" t="str">
        <f t="array" aca="1" ref="E59:N59" ca="1">IF($D59="","",TRANSPOSE(INDIRECT("'"&amp;$D59&amp;"'!"&amp;'גיליון עזר'!$D$1&amp;ROW('מרכז מורשת בבל'!$D$16)):INDIRECT("'"&amp;$D59&amp;"'!"&amp;'גיליון עזר'!$D$1&amp;ROW('מרכז מורשת בבל'!$D$25))))</f>
        <v/>
      </c>
      <c r="F59" s="58" t="str">
        <f ca="1"/>
        <v/>
      </c>
      <c r="G59" s="58" t="str">
        <f ca="1"/>
        <v/>
      </c>
      <c r="H59" s="57" t="str">
        <f ca="1"/>
        <v/>
      </c>
      <c r="I59" s="57" t="str">
        <f ca="1"/>
        <v/>
      </c>
      <c r="J59" s="57" t="str">
        <f ca="1"/>
        <v/>
      </c>
      <c r="K59" s="57" t="str">
        <f ca="1"/>
        <v/>
      </c>
      <c r="L59" s="57" t="str">
        <f ca="1"/>
        <v/>
      </c>
      <c r="M59" s="57" t="str">
        <f ca="1"/>
        <v/>
      </c>
      <c r="N59" s="59" t="str">
        <f ca="1"/>
        <v/>
      </c>
      <c r="O59" s="60" t="str">
        <f ca="1">IF($D59="","",INDIRECT("'"&amp;$D59&amp;"'!"&amp;'גיליון עזר'!$F$1&amp;ROW('מרכז מורשת בבל'!$B$78)))</f>
        <v/>
      </c>
      <c r="P59" s="58" t="str">
        <f t="array" aca="1" ref="P59:Q59" ca="1">IF($D59="","",TRANSPOSE(INDIRECT("'"&amp;$D59&amp;"'!"&amp;'גיליון עזר'!$G$1&amp;ROW('מרכז מורשת בבל'!$D$16)):INDIRECT("'"&amp;$D59&amp;"'!"&amp;'גיליון עזר'!$G$1&amp;ROW('מרכז מורשת בבל'!$D$17))))</f>
        <v/>
      </c>
      <c r="Q59" s="61" t="str">
        <f ca="1"/>
        <v/>
      </c>
      <c r="R59" s="62" t="str">
        <f t="array" aca="1" ref="R59:V59" ca="1">IF($D59="","",TRANSPOSE(INDIRECT("'"&amp;$D59&amp;"'!"&amp;'גיליון עזר'!$N$1&amp;ROW('מרכז מורשת בבל'!$D$16)):INDIRECT("'"&amp;$D59&amp;"'!"&amp;'גיליון עזר'!$N$1&amp;ROW('מרכז מורשת בבל'!$D$20))))</f>
        <v/>
      </c>
      <c r="S59" s="58" t="str">
        <f ca="1"/>
        <v/>
      </c>
      <c r="T59" s="58" t="str">
        <f ca="1"/>
        <v/>
      </c>
      <c r="U59" s="58" t="str">
        <f ca="1"/>
        <v/>
      </c>
      <c r="V59" s="58" t="str">
        <f ca="1"/>
        <v/>
      </c>
      <c r="W59" s="60" t="str">
        <f ca="1">IF($D59="","",INDIRECT("'"&amp;$D59&amp;"'!"&amp;'גיליון עזר'!$N$1&amp;ROW('מרכז מורשת בבל'!$J$21)))</f>
        <v/>
      </c>
      <c r="X59" s="60" t="str">
        <f ca="1">IF($D59="","",INDIRECT("'"&amp;$D59&amp;"'!"&amp;'גיליון עזר'!$L$1&amp;ROW('מרכז מורשת בבל'!$J$78)))</f>
        <v/>
      </c>
      <c r="Y59" s="63" t="str">
        <f t="array" aca="1" ref="Y59:Z59" ca="1">IF($D59="","",TRANSPOSE(INDIRECT("'"&amp;$D59&amp;"'!"&amp;'גיליון עזר'!$J$1&amp;ROW('מרכז מורשת בבל'!$D$17)):INDIRECT("'"&amp;$D59&amp;"'!"&amp;'גיליון עזר'!$J$1&amp;ROW('מרכז מורשת בבל'!$D$18))))</f>
        <v/>
      </c>
      <c r="Z59" s="63" t="str">
        <f ca="1"/>
        <v/>
      </c>
      <c r="AA59" s="104" t="str">
        <f ca="1">IF($D59="","",IF(INDIRECT("'"&amp;$D59&amp;"'!"&amp;'גיליון עזר'!$J$1&amp;ROW('מרכז מורשת בבל'!$D$21))="","",INDIRECT("'"&amp;$D59&amp;"'!"&amp;'גיליון עזר'!$J$1&amp;ROW('מרכז מורשת בבל'!$D$21))))</f>
        <v/>
      </c>
      <c r="AC59" s="1" t="str">
        <f t="shared" ca="1" si="50"/>
        <v/>
      </c>
      <c r="AD59" s="65" t="str">
        <f t="shared" ca="1" si="50"/>
        <v/>
      </c>
      <c r="AE59" s="65" t="str">
        <f t="shared" ca="1" si="50"/>
        <v/>
      </c>
      <c r="AF59" s="65" t="str">
        <f t="shared" ca="1" si="50"/>
        <v/>
      </c>
      <c r="AG59" s="1" t="str">
        <f t="shared" ca="1" si="50"/>
        <v/>
      </c>
      <c r="AH59" s="64" t="str">
        <f t="shared" ca="1" si="50"/>
        <v/>
      </c>
      <c r="AI59" s="1" t="str">
        <f t="shared" ca="1" si="50"/>
        <v/>
      </c>
      <c r="AJ59" s="1" t="str">
        <f t="shared" ca="1" si="50"/>
        <v/>
      </c>
      <c r="AK59" s="64" t="str">
        <f t="shared" ca="1" si="50"/>
        <v/>
      </c>
      <c r="AL59" s="1" t="str">
        <f t="shared" ca="1" si="50"/>
        <v/>
      </c>
      <c r="AM59" s="1" t="str">
        <f t="shared" ca="1" si="50"/>
        <v/>
      </c>
      <c r="AN59" s="1" t="str">
        <f t="shared" ca="1" si="50"/>
        <v/>
      </c>
      <c r="AO59" s="1" t="str">
        <f t="shared" ca="1" si="49"/>
        <v/>
      </c>
      <c r="AP59" s="3" t="str">
        <f t="shared" ca="1" si="27"/>
        <v/>
      </c>
      <c r="AQ59" s="3" t="str">
        <f t="shared" ca="1" si="28"/>
        <v/>
      </c>
      <c r="AR59" s="3" t="str">
        <f t="shared" ca="1" si="29"/>
        <v/>
      </c>
      <c r="AS59" s="3" t="str">
        <f t="shared" ca="1" si="30"/>
        <v/>
      </c>
      <c r="AT59" s="3" t="str">
        <f t="shared" ca="1" si="31"/>
        <v/>
      </c>
      <c r="AU59" s="3" t="str">
        <f t="shared" ca="1" si="32"/>
        <v/>
      </c>
      <c r="AV59" s="3" t="str">
        <f t="shared" ca="1" si="33"/>
        <v/>
      </c>
      <c r="AW59" s="3" t="str">
        <f t="shared" ca="1" si="34"/>
        <v/>
      </c>
      <c r="AX59" s="3" t="str">
        <f t="shared" ca="1" si="35"/>
        <v/>
      </c>
      <c r="AY59" s="3" t="str">
        <f t="shared" ca="1" si="36"/>
        <v/>
      </c>
      <c r="AZ59" s="31" t="str">
        <f t="shared" ca="1" si="37"/>
        <v/>
      </c>
      <c r="BA59" s="3" t="str">
        <f t="shared" ca="1" si="38"/>
        <v/>
      </c>
      <c r="BB59" s="3" t="str">
        <f t="shared" ca="1" si="39"/>
        <v/>
      </c>
      <c r="BC59" s="37" t="str">
        <f t="shared" ca="1" si="40"/>
        <v/>
      </c>
      <c r="BD59" s="3" t="str">
        <f t="shared" ca="1" si="41"/>
        <v/>
      </c>
      <c r="BE59" s="3" t="str">
        <f t="shared" ca="1" si="42"/>
        <v/>
      </c>
      <c r="BF59" s="3" t="str">
        <f t="shared" ca="1" si="43"/>
        <v/>
      </c>
      <c r="BG59" s="3" t="str">
        <f t="shared" ca="1" si="44"/>
        <v/>
      </c>
      <c r="BH59" s="3" t="str">
        <f t="shared" ca="1" si="45"/>
        <v/>
      </c>
      <c r="BI59" s="3" t="str">
        <f t="shared" ca="1" si="46"/>
        <v/>
      </c>
      <c r="BJ59" s="3" t="str">
        <f t="shared" ca="1" si="47"/>
        <v/>
      </c>
      <c r="BK59" s="3" t="str">
        <f t="shared" ca="1" si="48"/>
        <v/>
      </c>
      <c r="BL59" s="3" t="str">
        <f t="shared" ca="1" si="25"/>
        <v/>
      </c>
    </row>
    <row r="60" spans="1:64" x14ac:dyDescent="0.25">
      <c r="A60" t="str">
        <f ca="1">IF(AND(LEFT(B60,11)&lt;&gt;"גיליון הזנה",INDIRECT("'"&amp;$B60&amp;"'!"&amp;'גיליון עזר'!$I$1&amp;ROW('מרכז מורשת בבל'!$I$3))=""),"חסרה הזנה","")</f>
        <v/>
      </c>
      <c r="B60" s="200" t="str">
        <f ca="1">'גיליון הזנה 55'!$D$3</f>
        <v>גיליון הזנה 55</v>
      </c>
      <c r="C60" s="20">
        <v>44</v>
      </c>
      <c r="D60" s="40" t="str">
        <f ca="1">IF(OR(LEFT(B60,11)="גיליון הזנה",INDIRECT("'"&amp;$B60&amp;"'!"&amp;'גיליון עזר'!$I$1&amp;ROW('מרכז מורשת בבל'!$I$3))=0),"",B60)</f>
        <v/>
      </c>
      <c r="E60" s="57" t="str">
        <f t="array" aca="1" ref="E60:N60" ca="1">IF($D60="","",TRANSPOSE(INDIRECT("'"&amp;$D60&amp;"'!"&amp;'גיליון עזר'!$D$1&amp;ROW('מרכז מורשת בבל'!$D$16)):INDIRECT("'"&amp;$D60&amp;"'!"&amp;'גיליון עזר'!$D$1&amp;ROW('מרכז מורשת בבל'!$D$25))))</f>
        <v/>
      </c>
      <c r="F60" s="58" t="str">
        <f ca="1"/>
        <v/>
      </c>
      <c r="G60" s="58" t="str">
        <f ca="1"/>
        <v/>
      </c>
      <c r="H60" s="57" t="str">
        <f ca="1"/>
        <v/>
      </c>
      <c r="I60" s="57" t="str">
        <f ca="1"/>
        <v/>
      </c>
      <c r="J60" s="57" t="str">
        <f ca="1"/>
        <v/>
      </c>
      <c r="K60" s="57" t="str">
        <f ca="1"/>
        <v/>
      </c>
      <c r="L60" s="57" t="str">
        <f ca="1"/>
        <v/>
      </c>
      <c r="M60" s="57" t="str">
        <f ca="1"/>
        <v/>
      </c>
      <c r="N60" s="59" t="str">
        <f ca="1"/>
        <v/>
      </c>
      <c r="O60" s="60" t="str">
        <f ca="1">IF($D60="","",INDIRECT("'"&amp;$D60&amp;"'!"&amp;'גיליון עזר'!$F$1&amp;ROW('מרכז מורשת בבל'!$B$78)))</f>
        <v/>
      </c>
      <c r="P60" s="58" t="str">
        <f t="array" aca="1" ref="P60:Q60" ca="1">IF($D60="","",TRANSPOSE(INDIRECT("'"&amp;$D60&amp;"'!"&amp;'גיליון עזר'!$G$1&amp;ROW('מרכז מורשת בבל'!$D$16)):INDIRECT("'"&amp;$D60&amp;"'!"&amp;'גיליון עזר'!$G$1&amp;ROW('מרכז מורשת בבל'!$D$17))))</f>
        <v/>
      </c>
      <c r="Q60" s="61" t="str">
        <f ca="1"/>
        <v/>
      </c>
      <c r="R60" s="62" t="str">
        <f t="array" aca="1" ref="R60:V60" ca="1">IF($D60="","",TRANSPOSE(INDIRECT("'"&amp;$D60&amp;"'!"&amp;'גיליון עזר'!$N$1&amp;ROW('מרכז מורשת בבל'!$D$16)):INDIRECT("'"&amp;$D60&amp;"'!"&amp;'גיליון עזר'!$N$1&amp;ROW('מרכז מורשת בבל'!$D$20))))</f>
        <v/>
      </c>
      <c r="S60" s="58" t="str">
        <f ca="1"/>
        <v/>
      </c>
      <c r="T60" s="58" t="str">
        <f ca="1"/>
        <v/>
      </c>
      <c r="U60" s="58" t="str">
        <f ca="1"/>
        <v/>
      </c>
      <c r="V60" s="58" t="str">
        <f ca="1"/>
        <v/>
      </c>
      <c r="W60" s="60" t="str">
        <f ca="1">IF($D60="","",INDIRECT("'"&amp;$D60&amp;"'!"&amp;'גיליון עזר'!$N$1&amp;ROW('מרכז מורשת בבל'!$J$21)))</f>
        <v/>
      </c>
      <c r="X60" s="60" t="str">
        <f ca="1">IF($D60="","",INDIRECT("'"&amp;$D60&amp;"'!"&amp;'גיליון עזר'!$L$1&amp;ROW('מרכז מורשת בבל'!$J$78)))</f>
        <v/>
      </c>
      <c r="Y60" s="63" t="str">
        <f t="array" aca="1" ref="Y60:Z60" ca="1">IF($D60="","",TRANSPOSE(INDIRECT("'"&amp;$D60&amp;"'!"&amp;'גיליון עזר'!$J$1&amp;ROW('מרכז מורשת בבל'!$D$17)):INDIRECT("'"&amp;$D60&amp;"'!"&amp;'גיליון עזר'!$J$1&amp;ROW('מרכז מורשת בבל'!$D$18))))</f>
        <v/>
      </c>
      <c r="Z60" s="63" t="str">
        <f ca="1"/>
        <v/>
      </c>
      <c r="AA60" s="104" t="str">
        <f ca="1">IF($D60="","",IF(INDIRECT("'"&amp;$D60&amp;"'!"&amp;'גיליון עזר'!$J$1&amp;ROW('מרכז מורשת בבל'!$D$21))="","",INDIRECT("'"&amp;$D60&amp;"'!"&amp;'גיליון עזר'!$J$1&amp;ROW('מרכז מורשת בבל'!$D$21))))</f>
        <v/>
      </c>
      <c r="AC60" s="1" t="str">
        <f t="shared" ca="1" si="50"/>
        <v/>
      </c>
      <c r="AD60" s="65" t="str">
        <f t="shared" ca="1" si="50"/>
        <v/>
      </c>
      <c r="AE60" s="65" t="str">
        <f t="shared" ca="1" si="50"/>
        <v/>
      </c>
      <c r="AF60" s="65" t="str">
        <f t="shared" ca="1" si="50"/>
        <v/>
      </c>
      <c r="AG60" s="1" t="str">
        <f t="shared" ca="1" si="50"/>
        <v/>
      </c>
      <c r="AH60" s="64" t="str">
        <f t="shared" ca="1" si="50"/>
        <v/>
      </c>
      <c r="AI60" s="1" t="str">
        <f t="shared" ca="1" si="50"/>
        <v/>
      </c>
      <c r="AJ60" s="1" t="str">
        <f t="shared" ca="1" si="50"/>
        <v/>
      </c>
      <c r="AK60" s="64" t="str">
        <f t="shared" ca="1" si="50"/>
        <v/>
      </c>
      <c r="AL60" s="1" t="str">
        <f t="shared" ca="1" si="50"/>
        <v/>
      </c>
      <c r="AM60" s="1" t="str">
        <f t="shared" ca="1" si="50"/>
        <v/>
      </c>
      <c r="AN60" s="1" t="str">
        <f t="shared" ca="1" si="50"/>
        <v/>
      </c>
      <c r="AO60" s="1" t="str">
        <f t="shared" ca="1" si="49"/>
        <v/>
      </c>
      <c r="AP60" s="3" t="str">
        <f t="shared" ca="1" si="27"/>
        <v/>
      </c>
      <c r="AQ60" s="3" t="str">
        <f t="shared" ca="1" si="28"/>
        <v/>
      </c>
      <c r="AR60" s="3" t="str">
        <f t="shared" ca="1" si="29"/>
        <v/>
      </c>
      <c r="AS60" s="3" t="str">
        <f t="shared" ca="1" si="30"/>
        <v/>
      </c>
      <c r="AT60" s="3" t="str">
        <f t="shared" ca="1" si="31"/>
        <v/>
      </c>
      <c r="AU60" s="3" t="str">
        <f t="shared" ca="1" si="32"/>
        <v/>
      </c>
      <c r="AV60" s="3" t="str">
        <f t="shared" ca="1" si="33"/>
        <v/>
      </c>
      <c r="AW60" s="3" t="str">
        <f t="shared" ca="1" si="34"/>
        <v/>
      </c>
      <c r="AX60" s="3" t="str">
        <f t="shared" ca="1" si="35"/>
        <v/>
      </c>
      <c r="AY60" s="3" t="str">
        <f t="shared" ca="1" si="36"/>
        <v/>
      </c>
      <c r="AZ60" s="31" t="str">
        <f t="shared" ca="1" si="37"/>
        <v/>
      </c>
      <c r="BA60" s="3" t="str">
        <f t="shared" ca="1" si="38"/>
        <v/>
      </c>
      <c r="BB60" s="3" t="str">
        <f t="shared" ca="1" si="39"/>
        <v/>
      </c>
      <c r="BC60" s="37" t="str">
        <f t="shared" ca="1" si="40"/>
        <v/>
      </c>
      <c r="BD60" s="3" t="str">
        <f t="shared" ca="1" si="41"/>
        <v/>
      </c>
      <c r="BE60" s="3" t="str">
        <f t="shared" ca="1" si="42"/>
        <v/>
      </c>
      <c r="BF60" s="3" t="str">
        <f t="shared" ca="1" si="43"/>
        <v/>
      </c>
      <c r="BG60" s="3" t="str">
        <f t="shared" ca="1" si="44"/>
        <v/>
      </c>
      <c r="BH60" s="3" t="str">
        <f t="shared" ca="1" si="45"/>
        <v/>
      </c>
      <c r="BI60" s="3" t="str">
        <f t="shared" ca="1" si="46"/>
        <v/>
      </c>
      <c r="BJ60" s="3" t="str">
        <f t="shared" ca="1" si="47"/>
        <v/>
      </c>
      <c r="BK60" s="3" t="str">
        <f t="shared" ca="1" si="48"/>
        <v/>
      </c>
      <c r="BL60" s="3" t="str">
        <f t="shared" ca="1" si="25"/>
        <v/>
      </c>
    </row>
    <row r="61" spans="1:64" x14ac:dyDescent="0.25">
      <c r="A61" t="str">
        <f ca="1">IF(AND(LEFT(B61,11)&lt;&gt;"גיליון הזנה",INDIRECT("'"&amp;$B61&amp;"'!"&amp;'גיליון עזר'!$I$1&amp;ROW('מרכז מורשת בבל'!$I$3))=""),"חסרה הזנה","")</f>
        <v/>
      </c>
      <c r="B61" s="200" t="str">
        <f ca="1">'גיליון הזנה 45'!$D$3</f>
        <v>גיליון הזנה 45</v>
      </c>
      <c r="C61" s="20">
        <v>45</v>
      </c>
      <c r="D61" s="40" t="str">
        <f ca="1">IF(OR(LEFT(B61,11)="גיליון הזנה",INDIRECT("'"&amp;$B61&amp;"'!"&amp;'גיליון עזר'!$I$1&amp;ROW('מרכז מורשת בבל'!$I$3))=0),"",B61)</f>
        <v/>
      </c>
      <c r="E61" s="57" t="str">
        <f t="array" ref="E61:N61" ca="1">IF($D61="","",TRANSPOSE(INDIRECT("'"&amp;$D61&amp;"'!"&amp;'גיליון עזר'!$D$1&amp;ROW('מרכז מורשת בבל'!$D$16)):INDIRECT("'"&amp;$D61&amp;"'!"&amp;'גיליון עזר'!$D$1&amp;ROW('מרכז מורשת בבל'!$D$25))))</f>
        <v/>
      </c>
      <c r="F61" s="58" t="str">
        <f ca="1"/>
        <v/>
      </c>
      <c r="G61" s="58" t="str">
        <f ca="1"/>
        <v/>
      </c>
      <c r="H61" s="57" t="str">
        <f ca="1"/>
        <v/>
      </c>
      <c r="I61" s="57" t="str">
        <f ca="1"/>
        <v/>
      </c>
      <c r="J61" s="57" t="str">
        <f ca="1"/>
        <v/>
      </c>
      <c r="K61" s="57" t="str">
        <f ca="1"/>
        <v/>
      </c>
      <c r="L61" s="57" t="str">
        <f ca="1"/>
        <v/>
      </c>
      <c r="M61" s="57" t="str">
        <f ca="1"/>
        <v/>
      </c>
      <c r="N61" s="59" t="str">
        <f ca="1"/>
        <v/>
      </c>
      <c r="O61" s="60" t="str">
        <f ca="1">IF($D61="","",INDIRECT("'"&amp;$D61&amp;"'!"&amp;'גיליון עזר'!$F$1&amp;ROW('מרכז מורשת בבל'!$B$78)))</f>
        <v/>
      </c>
      <c r="P61" s="58" t="str">
        <f t="array" ref="P61:Q61" ca="1">IF($D61="","",TRANSPOSE(INDIRECT("'"&amp;$D61&amp;"'!"&amp;'גיליון עזר'!$G$1&amp;ROW('מרכז מורשת בבל'!$D$16)):INDIRECT("'"&amp;$D61&amp;"'!"&amp;'גיליון עזר'!$G$1&amp;ROW('מרכז מורשת בבל'!$D$17))))</f>
        <v/>
      </c>
      <c r="Q61" s="61" t="str">
        <f ca="1"/>
        <v/>
      </c>
      <c r="R61" s="62" t="str">
        <f t="array" ref="R61:V61" ca="1">IF($D61="","",TRANSPOSE(INDIRECT("'"&amp;$D61&amp;"'!"&amp;'גיליון עזר'!$N$1&amp;ROW('מרכז מורשת בבל'!$D$16)):INDIRECT("'"&amp;$D61&amp;"'!"&amp;'גיליון עזר'!$N$1&amp;ROW('מרכז מורשת בבל'!$D$20))))</f>
        <v/>
      </c>
      <c r="S61" s="58" t="str">
        <f ca="1"/>
        <v/>
      </c>
      <c r="T61" s="58" t="str">
        <f ca="1"/>
        <v/>
      </c>
      <c r="U61" s="58" t="str">
        <f ca="1"/>
        <v/>
      </c>
      <c r="V61" s="58" t="str">
        <f ca="1"/>
        <v/>
      </c>
      <c r="W61" s="60" t="str">
        <f ca="1">IF($D61="","",INDIRECT("'"&amp;$D61&amp;"'!"&amp;'גיליון עזר'!$N$1&amp;ROW('מרכז מורשת בבל'!$J$21)))</f>
        <v/>
      </c>
      <c r="X61" s="60" t="str">
        <f ca="1">IF($D61="","",INDIRECT("'"&amp;$D61&amp;"'!"&amp;'גיליון עזר'!$L$1&amp;ROW('מרכז מורשת בבל'!$J$78)))</f>
        <v/>
      </c>
      <c r="Y61" s="63" t="str">
        <f t="array" ref="Y61:Z61" ca="1">IF($D61="","",TRANSPOSE(INDIRECT("'"&amp;$D61&amp;"'!"&amp;'גיליון עזר'!$J$1&amp;ROW('מרכז מורשת בבל'!$D$17)):INDIRECT("'"&amp;$D61&amp;"'!"&amp;'גיליון עזר'!$J$1&amp;ROW('מרכז מורשת בבל'!$D$18))))</f>
        <v/>
      </c>
      <c r="Z61" s="63" t="str">
        <f ca="1"/>
        <v/>
      </c>
      <c r="AA61" s="104" t="str">
        <f ca="1">IF($D61="","",IF(INDIRECT("'"&amp;$D61&amp;"'!"&amp;'גיליון עזר'!$J$1&amp;ROW('מרכז מורשת בבל'!$D$21))="","",INDIRECT("'"&amp;$D61&amp;"'!"&amp;'גיליון עזר'!$J$1&amp;ROW('מרכז מורשת בבל'!$D$21))))</f>
        <v/>
      </c>
      <c r="AC61" s="1" t="str">
        <f t="shared" ca="1" si="50"/>
        <v/>
      </c>
      <c r="AD61" s="65" t="str">
        <f t="shared" ca="1" si="50"/>
        <v/>
      </c>
      <c r="AE61" s="65" t="str">
        <f t="shared" ca="1" si="50"/>
        <v/>
      </c>
      <c r="AF61" s="65" t="str">
        <f t="shared" ca="1" si="50"/>
        <v/>
      </c>
      <c r="AG61" s="1" t="str">
        <f t="shared" ca="1" si="50"/>
        <v/>
      </c>
      <c r="AH61" s="64" t="str">
        <f t="shared" ca="1" si="50"/>
        <v/>
      </c>
      <c r="AI61" s="1" t="str">
        <f t="shared" ca="1" si="50"/>
        <v/>
      </c>
      <c r="AJ61" s="1" t="str">
        <f t="shared" ca="1" si="50"/>
        <v/>
      </c>
      <c r="AK61" s="64" t="str">
        <f t="shared" ca="1" si="50"/>
        <v/>
      </c>
      <c r="AL61" s="1" t="str">
        <f t="shared" ca="1" si="50"/>
        <v/>
      </c>
      <c r="AM61" s="1" t="str">
        <f t="shared" ca="1" si="50"/>
        <v/>
      </c>
      <c r="AN61" s="1" t="str">
        <f t="shared" ca="1" si="50"/>
        <v/>
      </c>
      <c r="AO61" s="1" t="str">
        <f t="shared" ca="1" si="49"/>
        <v/>
      </c>
      <c r="AP61" s="3" t="str">
        <f t="shared" ca="1" si="27"/>
        <v/>
      </c>
      <c r="AQ61" s="3" t="str">
        <f t="shared" ca="1" si="28"/>
        <v/>
      </c>
      <c r="AR61" s="3" t="str">
        <f t="shared" ca="1" si="29"/>
        <v/>
      </c>
      <c r="AS61" s="3" t="str">
        <f t="shared" ca="1" si="30"/>
        <v/>
      </c>
      <c r="AT61" s="3" t="str">
        <f t="shared" ca="1" si="31"/>
        <v/>
      </c>
      <c r="AU61" s="3" t="str">
        <f t="shared" ca="1" si="32"/>
        <v/>
      </c>
      <c r="AV61" s="3" t="str">
        <f t="shared" ca="1" si="33"/>
        <v/>
      </c>
      <c r="AW61" s="3" t="str">
        <f t="shared" ca="1" si="34"/>
        <v/>
      </c>
      <c r="AX61" s="3" t="str">
        <f t="shared" ca="1" si="35"/>
        <v/>
      </c>
      <c r="AY61" s="3" t="str">
        <f t="shared" ca="1" si="36"/>
        <v/>
      </c>
      <c r="AZ61" s="31" t="str">
        <f t="shared" ca="1" si="37"/>
        <v/>
      </c>
      <c r="BA61" s="3" t="str">
        <f t="shared" ca="1" si="38"/>
        <v/>
      </c>
      <c r="BB61" s="3" t="str">
        <f t="shared" ca="1" si="39"/>
        <v/>
      </c>
      <c r="BC61" s="37" t="str">
        <f t="shared" ca="1" si="40"/>
        <v/>
      </c>
      <c r="BD61" s="3" t="str">
        <f t="shared" ca="1" si="41"/>
        <v/>
      </c>
      <c r="BE61" s="3" t="str">
        <f t="shared" ca="1" si="42"/>
        <v/>
      </c>
      <c r="BF61" s="3" t="str">
        <f t="shared" ca="1" si="43"/>
        <v/>
      </c>
      <c r="BG61" s="3" t="str">
        <f t="shared" ca="1" si="44"/>
        <v/>
      </c>
      <c r="BH61" s="3" t="str">
        <f t="shared" ca="1" si="45"/>
        <v/>
      </c>
      <c r="BI61" s="3" t="str">
        <f t="shared" ca="1" si="46"/>
        <v/>
      </c>
      <c r="BJ61" s="3" t="str">
        <f t="shared" ca="1" si="47"/>
        <v/>
      </c>
      <c r="BK61" s="3" t="str">
        <f t="shared" ca="1" si="48"/>
        <v/>
      </c>
      <c r="BL61" s="3" t="str">
        <f t="shared" ca="1" si="25"/>
        <v/>
      </c>
    </row>
    <row r="62" spans="1:64" x14ac:dyDescent="0.25">
      <c r="A62" t="str">
        <f ca="1">IF(AND(LEFT(B62,11)&lt;&gt;"גיליון הזנה",INDIRECT("'"&amp;$B62&amp;"'!"&amp;'גיליון עזר'!$I$1&amp;ROW('מרכז מורשת בבל'!$I$3))=""),"חסרה הזנה","")</f>
        <v/>
      </c>
      <c r="B62" s="200" t="str">
        <f ca="1">'ענבל מרכז אתני'!$D$3</f>
        <v>ענבל מרכז אתני</v>
      </c>
      <c r="C62" s="20">
        <v>46</v>
      </c>
      <c r="D62" s="40" t="str">
        <f ca="1">IF(OR(LEFT(B62,11)="גיליון הזנה",INDIRECT("'"&amp;$B62&amp;"'!"&amp;'גיליון עזר'!$I$1&amp;ROW('מרכז מורשת בבל'!$I$3))=0),"",B62)</f>
        <v>ענבל מרכז אתני</v>
      </c>
      <c r="E62" s="57">
        <f t="array" ref="E62:N62" ca="1">IF($D62="","",TRANSPOSE(INDIRECT("'"&amp;$D62&amp;"'!"&amp;'גיליון עזר'!$D$1&amp;ROW('מרכז מורשת בבל'!$D$16)):INDIRECT("'"&amp;$D62&amp;"'!"&amp;'גיליון עזר'!$D$1&amp;ROW('מרכז מורשת בבל'!$D$25))))</f>
        <v>0</v>
      </c>
      <c r="F62" s="58">
        <f ca="1"/>
        <v>0</v>
      </c>
      <c r="G62" s="58">
        <f ca="1"/>
        <v>0</v>
      </c>
      <c r="H62" s="57">
        <f ca="1"/>
        <v>3</v>
      </c>
      <c r="I62" s="57">
        <f ca="1"/>
        <v>2</v>
      </c>
      <c r="J62" s="57">
        <f ca="1"/>
        <v>30</v>
      </c>
      <c r="K62" s="57">
        <f ca="1"/>
        <v>7</v>
      </c>
      <c r="L62" s="57">
        <f ca="1"/>
        <v>29</v>
      </c>
      <c r="M62" s="57">
        <f ca="1"/>
        <v>7</v>
      </c>
      <c r="N62" s="59">
        <f ca="1"/>
        <v>0</v>
      </c>
      <c r="O62" s="60">
        <f ca="1">IF($D62="","",INDIRECT("'"&amp;$D62&amp;"'!"&amp;'גיליון עזר'!$F$1&amp;ROW('מרכז מורשת בבל'!$B$78)))</f>
        <v>130</v>
      </c>
      <c r="P62" s="58">
        <f t="array" ref="P62:Q62" ca="1">IF($D62="","",TRANSPOSE(INDIRECT("'"&amp;$D62&amp;"'!"&amp;'גיליון עזר'!$G$1&amp;ROW('מרכז מורשת בבל'!$D$16)):INDIRECT("'"&amp;$D62&amp;"'!"&amp;'גיליון עזר'!$G$1&amp;ROW('מרכז מורשת בבל'!$D$17))))</f>
        <v>32</v>
      </c>
      <c r="Q62" s="61">
        <f ca="1"/>
        <v>0</v>
      </c>
      <c r="R62" s="62">
        <f t="array" ref="R62:V62" ca="1">IF($D62="","",TRANSPOSE(INDIRECT("'"&amp;$D62&amp;"'!"&amp;'גיליון עזר'!$N$1&amp;ROW('מרכז מורשת בבל'!$D$16)):INDIRECT("'"&amp;$D62&amp;"'!"&amp;'גיליון עזר'!$N$1&amp;ROW('מרכז מורשת בבל'!$D$20))))</f>
        <v>0</v>
      </c>
      <c r="S62" s="58">
        <f ca="1"/>
        <v>0</v>
      </c>
      <c r="T62" s="58">
        <f ca="1"/>
        <v>0</v>
      </c>
      <c r="U62" s="58">
        <f ca="1"/>
        <v>0</v>
      </c>
      <c r="V62" s="58">
        <f ca="1"/>
        <v>0</v>
      </c>
      <c r="W62" s="60">
        <f ca="1">IF($D62="","",INDIRECT("'"&amp;$D62&amp;"'!"&amp;'גיליון עזר'!$N$1&amp;ROW('מרכז מורשת בבל'!$J$21)))</f>
        <v>0</v>
      </c>
      <c r="X62" s="60">
        <f ca="1">IF($D62="","",INDIRECT("'"&amp;$D62&amp;"'!"&amp;'גיליון עזר'!$L$1&amp;ROW('מרכז מורשת בבל'!$J$78)))</f>
        <v>0</v>
      </c>
      <c r="Y62" s="63">
        <f t="array" ref="Y62:Z62" ca="1">IF($D62="","",TRANSPOSE(INDIRECT("'"&amp;$D62&amp;"'!"&amp;'גיליון עזר'!$J$1&amp;ROW('מרכז מורשת בבל'!$D$17)):INDIRECT("'"&amp;$D62&amp;"'!"&amp;'גיליון עזר'!$J$1&amp;ROW('מרכז מורשת בבל'!$D$18))))</f>
        <v>898664</v>
      </c>
      <c r="Z62" s="63">
        <f ca="1"/>
        <v>2003570</v>
      </c>
      <c r="AA62" s="104" t="str">
        <f ca="1">IF($D62="","",IF(INDIRECT("'"&amp;$D62&amp;"'!"&amp;'גיליון עזר'!$J$1&amp;ROW('מרכז מורשת בבל'!$D$21))="","",INDIRECT("'"&amp;$D62&amp;"'!"&amp;'גיליון עזר'!$J$1&amp;ROW('מרכז מורשת בבל'!$D$21))))</f>
        <v/>
      </c>
      <c r="AC62" s="1" t="str">
        <f t="shared" ca="1" si="50"/>
        <v>כינוס</v>
      </c>
      <c r="AD62" s="65" t="str">
        <f t="shared" ca="1" si="50"/>
        <v>הרצאה</v>
      </c>
      <c r="AE62" s="65" t="str">
        <f t="shared" ca="1" si="50"/>
        <v>יום עיון</v>
      </c>
      <c r="AF62" s="65" t="str">
        <f t="shared" ca="1" si="50"/>
        <v>הפקה מורכבת</v>
      </c>
      <c r="AG62" s="1" t="str">
        <f t="shared" ca="1" si="50"/>
        <v>כן</v>
      </c>
      <c r="AH62" s="64" t="str">
        <f t="shared" ca="1" si="50"/>
        <v>לא</v>
      </c>
      <c r="AI62" s="1" t="str">
        <f t="shared" ca="1" si="50"/>
        <v>נאותה</v>
      </c>
      <c r="AJ62" s="1" t="str">
        <f t="shared" ca="1" si="50"/>
        <v>טובה</v>
      </c>
      <c r="AK62" s="64" t="str">
        <f t="shared" ca="1" si="50"/>
        <v>טובה מאוד</v>
      </c>
      <c r="AL62" s="1" t="str">
        <f t="shared" ca="1" si="50"/>
        <v>אחד בשנה</v>
      </c>
      <c r="AM62" s="1" t="str">
        <f t="shared" ca="1" si="50"/>
        <v>שניים בשנה</v>
      </c>
      <c r="AN62" s="1" t="str">
        <f t="shared" ca="1" si="50"/>
        <v>שלוש בשנה</v>
      </c>
      <c r="AO62" s="1" t="str">
        <f t="shared" ca="1" si="49"/>
        <v>מעל 4 בשנה</v>
      </c>
      <c r="AP62" s="3">
        <f t="shared" ca="1" si="27"/>
        <v>0</v>
      </c>
      <c r="AQ62" s="3">
        <f t="shared" ca="1" si="28"/>
        <v>0</v>
      </c>
      <c r="AR62" s="3">
        <f t="shared" ca="1" si="29"/>
        <v>0</v>
      </c>
      <c r="AS62" s="3">
        <f t="shared" ca="1" si="30"/>
        <v>3</v>
      </c>
      <c r="AT62" s="3">
        <f t="shared" ca="1" si="31"/>
        <v>2</v>
      </c>
      <c r="AU62" s="3">
        <f t="shared" ca="1" si="32"/>
        <v>30</v>
      </c>
      <c r="AV62" s="3">
        <f t="shared" ca="1" si="33"/>
        <v>7</v>
      </c>
      <c r="AW62" s="3">
        <f t="shared" ca="1" si="34"/>
        <v>29</v>
      </c>
      <c r="AX62" s="3">
        <f t="shared" ca="1" si="35"/>
        <v>7</v>
      </c>
      <c r="AY62" s="3">
        <f t="shared" ca="1" si="36"/>
        <v>0</v>
      </c>
      <c r="AZ62" s="31">
        <f t="shared" ca="1" si="37"/>
        <v>130</v>
      </c>
      <c r="BA62" s="3">
        <f t="shared" ca="1" si="38"/>
        <v>32</v>
      </c>
      <c r="BB62" s="3">
        <f t="shared" ca="1" si="39"/>
        <v>0</v>
      </c>
      <c r="BC62" s="37">
        <f t="shared" ca="1" si="40"/>
        <v>0</v>
      </c>
      <c r="BD62" s="3">
        <f t="shared" ca="1" si="41"/>
        <v>0</v>
      </c>
      <c r="BE62" s="3">
        <f t="shared" ca="1" si="42"/>
        <v>0</v>
      </c>
      <c r="BF62" s="3">
        <f t="shared" ca="1" si="43"/>
        <v>0</v>
      </c>
      <c r="BG62" s="3">
        <f t="shared" ca="1" si="44"/>
        <v>0</v>
      </c>
      <c r="BH62" s="3">
        <f t="shared" ca="1" si="45"/>
        <v>0</v>
      </c>
      <c r="BI62" s="3">
        <f t="shared" ca="1" si="46"/>
        <v>0</v>
      </c>
      <c r="BJ62" s="3">
        <f t="shared" ca="1" si="47"/>
        <v>898664</v>
      </c>
      <c r="BK62" s="3">
        <f t="shared" ca="1" si="48"/>
        <v>2003570</v>
      </c>
      <c r="BL62" s="3" t="str">
        <f t="shared" ca="1" si="25"/>
        <v/>
      </c>
    </row>
    <row r="63" spans="1:64" x14ac:dyDescent="0.25">
      <c r="A63" t="str">
        <f ca="1">IF(AND(LEFT(B63,11)&lt;&gt;"גיליון הזנה",INDIRECT("'"&amp;$B63&amp;"'!"&amp;'גיליון עזר'!$I$1&amp;ROW('מרכז מורשת בבל'!$I$3))=""),"חסרה הזנה","")</f>
        <v/>
      </c>
      <c r="B63" s="200" t="str">
        <f ca="1">'א.ב. חדשות השומרונים'!$D$3</f>
        <v>א.ב. חדשות השומרונים</v>
      </c>
      <c r="C63" s="20">
        <v>47</v>
      </c>
      <c r="D63" s="40" t="str">
        <f ca="1">IF(OR(LEFT(B63,11)="גיליון הזנה",INDIRECT("'"&amp;$B63&amp;"'!"&amp;'גיליון עזר'!$I$1&amp;ROW('מרכז מורשת בבל'!$I$3))=0),"",B63)</f>
        <v>א.ב. חדשות השומרונים</v>
      </c>
      <c r="E63" s="57">
        <f t="array" ref="E63:N63" ca="1">IF($D63="","",TRANSPOSE(INDIRECT("'"&amp;$D63&amp;"'!"&amp;'גיליון עזר'!$D$1&amp;ROW('מרכז מורשת בבל'!$D$16)):INDIRECT("'"&amp;$D63&amp;"'!"&amp;'גיליון עזר'!$D$1&amp;ROW('מרכז מורשת בבל'!$D$25))))</f>
        <v>2</v>
      </c>
      <c r="F63" s="58">
        <f ca="1"/>
        <v>5</v>
      </c>
      <c r="G63" s="58">
        <f ca="1"/>
        <v>0</v>
      </c>
      <c r="H63" s="57">
        <f ca="1"/>
        <v>0</v>
      </c>
      <c r="I63" s="57">
        <f ca="1"/>
        <v>0</v>
      </c>
      <c r="J63" s="57">
        <f ca="1"/>
        <v>0</v>
      </c>
      <c r="K63" s="57">
        <f ca="1"/>
        <v>0</v>
      </c>
      <c r="L63" s="57">
        <f ca="1"/>
        <v>0</v>
      </c>
      <c r="M63" s="57">
        <f ca="1"/>
        <v>0</v>
      </c>
      <c r="N63" s="59">
        <f ca="1"/>
        <v>1</v>
      </c>
      <c r="O63" s="60">
        <f ca="1">IF($D63="","",INDIRECT("'"&amp;$D63&amp;"'!"&amp;'גיליון עזר'!$F$1&amp;ROW('מרכז מורשת בבל'!$B$78)))</f>
        <v>0</v>
      </c>
      <c r="P63" s="58">
        <f t="array" ref="P63:Q63" ca="1">IF($D63="","",TRANSPOSE(INDIRECT("'"&amp;$D63&amp;"'!"&amp;'גיליון עזר'!$G$1&amp;ROW('מרכז מורשת בבל'!$D$16)):INDIRECT("'"&amp;$D63&amp;"'!"&amp;'גיליון עזר'!$G$1&amp;ROW('מרכז מורשת בבל'!$D$17))))</f>
        <v>300</v>
      </c>
      <c r="Q63" s="61" t="str">
        <f ca="1"/>
        <v>נאותה</v>
      </c>
      <c r="R63" s="62" t="str">
        <f t="array" ref="R63:V63" ca="1">IF($D63="","",TRANSPOSE(INDIRECT("'"&amp;$D63&amp;"'!"&amp;'גיליון עזר'!$N$1&amp;ROW('מרכז מורשת בבל'!$D$16)):INDIRECT("'"&amp;$D63&amp;"'!"&amp;'גיליון עזר'!$N$1&amp;ROW('מרכז מורשת בבל'!$D$20))))</f>
        <v>מעל 4 בשנה</v>
      </c>
      <c r="S63" s="58">
        <f ca="1"/>
        <v>84</v>
      </c>
      <c r="T63" s="58">
        <f ca="1"/>
        <v>300</v>
      </c>
      <c r="U63" s="58" t="str">
        <f ca="1"/>
        <v>לא</v>
      </c>
      <c r="V63" s="58" t="str">
        <f ca="1"/>
        <v>לא</v>
      </c>
      <c r="W63" s="60" t="str">
        <f ca="1">IF($D63="","",INDIRECT("'"&amp;$D63&amp;"'!"&amp;'גיליון עזר'!$N$1&amp;ROW('מרכז מורשת בבל'!$J$21)))</f>
        <v>לא</v>
      </c>
      <c r="X63" s="60">
        <f ca="1">IF($D63="","",INDIRECT("'"&amp;$D63&amp;"'!"&amp;'גיליון עזר'!$L$1&amp;ROW('מרכז מורשת בבל'!$J$78)))</f>
        <v>1</v>
      </c>
      <c r="Y63" s="63">
        <f t="array" ref="Y63:Z63" ca="1">IF($D63="","",TRANSPOSE(INDIRECT("'"&amp;$D63&amp;"'!"&amp;'גיליון עזר'!$J$1&amp;ROW('מרכז מורשת בבל'!$D$17)):INDIRECT("'"&amp;$D63&amp;"'!"&amp;'גיליון עזר'!$J$1&amp;ROW('מרכז מורשת בבל'!$D$18))))</f>
        <v>61698</v>
      </c>
      <c r="Z63" s="63">
        <f ca="1"/>
        <v>259498</v>
      </c>
      <c r="AA63" s="104" t="str">
        <f ca="1">IF($D63="","",IF(INDIRECT("'"&amp;$D63&amp;"'!"&amp;'גיליון עזר'!$J$1&amp;ROW('מרכז מורשת בבל'!$D$21))="","",INDIRECT("'"&amp;$D63&amp;"'!"&amp;'גיליון עזר'!$J$1&amp;ROW('מרכז מורשת בבל'!$D$21))))</f>
        <v>מעל 20%</v>
      </c>
      <c r="AC63" s="1" t="str">
        <f t="shared" ca="1" si="50"/>
        <v>כינוס</v>
      </c>
      <c r="AD63" s="65" t="str">
        <f t="shared" ca="1" si="50"/>
        <v>הרצאה</v>
      </c>
      <c r="AE63" s="65" t="str">
        <f t="shared" ca="1" si="50"/>
        <v>יום עיון</v>
      </c>
      <c r="AF63" s="65" t="str">
        <f t="shared" ca="1" si="50"/>
        <v>הפקה מורכבת</v>
      </c>
      <c r="AG63" s="1" t="str">
        <f t="shared" ca="1" si="50"/>
        <v>כן</v>
      </c>
      <c r="AH63" s="64" t="str">
        <f t="shared" ca="1" si="50"/>
        <v>לא</v>
      </c>
      <c r="AI63" s="1" t="str">
        <f t="shared" ca="1" si="50"/>
        <v>נאותה</v>
      </c>
      <c r="AJ63" s="1" t="str">
        <f t="shared" ca="1" si="50"/>
        <v>טובה</v>
      </c>
      <c r="AK63" s="64" t="str">
        <f t="shared" ca="1" si="50"/>
        <v>טובה מאוד</v>
      </c>
      <c r="AL63" s="1" t="str">
        <f t="shared" ca="1" si="50"/>
        <v>אחד בשנה</v>
      </c>
      <c r="AM63" s="1" t="str">
        <f t="shared" ca="1" si="50"/>
        <v>שניים בשנה</v>
      </c>
      <c r="AN63" s="1" t="str">
        <f t="shared" ca="1" si="50"/>
        <v>שלוש בשנה</v>
      </c>
      <c r="AO63" s="1" t="str">
        <f t="shared" ca="1" si="49"/>
        <v>מעל 4 בשנה</v>
      </c>
      <c r="AP63" s="3">
        <f t="shared" ca="1" si="27"/>
        <v>2</v>
      </c>
      <c r="AQ63" s="3">
        <f t="shared" ca="1" si="28"/>
        <v>5</v>
      </c>
      <c r="AR63" s="3">
        <f t="shared" ca="1" si="29"/>
        <v>0</v>
      </c>
      <c r="AS63" s="3">
        <f t="shared" ca="1" si="30"/>
        <v>0</v>
      </c>
      <c r="AT63" s="3">
        <f t="shared" ca="1" si="31"/>
        <v>0</v>
      </c>
      <c r="AU63" s="3">
        <f t="shared" ca="1" si="32"/>
        <v>0</v>
      </c>
      <c r="AV63" s="3">
        <f t="shared" ca="1" si="33"/>
        <v>0</v>
      </c>
      <c r="AW63" s="3">
        <f t="shared" ca="1" si="34"/>
        <v>0</v>
      </c>
      <c r="AX63" s="3">
        <f t="shared" ca="1" si="35"/>
        <v>0</v>
      </c>
      <c r="AY63" s="3">
        <f t="shared" ca="1" si="36"/>
        <v>1</v>
      </c>
      <c r="AZ63" s="31">
        <f t="shared" ca="1" si="37"/>
        <v>0</v>
      </c>
      <c r="BA63" s="3">
        <f t="shared" ca="1" si="38"/>
        <v>300</v>
      </c>
      <c r="BB63" s="3" t="str">
        <f t="shared" ca="1" si="39"/>
        <v>נאותה</v>
      </c>
      <c r="BC63" s="37" t="str">
        <f t="shared" ca="1" si="40"/>
        <v>מעל 4 בשנה</v>
      </c>
      <c r="BD63" s="3">
        <f t="shared" ca="1" si="41"/>
        <v>84</v>
      </c>
      <c r="BE63" s="3">
        <f t="shared" ca="1" si="42"/>
        <v>300</v>
      </c>
      <c r="BF63" s="3" t="str">
        <f t="shared" ca="1" si="43"/>
        <v>לא</v>
      </c>
      <c r="BG63" s="3" t="str">
        <f t="shared" ca="1" si="44"/>
        <v>לא</v>
      </c>
      <c r="BH63" s="3" t="str">
        <f t="shared" ca="1" si="45"/>
        <v>לא</v>
      </c>
      <c r="BI63" s="3">
        <f t="shared" ca="1" si="46"/>
        <v>1</v>
      </c>
      <c r="BJ63" s="3">
        <f t="shared" ca="1" si="47"/>
        <v>61698</v>
      </c>
      <c r="BK63" s="3">
        <f t="shared" ca="1" si="48"/>
        <v>259498</v>
      </c>
      <c r="BL63" s="3" t="str">
        <f t="shared" ca="1" si="25"/>
        <v>מעל 20%</v>
      </c>
    </row>
    <row r="64" spans="1:64" x14ac:dyDescent="0.25">
      <c r="A64" t="str">
        <f ca="1">IF(AND(LEFT(B64,11)&lt;&gt;"גיליון הזנה",INDIRECT("'"&amp;$B64&amp;"'!"&amp;'גיליון עזר'!$I$1&amp;ROW('מרכז מורשת בבל'!$I$3))=""),"חסרה הזנה","")</f>
        <v/>
      </c>
      <c r="B64" s="200" t="str">
        <f ca="1">'גיליון הזנה 48'!$D$3</f>
        <v>גיליון הזנה 48</v>
      </c>
      <c r="C64" s="20">
        <v>48</v>
      </c>
      <c r="D64" s="40" t="str">
        <f ca="1">IF(OR(LEFT(B64,11)="גיליון הזנה",INDIRECT("'"&amp;$B64&amp;"'!"&amp;'גיליון עזר'!$I$1&amp;ROW('מרכז מורשת בבל'!$I$3))=0),"",B64)</f>
        <v/>
      </c>
      <c r="E64" s="57" t="str">
        <f t="array" aca="1" ref="E64:N64" ca="1">IF($D64="","",TRANSPOSE(INDIRECT("'"&amp;$D64&amp;"'!"&amp;'גיליון עזר'!$D$1&amp;ROW('מרכז מורשת בבל'!$D$16)):INDIRECT("'"&amp;$D64&amp;"'!"&amp;'גיליון עזר'!$D$1&amp;ROW('מרכז מורשת בבל'!$D$25))))</f>
        <v/>
      </c>
      <c r="F64" s="58" t="str">
        <f ca="1"/>
        <v/>
      </c>
      <c r="G64" s="58" t="str">
        <f ca="1"/>
        <v/>
      </c>
      <c r="H64" s="57" t="str">
        <f ca="1"/>
        <v/>
      </c>
      <c r="I64" s="57" t="str">
        <f ca="1"/>
        <v/>
      </c>
      <c r="J64" s="57" t="str">
        <f ca="1"/>
        <v/>
      </c>
      <c r="K64" s="57" t="str">
        <f ca="1"/>
        <v/>
      </c>
      <c r="L64" s="57" t="str">
        <f ca="1"/>
        <v/>
      </c>
      <c r="M64" s="57" t="str">
        <f ca="1"/>
        <v/>
      </c>
      <c r="N64" s="59" t="str">
        <f ca="1"/>
        <v/>
      </c>
      <c r="O64" s="60" t="str">
        <f ca="1">IF($D64="","",INDIRECT("'"&amp;$D64&amp;"'!"&amp;'גיליון עזר'!$F$1&amp;ROW('מרכז מורשת בבל'!$B$78)))</f>
        <v/>
      </c>
      <c r="P64" s="58" t="str">
        <f t="array" aca="1" ref="P64:Q64" ca="1">IF($D64="","",TRANSPOSE(INDIRECT("'"&amp;$D64&amp;"'!"&amp;'גיליון עזר'!$G$1&amp;ROW('מרכז מורשת בבל'!$D$16)):INDIRECT("'"&amp;$D64&amp;"'!"&amp;'גיליון עזר'!$G$1&amp;ROW('מרכז מורשת בבל'!$D$17))))</f>
        <v/>
      </c>
      <c r="Q64" s="61" t="str">
        <f ca="1"/>
        <v/>
      </c>
      <c r="R64" s="62" t="str">
        <f t="array" aca="1" ref="R64:V64" ca="1">IF($D64="","",TRANSPOSE(INDIRECT("'"&amp;$D64&amp;"'!"&amp;'גיליון עזר'!$N$1&amp;ROW('מרכז מורשת בבל'!$D$16)):INDIRECT("'"&amp;$D64&amp;"'!"&amp;'גיליון עזר'!$N$1&amp;ROW('מרכז מורשת בבל'!$D$20))))</f>
        <v/>
      </c>
      <c r="S64" s="58" t="str">
        <f ca="1"/>
        <v/>
      </c>
      <c r="T64" s="58" t="str">
        <f ca="1"/>
        <v/>
      </c>
      <c r="U64" s="58" t="str">
        <f ca="1"/>
        <v/>
      </c>
      <c r="V64" s="58" t="str">
        <f ca="1"/>
        <v/>
      </c>
      <c r="W64" s="60" t="str">
        <f ca="1">IF($D64="","",INDIRECT("'"&amp;$D64&amp;"'!"&amp;'גיליון עזר'!$N$1&amp;ROW('מרכז מורשת בבל'!$J$21)))</f>
        <v/>
      </c>
      <c r="X64" s="60" t="str">
        <f ca="1">IF($D64="","",INDIRECT("'"&amp;$D64&amp;"'!"&amp;'גיליון עזר'!$L$1&amp;ROW('מרכז מורשת בבל'!$J$78)))</f>
        <v/>
      </c>
      <c r="Y64" s="63" t="str">
        <f t="array" aca="1" ref="Y64:Z64" ca="1">IF($D64="","",TRANSPOSE(INDIRECT("'"&amp;$D64&amp;"'!"&amp;'גיליון עזר'!$J$1&amp;ROW('מרכז מורשת בבל'!$D$17)):INDIRECT("'"&amp;$D64&amp;"'!"&amp;'גיליון עזר'!$J$1&amp;ROW('מרכז מורשת בבל'!$D$18))))</f>
        <v/>
      </c>
      <c r="Z64" s="63" t="str">
        <f ca="1"/>
        <v/>
      </c>
      <c r="AA64" s="104" t="str">
        <f ca="1">IF($D64="","",IF(INDIRECT("'"&amp;$D64&amp;"'!"&amp;'גיליון עזר'!$J$1&amp;ROW('מרכז מורשת בבל'!$D$21))="","",INDIRECT("'"&amp;$D64&amp;"'!"&amp;'גיליון עזר'!$J$1&amp;ROW('מרכז מורשת בבל'!$D$21))))</f>
        <v/>
      </c>
      <c r="AC64" s="1" t="str">
        <f t="shared" ca="1" si="50"/>
        <v/>
      </c>
      <c r="AD64" s="65" t="str">
        <f t="shared" ca="1" si="50"/>
        <v/>
      </c>
      <c r="AE64" s="65" t="str">
        <f t="shared" ca="1" si="50"/>
        <v/>
      </c>
      <c r="AF64" s="65" t="str">
        <f t="shared" ca="1" si="50"/>
        <v/>
      </c>
      <c r="AG64" s="1" t="str">
        <f t="shared" ca="1" si="50"/>
        <v/>
      </c>
      <c r="AH64" s="64" t="str">
        <f t="shared" ca="1" si="50"/>
        <v/>
      </c>
      <c r="AI64" s="1" t="str">
        <f t="shared" ca="1" si="50"/>
        <v/>
      </c>
      <c r="AJ64" s="1" t="str">
        <f t="shared" ca="1" si="50"/>
        <v/>
      </c>
      <c r="AK64" s="64" t="str">
        <f t="shared" ca="1" si="50"/>
        <v/>
      </c>
      <c r="AL64" s="1" t="str">
        <f t="shared" ca="1" si="50"/>
        <v/>
      </c>
      <c r="AM64" s="1" t="str">
        <f t="shared" ca="1" si="50"/>
        <v/>
      </c>
      <c r="AN64" s="1" t="str">
        <f t="shared" ca="1" si="50"/>
        <v/>
      </c>
      <c r="AO64" s="1" t="str">
        <f t="shared" ca="1" si="49"/>
        <v/>
      </c>
      <c r="AP64" s="3" t="str">
        <f t="shared" ca="1" si="27"/>
        <v/>
      </c>
      <c r="AQ64" s="3" t="str">
        <f t="shared" ca="1" si="28"/>
        <v/>
      </c>
      <c r="AR64" s="3" t="str">
        <f t="shared" ca="1" si="29"/>
        <v/>
      </c>
      <c r="AS64" s="3" t="str">
        <f t="shared" ca="1" si="30"/>
        <v/>
      </c>
      <c r="AT64" s="3" t="str">
        <f t="shared" ca="1" si="31"/>
        <v/>
      </c>
      <c r="AU64" s="3" t="str">
        <f t="shared" ca="1" si="32"/>
        <v/>
      </c>
      <c r="AV64" s="3" t="str">
        <f t="shared" ca="1" si="33"/>
        <v/>
      </c>
      <c r="AW64" s="3" t="str">
        <f t="shared" ca="1" si="34"/>
        <v/>
      </c>
      <c r="AX64" s="3" t="str">
        <f t="shared" ca="1" si="35"/>
        <v/>
      </c>
      <c r="AY64" s="3" t="str">
        <f t="shared" ca="1" si="36"/>
        <v/>
      </c>
      <c r="AZ64" s="31" t="str">
        <f t="shared" ca="1" si="37"/>
        <v/>
      </c>
      <c r="BA64" s="3" t="str">
        <f t="shared" ca="1" si="38"/>
        <v/>
      </c>
      <c r="BB64" s="3" t="str">
        <f t="shared" ca="1" si="39"/>
        <v/>
      </c>
      <c r="BC64" s="37" t="str">
        <f t="shared" ca="1" si="40"/>
        <v/>
      </c>
      <c r="BD64" s="3" t="str">
        <f t="shared" ca="1" si="41"/>
        <v/>
      </c>
      <c r="BE64" s="3" t="str">
        <f t="shared" ca="1" si="42"/>
        <v/>
      </c>
      <c r="BF64" s="3" t="str">
        <f t="shared" ca="1" si="43"/>
        <v/>
      </c>
      <c r="BG64" s="3" t="str">
        <f t="shared" ca="1" si="44"/>
        <v/>
      </c>
      <c r="BH64" s="3" t="str">
        <f t="shared" ca="1" si="45"/>
        <v/>
      </c>
      <c r="BI64" s="3" t="str">
        <f t="shared" ca="1" si="46"/>
        <v/>
      </c>
      <c r="BJ64" s="3" t="str">
        <f t="shared" ca="1" si="47"/>
        <v/>
      </c>
      <c r="BK64" s="3" t="str">
        <f t="shared" ca="1" si="48"/>
        <v/>
      </c>
      <c r="BL64" s="3" t="str">
        <f t="shared" ca="1" si="25"/>
        <v/>
      </c>
    </row>
    <row r="65" spans="1:64" x14ac:dyDescent="0.25">
      <c r="A65" t="str">
        <f ca="1">IF(AND(LEFT(B65,11)&lt;&gt;"גיליון הזנה",INDIRECT("'"&amp;$B65&amp;"'!"&amp;'גיליון עזר'!$I$1&amp;ROW('מרכז מורשת בבל'!$I$3))=""),"חסרה הזנה","")</f>
        <v/>
      </c>
      <c r="B65" s="200" t="str">
        <f ca="1">'גיליון הזנה 49'!$D$3</f>
        <v>גיליון הזנה 49</v>
      </c>
      <c r="C65" s="20">
        <v>49</v>
      </c>
      <c r="D65" s="40" t="str">
        <f ca="1">IF(OR(LEFT(B65,11)="גיליון הזנה",INDIRECT("'"&amp;$B65&amp;"'!"&amp;'גיליון עזר'!$I$1&amp;ROW('מרכז מורשת בבל'!$I$3))=0),"",B65)</f>
        <v/>
      </c>
      <c r="E65" s="57" t="str">
        <f t="array" aca="1" ref="E65:N65" ca="1">IF($D65="","",TRANSPOSE(INDIRECT("'"&amp;$D65&amp;"'!"&amp;'גיליון עזר'!$D$1&amp;ROW('מרכז מורשת בבל'!$D$16)):INDIRECT("'"&amp;$D65&amp;"'!"&amp;'גיליון עזר'!$D$1&amp;ROW('מרכז מורשת בבל'!$D$25))))</f>
        <v/>
      </c>
      <c r="F65" s="58" t="str">
        <f ca="1"/>
        <v/>
      </c>
      <c r="G65" s="58" t="str">
        <f ca="1"/>
        <v/>
      </c>
      <c r="H65" s="57" t="str">
        <f ca="1"/>
        <v/>
      </c>
      <c r="I65" s="57" t="str">
        <f ca="1"/>
        <v/>
      </c>
      <c r="J65" s="57" t="str">
        <f ca="1"/>
        <v/>
      </c>
      <c r="K65" s="57" t="str">
        <f ca="1"/>
        <v/>
      </c>
      <c r="L65" s="57" t="str">
        <f ca="1"/>
        <v/>
      </c>
      <c r="M65" s="57" t="str">
        <f ca="1"/>
        <v/>
      </c>
      <c r="N65" s="59" t="str">
        <f ca="1"/>
        <v/>
      </c>
      <c r="O65" s="60" t="str">
        <f ca="1">IF($D65="","",INDIRECT("'"&amp;$D65&amp;"'!"&amp;'גיליון עזר'!$F$1&amp;ROW('מרכז מורשת בבל'!$B$78)))</f>
        <v/>
      </c>
      <c r="P65" s="58" t="str">
        <f t="array" aca="1" ref="P65:Q65" ca="1">IF($D65="","",TRANSPOSE(INDIRECT("'"&amp;$D65&amp;"'!"&amp;'גיליון עזר'!$G$1&amp;ROW('מרכז מורשת בבל'!$D$16)):INDIRECT("'"&amp;$D65&amp;"'!"&amp;'גיליון עזר'!$G$1&amp;ROW('מרכז מורשת בבל'!$D$17))))</f>
        <v/>
      </c>
      <c r="Q65" s="61" t="str">
        <f ca="1"/>
        <v/>
      </c>
      <c r="R65" s="62" t="str">
        <f t="array" aca="1" ref="R65:V65" ca="1">IF($D65="","",TRANSPOSE(INDIRECT("'"&amp;$D65&amp;"'!"&amp;'גיליון עזר'!$N$1&amp;ROW('מרכז מורשת בבל'!$D$16)):INDIRECT("'"&amp;$D65&amp;"'!"&amp;'גיליון עזר'!$N$1&amp;ROW('מרכז מורשת בבל'!$D$20))))</f>
        <v/>
      </c>
      <c r="S65" s="58" t="str">
        <f ca="1"/>
        <v/>
      </c>
      <c r="T65" s="58" t="str">
        <f ca="1"/>
        <v/>
      </c>
      <c r="U65" s="58" t="str">
        <f ca="1"/>
        <v/>
      </c>
      <c r="V65" s="58" t="str">
        <f ca="1"/>
        <v/>
      </c>
      <c r="W65" s="60" t="str">
        <f ca="1">IF($D65="","",INDIRECT("'"&amp;$D65&amp;"'!"&amp;'גיליון עזר'!$N$1&amp;ROW('מרכז מורשת בבל'!$J$21)))</f>
        <v/>
      </c>
      <c r="X65" s="60" t="str">
        <f ca="1">IF($D65="","",INDIRECT("'"&amp;$D65&amp;"'!"&amp;'גיליון עזר'!$L$1&amp;ROW('מרכז מורשת בבל'!$J$78)))</f>
        <v/>
      </c>
      <c r="Y65" s="63" t="str">
        <f t="array" aca="1" ref="Y65:Z65" ca="1">IF($D65="","",TRANSPOSE(INDIRECT("'"&amp;$D65&amp;"'!"&amp;'גיליון עזר'!$J$1&amp;ROW('מרכז מורשת בבל'!$D$17)):INDIRECT("'"&amp;$D65&amp;"'!"&amp;'גיליון עזר'!$J$1&amp;ROW('מרכז מורשת בבל'!$D$18))))</f>
        <v/>
      </c>
      <c r="Z65" s="63" t="str">
        <f ca="1"/>
        <v/>
      </c>
      <c r="AA65" s="104" t="str">
        <f ca="1">IF($D65="","",IF(INDIRECT("'"&amp;$D65&amp;"'!"&amp;'גיליון עזר'!$J$1&amp;ROW('מרכז מורשת בבל'!$D$21))="","",INDIRECT("'"&amp;$D65&amp;"'!"&amp;'גיליון עזר'!$J$1&amp;ROW('מרכז מורשת בבל'!$D$21))))</f>
        <v/>
      </c>
      <c r="AC65" s="1" t="str">
        <f t="shared" ca="1" si="50"/>
        <v/>
      </c>
      <c r="AD65" s="65" t="str">
        <f t="shared" ca="1" si="50"/>
        <v/>
      </c>
      <c r="AE65" s="65" t="str">
        <f t="shared" ca="1" si="50"/>
        <v/>
      </c>
      <c r="AF65" s="65" t="str">
        <f t="shared" ca="1" si="50"/>
        <v/>
      </c>
      <c r="AG65" s="1" t="str">
        <f t="shared" ca="1" si="50"/>
        <v/>
      </c>
      <c r="AH65" s="64" t="str">
        <f t="shared" ca="1" si="50"/>
        <v/>
      </c>
      <c r="AI65" s="1" t="str">
        <f t="shared" ca="1" si="50"/>
        <v/>
      </c>
      <c r="AJ65" s="1" t="str">
        <f t="shared" ca="1" si="50"/>
        <v/>
      </c>
      <c r="AK65" s="64" t="str">
        <f t="shared" ca="1" si="50"/>
        <v/>
      </c>
      <c r="AL65" s="1" t="str">
        <f t="shared" ca="1" si="50"/>
        <v/>
      </c>
      <c r="AM65" s="1" t="str">
        <f t="shared" ca="1" si="50"/>
        <v/>
      </c>
      <c r="AN65" s="1" t="str">
        <f t="shared" ca="1" si="50"/>
        <v/>
      </c>
      <c r="AO65" s="1" t="str">
        <f t="shared" ca="1" si="49"/>
        <v/>
      </c>
      <c r="AP65" s="3" t="str">
        <f t="shared" ca="1" si="27"/>
        <v/>
      </c>
      <c r="AQ65" s="3" t="str">
        <f t="shared" ca="1" si="28"/>
        <v/>
      </c>
      <c r="AR65" s="3" t="str">
        <f t="shared" ca="1" si="29"/>
        <v/>
      </c>
      <c r="AS65" s="3" t="str">
        <f t="shared" ca="1" si="30"/>
        <v/>
      </c>
      <c r="AT65" s="3" t="str">
        <f t="shared" ca="1" si="31"/>
        <v/>
      </c>
      <c r="AU65" s="3" t="str">
        <f t="shared" ca="1" si="32"/>
        <v/>
      </c>
      <c r="AV65" s="3" t="str">
        <f t="shared" ca="1" si="33"/>
        <v/>
      </c>
      <c r="AW65" s="3" t="str">
        <f t="shared" ca="1" si="34"/>
        <v/>
      </c>
      <c r="AX65" s="3" t="str">
        <f t="shared" ca="1" si="35"/>
        <v/>
      </c>
      <c r="AY65" s="3" t="str">
        <f t="shared" ca="1" si="36"/>
        <v/>
      </c>
      <c r="AZ65" s="31" t="str">
        <f t="shared" ca="1" si="37"/>
        <v/>
      </c>
      <c r="BA65" s="3" t="str">
        <f t="shared" ca="1" si="38"/>
        <v/>
      </c>
      <c r="BB65" s="3" t="str">
        <f t="shared" ca="1" si="39"/>
        <v/>
      </c>
      <c r="BC65" s="37" t="str">
        <f t="shared" ca="1" si="40"/>
        <v/>
      </c>
      <c r="BD65" s="3" t="str">
        <f t="shared" ca="1" si="41"/>
        <v/>
      </c>
      <c r="BE65" s="3" t="str">
        <f t="shared" ca="1" si="42"/>
        <v/>
      </c>
      <c r="BF65" s="3" t="str">
        <f t="shared" ca="1" si="43"/>
        <v/>
      </c>
      <c r="BG65" s="3" t="str">
        <f t="shared" ca="1" si="44"/>
        <v/>
      </c>
      <c r="BH65" s="3" t="str">
        <f t="shared" ca="1" si="45"/>
        <v/>
      </c>
      <c r="BI65" s="3" t="str">
        <f t="shared" ca="1" si="46"/>
        <v/>
      </c>
      <c r="BJ65" s="3" t="str">
        <f t="shared" ca="1" si="47"/>
        <v/>
      </c>
      <c r="BK65" s="3" t="str">
        <f t="shared" ca="1" si="48"/>
        <v/>
      </c>
      <c r="BL65" s="3" t="str">
        <f t="shared" ca="1" si="25"/>
        <v/>
      </c>
    </row>
    <row r="66" spans="1:64" x14ac:dyDescent="0.25">
      <c r="A66" t="str">
        <f ca="1">IF(AND(LEFT(B66,11)&lt;&gt;"גיליון הזנה",INDIRECT("'"&amp;$B66&amp;"'!"&amp;'גיליון עזר'!$I$1&amp;ROW('מרכז מורשת בבל'!$I$3))=""),"חסרה הזנה","")</f>
        <v/>
      </c>
      <c r="B66" s="200" t="str">
        <f ca="1">'גיליון הזנה 52'!$D$3</f>
        <v>גיליון הזנה 52</v>
      </c>
      <c r="C66" s="20">
        <v>50</v>
      </c>
      <c r="D66" s="40" t="str">
        <f ca="1">IF(OR(LEFT(B66,11)="גיליון הזנה",INDIRECT("'"&amp;$B66&amp;"'!"&amp;'גיליון עזר'!$I$1&amp;ROW('מרכז מורשת בבל'!$I$3))=0),"",B66)</f>
        <v/>
      </c>
      <c r="E66" s="57" t="str">
        <f t="array" aca="1" ref="E66:N66" ca="1">IF($D66="","",TRANSPOSE(INDIRECT("'"&amp;$D66&amp;"'!"&amp;'גיליון עזר'!$D$1&amp;ROW('מרכז מורשת בבל'!$D$16)):INDIRECT("'"&amp;$D66&amp;"'!"&amp;'גיליון עזר'!$D$1&amp;ROW('מרכז מורשת בבל'!$D$25))))</f>
        <v/>
      </c>
      <c r="F66" s="58" t="str">
        <f ca="1"/>
        <v/>
      </c>
      <c r="G66" s="58" t="str">
        <f ca="1"/>
        <v/>
      </c>
      <c r="H66" s="57" t="str">
        <f ca="1"/>
        <v/>
      </c>
      <c r="I66" s="57" t="str">
        <f ca="1"/>
        <v/>
      </c>
      <c r="J66" s="57" t="str">
        <f ca="1"/>
        <v/>
      </c>
      <c r="K66" s="57" t="str">
        <f ca="1"/>
        <v/>
      </c>
      <c r="L66" s="57" t="str">
        <f ca="1"/>
        <v/>
      </c>
      <c r="M66" s="57" t="str">
        <f ca="1"/>
        <v/>
      </c>
      <c r="N66" s="59" t="str">
        <f ca="1"/>
        <v/>
      </c>
      <c r="O66" s="60" t="str">
        <f ca="1">IF($D66="","",INDIRECT("'"&amp;$D66&amp;"'!"&amp;'גיליון עזר'!$F$1&amp;ROW('מרכז מורשת בבל'!$B$78)))</f>
        <v/>
      </c>
      <c r="P66" s="58" t="str">
        <f t="array" aca="1" ref="P66:Q66" ca="1">IF($D66="","",TRANSPOSE(INDIRECT("'"&amp;$D66&amp;"'!"&amp;'גיליון עזר'!$G$1&amp;ROW('מרכז מורשת בבל'!$D$16)):INDIRECT("'"&amp;$D66&amp;"'!"&amp;'גיליון עזר'!$G$1&amp;ROW('מרכז מורשת בבל'!$D$17))))</f>
        <v/>
      </c>
      <c r="Q66" s="61" t="str">
        <f ca="1"/>
        <v/>
      </c>
      <c r="R66" s="62" t="str">
        <f t="array" aca="1" ref="R66:V66" ca="1">IF($D66="","",TRANSPOSE(INDIRECT("'"&amp;$D66&amp;"'!"&amp;'גיליון עזר'!$N$1&amp;ROW('מרכז מורשת בבל'!$D$16)):INDIRECT("'"&amp;$D66&amp;"'!"&amp;'גיליון עזר'!$N$1&amp;ROW('מרכז מורשת בבל'!$D$20))))</f>
        <v/>
      </c>
      <c r="S66" s="58" t="str">
        <f ca="1"/>
        <v/>
      </c>
      <c r="T66" s="58" t="str">
        <f ca="1"/>
        <v/>
      </c>
      <c r="U66" s="58" t="str">
        <f ca="1"/>
        <v/>
      </c>
      <c r="V66" s="58" t="str">
        <f ca="1"/>
        <v/>
      </c>
      <c r="W66" s="60" t="str">
        <f ca="1">IF($D66="","",INDIRECT("'"&amp;$D66&amp;"'!"&amp;'גיליון עזר'!$N$1&amp;ROW('מרכז מורשת בבל'!$J$21)))</f>
        <v/>
      </c>
      <c r="X66" s="60" t="str">
        <f ca="1">IF($D66="","",INDIRECT("'"&amp;$D66&amp;"'!"&amp;'גיליון עזר'!$L$1&amp;ROW('מרכז מורשת בבל'!$J$78)))</f>
        <v/>
      </c>
      <c r="Y66" s="63" t="str">
        <f t="array" aca="1" ref="Y66:Z66" ca="1">IF($D66="","",TRANSPOSE(INDIRECT("'"&amp;$D66&amp;"'!"&amp;'גיליון עזר'!$J$1&amp;ROW('מרכז מורשת בבל'!$D$17)):INDIRECT("'"&amp;$D66&amp;"'!"&amp;'גיליון עזר'!$J$1&amp;ROW('מרכז מורשת בבל'!$D$18))))</f>
        <v/>
      </c>
      <c r="Z66" s="63" t="str">
        <f ca="1"/>
        <v/>
      </c>
      <c r="AA66" s="104" t="str">
        <f ca="1">IF($D66="","",IF(INDIRECT("'"&amp;$D66&amp;"'!"&amp;'גיליון עזר'!$J$1&amp;ROW('מרכז מורשת בבל'!$D$21))="","",INDIRECT("'"&amp;$D66&amp;"'!"&amp;'גיליון עזר'!$J$1&amp;ROW('מרכז מורשת בבל'!$D$21))))</f>
        <v/>
      </c>
      <c r="AC66" s="1" t="str">
        <f t="shared" ca="1" si="50"/>
        <v/>
      </c>
      <c r="AD66" s="65" t="str">
        <f t="shared" ca="1" si="50"/>
        <v/>
      </c>
      <c r="AE66" s="65" t="str">
        <f t="shared" ca="1" si="50"/>
        <v/>
      </c>
      <c r="AF66" s="65" t="str">
        <f t="shared" ca="1" si="50"/>
        <v/>
      </c>
      <c r="AG66" s="1" t="str">
        <f t="shared" ca="1" si="50"/>
        <v/>
      </c>
      <c r="AH66" s="64" t="str">
        <f t="shared" ca="1" si="50"/>
        <v/>
      </c>
      <c r="AI66" s="1" t="str">
        <f t="shared" ca="1" si="50"/>
        <v/>
      </c>
      <c r="AJ66" s="1" t="str">
        <f t="shared" ca="1" si="50"/>
        <v/>
      </c>
      <c r="AK66" s="64" t="str">
        <f t="shared" ca="1" si="50"/>
        <v/>
      </c>
      <c r="AL66" s="1" t="str">
        <f t="shared" ca="1" si="50"/>
        <v/>
      </c>
      <c r="AM66" s="1" t="str">
        <f t="shared" ca="1" si="50"/>
        <v/>
      </c>
      <c r="AN66" s="1" t="str">
        <f t="shared" ca="1" si="50"/>
        <v/>
      </c>
      <c r="AO66" s="1" t="str">
        <f t="shared" ca="1" si="49"/>
        <v/>
      </c>
      <c r="AP66" s="3" t="str">
        <f t="shared" ca="1" si="27"/>
        <v/>
      </c>
      <c r="AQ66" s="3" t="str">
        <f t="shared" ca="1" si="28"/>
        <v/>
      </c>
      <c r="AR66" s="3" t="str">
        <f t="shared" ca="1" si="29"/>
        <v/>
      </c>
      <c r="AS66" s="3" t="str">
        <f t="shared" ca="1" si="30"/>
        <v/>
      </c>
      <c r="AT66" s="3" t="str">
        <f t="shared" ca="1" si="31"/>
        <v/>
      </c>
      <c r="AU66" s="3" t="str">
        <f t="shared" ca="1" si="32"/>
        <v/>
      </c>
      <c r="AV66" s="3" t="str">
        <f t="shared" ca="1" si="33"/>
        <v/>
      </c>
      <c r="AW66" s="3" t="str">
        <f t="shared" ca="1" si="34"/>
        <v/>
      </c>
      <c r="AX66" s="3" t="str">
        <f t="shared" ca="1" si="35"/>
        <v/>
      </c>
      <c r="AY66" s="3" t="str">
        <f t="shared" ca="1" si="36"/>
        <v/>
      </c>
      <c r="AZ66" s="31" t="str">
        <f t="shared" ca="1" si="37"/>
        <v/>
      </c>
      <c r="BA66" s="3" t="str">
        <f t="shared" ca="1" si="38"/>
        <v/>
      </c>
      <c r="BB66" s="3" t="str">
        <f t="shared" ca="1" si="39"/>
        <v/>
      </c>
      <c r="BC66" s="37" t="str">
        <f t="shared" ca="1" si="40"/>
        <v/>
      </c>
      <c r="BD66" s="3" t="str">
        <f t="shared" ca="1" si="41"/>
        <v/>
      </c>
      <c r="BE66" s="3" t="str">
        <f t="shared" ca="1" si="42"/>
        <v/>
      </c>
      <c r="BF66" s="3" t="str">
        <f t="shared" ca="1" si="43"/>
        <v/>
      </c>
      <c r="BG66" s="3" t="str">
        <f t="shared" ca="1" si="44"/>
        <v/>
      </c>
      <c r="BH66" s="3" t="str">
        <f t="shared" ca="1" si="45"/>
        <v/>
      </c>
      <c r="BI66" s="3" t="str">
        <f t="shared" ca="1" si="46"/>
        <v/>
      </c>
      <c r="BJ66" s="3" t="str">
        <f t="shared" ca="1" si="47"/>
        <v/>
      </c>
      <c r="BK66" s="3" t="str">
        <f t="shared" ca="1" si="48"/>
        <v/>
      </c>
      <c r="BL66" s="3" t="str">
        <f t="shared" ca="1" si="25"/>
        <v/>
      </c>
    </row>
    <row r="67" spans="1:64" x14ac:dyDescent="0.25">
      <c r="A67" t="str">
        <f ca="1">IF(AND(LEFT(B67,11)&lt;&gt;"גיליון הזנה",INDIRECT("'"&amp;$B67&amp;"'!"&amp;'גיליון עזר'!$I$1&amp;ROW('מרכז מורשת בבל'!$I$3))=""),"חסרה הזנה","")</f>
        <v/>
      </c>
      <c r="B67" s="200" t="str">
        <f ca="1">'גיליון הזנה 51'!$D$3</f>
        <v>גיליון הזנה 51</v>
      </c>
      <c r="C67" s="20">
        <v>51</v>
      </c>
      <c r="D67" s="40" t="str">
        <f ca="1">IF(OR(LEFT(B67,11)="גיליון הזנה",INDIRECT("'"&amp;$B67&amp;"'!"&amp;'גיליון עזר'!$I$1&amp;ROW('מרכז מורשת בבל'!$I$3))=0),"",B67)</f>
        <v/>
      </c>
      <c r="E67" s="57" t="str">
        <f t="array" aca="1" ref="E67:N67" ca="1">IF($D67="","",TRANSPOSE(INDIRECT("'"&amp;$D67&amp;"'!"&amp;'גיליון עזר'!$D$1&amp;ROW('מרכז מורשת בבל'!$D$16)):INDIRECT("'"&amp;$D67&amp;"'!"&amp;'גיליון עזר'!$D$1&amp;ROW('מרכז מורשת בבל'!$D$25))))</f>
        <v/>
      </c>
      <c r="F67" s="58" t="str">
        <f ca="1"/>
        <v/>
      </c>
      <c r="G67" s="58" t="str">
        <f ca="1"/>
        <v/>
      </c>
      <c r="H67" s="57" t="str">
        <f ca="1"/>
        <v/>
      </c>
      <c r="I67" s="57" t="str">
        <f ca="1"/>
        <v/>
      </c>
      <c r="J67" s="57" t="str">
        <f ca="1"/>
        <v/>
      </c>
      <c r="K67" s="57" t="str">
        <f ca="1"/>
        <v/>
      </c>
      <c r="L67" s="57" t="str">
        <f ca="1"/>
        <v/>
      </c>
      <c r="M67" s="57" t="str">
        <f ca="1"/>
        <v/>
      </c>
      <c r="N67" s="59" t="str">
        <f ca="1"/>
        <v/>
      </c>
      <c r="O67" s="60" t="str">
        <f ca="1">IF($D67="","",INDIRECT("'"&amp;$D67&amp;"'!"&amp;'גיליון עזר'!$F$1&amp;ROW('מרכז מורשת בבל'!$B$78)))</f>
        <v/>
      </c>
      <c r="P67" s="58" t="str">
        <f t="array" aca="1" ref="P67:Q67" ca="1">IF($D67="","",TRANSPOSE(INDIRECT("'"&amp;$D67&amp;"'!"&amp;'גיליון עזר'!$G$1&amp;ROW('מרכז מורשת בבל'!$D$16)):INDIRECT("'"&amp;$D67&amp;"'!"&amp;'גיליון עזר'!$G$1&amp;ROW('מרכז מורשת בבל'!$D$17))))</f>
        <v/>
      </c>
      <c r="Q67" s="61" t="str">
        <f ca="1"/>
        <v/>
      </c>
      <c r="R67" s="62" t="str">
        <f t="array" aca="1" ref="R67:V67" ca="1">IF($D67="","",TRANSPOSE(INDIRECT("'"&amp;$D67&amp;"'!"&amp;'גיליון עזר'!$N$1&amp;ROW('מרכז מורשת בבל'!$D$16)):INDIRECT("'"&amp;$D67&amp;"'!"&amp;'גיליון עזר'!$N$1&amp;ROW('מרכז מורשת בבל'!$D$20))))</f>
        <v/>
      </c>
      <c r="S67" s="58" t="str">
        <f ca="1"/>
        <v/>
      </c>
      <c r="T67" s="58" t="str">
        <f ca="1"/>
        <v/>
      </c>
      <c r="U67" s="58" t="str">
        <f ca="1"/>
        <v/>
      </c>
      <c r="V67" s="58" t="str">
        <f ca="1"/>
        <v/>
      </c>
      <c r="W67" s="60" t="str">
        <f ca="1">IF($D67="","",INDIRECT("'"&amp;$D67&amp;"'!"&amp;'גיליון עזר'!$N$1&amp;ROW('מרכז מורשת בבל'!$J$21)))</f>
        <v/>
      </c>
      <c r="X67" s="60" t="str">
        <f ca="1">IF($D67="","",INDIRECT("'"&amp;$D67&amp;"'!"&amp;'גיליון עזר'!$L$1&amp;ROW('מרכז מורשת בבל'!$J$78)))</f>
        <v/>
      </c>
      <c r="Y67" s="63" t="str">
        <f t="array" aca="1" ref="Y67:Z67" ca="1">IF($D67="","",TRANSPOSE(INDIRECT("'"&amp;$D67&amp;"'!"&amp;'גיליון עזר'!$J$1&amp;ROW('מרכז מורשת בבל'!$D$17)):INDIRECT("'"&amp;$D67&amp;"'!"&amp;'גיליון עזר'!$J$1&amp;ROW('מרכז מורשת בבל'!$D$18))))</f>
        <v/>
      </c>
      <c r="Z67" s="63" t="str">
        <f ca="1"/>
        <v/>
      </c>
      <c r="AA67" s="104" t="str">
        <f ca="1">IF($D67="","",IF(INDIRECT("'"&amp;$D67&amp;"'!"&amp;'גיליון עזר'!$J$1&amp;ROW('מרכז מורשת בבל'!$D$21))="","",INDIRECT("'"&amp;$D67&amp;"'!"&amp;'גיליון עזר'!$J$1&amp;ROW('מרכז מורשת בבל'!$D$21))))</f>
        <v/>
      </c>
      <c r="AC67" s="1" t="str">
        <f t="shared" ca="1" si="50"/>
        <v/>
      </c>
      <c r="AD67" s="65" t="str">
        <f t="shared" ca="1" si="50"/>
        <v/>
      </c>
      <c r="AE67" s="65" t="str">
        <f t="shared" ca="1" si="50"/>
        <v/>
      </c>
      <c r="AF67" s="65" t="str">
        <f t="shared" ca="1" si="50"/>
        <v/>
      </c>
      <c r="AG67" s="1" t="str">
        <f t="shared" ca="1" si="50"/>
        <v/>
      </c>
      <c r="AH67" s="64" t="str">
        <f t="shared" ca="1" si="50"/>
        <v/>
      </c>
      <c r="AI67" s="1" t="str">
        <f t="shared" ca="1" si="50"/>
        <v/>
      </c>
      <c r="AJ67" s="1" t="str">
        <f t="shared" ca="1" si="50"/>
        <v/>
      </c>
      <c r="AK67" s="64" t="str">
        <f t="shared" ca="1" si="50"/>
        <v/>
      </c>
      <c r="AL67" s="1" t="str">
        <f t="shared" ca="1" si="50"/>
        <v/>
      </c>
      <c r="AM67" s="1" t="str">
        <f t="shared" ca="1" si="50"/>
        <v/>
      </c>
      <c r="AN67" s="1" t="str">
        <f t="shared" ca="1" si="50"/>
        <v/>
      </c>
      <c r="AO67" s="1" t="str">
        <f t="shared" ca="1" si="49"/>
        <v/>
      </c>
      <c r="AP67" s="3" t="str">
        <f t="shared" ca="1" si="27"/>
        <v/>
      </c>
      <c r="AQ67" s="3" t="str">
        <f t="shared" ca="1" si="28"/>
        <v/>
      </c>
      <c r="AR67" s="3" t="str">
        <f t="shared" ca="1" si="29"/>
        <v/>
      </c>
      <c r="AS67" s="3" t="str">
        <f t="shared" ca="1" si="30"/>
        <v/>
      </c>
      <c r="AT67" s="3" t="str">
        <f t="shared" ca="1" si="31"/>
        <v/>
      </c>
      <c r="AU67" s="3" t="str">
        <f t="shared" ca="1" si="32"/>
        <v/>
      </c>
      <c r="AV67" s="3" t="str">
        <f t="shared" ca="1" si="33"/>
        <v/>
      </c>
      <c r="AW67" s="3" t="str">
        <f t="shared" ca="1" si="34"/>
        <v/>
      </c>
      <c r="AX67" s="3" t="str">
        <f t="shared" ca="1" si="35"/>
        <v/>
      </c>
      <c r="AY67" s="3" t="str">
        <f t="shared" ca="1" si="36"/>
        <v/>
      </c>
      <c r="AZ67" s="31" t="str">
        <f t="shared" ca="1" si="37"/>
        <v/>
      </c>
      <c r="BA67" s="3" t="str">
        <f t="shared" ca="1" si="38"/>
        <v/>
      </c>
      <c r="BB67" s="3" t="str">
        <f t="shared" ca="1" si="39"/>
        <v/>
      </c>
      <c r="BC67" s="37" t="str">
        <f t="shared" ca="1" si="40"/>
        <v/>
      </c>
      <c r="BD67" s="3" t="str">
        <f t="shared" ca="1" si="41"/>
        <v/>
      </c>
      <c r="BE67" s="3" t="str">
        <f t="shared" ca="1" si="42"/>
        <v/>
      </c>
      <c r="BF67" s="3" t="str">
        <f t="shared" ca="1" si="43"/>
        <v/>
      </c>
      <c r="BG67" s="3" t="str">
        <f t="shared" ca="1" si="44"/>
        <v/>
      </c>
      <c r="BH67" s="3" t="str">
        <f t="shared" ca="1" si="45"/>
        <v/>
      </c>
      <c r="BI67" s="3" t="str">
        <f t="shared" ca="1" si="46"/>
        <v/>
      </c>
      <c r="BJ67" s="3" t="str">
        <f t="shared" ca="1" si="47"/>
        <v/>
      </c>
      <c r="BK67" s="3" t="str">
        <f t="shared" ca="1" si="48"/>
        <v/>
      </c>
      <c r="BL67" s="3" t="str">
        <f t="shared" ca="1" si="25"/>
        <v/>
      </c>
    </row>
    <row r="68" spans="1:64" x14ac:dyDescent="0.25">
      <c r="A68" t="str">
        <f ca="1">IF(AND(LEFT(B68,11)&lt;&gt;"גיליון הזנה",INDIRECT("'"&amp;$B68&amp;"'!"&amp;'גיליון עזר'!$I$1&amp;ROW('מרכז מורשת בבל'!$I$3))=""),"חסרה הזנה","")</f>
        <v/>
      </c>
      <c r="B68" s="200" t="str">
        <f ca="1">'עמותת הנני'!$D$3</f>
        <v>עמותת הנני</v>
      </c>
      <c r="C68" s="20">
        <v>52</v>
      </c>
      <c r="D68" s="40" t="str">
        <f ca="1">IF(OR(LEFT(B68,11)="גיליון הזנה",INDIRECT("'"&amp;$B68&amp;"'!"&amp;'גיליון עזר'!$I$1&amp;ROW('מרכז מורשת בבל'!$I$3))=0),"",B68)</f>
        <v>עמותת הנני</v>
      </c>
      <c r="E68" s="57">
        <f t="array" ref="E68:N68" ca="1">IF($D68="","",TRANSPOSE(INDIRECT("'"&amp;$D68&amp;"'!"&amp;'גיליון עזר'!$D$1&amp;ROW('מרכז מורשת בבל'!$D$16)):INDIRECT("'"&amp;$D68&amp;"'!"&amp;'גיליון עזר'!$D$1&amp;ROW('מרכז מורשת בבל'!$D$25))))</f>
        <v>0</v>
      </c>
      <c r="F68" s="58">
        <f ca="1"/>
        <v>21</v>
      </c>
      <c r="G68" s="58">
        <f ca="1"/>
        <v>0</v>
      </c>
      <c r="H68" s="57">
        <f ca="1"/>
        <v>113</v>
      </c>
      <c r="I68" s="57">
        <f ca="1"/>
        <v>0</v>
      </c>
      <c r="J68" s="57">
        <f ca="1"/>
        <v>0</v>
      </c>
      <c r="K68" s="57">
        <f ca="1"/>
        <v>0</v>
      </c>
      <c r="L68" s="57">
        <f ca="1"/>
        <v>0</v>
      </c>
      <c r="M68" s="57">
        <f ca="1"/>
        <v>0</v>
      </c>
      <c r="N68" s="59">
        <f ca="1"/>
        <v>12</v>
      </c>
      <c r="O68" s="60">
        <f ca="1">IF($D68="","",INDIRECT("'"&amp;$D68&amp;"'!"&amp;'גיליון עזר'!$F$1&amp;ROW('מרכז מורשת בבל'!$B$78)))</f>
        <v>0</v>
      </c>
      <c r="P68" s="58">
        <f t="array" ref="P68:Q68" ca="1">IF($D68="","",TRANSPOSE(INDIRECT("'"&amp;$D68&amp;"'!"&amp;'גיליון עזר'!$G$1&amp;ROW('מרכז מורשת בבל'!$D$16)):INDIRECT("'"&amp;$D68&amp;"'!"&amp;'גיליון עזר'!$G$1&amp;ROW('מרכז מורשת בבל'!$D$17))))</f>
        <v>7</v>
      </c>
      <c r="Q68" s="61">
        <f ca="1"/>
        <v>0</v>
      </c>
      <c r="R68" s="62">
        <f t="array" ref="R68:V68" ca="1">IF($D68="","",TRANSPOSE(INDIRECT("'"&amp;$D68&amp;"'!"&amp;'גיליון עזר'!$N$1&amp;ROW('מרכז מורשת בבל'!$D$16)):INDIRECT("'"&amp;$D68&amp;"'!"&amp;'גיליון עזר'!$N$1&amp;ROW('מרכז מורשת בבל'!$D$20))))</f>
        <v>0</v>
      </c>
      <c r="S68" s="58">
        <f ca="1"/>
        <v>0</v>
      </c>
      <c r="T68" s="58">
        <f ca="1"/>
        <v>0</v>
      </c>
      <c r="U68" s="58">
        <f ca="1"/>
        <v>0</v>
      </c>
      <c r="V68" s="58">
        <f ca="1"/>
        <v>0</v>
      </c>
      <c r="W68" s="60">
        <f ca="1">IF($D68="","",INDIRECT("'"&amp;$D68&amp;"'!"&amp;'גיליון עזר'!$N$1&amp;ROW('מרכז מורשת בבל'!$J$21)))</f>
        <v>0</v>
      </c>
      <c r="X68" s="60">
        <f ca="1">IF($D68="","",INDIRECT("'"&amp;$D68&amp;"'!"&amp;'גיליון עזר'!$L$1&amp;ROW('מרכז מורשת בבל'!$J$78)))</f>
        <v>0</v>
      </c>
      <c r="Y68" s="63">
        <f t="array" ref="Y68:Z68" ca="1">IF($D68="","",TRANSPOSE(INDIRECT("'"&amp;$D68&amp;"'!"&amp;'גיליון עזר'!$J$1&amp;ROW('מרכז מורשת בבל'!$D$17)):INDIRECT("'"&amp;$D68&amp;"'!"&amp;'גיליון עזר'!$J$1&amp;ROW('מרכז מורשת בבל'!$D$18))))</f>
        <v>104493</v>
      </c>
      <c r="Z68" s="63">
        <f ca="1"/>
        <v>713227</v>
      </c>
      <c r="AA68" s="104" t="str">
        <f ca="1">IF($D68="","",IF(INDIRECT("'"&amp;$D68&amp;"'!"&amp;'גיליון עזר'!$J$1&amp;ROW('מרכז מורשת בבל'!$D$21))="","",INDIRECT("'"&amp;$D68&amp;"'!"&amp;'גיליון עזר'!$J$1&amp;ROW('מרכז מורשת בבל'!$D$21))))</f>
        <v/>
      </c>
      <c r="AC68" s="1" t="str">
        <f t="shared" ca="1" si="50"/>
        <v>כינוס</v>
      </c>
      <c r="AD68" s="65" t="str">
        <f t="shared" ca="1" si="50"/>
        <v>הרצאה</v>
      </c>
      <c r="AE68" s="65" t="str">
        <f t="shared" ca="1" si="50"/>
        <v>יום עיון</v>
      </c>
      <c r="AF68" s="65" t="str">
        <f t="shared" ca="1" si="50"/>
        <v>הפקה מורכבת</v>
      </c>
      <c r="AG68" s="1" t="str">
        <f t="shared" ca="1" si="50"/>
        <v>כן</v>
      </c>
      <c r="AH68" s="64" t="str">
        <f t="shared" ca="1" si="50"/>
        <v>לא</v>
      </c>
      <c r="AI68" s="1" t="str">
        <f t="shared" ca="1" si="50"/>
        <v>נאותה</v>
      </c>
      <c r="AJ68" s="1" t="str">
        <f t="shared" ca="1" si="50"/>
        <v>טובה</v>
      </c>
      <c r="AK68" s="64" t="str">
        <f t="shared" ca="1" si="50"/>
        <v>טובה מאוד</v>
      </c>
      <c r="AL68" s="1" t="str">
        <f t="shared" ca="1" si="50"/>
        <v>אחד בשנה</v>
      </c>
      <c r="AM68" s="1" t="str">
        <f t="shared" ca="1" si="50"/>
        <v>שניים בשנה</v>
      </c>
      <c r="AN68" s="1" t="str">
        <f t="shared" ca="1" si="50"/>
        <v>שלוש בשנה</v>
      </c>
      <c r="AO68" s="1" t="str">
        <f t="shared" ca="1" si="49"/>
        <v>מעל 4 בשנה</v>
      </c>
      <c r="AP68" s="3">
        <f t="shared" ca="1" si="27"/>
        <v>0</v>
      </c>
      <c r="AQ68" s="3">
        <f t="shared" ca="1" si="28"/>
        <v>21</v>
      </c>
      <c r="AR68" s="3">
        <f t="shared" ca="1" si="29"/>
        <v>0</v>
      </c>
      <c r="AS68" s="3">
        <f t="shared" ca="1" si="30"/>
        <v>113</v>
      </c>
      <c r="AT68" s="3">
        <f t="shared" ca="1" si="31"/>
        <v>0</v>
      </c>
      <c r="AU68" s="3">
        <f t="shared" ca="1" si="32"/>
        <v>0</v>
      </c>
      <c r="AV68" s="3">
        <f t="shared" ca="1" si="33"/>
        <v>0</v>
      </c>
      <c r="AW68" s="3">
        <f t="shared" ca="1" si="34"/>
        <v>0</v>
      </c>
      <c r="AX68" s="3">
        <f t="shared" ca="1" si="35"/>
        <v>0</v>
      </c>
      <c r="AY68" s="3">
        <f t="shared" ca="1" si="36"/>
        <v>12</v>
      </c>
      <c r="AZ68" s="31">
        <f t="shared" ca="1" si="37"/>
        <v>0</v>
      </c>
      <c r="BA68" s="3">
        <f t="shared" ca="1" si="38"/>
        <v>7</v>
      </c>
      <c r="BB68" s="3">
        <f t="shared" ca="1" si="39"/>
        <v>0</v>
      </c>
      <c r="BC68" s="37">
        <f t="shared" ca="1" si="40"/>
        <v>0</v>
      </c>
      <c r="BD68" s="3">
        <f t="shared" ca="1" si="41"/>
        <v>0</v>
      </c>
      <c r="BE68" s="3">
        <f t="shared" ca="1" si="42"/>
        <v>0</v>
      </c>
      <c r="BF68" s="3">
        <f t="shared" ca="1" si="43"/>
        <v>0</v>
      </c>
      <c r="BG68" s="3">
        <f t="shared" ca="1" si="44"/>
        <v>0</v>
      </c>
      <c r="BH68" s="3">
        <f t="shared" ca="1" si="45"/>
        <v>0</v>
      </c>
      <c r="BI68" s="3">
        <f t="shared" ca="1" si="46"/>
        <v>0</v>
      </c>
      <c r="BJ68" s="3">
        <f t="shared" ca="1" si="47"/>
        <v>104493</v>
      </c>
      <c r="BK68" s="3">
        <f t="shared" ca="1" si="48"/>
        <v>713227</v>
      </c>
      <c r="BL68" s="3" t="str">
        <f t="shared" ca="1" si="25"/>
        <v/>
      </c>
    </row>
    <row r="69" spans="1:64" x14ac:dyDescent="0.25">
      <c r="A69" t="str">
        <f ca="1">IF(AND(LEFT(B69,11)&lt;&gt;"גיליון הזנה",INDIRECT("'"&amp;$B69&amp;"'!"&amp;'גיליון עזר'!$I$1&amp;ROW('מרכז מורשת בבל'!$I$3))=""),"חסרה הזנה","")</f>
        <v/>
      </c>
      <c r="B69" s="200" t="str">
        <f ca="1">'גיליון הזנה 53'!$D$3</f>
        <v>גיליון הזנה 53</v>
      </c>
      <c r="C69" s="20">
        <v>53</v>
      </c>
      <c r="D69" s="40" t="str">
        <f ca="1">IF(OR(LEFT(B69,11)="גיליון הזנה",INDIRECT("'"&amp;$B69&amp;"'!"&amp;'גיליון עזר'!$I$1&amp;ROW('מרכז מורשת בבל'!$I$3))=0),"",B69)</f>
        <v/>
      </c>
      <c r="E69" s="57" t="str">
        <f t="array" aca="1" ref="E69:N69" ca="1">IF($D69="","",TRANSPOSE(INDIRECT("'"&amp;$D69&amp;"'!"&amp;'גיליון עזר'!$D$1&amp;ROW('מרכז מורשת בבל'!$D$16)):INDIRECT("'"&amp;$D69&amp;"'!"&amp;'גיליון עזר'!$D$1&amp;ROW('מרכז מורשת בבל'!$D$25))))</f>
        <v/>
      </c>
      <c r="F69" s="58" t="str">
        <f ca="1"/>
        <v/>
      </c>
      <c r="G69" s="58" t="str">
        <f ca="1"/>
        <v/>
      </c>
      <c r="H69" s="57" t="str">
        <f ca="1"/>
        <v/>
      </c>
      <c r="I69" s="57" t="str">
        <f ca="1"/>
        <v/>
      </c>
      <c r="J69" s="57" t="str">
        <f ca="1"/>
        <v/>
      </c>
      <c r="K69" s="57" t="str">
        <f ca="1"/>
        <v/>
      </c>
      <c r="L69" s="57" t="str">
        <f ca="1"/>
        <v/>
      </c>
      <c r="M69" s="57" t="str">
        <f ca="1"/>
        <v/>
      </c>
      <c r="N69" s="59" t="str">
        <f ca="1"/>
        <v/>
      </c>
      <c r="O69" s="60" t="str">
        <f ca="1">IF($D69="","",INDIRECT("'"&amp;$D69&amp;"'!"&amp;'גיליון עזר'!$F$1&amp;ROW('מרכז מורשת בבל'!$B$78)))</f>
        <v/>
      </c>
      <c r="P69" s="58" t="str">
        <f t="array" aca="1" ref="P69:Q69" ca="1">IF($D69="","",TRANSPOSE(INDIRECT("'"&amp;$D69&amp;"'!"&amp;'גיליון עזר'!$G$1&amp;ROW('מרכז מורשת בבל'!$D$16)):INDIRECT("'"&amp;$D69&amp;"'!"&amp;'גיליון עזר'!$G$1&amp;ROW('מרכז מורשת בבל'!$D$17))))</f>
        <v/>
      </c>
      <c r="Q69" s="61" t="str">
        <f ca="1"/>
        <v/>
      </c>
      <c r="R69" s="62" t="str">
        <f t="array" aca="1" ref="R69:V69" ca="1">IF($D69="","",TRANSPOSE(INDIRECT("'"&amp;$D69&amp;"'!"&amp;'גיליון עזר'!$N$1&amp;ROW('מרכז מורשת בבל'!$D$16)):INDIRECT("'"&amp;$D69&amp;"'!"&amp;'גיליון עזר'!$N$1&amp;ROW('מרכז מורשת בבל'!$D$20))))</f>
        <v/>
      </c>
      <c r="S69" s="58" t="str">
        <f ca="1"/>
        <v/>
      </c>
      <c r="T69" s="58" t="str">
        <f ca="1"/>
        <v/>
      </c>
      <c r="U69" s="58" t="str">
        <f ca="1"/>
        <v/>
      </c>
      <c r="V69" s="58" t="str">
        <f ca="1"/>
        <v/>
      </c>
      <c r="W69" s="60" t="str">
        <f ca="1">IF($D69="","",INDIRECT("'"&amp;$D69&amp;"'!"&amp;'גיליון עזר'!$N$1&amp;ROW('מרכז מורשת בבל'!$J$21)))</f>
        <v/>
      </c>
      <c r="X69" s="60" t="str">
        <f ca="1">IF($D69="","",INDIRECT("'"&amp;$D69&amp;"'!"&amp;'גיליון עזר'!$L$1&amp;ROW('מרכז מורשת בבל'!$J$78)))</f>
        <v/>
      </c>
      <c r="Y69" s="63" t="str">
        <f t="array" aca="1" ref="Y69:Z69" ca="1">IF($D69="","",TRANSPOSE(INDIRECT("'"&amp;$D69&amp;"'!"&amp;'גיליון עזר'!$J$1&amp;ROW('מרכז מורשת בבל'!$D$17)):INDIRECT("'"&amp;$D69&amp;"'!"&amp;'גיליון עזר'!$J$1&amp;ROW('מרכז מורשת בבל'!$D$18))))</f>
        <v/>
      </c>
      <c r="Z69" s="63" t="str">
        <f ca="1"/>
        <v/>
      </c>
      <c r="AA69" s="104" t="str">
        <f ca="1">IF($D69="","",IF(INDIRECT("'"&amp;$D69&amp;"'!"&amp;'גיליון עזר'!$J$1&amp;ROW('מרכז מורשת בבל'!$D$21))="","",INDIRECT("'"&amp;$D69&amp;"'!"&amp;'גיליון עזר'!$J$1&amp;ROW('מרכז מורשת בבל'!$D$21))))</f>
        <v/>
      </c>
      <c r="AC69" s="1" t="str">
        <f t="shared" ca="1" si="50"/>
        <v/>
      </c>
      <c r="AD69" s="65" t="str">
        <f t="shared" ca="1" si="50"/>
        <v/>
      </c>
      <c r="AE69" s="65" t="str">
        <f t="shared" ca="1" si="50"/>
        <v/>
      </c>
      <c r="AF69" s="65" t="str">
        <f t="shared" ca="1" si="50"/>
        <v/>
      </c>
      <c r="AG69" s="1" t="str">
        <f t="shared" ca="1" si="50"/>
        <v/>
      </c>
      <c r="AH69" s="64" t="str">
        <f t="shared" ca="1" si="50"/>
        <v/>
      </c>
      <c r="AI69" s="1" t="str">
        <f t="shared" ca="1" si="50"/>
        <v/>
      </c>
      <c r="AJ69" s="1" t="str">
        <f t="shared" ca="1" si="50"/>
        <v/>
      </c>
      <c r="AK69" s="64" t="str">
        <f t="shared" ca="1" si="50"/>
        <v/>
      </c>
      <c r="AL69" s="1" t="str">
        <f t="shared" ca="1" si="50"/>
        <v/>
      </c>
      <c r="AM69" s="1" t="str">
        <f t="shared" ca="1" si="50"/>
        <v/>
      </c>
      <c r="AN69" s="1" t="str">
        <f t="shared" ca="1" si="50"/>
        <v/>
      </c>
      <c r="AO69" s="1" t="str">
        <f t="shared" ca="1" si="49"/>
        <v/>
      </c>
      <c r="AP69" s="3" t="str">
        <f t="shared" ca="1" si="27"/>
        <v/>
      </c>
      <c r="AQ69" s="3" t="str">
        <f t="shared" ca="1" si="28"/>
        <v/>
      </c>
      <c r="AR69" s="3" t="str">
        <f t="shared" ca="1" si="29"/>
        <v/>
      </c>
      <c r="AS69" s="3" t="str">
        <f t="shared" ca="1" si="30"/>
        <v/>
      </c>
      <c r="AT69" s="3" t="str">
        <f t="shared" ca="1" si="31"/>
        <v/>
      </c>
      <c r="AU69" s="3" t="str">
        <f t="shared" ca="1" si="32"/>
        <v/>
      </c>
      <c r="AV69" s="3" t="str">
        <f t="shared" ca="1" si="33"/>
        <v/>
      </c>
      <c r="AW69" s="3" t="str">
        <f t="shared" ca="1" si="34"/>
        <v/>
      </c>
      <c r="AX69" s="3" t="str">
        <f t="shared" ca="1" si="35"/>
        <v/>
      </c>
      <c r="AY69" s="3" t="str">
        <f t="shared" ca="1" si="36"/>
        <v/>
      </c>
      <c r="AZ69" s="31" t="str">
        <f t="shared" ca="1" si="37"/>
        <v/>
      </c>
      <c r="BA69" s="3" t="str">
        <f t="shared" ca="1" si="38"/>
        <v/>
      </c>
      <c r="BB69" s="3" t="str">
        <f t="shared" ca="1" si="39"/>
        <v/>
      </c>
      <c r="BC69" s="37" t="str">
        <f t="shared" ca="1" si="40"/>
        <v/>
      </c>
      <c r="BD69" s="3" t="str">
        <f t="shared" ca="1" si="41"/>
        <v/>
      </c>
      <c r="BE69" s="3" t="str">
        <f t="shared" ca="1" si="42"/>
        <v/>
      </c>
      <c r="BF69" s="3" t="str">
        <f t="shared" ca="1" si="43"/>
        <v/>
      </c>
      <c r="BG69" s="3" t="str">
        <f t="shared" ca="1" si="44"/>
        <v/>
      </c>
      <c r="BH69" s="3" t="str">
        <f t="shared" ca="1" si="45"/>
        <v/>
      </c>
      <c r="BI69" s="3" t="str">
        <f t="shared" ca="1" si="46"/>
        <v/>
      </c>
      <c r="BJ69" s="3" t="str">
        <f t="shared" ca="1" si="47"/>
        <v/>
      </c>
      <c r="BK69" s="3" t="str">
        <f t="shared" ca="1" si="48"/>
        <v/>
      </c>
      <c r="BL69" s="3" t="str">
        <f t="shared" ca="1" si="25"/>
        <v/>
      </c>
    </row>
    <row r="70" spans="1:64" x14ac:dyDescent="0.25">
      <c r="A70" t="str">
        <f ca="1">IF(AND(LEFT(B70,11)&lt;&gt;"גיליון הזנה",INDIRECT("'"&amp;$B70&amp;"'!"&amp;'גיליון עזר'!$I$1&amp;ROW('מרכז מורשת בבל'!$I$3))=""),"חסרה הזנה","")</f>
        <v/>
      </c>
      <c r="B70" s="200" t="str">
        <f ca="1">'גיליון הזנה 54'!$D$3</f>
        <v>גיליון הזנה 54</v>
      </c>
      <c r="C70" s="20">
        <v>54</v>
      </c>
      <c r="D70" s="40" t="str">
        <f ca="1">IF(OR(LEFT(B70,11)="גיליון הזנה",INDIRECT("'"&amp;$B70&amp;"'!"&amp;'גיליון עזר'!$I$1&amp;ROW('מרכז מורשת בבל'!$I$3))=0),"",B70)</f>
        <v/>
      </c>
      <c r="E70" s="57" t="str">
        <f t="array" aca="1" ref="E70:N70" ca="1">IF($D70="","",TRANSPOSE(INDIRECT("'"&amp;$D70&amp;"'!"&amp;'גיליון עזר'!$D$1&amp;ROW('מרכז מורשת בבל'!$D$16)):INDIRECT("'"&amp;$D70&amp;"'!"&amp;'גיליון עזר'!$D$1&amp;ROW('מרכז מורשת בבל'!$D$25))))</f>
        <v/>
      </c>
      <c r="F70" s="58" t="str">
        <f ca="1"/>
        <v/>
      </c>
      <c r="G70" s="58" t="str">
        <f ca="1"/>
        <v/>
      </c>
      <c r="H70" s="57" t="str">
        <f ca="1"/>
        <v/>
      </c>
      <c r="I70" s="57" t="str">
        <f ca="1"/>
        <v/>
      </c>
      <c r="J70" s="57" t="str">
        <f ca="1"/>
        <v/>
      </c>
      <c r="K70" s="57" t="str">
        <f ca="1"/>
        <v/>
      </c>
      <c r="L70" s="57" t="str">
        <f ca="1"/>
        <v/>
      </c>
      <c r="M70" s="57" t="str">
        <f ca="1"/>
        <v/>
      </c>
      <c r="N70" s="59" t="str">
        <f ca="1"/>
        <v/>
      </c>
      <c r="O70" s="60" t="str">
        <f ca="1">IF($D70="","",INDIRECT("'"&amp;$D70&amp;"'!"&amp;'גיליון עזר'!$F$1&amp;ROW('מרכז מורשת בבל'!$B$78)))</f>
        <v/>
      </c>
      <c r="P70" s="58" t="str">
        <f t="array" aca="1" ref="P70:Q70" ca="1">IF($D70="","",TRANSPOSE(INDIRECT("'"&amp;$D70&amp;"'!"&amp;'גיליון עזר'!$G$1&amp;ROW('מרכז מורשת בבל'!$D$16)):INDIRECT("'"&amp;$D70&amp;"'!"&amp;'גיליון עזר'!$G$1&amp;ROW('מרכז מורשת בבל'!$D$17))))</f>
        <v/>
      </c>
      <c r="Q70" s="61" t="str">
        <f ca="1"/>
        <v/>
      </c>
      <c r="R70" s="62" t="str">
        <f t="array" aca="1" ref="R70:V70" ca="1">IF($D70="","",TRANSPOSE(INDIRECT("'"&amp;$D70&amp;"'!"&amp;'גיליון עזר'!$N$1&amp;ROW('מרכז מורשת בבל'!$D$16)):INDIRECT("'"&amp;$D70&amp;"'!"&amp;'גיליון עזר'!$N$1&amp;ROW('מרכז מורשת בבל'!$D$20))))</f>
        <v/>
      </c>
      <c r="S70" s="58" t="str">
        <f ca="1"/>
        <v/>
      </c>
      <c r="T70" s="58" t="str">
        <f ca="1"/>
        <v/>
      </c>
      <c r="U70" s="58" t="str">
        <f ca="1"/>
        <v/>
      </c>
      <c r="V70" s="58" t="str">
        <f ca="1"/>
        <v/>
      </c>
      <c r="W70" s="60" t="str">
        <f ca="1">IF($D70="","",INDIRECT("'"&amp;$D70&amp;"'!"&amp;'גיליון עזר'!$N$1&amp;ROW('מרכז מורשת בבל'!$J$21)))</f>
        <v/>
      </c>
      <c r="X70" s="60" t="str">
        <f ca="1">IF($D70="","",INDIRECT("'"&amp;$D70&amp;"'!"&amp;'גיליון עזר'!$L$1&amp;ROW('מרכז מורשת בבל'!$J$78)))</f>
        <v/>
      </c>
      <c r="Y70" s="63" t="str">
        <f t="array" aca="1" ref="Y70:Z70" ca="1">IF($D70="","",TRANSPOSE(INDIRECT("'"&amp;$D70&amp;"'!"&amp;'גיליון עזר'!$J$1&amp;ROW('מרכז מורשת בבל'!$D$17)):INDIRECT("'"&amp;$D70&amp;"'!"&amp;'גיליון עזר'!$J$1&amp;ROW('מרכז מורשת בבל'!$D$18))))</f>
        <v/>
      </c>
      <c r="Z70" s="63" t="str">
        <f ca="1"/>
        <v/>
      </c>
      <c r="AA70" s="104" t="str">
        <f ca="1">IF($D70="","",IF(INDIRECT("'"&amp;$D70&amp;"'!"&amp;'גיליון עזר'!$J$1&amp;ROW('מרכז מורשת בבל'!$D$21))="","",INDIRECT("'"&amp;$D70&amp;"'!"&amp;'גיליון עזר'!$J$1&amp;ROW('מרכז מורשת בבל'!$D$21))))</f>
        <v/>
      </c>
      <c r="AC70" s="1" t="str">
        <f t="shared" ca="1" si="50"/>
        <v/>
      </c>
      <c r="AD70" s="65" t="str">
        <f t="shared" ca="1" si="50"/>
        <v/>
      </c>
      <c r="AE70" s="65" t="str">
        <f t="shared" ca="1" si="50"/>
        <v/>
      </c>
      <c r="AF70" s="65" t="str">
        <f t="shared" ca="1" si="50"/>
        <v/>
      </c>
      <c r="AG70" s="1" t="str">
        <f t="shared" ca="1" si="50"/>
        <v/>
      </c>
      <c r="AH70" s="64" t="str">
        <f t="shared" ca="1" si="50"/>
        <v/>
      </c>
      <c r="AI70" s="1" t="str">
        <f t="shared" ca="1" si="50"/>
        <v/>
      </c>
      <c r="AJ70" s="1" t="str">
        <f t="shared" ca="1" si="50"/>
        <v/>
      </c>
      <c r="AK70" s="64" t="str">
        <f t="shared" ca="1" si="50"/>
        <v/>
      </c>
      <c r="AL70" s="1" t="str">
        <f t="shared" ca="1" si="50"/>
        <v/>
      </c>
      <c r="AM70" s="1" t="str">
        <f t="shared" ca="1" si="50"/>
        <v/>
      </c>
      <c r="AN70" s="1" t="str">
        <f t="shared" ca="1" si="50"/>
        <v/>
      </c>
      <c r="AO70" s="1" t="str">
        <f t="shared" ca="1" si="49"/>
        <v/>
      </c>
      <c r="AP70" s="3" t="str">
        <f t="shared" ca="1" si="27"/>
        <v/>
      </c>
      <c r="AQ70" s="3" t="str">
        <f t="shared" ca="1" si="28"/>
        <v/>
      </c>
      <c r="AR70" s="3" t="str">
        <f t="shared" ca="1" si="29"/>
        <v/>
      </c>
      <c r="AS70" s="3" t="str">
        <f t="shared" ca="1" si="30"/>
        <v/>
      </c>
      <c r="AT70" s="3" t="str">
        <f t="shared" ca="1" si="31"/>
        <v/>
      </c>
      <c r="AU70" s="3" t="str">
        <f t="shared" ca="1" si="32"/>
        <v/>
      </c>
      <c r="AV70" s="3" t="str">
        <f t="shared" ca="1" si="33"/>
        <v/>
      </c>
      <c r="AW70" s="3" t="str">
        <f t="shared" ca="1" si="34"/>
        <v/>
      </c>
      <c r="AX70" s="3" t="str">
        <f t="shared" ca="1" si="35"/>
        <v/>
      </c>
      <c r="AY70" s="3" t="str">
        <f t="shared" ca="1" si="36"/>
        <v/>
      </c>
      <c r="AZ70" s="31" t="str">
        <f t="shared" ca="1" si="37"/>
        <v/>
      </c>
      <c r="BA70" s="3" t="str">
        <f t="shared" ca="1" si="38"/>
        <v/>
      </c>
      <c r="BB70" s="3" t="str">
        <f t="shared" ca="1" si="39"/>
        <v/>
      </c>
      <c r="BC70" s="37" t="str">
        <f t="shared" ca="1" si="40"/>
        <v/>
      </c>
      <c r="BD70" s="3" t="str">
        <f t="shared" ca="1" si="41"/>
        <v/>
      </c>
      <c r="BE70" s="3" t="str">
        <f t="shared" ca="1" si="42"/>
        <v/>
      </c>
      <c r="BF70" s="3" t="str">
        <f t="shared" ca="1" si="43"/>
        <v/>
      </c>
      <c r="BG70" s="3" t="str">
        <f t="shared" ca="1" si="44"/>
        <v/>
      </c>
      <c r="BH70" s="3" t="str">
        <f t="shared" ca="1" si="45"/>
        <v/>
      </c>
      <c r="BI70" s="3" t="str">
        <f t="shared" ca="1" si="46"/>
        <v/>
      </c>
      <c r="BJ70" s="3" t="str">
        <f t="shared" ca="1" si="47"/>
        <v/>
      </c>
      <c r="BK70" s="3" t="str">
        <f t="shared" ca="1" si="48"/>
        <v/>
      </c>
      <c r="BL70" s="3" t="str">
        <f t="shared" ca="1" si="25"/>
        <v/>
      </c>
    </row>
    <row r="71" spans="1:64" x14ac:dyDescent="0.25">
      <c r="A71" t="str">
        <f ca="1">IF(AND(LEFT(B71,11)&lt;&gt;"גיליון הזנה",INDIRECT("'"&amp;$B71&amp;"'!"&amp;'גיליון עזר'!$I$1&amp;ROW('מרכז מורשת בבל'!$I$3))=""),"חסרה הזנה","")</f>
        <v/>
      </c>
      <c r="B71" s="200" t="str">
        <f ca="1">'גיליון הזנה 43'!$D$3</f>
        <v>גיליון הזנה 43</v>
      </c>
      <c r="C71" s="20">
        <v>55</v>
      </c>
      <c r="D71" s="40" t="str">
        <f ca="1">IF(OR(LEFT(B71,11)="גיליון הזנה",INDIRECT("'"&amp;$B71&amp;"'!"&amp;'גיליון עזר'!$I$1&amp;ROW('מרכז מורשת בבל'!$I$3))=0),"",B71)</f>
        <v/>
      </c>
      <c r="E71" s="57" t="str">
        <f t="array" aca="1" ref="E71:N71" ca="1">IF($D71="","",TRANSPOSE(INDIRECT("'"&amp;$D71&amp;"'!"&amp;'גיליון עזר'!$D$1&amp;ROW('מרכז מורשת בבל'!$D$16)):INDIRECT("'"&amp;$D71&amp;"'!"&amp;'גיליון עזר'!$D$1&amp;ROW('מרכז מורשת בבל'!$D$25))))</f>
        <v/>
      </c>
      <c r="F71" s="58" t="str">
        <f ca="1"/>
        <v/>
      </c>
      <c r="G71" s="58" t="str">
        <f ca="1"/>
        <v/>
      </c>
      <c r="H71" s="57" t="str">
        <f ca="1"/>
        <v/>
      </c>
      <c r="I71" s="57" t="str">
        <f ca="1"/>
        <v/>
      </c>
      <c r="J71" s="57" t="str">
        <f ca="1"/>
        <v/>
      </c>
      <c r="K71" s="57" t="str">
        <f ca="1"/>
        <v/>
      </c>
      <c r="L71" s="57" t="str">
        <f ca="1"/>
        <v/>
      </c>
      <c r="M71" s="57" t="str">
        <f ca="1"/>
        <v/>
      </c>
      <c r="N71" s="59" t="str">
        <f ca="1"/>
        <v/>
      </c>
      <c r="O71" s="60" t="str">
        <f ca="1">IF($D71="","",INDIRECT("'"&amp;$D71&amp;"'!"&amp;'גיליון עזר'!$F$1&amp;ROW('מרכז מורשת בבל'!$B$78)))</f>
        <v/>
      </c>
      <c r="P71" s="58" t="str">
        <f t="array" aca="1" ref="P71:Q71" ca="1">IF($D71="","",TRANSPOSE(INDIRECT("'"&amp;$D71&amp;"'!"&amp;'גיליון עזר'!$G$1&amp;ROW('מרכז מורשת בבל'!$D$16)):INDIRECT("'"&amp;$D71&amp;"'!"&amp;'גיליון עזר'!$G$1&amp;ROW('מרכז מורשת בבל'!$D$17))))</f>
        <v/>
      </c>
      <c r="Q71" s="61" t="str">
        <f ca="1"/>
        <v/>
      </c>
      <c r="R71" s="62" t="str">
        <f t="array" aca="1" ref="R71:V71" ca="1">IF($D71="","",TRANSPOSE(INDIRECT("'"&amp;$D71&amp;"'!"&amp;'גיליון עזר'!$N$1&amp;ROW('מרכז מורשת בבל'!$D$16)):INDIRECT("'"&amp;$D71&amp;"'!"&amp;'גיליון עזר'!$N$1&amp;ROW('מרכז מורשת בבל'!$D$20))))</f>
        <v/>
      </c>
      <c r="S71" s="58" t="str">
        <f ca="1"/>
        <v/>
      </c>
      <c r="T71" s="58" t="str">
        <f ca="1"/>
        <v/>
      </c>
      <c r="U71" s="58" t="str">
        <f ca="1"/>
        <v/>
      </c>
      <c r="V71" s="58" t="str">
        <f ca="1"/>
        <v/>
      </c>
      <c r="W71" s="60" t="str">
        <f ca="1">IF($D71="","",INDIRECT("'"&amp;$D71&amp;"'!"&amp;'גיליון עזר'!$N$1&amp;ROW('מרכז מורשת בבל'!$J$21)))</f>
        <v/>
      </c>
      <c r="X71" s="60" t="str">
        <f ca="1">IF($D71="","",INDIRECT("'"&amp;$D71&amp;"'!"&amp;'גיליון עזר'!$L$1&amp;ROW('מרכז מורשת בבל'!$J$78)))</f>
        <v/>
      </c>
      <c r="Y71" s="63" t="str">
        <f t="array" aca="1" ref="Y71:Z71" ca="1">IF($D71="","",TRANSPOSE(INDIRECT("'"&amp;$D71&amp;"'!"&amp;'גיליון עזר'!$J$1&amp;ROW('מרכז מורשת בבל'!$D$17)):INDIRECT("'"&amp;$D71&amp;"'!"&amp;'גיליון עזר'!$J$1&amp;ROW('מרכז מורשת בבל'!$D$18))))</f>
        <v/>
      </c>
      <c r="Z71" s="63" t="str">
        <f ca="1"/>
        <v/>
      </c>
      <c r="AA71" s="104" t="str">
        <f ca="1">IF($D71="","",IF(INDIRECT("'"&amp;$D71&amp;"'!"&amp;'גיליון עזר'!$J$1&amp;ROW('מרכז מורשת בבל'!$D$21))="","",INDIRECT("'"&amp;$D71&amp;"'!"&amp;'גיליון עזר'!$J$1&amp;ROW('מרכז מורשת בבל'!$D$21))))</f>
        <v/>
      </c>
      <c r="AC71" s="1" t="str">
        <f t="shared" ca="1" si="50"/>
        <v/>
      </c>
      <c r="AD71" s="65" t="str">
        <f t="shared" ca="1" si="50"/>
        <v/>
      </c>
      <c r="AE71" s="65" t="str">
        <f t="shared" ca="1" si="50"/>
        <v/>
      </c>
      <c r="AF71" s="65" t="str">
        <f t="shared" ca="1" si="50"/>
        <v/>
      </c>
      <c r="AG71" s="1" t="str">
        <f t="shared" ca="1" si="50"/>
        <v/>
      </c>
      <c r="AH71" s="64" t="str">
        <f t="shared" ca="1" si="50"/>
        <v/>
      </c>
      <c r="AI71" s="1" t="str">
        <f t="shared" ca="1" si="50"/>
        <v/>
      </c>
      <c r="AJ71" s="1" t="str">
        <f t="shared" ca="1" si="50"/>
        <v/>
      </c>
      <c r="AK71" s="64" t="str">
        <f t="shared" ca="1" si="50"/>
        <v/>
      </c>
      <c r="AL71" s="1" t="str">
        <f t="shared" ca="1" si="50"/>
        <v/>
      </c>
      <c r="AM71" s="1" t="str">
        <f t="shared" ca="1" si="50"/>
        <v/>
      </c>
      <c r="AN71" s="1" t="str">
        <f t="shared" ca="1" si="50"/>
        <v/>
      </c>
      <c r="AO71" s="1" t="str">
        <f t="shared" ca="1" si="49"/>
        <v/>
      </c>
      <c r="AP71" s="3" t="str">
        <f t="shared" ca="1" si="27"/>
        <v/>
      </c>
      <c r="AQ71" s="3" t="str">
        <f t="shared" ca="1" si="28"/>
        <v/>
      </c>
      <c r="AR71" s="3" t="str">
        <f t="shared" ca="1" si="29"/>
        <v/>
      </c>
      <c r="AS71" s="3" t="str">
        <f t="shared" ca="1" si="30"/>
        <v/>
      </c>
      <c r="AT71" s="3" t="str">
        <f t="shared" ca="1" si="31"/>
        <v/>
      </c>
      <c r="AU71" s="3" t="str">
        <f t="shared" ca="1" si="32"/>
        <v/>
      </c>
      <c r="AV71" s="3" t="str">
        <f t="shared" ca="1" si="33"/>
        <v/>
      </c>
      <c r="AW71" s="3" t="str">
        <f t="shared" ca="1" si="34"/>
        <v/>
      </c>
      <c r="AX71" s="3" t="str">
        <f t="shared" ca="1" si="35"/>
        <v/>
      </c>
      <c r="AY71" s="3" t="str">
        <f t="shared" ca="1" si="36"/>
        <v/>
      </c>
      <c r="AZ71" s="31" t="str">
        <f t="shared" ca="1" si="37"/>
        <v/>
      </c>
      <c r="BA71" s="3" t="str">
        <f t="shared" ca="1" si="38"/>
        <v/>
      </c>
      <c r="BB71" s="3" t="str">
        <f t="shared" ca="1" si="39"/>
        <v/>
      </c>
      <c r="BC71" s="37" t="str">
        <f t="shared" ca="1" si="40"/>
        <v/>
      </c>
      <c r="BD71" s="3" t="str">
        <f t="shared" ca="1" si="41"/>
        <v/>
      </c>
      <c r="BE71" s="3" t="str">
        <f t="shared" ca="1" si="42"/>
        <v/>
      </c>
      <c r="BF71" s="3" t="str">
        <f t="shared" ca="1" si="43"/>
        <v/>
      </c>
      <c r="BG71" s="3" t="str">
        <f t="shared" ca="1" si="44"/>
        <v/>
      </c>
      <c r="BH71" s="3" t="str">
        <f t="shared" ca="1" si="45"/>
        <v/>
      </c>
      <c r="BI71" s="3" t="str">
        <f t="shared" ca="1" si="46"/>
        <v/>
      </c>
      <c r="BJ71" s="3" t="str">
        <f t="shared" ca="1" si="47"/>
        <v/>
      </c>
      <c r="BK71" s="3" t="str">
        <f t="shared" ca="1" si="48"/>
        <v/>
      </c>
      <c r="BL71" s="3" t="str">
        <f t="shared" ca="1" si="25"/>
        <v/>
      </c>
    </row>
    <row r="72" spans="1:64" x14ac:dyDescent="0.25">
      <c r="A72" t="str">
        <f ca="1">IF(AND(LEFT(B72,11)&lt;&gt;"גיליון הזנה",INDIRECT("'"&amp;$B72&amp;"'!"&amp;'גיליון עזר'!$I$1&amp;ROW('מרכז מורשת בבל'!$I$3))=""),"חסרה הזנה","")</f>
        <v/>
      </c>
      <c r="B72" s="200" t="str">
        <f ca="1">'גיליון הזנה 56'!$D$3</f>
        <v>גיליון הזנה 56</v>
      </c>
      <c r="C72" s="20">
        <v>56</v>
      </c>
      <c r="D72" s="40" t="str">
        <f ca="1">IF(OR(LEFT(B72,11)="גיליון הזנה",INDIRECT("'"&amp;$B72&amp;"'!"&amp;'גיליון עזר'!$I$1&amp;ROW('מרכז מורשת בבל'!$I$3))=0),"",B72)</f>
        <v/>
      </c>
      <c r="E72" s="57" t="str">
        <f t="array" aca="1" ref="E72:N72" ca="1">IF($D72="","",TRANSPOSE(INDIRECT("'"&amp;$D72&amp;"'!"&amp;'גיליון עזר'!$D$1&amp;ROW('מרכז מורשת בבל'!$D$16)):INDIRECT("'"&amp;$D72&amp;"'!"&amp;'גיליון עזר'!$D$1&amp;ROW('מרכז מורשת בבל'!$D$25))))</f>
        <v/>
      </c>
      <c r="F72" s="58" t="str">
        <f ca="1"/>
        <v/>
      </c>
      <c r="G72" s="58" t="str">
        <f ca="1"/>
        <v/>
      </c>
      <c r="H72" s="57" t="str">
        <f ca="1"/>
        <v/>
      </c>
      <c r="I72" s="57" t="str">
        <f ca="1"/>
        <v/>
      </c>
      <c r="J72" s="57" t="str">
        <f ca="1"/>
        <v/>
      </c>
      <c r="K72" s="57" t="str">
        <f ca="1"/>
        <v/>
      </c>
      <c r="L72" s="57" t="str">
        <f ca="1"/>
        <v/>
      </c>
      <c r="M72" s="57" t="str">
        <f ca="1"/>
        <v/>
      </c>
      <c r="N72" s="59" t="str">
        <f ca="1"/>
        <v/>
      </c>
      <c r="O72" s="60" t="str">
        <f ca="1">IF($D72="","",INDIRECT("'"&amp;$D72&amp;"'!"&amp;'גיליון עזר'!$F$1&amp;ROW('מרכז מורשת בבל'!$B$78)))</f>
        <v/>
      </c>
      <c r="P72" s="58" t="str">
        <f t="array" aca="1" ref="P72:Q72" ca="1">IF($D72="","",TRANSPOSE(INDIRECT("'"&amp;$D72&amp;"'!"&amp;'גיליון עזר'!$G$1&amp;ROW('מרכז מורשת בבל'!$D$16)):INDIRECT("'"&amp;$D72&amp;"'!"&amp;'גיליון עזר'!$G$1&amp;ROW('מרכז מורשת בבל'!$D$17))))</f>
        <v/>
      </c>
      <c r="Q72" s="61" t="str">
        <f ca="1"/>
        <v/>
      </c>
      <c r="R72" s="62" t="str">
        <f t="array" aca="1" ref="R72:V72" ca="1">IF($D72="","",TRANSPOSE(INDIRECT("'"&amp;$D72&amp;"'!"&amp;'גיליון עזר'!$N$1&amp;ROW('מרכז מורשת בבל'!$D$16)):INDIRECT("'"&amp;$D72&amp;"'!"&amp;'גיליון עזר'!$N$1&amp;ROW('מרכז מורשת בבל'!$D$20))))</f>
        <v/>
      </c>
      <c r="S72" s="58" t="str">
        <f ca="1"/>
        <v/>
      </c>
      <c r="T72" s="58" t="str">
        <f ca="1"/>
        <v/>
      </c>
      <c r="U72" s="58" t="str">
        <f ca="1"/>
        <v/>
      </c>
      <c r="V72" s="58" t="str">
        <f ca="1"/>
        <v/>
      </c>
      <c r="W72" s="60" t="str">
        <f ca="1">IF($D72="","",INDIRECT("'"&amp;$D72&amp;"'!"&amp;'גיליון עזר'!$N$1&amp;ROW('מרכז מורשת בבל'!$J$21)))</f>
        <v/>
      </c>
      <c r="X72" s="60" t="str">
        <f ca="1">IF($D72="","",INDIRECT("'"&amp;$D72&amp;"'!"&amp;'גיליון עזר'!$L$1&amp;ROW('מרכז מורשת בבל'!$J$78)))</f>
        <v/>
      </c>
      <c r="Y72" s="63" t="str">
        <f t="array" aca="1" ref="Y72:Z72" ca="1">IF($D72="","",TRANSPOSE(INDIRECT("'"&amp;$D72&amp;"'!"&amp;'גיליון עזר'!$J$1&amp;ROW('מרכז מורשת בבל'!$D$17)):INDIRECT("'"&amp;$D72&amp;"'!"&amp;'גיליון עזר'!$J$1&amp;ROW('מרכז מורשת בבל'!$D$18))))</f>
        <v/>
      </c>
      <c r="Z72" s="63" t="str">
        <f ca="1"/>
        <v/>
      </c>
      <c r="AA72" s="104" t="str">
        <f ca="1">IF($D72="","",IF(INDIRECT("'"&amp;$D72&amp;"'!"&amp;'גיליון עזר'!$J$1&amp;ROW('מרכז מורשת בבל'!$D$21))="","",INDIRECT("'"&amp;$D72&amp;"'!"&amp;'גיליון עזר'!$J$1&amp;ROW('מרכז מורשת בבל'!$D$21))))</f>
        <v/>
      </c>
      <c r="AC72" s="1" t="str">
        <f t="shared" ca="1" si="50"/>
        <v/>
      </c>
      <c r="AD72" s="65" t="str">
        <f t="shared" ca="1" si="50"/>
        <v/>
      </c>
      <c r="AE72" s="65" t="str">
        <f t="shared" ca="1" si="50"/>
        <v/>
      </c>
      <c r="AF72" s="65" t="str">
        <f t="shared" ca="1" si="50"/>
        <v/>
      </c>
      <c r="AG72" s="1" t="str">
        <f t="shared" ca="1" si="50"/>
        <v/>
      </c>
      <c r="AH72" s="64" t="str">
        <f t="shared" ca="1" si="50"/>
        <v/>
      </c>
      <c r="AI72" s="1" t="str">
        <f t="shared" ca="1" si="50"/>
        <v/>
      </c>
      <c r="AJ72" s="1" t="str">
        <f t="shared" ca="1" si="50"/>
        <v/>
      </c>
      <c r="AK72" s="64" t="str">
        <f t="shared" ca="1" si="50"/>
        <v/>
      </c>
      <c r="AL72" s="1" t="str">
        <f t="shared" ca="1" si="50"/>
        <v/>
      </c>
      <c r="AM72" s="1" t="str">
        <f t="shared" ca="1" si="50"/>
        <v/>
      </c>
      <c r="AN72" s="1" t="str">
        <f t="shared" ca="1" si="50"/>
        <v/>
      </c>
      <c r="AO72" s="1" t="str">
        <f t="shared" ca="1" si="49"/>
        <v/>
      </c>
      <c r="AP72" s="3" t="str">
        <f t="shared" ca="1" si="27"/>
        <v/>
      </c>
      <c r="AQ72" s="3" t="str">
        <f t="shared" ca="1" si="28"/>
        <v/>
      </c>
      <c r="AR72" s="3" t="str">
        <f t="shared" ca="1" si="29"/>
        <v/>
      </c>
      <c r="AS72" s="3" t="str">
        <f t="shared" ca="1" si="30"/>
        <v/>
      </c>
      <c r="AT72" s="3" t="str">
        <f t="shared" ca="1" si="31"/>
        <v/>
      </c>
      <c r="AU72" s="3" t="str">
        <f t="shared" ca="1" si="32"/>
        <v/>
      </c>
      <c r="AV72" s="3" t="str">
        <f t="shared" ca="1" si="33"/>
        <v/>
      </c>
      <c r="AW72" s="3" t="str">
        <f t="shared" ca="1" si="34"/>
        <v/>
      </c>
      <c r="AX72" s="3" t="str">
        <f t="shared" ca="1" si="35"/>
        <v/>
      </c>
      <c r="AY72" s="3" t="str">
        <f t="shared" ca="1" si="36"/>
        <v/>
      </c>
      <c r="AZ72" s="31" t="str">
        <f t="shared" ca="1" si="37"/>
        <v/>
      </c>
      <c r="BA72" s="3" t="str">
        <f t="shared" ca="1" si="38"/>
        <v/>
      </c>
      <c r="BB72" s="3" t="str">
        <f t="shared" ca="1" si="39"/>
        <v/>
      </c>
      <c r="BC72" s="37" t="str">
        <f t="shared" ca="1" si="40"/>
        <v/>
      </c>
      <c r="BD72" s="3" t="str">
        <f t="shared" ca="1" si="41"/>
        <v/>
      </c>
      <c r="BE72" s="3" t="str">
        <f t="shared" ca="1" si="42"/>
        <v/>
      </c>
      <c r="BF72" s="3" t="str">
        <f t="shared" ca="1" si="43"/>
        <v/>
      </c>
      <c r="BG72" s="3" t="str">
        <f t="shared" ca="1" si="44"/>
        <v/>
      </c>
      <c r="BH72" s="3" t="str">
        <f t="shared" ca="1" si="45"/>
        <v/>
      </c>
      <c r="BI72" s="3" t="str">
        <f t="shared" ca="1" si="46"/>
        <v/>
      </c>
      <c r="BJ72" s="3" t="str">
        <f t="shared" ca="1" si="47"/>
        <v/>
      </c>
      <c r="BK72" s="3" t="str">
        <f t="shared" ca="1" si="48"/>
        <v/>
      </c>
      <c r="BL72" s="3" t="str">
        <f t="shared" ca="1" si="25"/>
        <v/>
      </c>
    </row>
    <row r="73" spans="1:64" x14ac:dyDescent="0.25">
      <c r="A73" t="str">
        <f ca="1">IF(AND(LEFT(B73,11)&lt;&gt;"גיליון הזנה",INDIRECT("'"&amp;$B73&amp;"'!"&amp;'גיליון עזר'!$I$1&amp;ROW('מרכז מורשת בבל'!$I$3))=""),"חסרה הזנה","")</f>
        <v/>
      </c>
      <c r="B73" s="200" t="str">
        <f ca="1">'גיליון הזנה 57'!$D$3</f>
        <v>גיליון הזנה 57</v>
      </c>
      <c r="C73" s="20">
        <v>57</v>
      </c>
      <c r="D73" s="40" t="str">
        <f ca="1">IF(OR(LEFT(B73,11)="גיליון הזנה",INDIRECT("'"&amp;$B73&amp;"'!"&amp;'גיליון עזר'!$I$1&amp;ROW('מרכז מורשת בבל'!$I$3))=0),"",B73)</f>
        <v/>
      </c>
      <c r="E73" s="57" t="str">
        <f t="array" aca="1" ref="E73:N73" ca="1">IF($D73="","",TRANSPOSE(INDIRECT("'"&amp;$D73&amp;"'!"&amp;'גיליון עזר'!$D$1&amp;ROW('מרכז מורשת בבל'!$D$16)):INDIRECT("'"&amp;$D73&amp;"'!"&amp;'גיליון עזר'!$D$1&amp;ROW('מרכז מורשת בבל'!$D$25))))</f>
        <v/>
      </c>
      <c r="F73" s="58" t="str">
        <f ca="1"/>
        <v/>
      </c>
      <c r="G73" s="58" t="str">
        <f ca="1"/>
        <v/>
      </c>
      <c r="H73" s="57" t="str">
        <f ca="1"/>
        <v/>
      </c>
      <c r="I73" s="57" t="str">
        <f ca="1"/>
        <v/>
      </c>
      <c r="J73" s="57" t="str">
        <f ca="1"/>
        <v/>
      </c>
      <c r="K73" s="57" t="str">
        <f ca="1"/>
        <v/>
      </c>
      <c r="L73" s="57" t="str">
        <f ca="1"/>
        <v/>
      </c>
      <c r="M73" s="57" t="str">
        <f ca="1"/>
        <v/>
      </c>
      <c r="N73" s="59" t="str">
        <f ca="1"/>
        <v/>
      </c>
      <c r="O73" s="60" t="str">
        <f ca="1">IF($D73="","",INDIRECT("'"&amp;$D73&amp;"'!"&amp;'גיליון עזר'!$F$1&amp;ROW('מרכז מורשת בבל'!$B$78)))</f>
        <v/>
      </c>
      <c r="P73" s="58" t="str">
        <f t="array" aca="1" ref="P73:Q73" ca="1">IF($D73="","",TRANSPOSE(INDIRECT("'"&amp;$D73&amp;"'!"&amp;'גיליון עזר'!$G$1&amp;ROW('מרכז מורשת בבל'!$D$16)):INDIRECT("'"&amp;$D73&amp;"'!"&amp;'גיליון עזר'!$G$1&amp;ROW('מרכז מורשת בבל'!$D$17))))</f>
        <v/>
      </c>
      <c r="Q73" s="61" t="str">
        <f ca="1"/>
        <v/>
      </c>
      <c r="R73" s="62" t="str">
        <f t="array" aca="1" ref="R73:V73" ca="1">IF($D73="","",TRANSPOSE(INDIRECT("'"&amp;$D73&amp;"'!"&amp;'גיליון עזר'!$N$1&amp;ROW('מרכז מורשת בבל'!$D$16)):INDIRECT("'"&amp;$D73&amp;"'!"&amp;'גיליון עזר'!$N$1&amp;ROW('מרכז מורשת בבל'!$D$20))))</f>
        <v/>
      </c>
      <c r="S73" s="58" t="str">
        <f ca="1"/>
        <v/>
      </c>
      <c r="T73" s="58" t="str">
        <f ca="1"/>
        <v/>
      </c>
      <c r="U73" s="58" t="str">
        <f ca="1"/>
        <v/>
      </c>
      <c r="V73" s="58" t="str">
        <f ca="1"/>
        <v/>
      </c>
      <c r="W73" s="60" t="str">
        <f ca="1">IF($D73="","",INDIRECT("'"&amp;$D73&amp;"'!"&amp;'גיליון עזר'!$N$1&amp;ROW('מרכז מורשת בבל'!$J$21)))</f>
        <v/>
      </c>
      <c r="X73" s="60" t="str">
        <f ca="1">IF($D73="","",INDIRECT("'"&amp;$D73&amp;"'!"&amp;'גיליון עזר'!$L$1&amp;ROW('מרכז מורשת בבל'!$J$78)))</f>
        <v/>
      </c>
      <c r="Y73" s="63" t="str">
        <f t="array" aca="1" ref="Y73:Z73" ca="1">IF($D73="","",TRANSPOSE(INDIRECT("'"&amp;$D73&amp;"'!"&amp;'גיליון עזר'!$J$1&amp;ROW('מרכז מורשת בבל'!$D$17)):INDIRECT("'"&amp;$D73&amp;"'!"&amp;'גיליון עזר'!$J$1&amp;ROW('מרכז מורשת בבל'!$D$18))))</f>
        <v/>
      </c>
      <c r="Z73" s="63" t="str">
        <f ca="1"/>
        <v/>
      </c>
      <c r="AA73" s="104" t="str">
        <f ca="1">IF($D73="","",IF(INDIRECT("'"&amp;$D73&amp;"'!"&amp;'גיליון עזר'!$J$1&amp;ROW('מרכז מורשת בבל'!$D$21))="","",INDIRECT("'"&amp;$D73&amp;"'!"&amp;'גיליון עזר'!$J$1&amp;ROW('מרכז מורשת בבל'!$D$21))))</f>
        <v/>
      </c>
      <c r="AC73" s="1" t="str">
        <f t="shared" ca="1" si="50"/>
        <v/>
      </c>
      <c r="AD73" s="65" t="str">
        <f t="shared" ca="1" si="50"/>
        <v/>
      </c>
      <c r="AE73" s="65" t="str">
        <f t="shared" ca="1" si="50"/>
        <v/>
      </c>
      <c r="AF73" s="65" t="str">
        <f t="shared" ca="1" si="50"/>
        <v/>
      </c>
      <c r="AG73" s="1" t="str">
        <f t="shared" ca="1" si="50"/>
        <v/>
      </c>
      <c r="AH73" s="64" t="str">
        <f t="shared" ca="1" si="50"/>
        <v/>
      </c>
      <c r="AI73" s="1" t="str">
        <f t="shared" ca="1" si="50"/>
        <v/>
      </c>
      <c r="AJ73" s="1" t="str">
        <f t="shared" ca="1" si="50"/>
        <v/>
      </c>
      <c r="AK73" s="64" t="str">
        <f t="shared" ca="1" si="50"/>
        <v/>
      </c>
      <c r="AL73" s="1" t="str">
        <f t="shared" ca="1" si="50"/>
        <v/>
      </c>
      <c r="AM73" s="1" t="str">
        <f t="shared" ca="1" si="50"/>
        <v/>
      </c>
      <c r="AN73" s="1" t="str">
        <f t="shared" ca="1" si="50"/>
        <v/>
      </c>
      <c r="AO73" s="1" t="str">
        <f t="shared" ca="1" si="49"/>
        <v/>
      </c>
      <c r="AP73" s="3" t="str">
        <f t="shared" ca="1" si="27"/>
        <v/>
      </c>
      <c r="AQ73" s="3" t="str">
        <f t="shared" ca="1" si="28"/>
        <v/>
      </c>
      <c r="AR73" s="3" t="str">
        <f t="shared" ca="1" si="29"/>
        <v/>
      </c>
      <c r="AS73" s="3" t="str">
        <f t="shared" ca="1" si="30"/>
        <v/>
      </c>
      <c r="AT73" s="3" t="str">
        <f t="shared" ca="1" si="31"/>
        <v/>
      </c>
      <c r="AU73" s="3" t="str">
        <f t="shared" ca="1" si="32"/>
        <v/>
      </c>
      <c r="AV73" s="3" t="str">
        <f t="shared" ca="1" si="33"/>
        <v/>
      </c>
      <c r="AW73" s="3" t="str">
        <f t="shared" ca="1" si="34"/>
        <v/>
      </c>
      <c r="AX73" s="3" t="str">
        <f t="shared" ca="1" si="35"/>
        <v/>
      </c>
      <c r="AY73" s="3" t="str">
        <f t="shared" ca="1" si="36"/>
        <v/>
      </c>
      <c r="AZ73" s="31" t="str">
        <f t="shared" ca="1" si="37"/>
        <v/>
      </c>
      <c r="BA73" s="3" t="str">
        <f t="shared" ca="1" si="38"/>
        <v/>
      </c>
      <c r="BB73" s="3" t="str">
        <f t="shared" ca="1" si="39"/>
        <v/>
      </c>
      <c r="BC73" s="37" t="str">
        <f t="shared" ca="1" si="40"/>
        <v/>
      </c>
      <c r="BD73" s="3" t="str">
        <f t="shared" ca="1" si="41"/>
        <v/>
      </c>
      <c r="BE73" s="3" t="str">
        <f t="shared" ca="1" si="42"/>
        <v/>
      </c>
      <c r="BF73" s="3" t="str">
        <f t="shared" ca="1" si="43"/>
        <v/>
      </c>
      <c r="BG73" s="3" t="str">
        <f t="shared" ca="1" si="44"/>
        <v/>
      </c>
      <c r="BH73" s="3" t="str">
        <f t="shared" ca="1" si="45"/>
        <v/>
      </c>
      <c r="BI73" s="3" t="str">
        <f t="shared" ca="1" si="46"/>
        <v/>
      </c>
      <c r="BJ73" s="3" t="str">
        <f t="shared" ca="1" si="47"/>
        <v/>
      </c>
      <c r="BK73" s="3" t="str">
        <f t="shared" ca="1" si="48"/>
        <v/>
      </c>
      <c r="BL73" s="3" t="str">
        <f t="shared" ca="1" si="25"/>
        <v/>
      </c>
    </row>
    <row r="74" spans="1:64" x14ac:dyDescent="0.25">
      <c r="A74" t="str">
        <f ca="1">IF(AND(LEFT(B74,11)&lt;&gt;"גיליון הזנה",INDIRECT("'"&amp;$B74&amp;"'!"&amp;'גיליון עזר'!$I$1&amp;ROW('מרכז מורשת בבל'!$I$3))=""),"חסרה הזנה","")</f>
        <v/>
      </c>
      <c r="B74" s="200" t="str">
        <f ca="1">'גיליון הזנה 58'!$D$3</f>
        <v>גיליון הזנה 58</v>
      </c>
      <c r="C74" s="20">
        <v>58</v>
      </c>
      <c r="D74" s="40" t="str">
        <f ca="1">IF(OR(LEFT(B74,11)="גיליון הזנה",INDIRECT("'"&amp;$B74&amp;"'!"&amp;'גיליון עזר'!$I$1&amp;ROW('מרכז מורשת בבל'!$I$3))=0),"",B74)</f>
        <v/>
      </c>
      <c r="E74" s="57" t="str">
        <f t="array" aca="1" ref="E74:N74" ca="1">IF($D74="","",TRANSPOSE(INDIRECT("'"&amp;$D74&amp;"'!"&amp;'גיליון עזר'!$D$1&amp;ROW('מרכז מורשת בבל'!$D$16)):INDIRECT("'"&amp;$D74&amp;"'!"&amp;'גיליון עזר'!$D$1&amp;ROW('מרכז מורשת בבל'!$D$25))))</f>
        <v/>
      </c>
      <c r="F74" s="58" t="str">
        <f ca="1"/>
        <v/>
      </c>
      <c r="G74" s="58" t="str">
        <f ca="1"/>
        <v/>
      </c>
      <c r="H74" s="57" t="str">
        <f ca="1"/>
        <v/>
      </c>
      <c r="I74" s="57" t="str">
        <f ca="1"/>
        <v/>
      </c>
      <c r="J74" s="57" t="str">
        <f ca="1"/>
        <v/>
      </c>
      <c r="K74" s="57" t="str">
        <f ca="1"/>
        <v/>
      </c>
      <c r="L74" s="57" t="str">
        <f ca="1"/>
        <v/>
      </c>
      <c r="M74" s="57" t="str">
        <f ca="1"/>
        <v/>
      </c>
      <c r="N74" s="59" t="str">
        <f ca="1"/>
        <v/>
      </c>
      <c r="O74" s="60" t="str">
        <f ca="1">IF($D74="","",INDIRECT("'"&amp;$D74&amp;"'!"&amp;'גיליון עזר'!$F$1&amp;ROW('מרכז מורשת בבל'!$B$78)))</f>
        <v/>
      </c>
      <c r="P74" s="58" t="str">
        <f t="array" aca="1" ref="P74:Q74" ca="1">IF($D74="","",TRANSPOSE(INDIRECT("'"&amp;$D74&amp;"'!"&amp;'גיליון עזר'!$G$1&amp;ROW('מרכז מורשת בבל'!$D$16)):INDIRECT("'"&amp;$D74&amp;"'!"&amp;'גיליון עזר'!$G$1&amp;ROW('מרכז מורשת בבל'!$D$17))))</f>
        <v/>
      </c>
      <c r="Q74" s="61" t="str">
        <f ca="1"/>
        <v/>
      </c>
      <c r="R74" s="62" t="str">
        <f t="array" aca="1" ref="R74:V74" ca="1">IF($D74="","",TRANSPOSE(INDIRECT("'"&amp;$D74&amp;"'!"&amp;'גיליון עזר'!$N$1&amp;ROW('מרכז מורשת בבל'!$D$16)):INDIRECT("'"&amp;$D74&amp;"'!"&amp;'גיליון עזר'!$N$1&amp;ROW('מרכז מורשת בבל'!$D$20))))</f>
        <v/>
      </c>
      <c r="S74" s="58" t="str">
        <f ca="1"/>
        <v/>
      </c>
      <c r="T74" s="58" t="str">
        <f ca="1"/>
        <v/>
      </c>
      <c r="U74" s="58" t="str">
        <f ca="1"/>
        <v/>
      </c>
      <c r="V74" s="58" t="str">
        <f ca="1"/>
        <v/>
      </c>
      <c r="W74" s="60" t="str">
        <f ca="1">IF($D74="","",INDIRECT("'"&amp;$D74&amp;"'!"&amp;'גיליון עזר'!$N$1&amp;ROW('מרכז מורשת בבל'!$J$21)))</f>
        <v/>
      </c>
      <c r="X74" s="60" t="str">
        <f ca="1">IF($D74="","",INDIRECT("'"&amp;$D74&amp;"'!"&amp;'גיליון עזר'!$L$1&amp;ROW('מרכז מורשת בבל'!$J$78)))</f>
        <v/>
      </c>
      <c r="Y74" s="63" t="str">
        <f t="array" aca="1" ref="Y74:Z74" ca="1">IF($D74="","",TRANSPOSE(INDIRECT("'"&amp;$D74&amp;"'!"&amp;'גיליון עזר'!$J$1&amp;ROW('מרכז מורשת בבל'!$D$17)):INDIRECT("'"&amp;$D74&amp;"'!"&amp;'גיליון עזר'!$J$1&amp;ROW('מרכז מורשת בבל'!$D$18))))</f>
        <v/>
      </c>
      <c r="Z74" s="63" t="str">
        <f ca="1"/>
        <v/>
      </c>
      <c r="AA74" s="104" t="str">
        <f ca="1">IF($D74="","",IF(INDIRECT("'"&amp;$D74&amp;"'!"&amp;'גיליון עזר'!$J$1&amp;ROW('מרכז מורשת בבל'!$D$21))="","",INDIRECT("'"&amp;$D74&amp;"'!"&amp;'גיליון עזר'!$J$1&amp;ROW('מרכז מורשת בבל'!$D$21))))</f>
        <v/>
      </c>
      <c r="AC74" s="1" t="str">
        <f t="shared" ca="1" si="50"/>
        <v/>
      </c>
      <c r="AD74" s="65" t="str">
        <f t="shared" ca="1" si="50"/>
        <v/>
      </c>
      <c r="AE74" s="65" t="str">
        <f t="shared" ca="1" si="50"/>
        <v/>
      </c>
      <c r="AF74" s="65" t="str">
        <f t="shared" ca="1" si="50"/>
        <v/>
      </c>
      <c r="AG74" s="1" t="str">
        <f t="shared" ca="1" si="50"/>
        <v/>
      </c>
      <c r="AH74" s="64" t="str">
        <f t="shared" ca="1" si="50"/>
        <v/>
      </c>
      <c r="AI74" s="1" t="str">
        <f t="shared" ca="1" si="50"/>
        <v/>
      </c>
      <c r="AJ74" s="1" t="str">
        <f t="shared" ca="1" si="50"/>
        <v/>
      </c>
      <c r="AK74" s="64" t="str">
        <f t="shared" ca="1" si="50"/>
        <v/>
      </c>
      <c r="AL74" s="1" t="str">
        <f t="shared" ca="1" si="50"/>
        <v/>
      </c>
      <c r="AM74" s="1" t="str">
        <f t="shared" ca="1" si="50"/>
        <v/>
      </c>
      <c r="AN74" s="1" t="str">
        <f t="shared" ca="1" si="50"/>
        <v/>
      </c>
      <c r="AO74" s="1" t="str">
        <f t="shared" ca="1" si="49"/>
        <v/>
      </c>
      <c r="AP74" s="3" t="str">
        <f t="shared" ca="1" si="27"/>
        <v/>
      </c>
      <c r="AQ74" s="3" t="str">
        <f t="shared" ca="1" si="28"/>
        <v/>
      </c>
      <c r="AR74" s="3" t="str">
        <f t="shared" ca="1" si="29"/>
        <v/>
      </c>
      <c r="AS74" s="3" t="str">
        <f t="shared" ca="1" si="30"/>
        <v/>
      </c>
      <c r="AT74" s="3" t="str">
        <f t="shared" ca="1" si="31"/>
        <v/>
      </c>
      <c r="AU74" s="3" t="str">
        <f t="shared" ca="1" si="32"/>
        <v/>
      </c>
      <c r="AV74" s="3" t="str">
        <f t="shared" ca="1" si="33"/>
        <v/>
      </c>
      <c r="AW74" s="3" t="str">
        <f t="shared" ca="1" si="34"/>
        <v/>
      </c>
      <c r="AX74" s="3" t="str">
        <f t="shared" ca="1" si="35"/>
        <v/>
      </c>
      <c r="AY74" s="3" t="str">
        <f t="shared" ca="1" si="36"/>
        <v/>
      </c>
      <c r="AZ74" s="31" t="str">
        <f t="shared" ca="1" si="37"/>
        <v/>
      </c>
      <c r="BA74" s="3" t="str">
        <f t="shared" ca="1" si="38"/>
        <v/>
      </c>
      <c r="BB74" s="3" t="str">
        <f t="shared" ca="1" si="39"/>
        <v/>
      </c>
      <c r="BC74" s="37" t="str">
        <f t="shared" ca="1" si="40"/>
        <v/>
      </c>
      <c r="BD74" s="3" t="str">
        <f t="shared" ca="1" si="41"/>
        <v/>
      </c>
      <c r="BE74" s="3" t="str">
        <f t="shared" ca="1" si="42"/>
        <v/>
      </c>
      <c r="BF74" s="3" t="str">
        <f t="shared" ca="1" si="43"/>
        <v/>
      </c>
      <c r="BG74" s="3" t="str">
        <f t="shared" ca="1" si="44"/>
        <v/>
      </c>
      <c r="BH74" s="3" t="str">
        <f t="shared" ca="1" si="45"/>
        <v/>
      </c>
      <c r="BI74" s="3" t="str">
        <f t="shared" ca="1" si="46"/>
        <v/>
      </c>
      <c r="BJ74" s="3" t="str">
        <f t="shared" ca="1" si="47"/>
        <v/>
      </c>
      <c r="BK74" s="3" t="str">
        <f t="shared" ca="1" si="48"/>
        <v/>
      </c>
      <c r="BL74" s="3" t="str">
        <f t="shared" ca="1" si="25"/>
        <v/>
      </c>
    </row>
    <row r="75" spans="1:64" x14ac:dyDescent="0.25">
      <c r="A75" t="str">
        <f ca="1">IF(AND(LEFT(B75,11)&lt;&gt;"גיליון הזנה",INDIRECT("'"&amp;$B75&amp;"'!"&amp;'גיליון עזר'!$I$1&amp;ROW('מרכז מורשת בבל'!$I$3))=""),"חסרה הזנה","")</f>
        <v/>
      </c>
      <c r="B75" s="200" t="str">
        <f ca="1">'גיליון הזנה 59'!$D$3</f>
        <v>גיליון הזנה 59</v>
      </c>
      <c r="C75" s="20">
        <v>59</v>
      </c>
      <c r="D75" s="40" t="str">
        <f ca="1">IF(OR(LEFT(B75,11)="גיליון הזנה",INDIRECT("'"&amp;$B75&amp;"'!"&amp;'גיליון עזר'!$I$1&amp;ROW('מרכז מורשת בבל'!$I$3))=0),"",B75)</f>
        <v/>
      </c>
      <c r="E75" s="57" t="str">
        <f t="array" aca="1" ref="E75:N75" ca="1">IF($D75="","",TRANSPOSE(INDIRECT("'"&amp;$D75&amp;"'!"&amp;'גיליון עזר'!$D$1&amp;ROW('מרכז מורשת בבל'!$D$16)):INDIRECT("'"&amp;$D75&amp;"'!"&amp;'גיליון עזר'!$D$1&amp;ROW('מרכז מורשת בבל'!$D$25))))</f>
        <v/>
      </c>
      <c r="F75" s="58" t="str">
        <f ca="1"/>
        <v/>
      </c>
      <c r="G75" s="58" t="str">
        <f ca="1"/>
        <v/>
      </c>
      <c r="H75" s="57" t="str">
        <f ca="1"/>
        <v/>
      </c>
      <c r="I75" s="57" t="str">
        <f ca="1"/>
        <v/>
      </c>
      <c r="J75" s="57" t="str">
        <f ca="1"/>
        <v/>
      </c>
      <c r="K75" s="57" t="str">
        <f ca="1"/>
        <v/>
      </c>
      <c r="L75" s="57" t="str">
        <f ca="1"/>
        <v/>
      </c>
      <c r="M75" s="57" t="str">
        <f ca="1"/>
        <v/>
      </c>
      <c r="N75" s="59" t="str">
        <f ca="1"/>
        <v/>
      </c>
      <c r="O75" s="60" t="str">
        <f ca="1">IF($D75="","",INDIRECT("'"&amp;$D75&amp;"'!"&amp;'גיליון עזר'!$F$1&amp;ROW('מרכז מורשת בבל'!$B$78)))</f>
        <v/>
      </c>
      <c r="P75" s="58" t="str">
        <f t="array" aca="1" ref="P75:Q75" ca="1">IF($D75="","",TRANSPOSE(INDIRECT("'"&amp;$D75&amp;"'!"&amp;'גיליון עזר'!$G$1&amp;ROW('מרכז מורשת בבל'!$D$16)):INDIRECT("'"&amp;$D75&amp;"'!"&amp;'גיליון עזר'!$G$1&amp;ROW('מרכז מורשת בבל'!$D$17))))</f>
        <v/>
      </c>
      <c r="Q75" s="61" t="str">
        <f ca="1"/>
        <v/>
      </c>
      <c r="R75" s="62" t="str">
        <f t="array" aca="1" ref="R75:V75" ca="1">IF($D75="","",TRANSPOSE(INDIRECT("'"&amp;$D75&amp;"'!"&amp;'גיליון עזר'!$N$1&amp;ROW('מרכז מורשת בבל'!$D$16)):INDIRECT("'"&amp;$D75&amp;"'!"&amp;'גיליון עזר'!$N$1&amp;ROW('מרכז מורשת בבל'!$D$20))))</f>
        <v/>
      </c>
      <c r="S75" s="58" t="str">
        <f ca="1"/>
        <v/>
      </c>
      <c r="T75" s="58" t="str">
        <f ca="1"/>
        <v/>
      </c>
      <c r="U75" s="58" t="str">
        <f ca="1"/>
        <v/>
      </c>
      <c r="V75" s="58" t="str">
        <f ca="1"/>
        <v/>
      </c>
      <c r="W75" s="60" t="str">
        <f ca="1">IF($D75="","",INDIRECT("'"&amp;$D75&amp;"'!"&amp;'גיליון עזר'!$N$1&amp;ROW('מרכז מורשת בבל'!$J$21)))</f>
        <v/>
      </c>
      <c r="X75" s="60" t="str">
        <f ca="1">IF($D75="","",INDIRECT("'"&amp;$D75&amp;"'!"&amp;'גיליון עזר'!$L$1&amp;ROW('מרכז מורשת בבל'!$J$78)))</f>
        <v/>
      </c>
      <c r="Y75" s="63" t="str">
        <f t="array" aca="1" ref="Y75:Z75" ca="1">IF($D75="","",TRANSPOSE(INDIRECT("'"&amp;$D75&amp;"'!"&amp;'גיליון עזר'!$J$1&amp;ROW('מרכז מורשת בבל'!$D$17)):INDIRECT("'"&amp;$D75&amp;"'!"&amp;'גיליון עזר'!$J$1&amp;ROW('מרכז מורשת בבל'!$D$18))))</f>
        <v/>
      </c>
      <c r="Z75" s="63" t="str">
        <f ca="1"/>
        <v/>
      </c>
      <c r="AA75" s="104" t="str">
        <f ca="1">IF($D75="","",IF(INDIRECT("'"&amp;$D75&amp;"'!"&amp;'גיליון עזר'!$J$1&amp;ROW('מרכז מורשת בבל'!$D$21))="","",INDIRECT("'"&amp;$D75&amp;"'!"&amp;'גיליון עזר'!$J$1&amp;ROW('מרכז מורשת בבל'!$D$21))))</f>
        <v/>
      </c>
      <c r="AC75" s="1" t="str">
        <f t="shared" ca="1" si="50"/>
        <v/>
      </c>
      <c r="AD75" s="65" t="str">
        <f t="shared" ca="1" si="50"/>
        <v/>
      </c>
      <c r="AE75" s="65" t="str">
        <f t="shared" ca="1" si="50"/>
        <v/>
      </c>
      <c r="AF75" s="65" t="str">
        <f t="shared" ca="1" si="50"/>
        <v/>
      </c>
      <c r="AG75" s="1" t="str">
        <f t="shared" ca="1" si="50"/>
        <v/>
      </c>
      <c r="AH75" s="64" t="str">
        <f t="shared" ca="1" si="50"/>
        <v/>
      </c>
      <c r="AI75" s="1" t="str">
        <f t="shared" ca="1" si="50"/>
        <v/>
      </c>
      <c r="AJ75" s="1" t="str">
        <f t="shared" ca="1" si="50"/>
        <v/>
      </c>
      <c r="AK75" s="64" t="str">
        <f t="shared" ca="1" si="50"/>
        <v/>
      </c>
      <c r="AL75" s="1" t="str">
        <f t="shared" ca="1" si="50"/>
        <v/>
      </c>
      <c r="AM75" s="1" t="str">
        <f t="shared" ca="1" si="50"/>
        <v/>
      </c>
      <c r="AN75" s="1" t="str">
        <f t="shared" ca="1" si="50"/>
        <v/>
      </c>
      <c r="AO75" s="1" t="str">
        <f t="shared" ca="1" si="49"/>
        <v/>
      </c>
      <c r="AP75" s="3" t="str">
        <f t="shared" ca="1" si="27"/>
        <v/>
      </c>
      <c r="AQ75" s="3" t="str">
        <f t="shared" ca="1" si="28"/>
        <v/>
      </c>
      <c r="AR75" s="3" t="str">
        <f t="shared" ca="1" si="29"/>
        <v/>
      </c>
      <c r="AS75" s="3" t="str">
        <f t="shared" ca="1" si="30"/>
        <v/>
      </c>
      <c r="AT75" s="3" t="str">
        <f t="shared" ca="1" si="31"/>
        <v/>
      </c>
      <c r="AU75" s="3" t="str">
        <f t="shared" ca="1" si="32"/>
        <v/>
      </c>
      <c r="AV75" s="3" t="str">
        <f t="shared" ca="1" si="33"/>
        <v/>
      </c>
      <c r="AW75" s="3" t="str">
        <f t="shared" ca="1" si="34"/>
        <v/>
      </c>
      <c r="AX75" s="3" t="str">
        <f t="shared" ca="1" si="35"/>
        <v/>
      </c>
      <c r="AY75" s="3" t="str">
        <f t="shared" ca="1" si="36"/>
        <v/>
      </c>
      <c r="AZ75" s="31" t="str">
        <f t="shared" ca="1" si="37"/>
        <v/>
      </c>
      <c r="BA75" s="3" t="str">
        <f t="shared" ca="1" si="38"/>
        <v/>
      </c>
      <c r="BB75" s="3" t="str">
        <f t="shared" ca="1" si="39"/>
        <v/>
      </c>
      <c r="BC75" s="37" t="str">
        <f t="shared" ca="1" si="40"/>
        <v/>
      </c>
      <c r="BD75" s="3" t="str">
        <f t="shared" ca="1" si="41"/>
        <v/>
      </c>
      <c r="BE75" s="3" t="str">
        <f t="shared" ca="1" si="42"/>
        <v/>
      </c>
      <c r="BF75" s="3" t="str">
        <f t="shared" ca="1" si="43"/>
        <v/>
      </c>
      <c r="BG75" s="3" t="str">
        <f t="shared" ca="1" si="44"/>
        <v/>
      </c>
      <c r="BH75" s="3" t="str">
        <f t="shared" ca="1" si="45"/>
        <v/>
      </c>
      <c r="BI75" s="3" t="str">
        <f t="shared" ca="1" si="46"/>
        <v/>
      </c>
      <c r="BJ75" s="3" t="str">
        <f t="shared" ca="1" si="47"/>
        <v/>
      </c>
      <c r="BK75" s="3" t="str">
        <f t="shared" ca="1" si="48"/>
        <v/>
      </c>
      <c r="BL75" s="3" t="str">
        <f t="shared" ca="1" si="25"/>
        <v/>
      </c>
    </row>
    <row r="76" spans="1:64" x14ac:dyDescent="0.25">
      <c r="A76" t="str">
        <f ca="1">IF(AND(LEFT(B76,11)&lt;&gt;"גיליון הזנה",INDIRECT("'"&amp;$B76&amp;"'!"&amp;'גיליון עזר'!$I$1&amp;ROW('מרכז מורשת בבל'!$I$3))=""),"חסרה הזנה","")</f>
        <v/>
      </c>
      <c r="B76" s="200" t="str">
        <f ca="1">'שרשרת הדורות'!$D$3</f>
        <v>שרשרת הדורות</v>
      </c>
      <c r="C76" s="20">
        <v>60</v>
      </c>
      <c r="D76" s="40" t="str">
        <f ca="1">IF(OR(LEFT(B76,11)="גיליון הזנה",INDIRECT("'"&amp;$B76&amp;"'!"&amp;'גיליון עזר'!$I$1&amp;ROW('מרכז מורשת בבל'!$I$3))=0),"",B76)</f>
        <v>שרשרת הדורות</v>
      </c>
      <c r="E76" s="57">
        <f t="array" ref="E76:N76" ca="1">IF($D76="","",TRANSPOSE(INDIRECT("'"&amp;$D76&amp;"'!"&amp;'גיליון עזר'!$D$1&amp;ROW('מרכז מורשת בבל'!$D$16)):INDIRECT("'"&amp;$D76&amp;"'!"&amp;'גיליון עזר'!$D$1&amp;ROW('מרכז מורשת בבל'!$D$25))))</f>
        <v>3</v>
      </c>
      <c r="F76" s="58">
        <f ca="1"/>
        <v>4</v>
      </c>
      <c r="G76" s="58">
        <f ca="1"/>
        <v>1</v>
      </c>
      <c r="H76" s="57">
        <f ca="1"/>
        <v>1</v>
      </c>
      <c r="I76" s="57">
        <f ca="1"/>
        <v>0</v>
      </c>
      <c r="J76" s="57">
        <f ca="1"/>
        <v>12</v>
      </c>
      <c r="K76" s="57">
        <f ca="1"/>
        <v>0</v>
      </c>
      <c r="L76" s="57">
        <f ca="1"/>
        <v>11</v>
      </c>
      <c r="M76" s="57">
        <f ca="1"/>
        <v>0</v>
      </c>
      <c r="N76" s="59">
        <f ca="1"/>
        <v>5</v>
      </c>
      <c r="O76" s="60">
        <f ca="1">IF($D76="","",INDIRECT("'"&amp;$D76&amp;"'!"&amp;'גיליון עזר'!$F$1&amp;ROW('מרכז מורשת בבל'!$B$78)))</f>
        <v>0</v>
      </c>
      <c r="P76" s="58">
        <f t="array" ref="P76:Q76" ca="1">IF($D76="","",TRANSPOSE(INDIRECT("'"&amp;$D76&amp;"'!"&amp;'גיליון עזר'!$G$1&amp;ROW('מרכז מורשת בבל'!$D$16)):INDIRECT("'"&amp;$D76&amp;"'!"&amp;'גיליון עזר'!$G$1&amp;ROW('מרכז מורשת בבל'!$D$17))))</f>
        <v>9</v>
      </c>
      <c r="Q76" s="61">
        <f ca="1"/>
        <v>0</v>
      </c>
      <c r="R76" s="62">
        <f t="array" ref="R76:V76" ca="1">IF($D76="","",TRANSPOSE(INDIRECT("'"&amp;$D76&amp;"'!"&amp;'גיליון עזר'!$N$1&amp;ROW('מרכז מורשת בבל'!$D$16)):INDIRECT("'"&amp;$D76&amp;"'!"&amp;'גיליון עזר'!$N$1&amp;ROW('מרכז מורשת בבל'!$D$20))))</f>
        <v>0</v>
      </c>
      <c r="S76" s="58">
        <f ca="1"/>
        <v>0</v>
      </c>
      <c r="T76" s="58">
        <f ca="1"/>
        <v>0</v>
      </c>
      <c r="U76" s="58">
        <f ca="1"/>
        <v>0</v>
      </c>
      <c r="V76" s="58">
        <f ca="1"/>
        <v>0</v>
      </c>
      <c r="W76" s="60">
        <f ca="1">IF($D76="","",INDIRECT("'"&amp;$D76&amp;"'!"&amp;'גיליון עזר'!$N$1&amp;ROW('מרכז מורשת בבל'!$J$21)))</f>
        <v>0</v>
      </c>
      <c r="X76" s="60">
        <f ca="1">IF($D76="","",INDIRECT("'"&amp;$D76&amp;"'!"&amp;'גיליון עזר'!$L$1&amp;ROW('מרכז מורשת בבל'!$J$78)))</f>
        <v>0</v>
      </c>
      <c r="Y76" s="63">
        <f t="array" ref="Y76:Z76" ca="1">IF($D76="","",TRANSPOSE(INDIRECT("'"&amp;$D76&amp;"'!"&amp;'גיליון עזר'!$J$1&amp;ROW('מרכז מורשת בבל'!$D$17)):INDIRECT("'"&amp;$D76&amp;"'!"&amp;'גיליון עזר'!$J$1&amp;ROW('מרכז מורשת בבל'!$D$18))))</f>
        <v>372269</v>
      </c>
      <c r="Z76" s="63">
        <f ca="1"/>
        <v>501310</v>
      </c>
      <c r="AA76" s="104" t="str">
        <f ca="1">IF($D76="","",IF(INDIRECT("'"&amp;$D76&amp;"'!"&amp;'גיליון עזר'!$J$1&amp;ROW('מרכז מורשת בבל'!$D$21))="","",INDIRECT("'"&amp;$D76&amp;"'!"&amp;'גיליון עזר'!$J$1&amp;ROW('מרכז מורשת בבל'!$D$21))))</f>
        <v/>
      </c>
      <c r="AC76" s="1" t="str">
        <f t="shared" ca="1" si="50"/>
        <v>כינוס</v>
      </c>
      <c r="AD76" s="66" t="str">
        <f t="shared" ca="1" si="50"/>
        <v>הרצאה</v>
      </c>
      <c r="AE76" s="66" t="str">
        <f t="shared" ca="1" si="50"/>
        <v>יום עיון</v>
      </c>
      <c r="AF76" s="66" t="str">
        <f t="shared" ca="1" si="50"/>
        <v>הפקה מורכבת</v>
      </c>
      <c r="AG76" s="1" t="str">
        <f t="shared" ca="1" si="50"/>
        <v>כן</v>
      </c>
      <c r="AH76" s="64" t="str">
        <f t="shared" ca="1" si="50"/>
        <v>לא</v>
      </c>
      <c r="AI76" s="1" t="str">
        <f t="shared" ca="1" si="50"/>
        <v>נאותה</v>
      </c>
      <c r="AJ76" s="1" t="str">
        <f t="shared" ca="1" si="50"/>
        <v>טובה</v>
      </c>
      <c r="AK76" s="64" t="str">
        <f t="shared" ca="1" si="50"/>
        <v>טובה מאוד</v>
      </c>
      <c r="AL76" s="1" t="str">
        <f t="shared" ca="1" si="50"/>
        <v>אחד בשנה</v>
      </c>
      <c r="AM76" s="1" t="str">
        <f t="shared" ca="1" si="50"/>
        <v>שניים בשנה</v>
      </c>
      <c r="AN76" s="1" t="str">
        <f t="shared" ca="1" si="50"/>
        <v>שלוש בשנה</v>
      </c>
      <c r="AO76" s="1" t="str">
        <f t="shared" ca="1" si="49"/>
        <v>מעל 4 בשנה</v>
      </c>
      <c r="AP76" s="3">
        <f t="shared" ca="1" si="27"/>
        <v>3</v>
      </c>
      <c r="AQ76" s="3">
        <f t="shared" ca="1" si="28"/>
        <v>4</v>
      </c>
      <c r="AR76" s="3">
        <f t="shared" ca="1" si="29"/>
        <v>1</v>
      </c>
      <c r="AS76" s="3">
        <f t="shared" ca="1" si="30"/>
        <v>1</v>
      </c>
      <c r="AT76" s="3">
        <f t="shared" ca="1" si="31"/>
        <v>0</v>
      </c>
      <c r="AU76" s="3">
        <f t="shared" ca="1" si="32"/>
        <v>12</v>
      </c>
      <c r="AV76" s="3">
        <f t="shared" ca="1" si="33"/>
        <v>0</v>
      </c>
      <c r="AW76" s="3">
        <f t="shared" ca="1" si="34"/>
        <v>11</v>
      </c>
      <c r="AX76" s="3">
        <f t="shared" ca="1" si="35"/>
        <v>0</v>
      </c>
      <c r="AY76" s="3">
        <f t="shared" ca="1" si="36"/>
        <v>5</v>
      </c>
      <c r="AZ76" s="31">
        <f t="shared" ca="1" si="37"/>
        <v>0</v>
      </c>
      <c r="BA76" s="3">
        <f t="shared" ca="1" si="38"/>
        <v>9</v>
      </c>
      <c r="BB76" s="3">
        <f t="shared" ca="1" si="39"/>
        <v>0</v>
      </c>
      <c r="BC76" s="37">
        <f t="shared" ca="1" si="40"/>
        <v>0</v>
      </c>
      <c r="BD76" s="3">
        <f t="shared" ca="1" si="41"/>
        <v>0</v>
      </c>
      <c r="BE76" s="3">
        <f t="shared" ca="1" si="42"/>
        <v>0</v>
      </c>
      <c r="BF76" s="3">
        <f t="shared" ca="1" si="43"/>
        <v>0</v>
      </c>
      <c r="BG76" s="3">
        <f t="shared" ca="1" si="44"/>
        <v>0</v>
      </c>
      <c r="BH76" s="3">
        <f t="shared" ca="1" si="45"/>
        <v>0</v>
      </c>
      <c r="BI76" s="3">
        <f t="shared" ca="1" si="46"/>
        <v>0</v>
      </c>
      <c r="BJ76" s="3">
        <f t="shared" ca="1" si="47"/>
        <v>372269</v>
      </c>
      <c r="BK76" s="3">
        <f t="shared" ca="1" si="48"/>
        <v>501310</v>
      </c>
      <c r="BL76" s="3" t="str">
        <f t="shared" ca="1" si="25"/>
        <v/>
      </c>
    </row>
    <row r="77" spans="1:64" x14ac:dyDescent="0.25">
      <c r="A77" t="str">
        <f ca="1">IF(AND(LEFT(B77,11)&lt;&gt;"גיליון הזנה",INDIRECT("'"&amp;$B77&amp;"'!"&amp;'גיליון עזר'!$I$1&amp;ROW('מרכז מורשת בבל'!$I$3))=""),"חסרה הזנה","")</f>
        <v/>
      </c>
      <c r="B77" s="200" t="str">
        <f ca="1">חיבה!$D$3</f>
        <v>חיבה</v>
      </c>
      <c r="C77" s="20">
        <v>61</v>
      </c>
      <c r="D77" s="40" t="str">
        <f ca="1">IF(OR(LEFT(B77,11)="גיליון הזנה",INDIRECT("'"&amp;$B77&amp;"'!"&amp;'גיליון עזר'!$I$1&amp;ROW('מרכז מורשת בבל'!$I$3))=0),"",B77)</f>
        <v>חיבה</v>
      </c>
      <c r="E77" s="57">
        <f t="array" ref="E77:N77" ca="1">IF($D77="","",TRANSPOSE(INDIRECT("'"&amp;$D77&amp;"'!"&amp;'גיליון עזר'!$D$1&amp;ROW('מרכז מורשת בבל'!$D$16)):INDIRECT("'"&amp;$D77&amp;"'!"&amp;'גיליון עזר'!$D$1&amp;ROW('מרכז מורשת בבל'!$D$25))))</f>
        <v>16</v>
      </c>
      <c r="F77" s="58">
        <f ca="1"/>
        <v>22</v>
      </c>
      <c r="G77" s="58">
        <f ca="1"/>
        <v>7</v>
      </c>
      <c r="H77" s="57">
        <f ca="1"/>
        <v>0</v>
      </c>
      <c r="I77" s="57">
        <f ca="1"/>
        <v>0</v>
      </c>
      <c r="J77" s="57">
        <f ca="1"/>
        <v>16</v>
      </c>
      <c r="K77" s="57">
        <f ca="1"/>
        <v>0</v>
      </c>
      <c r="L77" s="57">
        <f ca="1"/>
        <v>13</v>
      </c>
      <c r="M77" s="57">
        <f ca="1"/>
        <v>0</v>
      </c>
      <c r="N77" s="59">
        <f ca="1"/>
        <v>0</v>
      </c>
      <c r="O77" s="60">
        <f ca="1">IF($D77="","",INDIRECT("'"&amp;$D77&amp;"'!"&amp;'גיליון עזר'!$F$1&amp;ROW('מרכז מורשת בבל'!$B$78)))</f>
        <v>0</v>
      </c>
      <c r="P77" s="58">
        <f t="array" ref="P77:Q77" ca="1">IF($D77="","",TRANSPOSE(INDIRECT("'"&amp;$D77&amp;"'!"&amp;'גיליון עזר'!$G$1&amp;ROW('מרכז מורשת בבל'!$D$16)):INDIRECT("'"&amp;$D77&amp;"'!"&amp;'גיליון עזר'!$G$1&amp;ROW('מרכז מורשת בבל'!$D$17))))</f>
        <v>180</v>
      </c>
      <c r="Q77" s="61" t="str">
        <f ca="1"/>
        <v>טובה</v>
      </c>
      <c r="R77" s="62">
        <f t="array" ref="R77:V77" ca="1">IF($D77="","",TRANSPOSE(INDIRECT("'"&amp;$D77&amp;"'!"&amp;'גיליון עזר'!$N$1&amp;ROW('מרכז מורשת בבל'!$D$16)):INDIRECT("'"&amp;$D77&amp;"'!"&amp;'גיליון עזר'!$N$1&amp;ROW('מרכז מורשת בבל'!$D$20))))</f>
        <v>0</v>
      </c>
      <c r="S77" s="58">
        <f ca="1"/>
        <v>0</v>
      </c>
      <c r="T77" s="58">
        <f ca="1"/>
        <v>0</v>
      </c>
      <c r="U77" s="58">
        <f ca="1"/>
        <v>0</v>
      </c>
      <c r="V77" s="58">
        <f ca="1"/>
        <v>0</v>
      </c>
      <c r="W77" s="60">
        <f ca="1">IF($D77="","",INDIRECT("'"&amp;$D77&amp;"'!"&amp;'גיליון עזר'!$N$1&amp;ROW('מרכז מורשת בבל'!$J$21)))</f>
        <v>0</v>
      </c>
      <c r="X77" s="60">
        <f ca="1">IF($D77="","",INDIRECT("'"&amp;$D77&amp;"'!"&amp;'גיליון עזר'!$L$1&amp;ROW('מרכז מורשת בבל'!$J$78)))</f>
        <v>0</v>
      </c>
      <c r="Y77" s="63">
        <f t="array" ref="Y77:Z77" ca="1">IF($D77="","",TRANSPOSE(INDIRECT("'"&amp;$D77&amp;"'!"&amp;'גיליון עזר'!$J$1&amp;ROW('מרכז מורשת בבל'!$D$17)):INDIRECT("'"&amp;$D77&amp;"'!"&amp;'גיליון עזר'!$J$1&amp;ROW('מרכז מורשת בבל'!$D$18))))</f>
        <v>668471</v>
      </c>
      <c r="Z77" s="63">
        <f ca="1"/>
        <v>1018248</v>
      </c>
      <c r="AA77" s="104" t="str">
        <f ca="1">IF($D77="","",IF(INDIRECT("'"&amp;$D77&amp;"'!"&amp;'גיליון עזר'!$J$1&amp;ROW('מרכז מורשת בבל'!$D$21))="","",INDIRECT("'"&amp;$D77&amp;"'!"&amp;'גיליון עזר'!$J$1&amp;ROW('מרכז מורשת בבל'!$D$21))))</f>
        <v/>
      </c>
      <c r="AC77" s="1" t="str">
        <f t="shared" ca="1" si="50"/>
        <v>כינוס</v>
      </c>
      <c r="AD77" s="66" t="str">
        <f t="shared" ca="1" si="50"/>
        <v>הרצאה</v>
      </c>
      <c r="AE77" s="66" t="str">
        <f t="shared" ca="1" si="50"/>
        <v>יום עיון</v>
      </c>
      <c r="AF77" s="66" t="str">
        <f t="shared" ca="1" si="50"/>
        <v>הפקה מורכבת</v>
      </c>
      <c r="AG77" s="1" t="str">
        <f t="shared" ca="1" si="50"/>
        <v>כן</v>
      </c>
      <c r="AH77" s="64" t="str">
        <f t="shared" ca="1" si="50"/>
        <v>לא</v>
      </c>
      <c r="AI77" s="1" t="str">
        <f t="shared" ca="1" si="50"/>
        <v>נאותה</v>
      </c>
      <c r="AJ77" s="1" t="str">
        <f t="shared" ca="1" si="50"/>
        <v>טובה</v>
      </c>
      <c r="AK77" s="64" t="str">
        <f t="shared" ca="1" si="50"/>
        <v>טובה מאוד</v>
      </c>
      <c r="AL77" s="1" t="str">
        <f t="shared" ca="1" si="50"/>
        <v>אחד בשנה</v>
      </c>
      <c r="AM77" s="1" t="str">
        <f t="shared" ca="1" si="50"/>
        <v>שניים בשנה</v>
      </c>
      <c r="AN77" s="1" t="str">
        <f t="shared" ca="1" si="50"/>
        <v>שלוש בשנה</v>
      </c>
      <c r="AO77" s="1" t="str">
        <f t="shared" ca="1" si="49"/>
        <v>מעל 4 בשנה</v>
      </c>
      <c r="AP77" s="3">
        <f t="shared" ref="AP77:AP78" ca="1" si="51">IF($D77="","",IF(ISERR(E77/3),$AP$14,E77))</f>
        <v>16</v>
      </c>
      <c r="AQ77" s="3">
        <f t="shared" ref="AQ77:AQ78" ca="1" si="52">IF($D77="","",IF(ISERR(F77/3),$AP$14,F77))</f>
        <v>22</v>
      </c>
      <c r="AR77" s="3">
        <f t="shared" ref="AR77:AR78" ca="1" si="53">IF($D77="","",IF(ISERR(G77/3),$AP$14,G77))</f>
        <v>7</v>
      </c>
      <c r="AS77" s="3">
        <f t="shared" ref="AS77:AS78" ca="1" si="54">IF($D77="","",IF(ISERR(H77/3),$AP$14,H77))</f>
        <v>0</v>
      </c>
      <c r="AT77" s="3">
        <f t="shared" ref="AT77:AT78" ca="1" si="55">IF($D77="","",IF(ISERR(I77/3),$AP$14,I77))</f>
        <v>0</v>
      </c>
      <c r="AU77" s="3">
        <f t="shared" ref="AU77:AU78" ca="1" si="56">IF($D77="","",IF(ISERR(J77/3),$AP$14,J77))</f>
        <v>16</v>
      </c>
      <c r="AV77" s="3">
        <f t="shared" ref="AV77:AV78" ca="1" si="57">IF($D77="","",IF(ISERR(K77/3),$AP$14,K77))</f>
        <v>0</v>
      </c>
      <c r="AW77" s="3">
        <f t="shared" ref="AW77:AW78" ca="1" si="58">IF($D77="","",IF(ISERR(L77/3),$AP$14,L77))</f>
        <v>13</v>
      </c>
      <c r="AX77" s="3">
        <f t="shared" ref="AX77:AX78" ca="1" si="59">IF($D77="","",IF(ISERR(M77/3),$AP$14,M77))</f>
        <v>0</v>
      </c>
      <c r="AY77" s="3">
        <f t="shared" ref="AY77:AY78" ca="1" si="60">IF($D77="","",IF(ISERR(N77/3),$AP$14,N77))</f>
        <v>0</v>
      </c>
      <c r="AZ77" s="31">
        <f t="shared" ref="AZ77:AZ78" ca="1" si="61">IF($D77="","",IF(ISERR(O77/3),$AP$14,O77))</f>
        <v>0</v>
      </c>
      <c r="BA77" s="3">
        <f t="shared" ref="BA77:BA78" ca="1" si="62">IF($D77="","",IF(ISERR(P77/3),$AP$14,P77))</f>
        <v>180</v>
      </c>
      <c r="BB77" s="3" t="str">
        <f t="shared" ref="BB77:BB78" ca="1" si="63">IF(Q77="","",Q77)</f>
        <v>טובה</v>
      </c>
      <c r="BC77" s="37">
        <f t="shared" ref="BC77:BC78" ca="1" si="64">IF(R77="","",R77)</f>
        <v>0</v>
      </c>
      <c r="BD77" s="3">
        <f t="shared" ref="BD77:BD78" ca="1" si="65">IF($D77="","",IF(ISERR(S77/3),$AP$14,S77))</f>
        <v>0</v>
      </c>
      <c r="BE77" s="3">
        <f t="shared" ref="BE77:BE78" ca="1" si="66">IF($D77="","",IF(ISERR(T77/3),$AP$14,T77))</f>
        <v>0</v>
      </c>
      <c r="BF77" s="3">
        <f t="shared" ref="BF77:BF78" ca="1" si="67">IF($D77="","",IF(U77="","",U77))</f>
        <v>0</v>
      </c>
      <c r="BG77" s="3">
        <f t="shared" ref="BG77:BG78" ca="1" si="68">IF($D77="","",IF(V77="","",V77))</f>
        <v>0</v>
      </c>
      <c r="BH77" s="3">
        <f t="shared" ref="BH77:BH78" ca="1" si="69">IF($D77="","",IF(W77="","",W77))</f>
        <v>0</v>
      </c>
      <c r="BI77" s="3">
        <f t="shared" ref="BI77:BI78" ca="1" si="70">IF($D77="","",IF(ISERR(X77/3),$AP$14,X77))</f>
        <v>0</v>
      </c>
      <c r="BJ77" s="3">
        <f t="shared" ref="BJ77:BJ78" ca="1" si="71">IF($D77="","",IF(ISERR(Y77/3),$AP$14,Y77))</f>
        <v>668471</v>
      </c>
      <c r="BK77" s="3">
        <f t="shared" ref="BK77:BK78" ca="1" si="72">IF($D77="","",IF(ISERR(Z77/3),$AP$14,Z77))</f>
        <v>1018248</v>
      </c>
      <c r="BL77" s="3" t="str">
        <f t="shared" ref="BL77:BL78" ca="1" si="73">IF($D77="","",IF(AA77="","",AA77))</f>
        <v/>
      </c>
    </row>
    <row r="78" spans="1:64" x14ac:dyDescent="0.25">
      <c r="A78" t="str">
        <f ca="1">IF(AND(LEFT(B78,11)&lt;&gt;"גיליון הזנה",INDIRECT("'"&amp;$B78&amp;"'!"&amp;'גיליון עזר'!$I$1&amp;ROW('מרכז מורשת בבל'!$I$3))=""),"חסרה הזנה","")</f>
        <v/>
      </c>
      <c r="B78" s="200" t="str">
        <f ca="1">'גיליון הזנה 62'!$D$3</f>
        <v>גיליון הזנה 62</v>
      </c>
      <c r="C78" s="20">
        <v>62</v>
      </c>
      <c r="D78" s="40" t="str">
        <f ca="1">IF(OR(LEFT(B78,11)="גיליון הזנה",INDIRECT("'"&amp;$B78&amp;"'!"&amp;'גיליון עזר'!$I$1&amp;ROW('מרכז מורשת בבל'!$I$3))=0),"",B78)</f>
        <v/>
      </c>
      <c r="E78" s="57" t="str">
        <f t="array" aca="1" ref="E78" ca="1">IF($D78="","",TRANSPOSE(INDIRECT("'"&amp;$D78&amp;"'!"&amp;'גיליון עזר'!$D$1&amp;ROW('מרכז מורשת בבל'!$D$16)):INDIRECT("'"&amp;$D78&amp;"'!"&amp;'גיליון עזר'!$D$1&amp;ROW('מרכז מורשת בבל'!$D$25))))</f>
        <v/>
      </c>
      <c r="F78" s="58" t="str">
        <f t="array" aca="1" ref="F78:N78" ca="1">IF($D78="","",TRANSPOSE(INDIRECT("'"&amp;$D78&amp;"'!"&amp;'גיליון עזר'!$D$1&amp;ROW('מרכז מורשת בבל'!$D$16)):INDIRECT("'"&amp;$D78&amp;"'!"&amp;'גיליון עזר'!$D$1&amp;ROW('מרכז מורשת בבל'!$D$25))))</f>
        <v/>
      </c>
      <c r="G78" s="58" t="str">
        <f ca="1"/>
        <v/>
      </c>
      <c r="H78" s="57" t="str">
        <f ca="1"/>
        <v/>
      </c>
      <c r="I78" s="57" t="str">
        <f ca="1"/>
        <v/>
      </c>
      <c r="J78" s="57" t="str">
        <f ca="1"/>
        <v/>
      </c>
      <c r="K78" s="57" t="str">
        <f ca="1"/>
        <v/>
      </c>
      <c r="L78" s="57" t="str">
        <f ca="1"/>
        <v/>
      </c>
      <c r="M78" s="57" t="str">
        <f ca="1"/>
        <v/>
      </c>
      <c r="N78" s="59" t="str">
        <f ca="1"/>
        <v/>
      </c>
      <c r="O78" s="60" t="str">
        <f ca="1">IF($D78="","",INDIRECT("'"&amp;$D78&amp;"'!"&amp;'גיליון עזר'!$F$1&amp;ROW('מרכז מורשת בבל'!$B$78)))</f>
        <v/>
      </c>
      <c r="P78" s="58" t="str">
        <f t="array" aca="1" ref="P78:Q78" ca="1">IF($D78="","",TRANSPOSE(INDIRECT("'"&amp;$D78&amp;"'!"&amp;'גיליון עזר'!$G$1&amp;ROW('מרכז מורשת בבל'!$D$16)):INDIRECT("'"&amp;$D78&amp;"'!"&amp;'גיליון עזר'!$G$1&amp;ROW('מרכז מורשת בבל'!$D$17))))</f>
        <v/>
      </c>
      <c r="Q78" s="61" t="str">
        <f ca="1"/>
        <v/>
      </c>
      <c r="R78" s="62" t="str">
        <f t="array" aca="1" ref="R78:V78" ca="1">IF($D78="","",TRANSPOSE(INDIRECT("'"&amp;$D78&amp;"'!"&amp;'גיליון עזר'!$N$1&amp;ROW('מרכז מורשת בבל'!$D$16)):INDIRECT("'"&amp;$D78&amp;"'!"&amp;'גיליון עזר'!$N$1&amp;ROW('מרכז מורשת בבל'!$D$20))))</f>
        <v/>
      </c>
      <c r="S78" s="58" t="str">
        <f ca="1"/>
        <v/>
      </c>
      <c r="T78" s="58" t="str">
        <f ca="1"/>
        <v/>
      </c>
      <c r="U78" s="58" t="str">
        <f ca="1"/>
        <v/>
      </c>
      <c r="V78" s="58" t="str">
        <f ca="1"/>
        <v/>
      </c>
      <c r="W78" s="60" t="str">
        <f ca="1">IF($D78="","",INDIRECT("'"&amp;$D78&amp;"'!"&amp;'גיליון עזר'!$N$1&amp;ROW('מרכז מורשת בבל'!$J$21)))</f>
        <v/>
      </c>
      <c r="X78" s="60" t="str">
        <f ca="1">IF($D78="","",INDIRECT("'"&amp;$D78&amp;"'!"&amp;'גיליון עזר'!$L$1&amp;ROW('מרכז מורשת בבל'!$J$78)))</f>
        <v/>
      </c>
      <c r="Y78" s="63" t="str">
        <f t="array" aca="1" ref="Y78:Z78" ca="1">IF($D78="","",TRANSPOSE(INDIRECT("'"&amp;$D78&amp;"'!"&amp;'גיליון עזר'!$J$1&amp;ROW('מרכז מורשת בבל'!$D$17)):INDIRECT("'"&amp;$D78&amp;"'!"&amp;'גיליון עזר'!$J$1&amp;ROW('מרכז מורשת בבל'!$D$18))))</f>
        <v/>
      </c>
      <c r="Z78" s="63" t="str">
        <f ca="1"/>
        <v/>
      </c>
      <c r="AA78" s="104" t="str">
        <f ca="1">IF($D78="","",IF(INDIRECT("'"&amp;$D78&amp;"'!"&amp;'גיליון עזר'!$J$1&amp;ROW('מרכז מורשת בבל'!$D$21))="","",INDIRECT("'"&amp;$D78&amp;"'!"&amp;'גיליון עזר'!$J$1&amp;ROW('מרכז מורשת בבל'!$D$21))))</f>
        <v/>
      </c>
      <c r="AC78" s="1" t="str">
        <f t="shared" ref="AC78:AN78" ca="1" si="74">IF($D78="","",AC$16)</f>
        <v/>
      </c>
      <c r="AD78" s="66" t="str">
        <f t="shared" ca="1" si="74"/>
        <v/>
      </c>
      <c r="AE78" s="66" t="str">
        <f t="shared" ca="1" si="74"/>
        <v/>
      </c>
      <c r="AF78" s="66" t="str">
        <f t="shared" ca="1" si="74"/>
        <v/>
      </c>
      <c r="AG78" s="1" t="str">
        <f t="shared" ca="1" si="74"/>
        <v/>
      </c>
      <c r="AH78" s="64" t="str">
        <f t="shared" ca="1" si="74"/>
        <v/>
      </c>
      <c r="AI78" s="1" t="str">
        <f t="shared" ca="1" si="74"/>
        <v/>
      </c>
      <c r="AJ78" s="1" t="str">
        <f t="shared" ca="1" si="74"/>
        <v/>
      </c>
      <c r="AK78" s="64" t="str">
        <f t="shared" ca="1" si="74"/>
        <v/>
      </c>
      <c r="AL78" s="1" t="str">
        <f t="shared" ca="1" si="74"/>
        <v/>
      </c>
      <c r="AM78" s="1" t="str">
        <f t="shared" ca="1" si="74"/>
        <v/>
      </c>
      <c r="AN78" s="1" t="str">
        <f t="shared" ca="1" si="74"/>
        <v/>
      </c>
      <c r="AO78" s="1" t="str">
        <f t="shared" ca="1" si="49"/>
        <v/>
      </c>
      <c r="AP78" s="3" t="str">
        <f t="shared" ca="1" si="51"/>
        <v/>
      </c>
      <c r="AQ78" s="3" t="str">
        <f t="shared" ca="1" si="52"/>
        <v/>
      </c>
      <c r="AR78" s="3" t="str">
        <f t="shared" ca="1" si="53"/>
        <v/>
      </c>
      <c r="AS78" s="3" t="str">
        <f t="shared" ca="1" si="54"/>
        <v/>
      </c>
      <c r="AT78" s="3" t="str">
        <f t="shared" ca="1" si="55"/>
        <v/>
      </c>
      <c r="AU78" s="3" t="str">
        <f t="shared" ca="1" si="56"/>
        <v/>
      </c>
      <c r="AV78" s="3" t="str">
        <f t="shared" ca="1" si="57"/>
        <v/>
      </c>
      <c r="AW78" s="3" t="str">
        <f t="shared" ca="1" si="58"/>
        <v/>
      </c>
      <c r="AX78" s="3" t="str">
        <f t="shared" ca="1" si="59"/>
        <v/>
      </c>
      <c r="AY78" s="3" t="str">
        <f t="shared" ca="1" si="60"/>
        <v/>
      </c>
      <c r="AZ78" s="31" t="str">
        <f t="shared" ca="1" si="61"/>
        <v/>
      </c>
      <c r="BA78" s="3" t="str">
        <f t="shared" ca="1" si="62"/>
        <v/>
      </c>
      <c r="BB78" s="3" t="str">
        <f t="shared" ca="1" si="63"/>
        <v/>
      </c>
      <c r="BC78" s="37" t="str">
        <f t="shared" ca="1" si="64"/>
        <v/>
      </c>
      <c r="BD78" s="3" t="str">
        <f t="shared" ca="1" si="65"/>
        <v/>
      </c>
      <c r="BE78" s="3" t="str">
        <f t="shared" ca="1" si="66"/>
        <v/>
      </c>
      <c r="BF78" s="3" t="str">
        <f t="shared" ca="1" si="67"/>
        <v/>
      </c>
      <c r="BG78" s="3" t="str">
        <f t="shared" ca="1" si="68"/>
        <v/>
      </c>
      <c r="BH78" s="3" t="str">
        <f t="shared" ca="1" si="69"/>
        <v/>
      </c>
      <c r="BI78" s="3" t="str">
        <f t="shared" ca="1" si="70"/>
        <v/>
      </c>
      <c r="BJ78" s="3" t="str">
        <f t="shared" ca="1" si="71"/>
        <v/>
      </c>
      <c r="BK78" s="3" t="str">
        <f t="shared" ca="1" si="72"/>
        <v/>
      </c>
      <c r="BL78" s="3" t="str">
        <f t="shared" ca="1" si="73"/>
        <v/>
      </c>
    </row>
  </sheetData>
  <sheetProtection algorithmName="SHA-512" hashValue="snuGMA4T7xWRC/oecEQQMsp0u1AJtHlN6heXjhE3/uq/klV4lyKBVeJUsZM4FQcxAqCDkMLPNwRLuhvCh22lxA==" saltValue="tpr4iClXPwDdE4Gki9YDqA==" spinCount="100000" sheet="1" scenarios="1" formatColumns="0" formatRows="0" autoFilter="0"/>
  <mergeCells count="11">
    <mergeCell ref="BA15:BB15"/>
    <mergeCell ref="BC15:BG15"/>
    <mergeCell ref="C15:C16"/>
    <mergeCell ref="D15:D16"/>
    <mergeCell ref="AG15:AH15"/>
    <mergeCell ref="AI15:AK15"/>
    <mergeCell ref="AP15:AY15"/>
    <mergeCell ref="E15:N15"/>
    <mergeCell ref="Y15:Z15"/>
    <mergeCell ref="P15:Q15"/>
    <mergeCell ref="R15:W15"/>
  </mergeCells>
  <conditionalFormatting sqref="A17:A78">
    <cfRule type="cellIs" dxfId="473" priority="1" operator="equal">
      <formula>"חסרה הזנה"</formula>
    </cfRule>
  </conditionalFormatting>
  <dataValidations count="1">
    <dataValidation type="list" allowBlank="1" showInputMessage="1" showErrorMessage="1" sqref="Q17:Q78" xr:uid="{00000000-0002-0000-0400-000000000000}">
      <formula1>AI17:AK17</formula1>
    </dataValidation>
  </dataValidations>
  <pageMargins left="0.70866141732283472" right="0.70866141732283472" top="0.74803149606299213" bottom="0.74803149606299213" header="0.31496062992125984" footer="0.31496062992125984"/>
  <pageSetup paperSize="9" orientation="portrait" r:id="rId1"/>
  <headerFooter>
    <oddFooter>&amp;C&amp;"David,מודגש"א. חפץ ושות'
ייעוץ כלכלי</oddFooter>
  </headerFooter>
  <colBreaks count="1" manualBreakCount="1">
    <brk id="1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גיליון4">
    <tabColor theme="5" tint="0.79998168889431442"/>
  </sheetPr>
  <dimension ref="A2:AQ79"/>
  <sheetViews>
    <sheetView rightToLeft="1" view="pageBreakPreview" zoomScaleNormal="80" zoomScaleSheetLayoutView="100" workbookViewId="0">
      <pane xSplit="4" ySplit="16" topLeftCell="E17" activePane="bottomRight" state="frozen"/>
      <selection pane="topRight" activeCell="M88" sqref="M88"/>
      <selection pane="bottomLeft" activeCell="M88" sqref="M88"/>
      <selection pane="bottomRight" activeCell="E17" sqref="E17"/>
    </sheetView>
  </sheetViews>
  <sheetFormatPr defaultColWidth="9" defaultRowHeight="15.75" x14ac:dyDescent="0.25"/>
  <cols>
    <col min="1" max="1" width="11" hidden="1" customWidth="1"/>
    <col min="2" max="2" width="31.85546875" hidden="1" customWidth="1"/>
    <col min="3" max="3" width="11" bestFit="1" customWidth="1"/>
    <col min="4" max="4" width="29.85546875" bestFit="1" customWidth="1"/>
    <col min="5" max="7" width="26.42578125" customWidth="1"/>
    <col min="8" max="8" width="32.85546875" customWidth="1"/>
    <col min="9" max="10" width="26.42578125" customWidth="1"/>
    <col min="11" max="11" width="29.140625" customWidth="1"/>
    <col min="12" max="12" width="12.5703125" bestFit="1" customWidth="1"/>
    <col min="13" max="13" width="20.140625" customWidth="1"/>
    <col min="14" max="14" width="20.140625" hidden="1" customWidth="1"/>
    <col min="15" max="17" width="20.140625" customWidth="1"/>
    <col min="18" max="18" width="11.140625" bestFit="1" customWidth="1"/>
    <col min="19" max="19" width="11.140625" hidden="1" customWidth="1"/>
    <col min="20" max="20" width="27.85546875" bestFit="1" customWidth="1"/>
    <col min="21" max="21" width="10" hidden="1" customWidth="1"/>
    <col min="22" max="22" width="15.85546875" bestFit="1" customWidth="1"/>
    <col min="23" max="23" width="49.5703125" style="42" customWidth="1"/>
    <col min="24" max="24" width="49.5703125" style="42" hidden="1" customWidth="1"/>
    <col min="25" max="25" width="8.42578125" hidden="1" customWidth="1"/>
    <col min="26" max="26" width="9.5703125" hidden="1" customWidth="1"/>
    <col min="27" max="27" width="10.85546875" hidden="1" customWidth="1"/>
    <col min="28" max="28" width="18" hidden="1" customWidth="1"/>
    <col min="29" max="29" width="3" hidden="1" customWidth="1"/>
    <col min="30" max="30" width="3.85546875" hidden="1" customWidth="1"/>
    <col min="31" max="35" width="11.85546875" hidden="1" customWidth="1"/>
    <col min="36" max="37" width="11.140625" hidden="1" customWidth="1"/>
    <col min="38" max="39" width="10.85546875" hidden="1" customWidth="1"/>
    <col min="40" max="43" width="9.140625" hidden="1" customWidth="1"/>
    <col min="44" max="198" width="9.140625" customWidth="1"/>
    <col min="199" max="199" width="4.85546875" customWidth="1"/>
    <col min="200" max="200" width="5" customWidth="1"/>
    <col min="201" max="201" width="2.140625" customWidth="1"/>
  </cols>
  <sheetData>
    <row r="2" spans="3:42" hidden="1" x14ac:dyDescent="0.25"/>
    <row r="3" spans="3:42" hidden="1" x14ac:dyDescent="0.25"/>
    <row r="4" spans="3:42" hidden="1" x14ac:dyDescent="0.25"/>
    <row r="5" spans="3:42" hidden="1" x14ac:dyDescent="0.25"/>
    <row r="6" spans="3:42" hidden="1" x14ac:dyDescent="0.25"/>
    <row r="7" spans="3:42" hidden="1" x14ac:dyDescent="0.25"/>
    <row r="8" spans="3:42" hidden="1" x14ac:dyDescent="0.25"/>
    <row r="9" spans="3:42" hidden="1" x14ac:dyDescent="0.25"/>
    <row r="10" spans="3:42" hidden="1" x14ac:dyDescent="0.25"/>
    <row r="11" spans="3:42" hidden="1" x14ac:dyDescent="0.25"/>
    <row r="12" spans="3:42" hidden="1" x14ac:dyDescent="0.25"/>
    <row r="14" spans="3:42" ht="15.75" customHeight="1" x14ac:dyDescent="0.25">
      <c r="C14" s="489" t="str">
        <f>'ריכוז נתונים'!C15</f>
        <v>מספר סידורי</v>
      </c>
      <c r="D14" s="489" t="str">
        <f>'ריכוז נתונים'!D15</f>
        <v>שם המוסד</v>
      </c>
      <c r="E14" s="499" t="s">
        <v>74</v>
      </c>
      <c r="F14" s="503"/>
      <c r="G14" s="503"/>
      <c r="H14" s="503"/>
      <c r="I14" s="500"/>
      <c r="J14" s="304"/>
      <c r="K14" s="304"/>
      <c r="L14" s="499" t="s">
        <v>165</v>
      </c>
      <c r="M14" s="503"/>
      <c r="N14" s="503"/>
      <c r="O14" s="503"/>
      <c r="P14" s="503"/>
      <c r="Q14" s="503"/>
      <c r="R14" s="503"/>
      <c r="S14" s="503"/>
      <c r="T14" s="503"/>
      <c r="U14" s="503"/>
      <c r="V14" s="503"/>
      <c r="W14" s="500"/>
      <c r="X14" s="422"/>
    </row>
    <row r="15" spans="3:42" ht="21.75" customHeight="1" x14ac:dyDescent="0.25">
      <c r="C15" s="490"/>
      <c r="D15" s="490"/>
      <c r="E15" s="510" t="str">
        <f>AE15</f>
        <v xml:space="preserve">אחוז ההוצאות ששימשו לפעילות של מרכזי עדות ישראל מתוך סך ההוצאות הכספיות המוכחות </v>
      </c>
      <c r="F15" s="510" t="str">
        <f>'מורשת יהודי צפון  אפריקה'!C10</f>
        <v>סך הכנסות המוסד (תקציב שנתי)  (₪)</v>
      </c>
      <c r="G15" s="510" t="str">
        <f>'מרכז מורשת בבל'!E10</f>
        <v>סך הכנסות (תקציב שנתי) בכל תחומי המורשת (₪)</v>
      </c>
      <c r="H15" s="510" t="str">
        <f>'מרכז מורשת בבל'!F10</f>
        <v>סך הכנסות (תקציב שנתי) בתחום מרכזי עדות ישראל (₪)</v>
      </c>
      <c r="I15" s="510" t="str">
        <f>AG15</f>
        <v>מספר האירועים שהמוסד מקיים עולה על:</v>
      </c>
      <c r="J15" s="510" t="str">
        <f>AH15</f>
        <v>שנות פעילות של המוסד</v>
      </c>
      <c r="K15" s="510" t="str">
        <f>'מרכז מורשת בבל'!K10</f>
        <v>הפעילות שבעדה מבוקשת התמיכה אינה מתוקצבת בדרך אחרת מתקציב המדינה (לא= מקבל תקציב בדרך אחרת)</v>
      </c>
      <c r="L15" s="510" t="s">
        <v>166</v>
      </c>
      <c r="M15" s="510" t="str">
        <f>"שיעור תמיכה יחסי בשנה קודמת "&amp;פרמטרים!C3-1</f>
        <v>שיעור תמיכה יחסי בשנה קודמת 2024</v>
      </c>
      <c r="N15" s="510" t="str">
        <f>"שיעור תמיכה יחסי בשנה קודמת "&amp;פרמטרים!D4-1</f>
        <v>שיעור תמיכה יחסי בשנה קודמת -1</v>
      </c>
      <c r="O15" s="510" t="str">
        <f>"סכום תמיכה בשנה קודמת "&amp;פרמטרים!C3-1</f>
        <v>סכום תמיכה בשנה קודמת 2024</v>
      </c>
      <c r="P15" s="507" t="s">
        <v>167</v>
      </c>
      <c r="Q15" s="508"/>
      <c r="R15" s="509"/>
      <c r="S15" s="431"/>
      <c r="T15" s="510" t="s">
        <v>168</v>
      </c>
      <c r="U15" s="25"/>
      <c r="V15" s="510" t="s">
        <v>169</v>
      </c>
      <c r="W15" s="517" t="s">
        <v>170</v>
      </c>
      <c r="X15" s="515" t="s">
        <v>166</v>
      </c>
      <c r="Y15" s="505" t="str">
        <f>X15</f>
        <v>עובר תנאי סף</v>
      </c>
      <c r="Z15" s="506"/>
      <c r="AB15" s="13" t="s">
        <v>144</v>
      </c>
      <c r="AE15" s="4" t="str">
        <f t="array" ref="AE15:AH16">TRANSPOSE(פרמטרים!B22:C25)</f>
        <v xml:space="preserve">אחוז ההוצאות ששימשו לפעילות של מרכזי עדות ישראל מתוך סך ההוצאות הכספיות המוכחות </v>
      </c>
      <c r="AF15" s="4" t="str">
        <v>סך הכנסות (תקציב שנתי) בתחום מרכזי עדות ישראל (₪)</v>
      </c>
      <c r="AG15" s="4" t="str">
        <v>מספר האירועים שהמוסד מקיים עולה על:</v>
      </c>
      <c r="AH15" s="125" t="str">
        <v>שנות פעילות של המוסד</v>
      </c>
      <c r="AI15" s="125" t="str">
        <f>K15</f>
        <v>הפעילות שבעדה מבוקשת התמיכה אינה מתוקצבת בדרך אחרת מתקציב המדינה (לא= מקבל תקציב בדרך אחרת)</v>
      </c>
      <c r="AJ15" s="512" t="s">
        <v>167</v>
      </c>
      <c r="AK15" s="513"/>
      <c r="AL15" s="513"/>
      <c r="AM15" s="513"/>
      <c r="AN15" s="513"/>
      <c r="AO15" s="513"/>
      <c r="AP15" s="514"/>
    </row>
    <row r="16" spans="3:42" ht="60" customHeight="1" x14ac:dyDescent="0.25">
      <c r="C16" s="504"/>
      <c r="D16" s="504"/>
      <c r="E16" s="511"/>
      <c r="F16" s="511"/>
      <c r="G16" s="511"/>
      <c r="H16" s="511"/>
      <c r="I16" s="511"/>
      <c r="J16" s="511"/>
      <c r="K16" s="511"/>
      <c r="L16" s="511"/>
      <c r="M16" s="511"/>
      <c r="N16" s="511"/>
      <c r="O16" s="511"/>
      <c r="P16" s="26" t="s">
        <v>171</v>
      </c>
      <c r="Q16" s="27"/>
      <c r="R16" s="27" t="s">
        <v>172</v>
      </c>
      <c r="S16" s="432"/>
      <c r="T16" s="511"/>
      <c r="U16" s="30"/>
      <c r="V16" s="511"/>
      <c r="W16" s="518"/>
      <c r="X16" s="516"/>
      <c r="Y16" s="2" t="s">
        <v>31</v>
      </c>
      <c r="Z16" s="2" t="s">
        <v>32</v>
      </c>
      <c r="AA16" s="4" t="s">
        <v>173</v>
      </c>
      <c r="AB16" s="4" t="s">
        <v>174</v>
      </c>
      <c r="AC16" s="2" t="s">
        <v>31</v>
      </c>
      <c r="AD16" s="2" t="s">
        <v>32</v>
      </c>
      <c r="AE16" s="2">
        <v>0.6</v>
      </c>
      <c r="AF16" s="2">
        <v>107797.51052514711</v>
      </c>
      <c r="AG16" s="2">
        <v>1</v>
      </c>
      <c r="AH16" s="2">
        <v>2</v>
      </c>
      <c r="AI16" s="2" t="s">
        <v>31</v>
      </c>
      <c r="AJ16" s="4" t="s">
        <v>167</v>
      </c>
      <c r="AK16" s="4" t="s">
        <v>167</v>
      </c>
      <c r="AL16" s="4" t="str">
        <f>T15</f>
        <v>שעור גרעון שנתי מהכנסות (%)</v>
      </c>
      <c r="AM16" s="4" t="str">
        <f>V15</f>
        <v>שעור גרעון מצטבר מהכנסות (%)</v>
      </c>
      <c r="AN16" s="99" t="str">
        <f>'גיליון עזר'!B6</f>
        <v>כן</v>
      </c>
      <c r="AO16" s="99" t="str">
        <f>'גיליון עזר'!C6</f>
        <v>לא</v>
      </c>
    </row>
    <row r="17" spans="1:41" x14ac:dyDescent="0.25">
      <c r="A17" t="str">
        <f ca="1">IF(AND(LEFT(B17,11)&lt;&gt;"גיליון הזנה",INDIRECT("'"&amp;$B17&amp;"'!"&amp;'גיליון עזר'!$I$1&amp;ROW('מרכז מורשת בבל'!$I$3))=""),"חסרה הזנה","")</f>
        <v/>
      </c>
      <c r="B17" t="str">
        <f ca="1">'מרכז מורשת בבל'!D3</f>
        <v>מרכז מורשת בבל</v>
      </c>
      <c r="C17" s="7">
        <f>'ריכוז נתונים'!C17</f>
        <v>1</v>
      </c>
      <c r="D17" s="7" t="str">
        <f ca="1">IF(OR(LEFT(B17,11)="גיליון הזנה",INDIRECT("'"&amp;$B17&amp;"'!"&amp;'גיליון עזר'!$I$1&amp;ROW('מרכז מורשת בבל'!$I$3))=0),"",B17)</f>
        <v>מרכז מורשת בבל</v>
      </c>
      <c r="E17" s="106">
        <f ca="1">IF($D17="","",IFERROR(INDIRECT("'"&amp;$D17&amp;"'!"&amp;'גיליון עזר'!$H$1&amp;ROW('מרכז מורשת בבל'!$C$11))/INDIRECT("'"&amp;$D17&amp;"'!"&amp;'גיליון עזר'!$G$1&amp;ROW('מרכז מורשת בבל'!$C$11)),0))</f>
        <v>1</v>
      </c>
      <c r="F17" s="107">
        <f ca="1">IF($D17="","",INDIRECT("'"&amp;$D17&amp;"'!"&amp;'גיליון עזר'!$C$1&amp;ROW('מרכז מורשת בבל'!$C$11)))</f>
        <v>3953224</v>
      </c>
      <c r="G17" s="129">
        <f ca="1">IF($D17="","",INDIRECT("'"&amp;$D17&amp;"'!"&amp;'גיליון עזר'!$E$1&amp;ROW('מרכז מורשת בבל'!$C$11)))</f>
        <v>3953224</v>
      </c>
      <c r="H17" s="128">
        <f ca="1">IF($D17="","",INDIRECT("'"&amp;$D17&amp;"'!"&amp;'גיליון עזר'!$F$1&amp;ROW('מרכז מורשת בבל'!$C$11)))</f>
        <v>3953224</v>
      </c>
      <c r="I17" s="108">
        <f ca="1">IF($D17="","",'ריכוז נתונים'!AP17+'ריכוז נתונים'!AQ17+'ריכוז נתונים'!AS17+'ריכוז נתונים'!AU17+'ריכוז נתונים'!AW17+'ריכוז נתונים'!AY17)</f>
        <v>284</v>
      </c>
      <c r="J17" s="108">
        <f ca="1">IF($D17="","",IF(INDIRECT("'"&amp;$D17&amp;"'!"&amp;'גיליון עזר'!$I$1&amp;ROW('מרכז מורשת בבל'!$C$11))="",0,פרמטרים!$C$3-INDIRECT("'"&amp;$D17&amp;"'!"&amp;'גיליון עזר'!$I$1&amp;ROW('מרכז מורשת בבל'!$C$11))))</f>
        <v>42</v>
      </c>
      <c r="K17" s="108" t="str">
        <f ca="1">IF($D17="","",IF(INDIRECT("'"&amp;$D17&amp;"'!"&amp;'גיליון עזר'!$K$1&amp;ROW('מרכז מורשת בבל'!$C$11))="","",INDIRECT("'"&amp;$D17&amp;"'!"&amp;'גיליון עזר'!$K$1&amp;ROW('מרכז מורשת בבל'!$C$11))))</f>
        <v>כן</v>
      </c>
      <c r="L17" s="108" t="str">
        <f ca="1">IF($D17="","",AA17)</f>
        <v>כן</v>
      </c>
      <c r="M17" s="131">
        <f ca="1">IF($D17="","",IFERROR(O17/פרמטרים!$C$5,""))</f>
        <v>5.3772055592074069E-2</v>
      </c>
      <c r="N17" s="96">
        <f ca="1">IF($D17="","",IF(INDIRECT("'"&amp;$D17&amp;"'!"&amp;'גיליון עזר'!$E$1&amp;ROW('מרכז מורשת בבל'!$H$8))="","",INDIRECT("'"&amp;$D17&amp;"'!"&amp;'גיליון עזר'!$E$1&amp;ROW('מרכז מורשת בבל'!$H$8))))</f>
        <v>5.3772055592074069E-2</v>
      </c>
      <c r="O17" s="96">
        <f>'סיכום לועדה- הזנת נתונים'!N31</f>
        <v>656553.68000000005</v>
      </c>
      <c r="P17" s="35" t="str">
        <f ca="1">IF($D17="","",INDIRECT("'"&amp;$D17&amp;"'!"&amp;'גיליון עזר'!$G$1&amp;ROW('מרכז מורשת בבל'!$J$8)))</f>
        <v>לא</v>
      </c>
      <c r="Q17" s="35">
        <f ca="1">IF($D17="","",INDIRECT("'"&amp;$D17&amp;"'!"&amp;'גיליון עזר'!H1&amp;ROW('מרכז מורשת בבל'!K8)))</f>
        <v>0</v>
      </c>
      <c r="R17" s="134">
        <f ca="1">IF($D17="","",INDIRECT("'"&amp;$D17&amp;"'!"&amp;'גיליון עזר'!$I$1&amp;ROW('מרכז מורשת בבל'!$L$8)))</f>
        <v>0</v>
      </c>
      <c r="S17" s="35">
        <f ca="1">IF($D17="","",INDIRECT("'"&amp;$D17&amp;"'!"&amp;'גיליון עזר'!J1&amp;ROW('מרכז מורשת בבל'!M8)))</f>
        <v>0</v>
      </c>
      <c r="T17" s="36">
        <f ca="1">IF($D17="","",IFERROR(INDIRECT("'"&amp;$D17&amp;"'!"&amp;'גיליון עזר'!$K$1&amp;ROW('מרכז מורשת בבל'!$N$8))/F17,""))</f>
        <v>3.7844301258921832E-2</v>
      </c>
      <c r="U17" s="35"/>
      <c r="V17" s="36">
        <f ca="1">IF($D17="","",IFERROR(INDIRECT("'"&amp;$D17&amp;"'!"&amp;'גיליון עזר'!$M$1&amp;ROW('מרכז מורשת בבל'!$P$8))/F17,""))</f>
        <v>0.45608925778048498</v>
      </c>
      <c r="W17" s="103"/>
      <c r="X17" s="109" t="str">
        <f ca="1">IF($D17="","",IF(AND(AA17="כן",'תנאי סף'!AX11=1),"כן","לא"))</f>
        <v>כן</v>
      </c>
      <c r="Y17" s="1" t="str">
        <f ca="1">IF($D17="","",Y$16)</f>
        <v>כן</v>
      </c>
      <c r="Z17" s="1" t="str">
        <f ca="1">IF($D17="","",Z$16)</f>
        <v>לא</v>
      </c>
      <c r="AA17" s="12" t="str">
        <f ca="1">IF(W17&lt;&gt;"",W17,IF(SUM(AE17:AI17)=COUNTA(AE$15:AI$15),$Y$16,$Z$16))</f>
        <v>כן</v>
      </c>
      <c r="AB17" s="223">
        <f t="shared" ref="AB17:AB48" ca="1" si="0">IF($D17="","",IF(M17&gt;=0,M17,$AB$15))</f>
        <v>5.3772055592074069E-2</v>
      </c>
      <c r="AC17" s="1" t="str">
        <f ca="1">IF($D17="","",AC$16)</f>
        <v>כן</v>
      </c>
      <c r="AD17" s="1" t="str">
        <f ca="1">IF($D17="","",AD$16)</f>
        <v>לא</v>
      </c>
      <c r="AE17" s="105">
        <f ca="1">IF($D17="","",IF(G17&gt;פרמטרים!$D$22,1,IF(E17&gt;=AE$16,1,0)))</f>
        <v>1</v>
      </c>
      <c r="AF17" s="105">
        <f ca="1">IF($D17="","",IF(H17&gt;=AF$16,1,0))</f>
        <v>1</v>
      </c>
      <c r="AG17" s="105">
        <f t="shared" ref="AG17:AG48" ca="1" si="1">IF($D17="","",IF(I17&gt;=AG$16,1,0))</f>
        <v>1</v>
      </c>
      <c r="AH17" s="105">
        <f t="shared" ref="AH17:AH48" ca="1" si="2">IF($D17="","",IF(J17&gt;=AH$16,1,0))</f>
        <v>1</v>
      </c>
      <c r="AI17" s="105">
        <f t="shared" ref="AI17:AI48" ca="1" si="3">IF($D17="","",IF(K17=AI$16,1,0))</f>
        <v>1</v>
      </c>
      <c r="AJ17" s="3">
        <f t="shared" ref="AJ17:AJ48" ca="1" si="4">IF($D17="","",IF(R17="",$AB$15,IF(ISERR(R17/3),$AB$15,R17)))</f>
        <v>0</v>
      </c>
      <c r="AK17" s="3">
        <f t="shared" ref="AK17:AK48" ca="1" si="5">IFERROR(IF(AJ17=$AB$15,AJ17,IF(P17=$AD$16,0,1)*AJ17),"")</f>
        <v>0</v>
      </c>
      <c r="AL17" s="12">
        <f ca="1">IF(OR(T17="",$D17=""),"",IF(ISNUMBER(T17),T17,$AB$15))</f>
        <v>3.7844301258921832E-2</v>
      </c>
      <c r="AM17" s="12">
        <f ca="1">IF(OR(V17="",$D17=""),"",IF(ISNUMBER(V17),V17,$AB$15))</f>
        <v>0.45608925778048498</v>
      </c>
      <c r="AN17" t="str">
        <f t="shared" ref="AN17:AN48" ca="1" si="6">IF(D17="","",AN$16)</f>
        <v>כן</v>
      </c>
      <c r="AO17" t="str">
        <f t="shared" ref="AO17:AO48" ca="1" si="7">IF(X17="","",AO$16)</f>
        <v>לא</v>
      </c>
    </row>
    <row r="18" spans="1:41" x14ac:dyDescent="0.25">
      <c r="A18" t="str">
        <f ca="1">IF(AND(LEFT(B18,11)&lt;&gt;"גיליון הזנה",INDIRECT("'"&amp;$B18&amp;"'!"&amp;'גיליון עזר'!$I$1&amp;ROW('מרכז מורשת בבל'!$I$3))=""),"חסרה הזנה","")</f>
        <v/>
      </c>
      <c r="B18" t="str">
        <f ca="1">'מורשת יהודי צפון  אפריקה'!$D$3</f>
        <v>מורשת יהודי צפון  אפריקה</v>
      </c>
      <c r="C18" s="7">
        <f>'ריכוז נתונים'!C18</f>
        <v>2</v>
      </c>
      <c r="D18" s="7" t="str">
        <f ca="1">IF(OR(LEFT(B18,11)="גיליון הזנה",INDIRECT("'"&amp;$B18&amp;"'!"&amp;'גיליון עזר'!$I$1&amp;ROW('מרכז מורשת בבל'!$I$3))=0),"",B18)</f>
        <v>מורשת יהודי צפון  אפריקה</v>
      </c>
      <c r="E18" s="106">
        <f ca="1">IF($D18="","",IFERROR(INDIRECT("'"&amp;$D18&amp;"'!"&amp;'גיליון עזר'!$H$1&amp;ROW('מרכז מורשת בבל'!$C$11))/INDIRECT("'"&amp;$D18&amp;"'!"&amp;'גיליון עזר'!$G$1&amp;ROW('מרכז מורשת בבל'!$C$11)),0))</f>
        <v>0.99122378955394586</v>
      </c>
      <c r="F18" s="107">
        <f ca="1">IF($D18="","",INDIRECT("'"&amp;$D18&amp;"'!"&amp;'גיליון עזר'!$C$1&amp;ROW('מרכז מורשת בבל'!$C$11)))</f>
        <v>610299</v>
      </c>
      <c r="G18" s="129">
        <f ca="1">IF($D18="","",INDIRECT("'"&amp;$D18&amp;"'!"&amp;'גיליון עזר'!$E$1&amp;ROW('מרכז מורשת בבל'!$C$11)))</f>
        <v>610299</v>
      </c>
      <c r="H18" s="128">
        <f ca="1">IF($D18="","",INDIRECT("'"&amp;$D18&amp;"'!"&amp;'גיליון עזר'!$F$1&amp;ROW('מרכז מורשת בבל'!$C$11)))</f>
        <v>610299</v>
      </c>
      <c r="I18" s="108">
        <f ca="1">IF($D18="","",'ריכוז נתונים'!AP18+'ריכוז נתונים'!AQ18+'ריכוז נתונים'!AS18+'ריכוז נתונים'!AU18+'ריכוז נתונים'!AW18+'ריכוז נתונים'!AY18)</f>
        <v>20</v>
      </c>
      <c r="J18" s="108">
        <f ca="1">IF($D18="","",IF(INDIRECT("'"&amp;$D18&amp;"'!"&amp;'גיליון עזר'!$I$1&amp;ROW('מרכז מורשת בבל'!$C$11))="",0,פרמטרים!$C$3-INDIRECT("'"&amp;$D18&amp;"'!"&amp;'גיליון עזר'!$I$1&amp;ROW('מרכז מורשת בבל'!$C$11))))</f>
        <v>36</v>
      </c>
      <c r="K18" s="108" t="str">
        <f ca="1">IF($D18="","",IF(INDIRECT("'"&amp;$D18&amp;"'!"&amp;'גיליון עזר'!$K$1&amp;ROW('מרכז מורשת בבל'!$C$11))="","",INDIRECT("'"&amp;$D18&amp;"'!"&amp;'גיליון עזר'!$K$1&amp;ROW('מרכז מורשת בבל'!$C$11))))</f>
        <v>כן</v>
      </c>
      <c r="L18" s="108" t="str">
        <f t="shared" ref="L18:L78" ca="1" si="8">IF($D18="","",AA18)</f>
        <v>כן</v>
      </c>
      <c r="M18" s="131">
        <f ca="1">IF($D18="","",IFERROR(O18/פרמטרים!$C$5,""))</f>
        <v>1.985007545490388E-2</v>
      </c>
      <c r="N18" s="5"/>
      <c r="O18" s="96">
        <f>'סיכום לועדה- הזנת נתונים'!N32</f>
        <v>242368.27</v>
      </c>
      <c r="P18" s="35" t="str">
        <f ca="1">IF($D18="","",INDIRECT("'"&amp;$D18&amp;"'!"&amp;'גיליון עזר'!$G$1&amp;ROW('מרכז מורשת בבל'!$J$8)))</f>
        <v>לא</v>
      </c>
      <c r="Q18" s="5"/>
      <c r="R18" s="134">
        <f ca="1">IF($D18="","",INDIRECT("'"&amp;$D18&amp;"'!"&amp;'גיליון עזר'!$I$1&amp;ROW('מרכז מורשת בבל'!$L$8)))</f>
        <v>0</v>
      </c>
      <c r="S18" s="5"/>
      <c r="T18" s="36">
        <f ca="1">IF($D18="","",IFERROR(INDIRECT("'"&amp;$D18&amp;"'!"&amp;'גיליון עזר'!$K$1&amp;ROW('מרכז מורשת בבל'!$N$8))/F18,""))</f>
        <v>0.13732940738883728</v>
      </c>
      <c r="U18" s="35"/>
      <c r="V18" s="36">
        <f ca="1">IF($D18="","",IFERROR(INDIRECT("'"&amp;$D18&amp;"'!"&amp;'גיליון עזר'!$M$1&amp;ROW('מרכז מורשת בבל'!$P$8))/F18,""))</f>
        <v>0.19297754051702526</v>
      </c>
      <c r="W18" s="103"/>
      <c r="X18" s="109" t="str">
        <f ca="1">IF($D18="","",IF(AND(AA18="כן",'תנאי סף'!AX12=1),"כן","לא"))</f>
        <v>כן</v>
      </c>
      <c r="Y18" s="1" t="str">
        <f t="shared" ref="Y18:Z77" ca="1" si="9">IF($D18="","",Y$16)</f>
        <v>כן</v>
      </c>
      <c r="Z18" s="1" t="str">
        <f t="shared" ca="1" si="9"/>
        <v>לא</v>
      </c>
      <c r="AA18" s="12" t="str">
        <f t="shared" ref="AA18:AA76" ca="1" si="10">IF(W18&lt;&gt;"",W18,IF(SUM(AE18:AI18)=COUNTA(AE$15:AI$15),$Y$16,$Z$16))</f>
        <v>כן</v>
      </c>
      <c r="AB18" s="223">
        <f t="shared" ca="1" si="0"/>
        <v>1.985007545490388E-2</v>
      </c>
      <c r="AC18" s="1" t="str">
        <f t="shared" ref="AC18:AD77" ca="1" si="11">IF($D18="","",AC$16)</f>
        <v>כן</v>
      </c>
      <c r="AD18" s="1" t="str">
        <f t="shared" ca="1" si="11"/>
        <v>לא</v>
      </c>
      <c r="AE18" s="105">
        <f ca="1">IF($D18="","",IF(G18&gt;פרמטרים!$D$22,1,IF(E18&gt;=AE$16,1,0)))</f>
        <v>1</v>
      </c>
      <c r="AF18" s="105">
        <f t="shared" ref="AF18:AF76" ca="1" si="12">IF($D18="","",IF(H18&gt;=AF$16,1,0))</f>
        <v>1</v>
      </c>
      <c r="AG18" s="105">
        <f t="shared" ca="1" si="1"/>
        <v>1</v>
      </c>
      <c r="AH18" s="105">
        <f t="shared" ca="1" si="2"/>
        <v>1</v>
      </c>
      <c r="AI18" s="105">
        <f t="shared" ca="1" si="3"/>
        <v>1</v>
      </c>
      <c r="AJ18" s="3">
        <f t="shared" ca="1" si="4"/>
        <v>0</v>
      </c>
      <c r="AK18" s="3">
        <f t="shared" ca="1" si="5"/>
        <v>0</v>
      </c>
      <c r="AL18" s="12">
        <f t="shared" ref="AL18:AL76" ca="1" si="13">IF(OR(T18="",$D18=""),"",IF(ISNUMBER(T18),T18,$AB$15))</f>
        <v>0.13732940738883728</v>
      </c>
      <c r="AM18" s="12">
        <f t="shared" ref="AM18:AM76" ca="1" si="14">IF(OR(V18="",$D18=""),"",IF(ISNUMBER(V18),V18,$AB$15))</f>
        <v>0.19297754051702526</v>
      </c>
      <c r="AN18" t="str">
        <f t="shared" ca="1" si="6"/>
        <v>כן</v>
      </c>
      <c r="AO18" t="str">
        <f t="shared" ca="1" si="7"/>
        <v>לא</v>
      </c>
    </row>
    <row r="19" spans="1:41" x14ac:dyDescent="0.25">
      <c r="A19" t="str">
        <f ca="1">IF(AND(LEFT(B19,11)&lt;&gt;"גיליון הזנה",INDIRECT("'"&amp;$B19&amp;"'!"&amp;'גיליון עזר'!$I$1&amp;ROW('מרכז מורשת בבל'!$I$3))=""),"חסרה הזנה","")</f>
        <v/>
      </c>
      <c r="B19" t="str">
        <f ca="1">'מורשת יהדות קוצין'!$D$3</f>
        <v>מורשת יהדות קוצין</v>
      </c>
      <c r="C19" s="7">
        <f>'ריכוז נתונים'!C19</f>
        <v>3</v>
      </c>
      <c r="D19" s="7" t="str">
        <f ca="1">IF(OR(LEFT(B19,11)="גיליון הזנה",INDIRECT("'"&amp;$B19&amp;"'!"&amp;'גיליון עזר'!$I$1&amp;ROW('מרכז מורשת בבל'!$I$3))=0),"",B19)</f>
        <v>מורשת יהדות קוצין</v>
      </c>
      <c r="E19" s="106">
        <f ca="1">IF($D19="","",IFERROR(INDIRECT("'"&amp;$D19&amp;"'!"&amp;'גיליון עזר'!$H$1&amp;ROW('מרכז מורשת בבל'!$C$11))/INDIRECT("'"&amp;$D19&amp;"'!"&amp;'גיליון עזר'!$G$1&amp;ROW('מרכז מורשת בבל'!$C$11)),0))</f>
        <v>1</v>
      </c>
      <c r="F19" s="107">
        <f ca="1">IF($D19="","",INDIRECT("'"&amp;$D19&amp;"'!"&amp;'גיליון עזר'!$C$1&amp;ROW('מרכז מורשת בבל'!$C$11)))</f>
        <v>580402</v>
      </c>
      <c r="G19" s="129">
        <f ca="1">IF($D19="","",INDIRECT("'"&amp;$D19&amp;"'!"&amp;'גיליון עזר'!$E$1&amp;ROW('מרכז מורשת בבל'!$C$11)))</f>
        <v>580402</v>
      </c>
      <c r="H19" s="128">
        <f ca="1">IF($D19="","",INDIRECT("'"&amp;$D19&amp;"'!"&amp;'גיליון עזר'!$F$1&amp;ROW('מרכז מורשת בבל'!$C$11)))</f>
        <v>580402</v>
      </c>
      <c r="I19" s="108">
        <f ca="1">IF($D19="","",'ריכוז נתונים'!AP19+'ריכוז נתונים'!AQ19+'ריכוז נתונים'!AS19+'ריכוז נתונים'!AU19+'ריכוז נתונים'!AW19+'ריכוז נתונים'!AY19)</f>
        <v>37</v>
      </c>
      <c r="J19" s="108">
        <f ca="1">IF($D19="","",IF(INDIRECT("'"&amp;$D19&amp;"'!"&amp;'גיליון עזר'!$I$1&amp;ROW('מרכז מורשת בבל'!$C$11))="",0,פרמטרים!$C$3-INDIRECT("'"&amp;$D19&amp;"'!"&amp;'גיליון עזר'!$I$1&amp;ROW('מרכז מורשת בבל'!$C$11))))</f>
        <v>32</v>
      </c>
      <c r="K19" s="108" t="str">
        <f ca="1">IF($D19="","",IF(INDIRECT("'"&amp;$D19&amp;"'!"&amp;'גיליון עזר'!$K$1&amp;ROW('מרכז מורשת בבל'!$C$11))="","",INDIRECT("'"&amp;$D19&amp;"'!"&amp;'גיליון עזר'!$K$1&amp;ROW('מרכז מורשת בבל'!$C$11))))</f>
        <v>כן</v>
      </c>
      <c r="L19" s="108" t="str">
        <f t="shared" ca="1" si="8"/>
        <v>כן</v>
      </c>
      <c r="M19" s="131">
        <f ca="1">IF($D19="","",IFERROR(O19/פרמטרים!$C$5,""))</f>
        <v>3.1715379974777934E-2</v>
      </c>
      <c r="N19" s="5"/>
      <c r="O19" s="96">
        <f>'סיכום לועדה- הזנת נתונים'!N33</f>
        <v>387242.95</v>
      </c>
      <c r="P19" s="35" t="str">
        <f ca="1">IF($D19="","",INDIRECT("'"&amp;$D19&amp;"'!"&amp;'גיליון עזר'!$G$1&amp;ROW('מרכז מורשת בבל'!$J$8)))</f>
        <v>לא</v>
      </c>
      <c r="Q19" s="5"/>
      <c r="R19" s="134">
        <f ca="1">IF($D19="","",INDIRECT("'"&amp;$D19&amp;"'!"&amp;'גיליון עזר'!$I$1&amp;ROW('מרכז מורשת בבל'!$L$8)))</f>
        <v>0</v>
      </c>
      <c r="S19" s="5"/>
      <c r="T19" s="36">
        <f ca="1">IF($D19="","",IFERROR(INDIRECT("'"&amp;$D19&amp;"'!"&amp;'גיליון עזר'!$K$1&amp;ROW('מרכז מורשת בבל'!$N$8))/F19,""))</f>
        <v>0.5127687361518396</v>
      </c>
      <c r="U19" s="35"/>
      <c r="V19" s="36">
        <f ca="1">IF($D19="","",IFERROR(INDIRECT("'"&amp;$D19&amp;"'!"&amp;'גיליון עזר'!$M$1&amp;ROW('מרכז מורשת בבל'!$P$8))/F19,""))</f>
        <v>2.1389140630114989</v>
      </c>
      <c r="W19" s="103"/>
      <c r="X19" s="109" t="str">
        <f ca="1">IF($D19="","",IF(AND(AA19="כן",'תנאי סף'!AX13=1),"כן","לא"))</f>
        <v>כן</v>
      </c>
      <c r="Y19" s="1" t="str">
        <f t="shared" ca="1" si="9"/>
        <v>כן</v>
      </c>
      <c r="Z19" s="1" t="str">
        <f t="shared" ca="1" si="9"/>
        <v>לא</v>
      </c>
      <c r="AA19" s="12" t="str">
        <f t="shared" ca="1" si="10"/>
        <v>כן</v>
      </c>
      <c r="AB19" s="223">
        <f t="shared" ca="1" si="0"/>
        <v>3.1715379974777934E-2</v>
      </c>
      <c r="AC19" s="1" t="str">
        <f t="shared" ca="1" si="11"/>
        <v>כן</v>
      </c>
      <c r="AD19" s="1" t="str">
        <f t="shared" ca="1" si="11"/>
        <v>לא</v>
      </c>
      <c r="AE19" s="105">
        <f ca="1">IF($D19="","",IF(G19&gt;פרמטרים!$D$22,1,IF(E19&gt;=AE$16,1,0)))</f>
        <v>1</v>
      </c>
      <c r="AF19" s="105">
        <f t="shared" ca="1" si="12"/>
        <v>1</v>
      </c>
      <c r="AG19" s="105">
        <f t="shared" ca="1" si="1"/>
        <v>1</v>
      </c>
      <c r="AH19" s="105">
        <f t="shared" ca="1" si="2"/>
        <v>1</v>
      </c>
      <c r="AI19" s="105">
        <f t="shared" ca="1" si="3"/>
        <v>1</v>
      </c>
      <c r="AJ19" s="3">
        <f t="shared" ca="1" si="4"/>
        <v>0</v>
      </c>
      <c r="AK19" s="3">
        <f t="shared" ca="1" si="5"/>
        <v>0</v>
      </c>
      <c r="AL19" s="12">
        <f t="shared" ca="1" si="13"/>
        <v>0.5127687361518396</v>
      </c>
      <c r="AM19" s="12">
        <f t="shared" ca="1" si="14"/>
        <v>2.1389140630114989</v>
      </c>
      <c r="AN19" t="str">
        <f t="shared" ca="1" si="6"/>
        <v>כן</v>
      </c>
      <c r="AO19" t="str">
        <f t="shared" ca="1" si="7"/>
        <v>לא</v>
      </c>
    </row>
    <row r="20" spans="1:41" x14ac:dyDescent="0.25">
      <c r="A20" t="str">
        <f ca="1">IF(AND(LEFT(B20,11)&lt;&gt;"גיליון הזנה",INDIRECT("'"&amp;$B20&amp;"'!"&amp;'גיליון עזר'!$I$1&amp;ROW('מרכז מורשת בבל'!$I$3))=""),"חסרה הזנה","")</f>
        <v/>
      </c>
      <c r="B20" t="str">
        <f ca="1">'הפדרציה העולמית של יהדות תוניס'!$D$3</f>
        <v>הפדרציה העולמית של יהדות תוניס</v>
      </c>
      <c r="C20" s="7">
        <f>'ריכוז נתונים'!C20</f>
        <v>4</v>
      </c>
      <c r="D20" s="7" t="str">
        <f ca="1">IF(OR(LEFT(B20,11)="גיליון הזנה",INDIRECT("'"&amp;$B20&amp;"'!"&amp;'גיליון עזר'!$I$1&amp;ROW('מרכז מורשת בבל'!$I$3))=0),"",B20)</f>
        <v>הפדרציה העולמית של יהדות תוניס</v>
      </c>
      <c r="E20" s="106">
        <f ca="1">IF($D20="","",IFERROR(INDIRECT("'"&amp;$D20&amp;"'!"&amp;'גיליון עזר'!$H$1&amp;ROW('מרכז מורשת בבל'!$C$11))/INDIRECT("'"&amp;$D20&amp;"'!"&amp;'גיליון עזר'!$G$1&amp;ROW('מרכז מורשת בבל'!$C$11)),0))</f>
        <v>0</v>
      </c>
      <c r="F20" s="107">
        <f ca="1">IF($D20="","",INDIRECT("'"&amp;$D20&amp;"'!"&amp;'גיליון עזר'!$C$1&amp;ROW('מרכז מורשת בבל'!$C$11)))</f>
        <v>0</v>
      </c>
      <c r="G20" s="129">
        <f ca="1">IF($D20="","",INDIRECT("'"&amp;$D20&amp;"'!"&amp;'גיליון עזר'!$E$1&amp;ROW('מרכז מורשת בבל'!$C$11)))</f>
        <v>0</v>
      </c>
      <c r="H20" s="128">
        <f ca="1">IF($D20="","",INDIRECT("'"&amp;$D20&amp;"'!"&amp;'גיליון עזר'!$F$1&amp;ROW('מרכז מורשת בבל'!$C$11)))</f>
        <v>0</v>
      </c>
      <c r="I20" s="108">
        <f ca="1">IF($D20="","",'ריכוז נתונים'!AP20+'ריכוז נתונים'!AQ20+'ריכוז נתונים'!AS20+'ריכוז נתונים'!AU20+'ריכוז נתונים'!AW20+'ריכוז נתונים'!AY20)</f>
        <v>0</v>
      </c>
      <c r="J20" s="108">
        <f ca="1">IF($D20="","",IF(INDIRECT("'"&amp;$D20&amp;"'!"&amp;'גיליון עזר'!$I$1&amp;ROW('מרכז מורשת בבל'!$C$11))="",0,פרמטרים!$C$3-INDIRECT("'"&amp;$D20&amp;"'!"&amp;'גיליון עזר'!$I$1&amp;ROW('מרכז מורשת בבל'!$C$11))))</f>
        <v>0</v>
      </c>
      <c r="K20" s="108" t="str">
        <f ca="1">IF($D20="","",IF(INDIRECT("'"&amp;$D20&amp;"'!"&amp;'גיליון עזר'!$K$1&amp;ROW('מרכז מורשת בבל'!$C$11))="","",INDIRECT("'"&amp;$D20&amp;"'!"&amp;'גיליון עזר'!$K$1&amp;ROW('מרכז מורשת בבל'!$C$11))))</f>
        <v>כן</v>
      </c>
      <c r="L20" s="108" t="str">
        <f t="shared" ca="1" si="8"/>
        <v>כן</v>
      </c>
      <c r="M20" s="131">
        <f ca="1">IF($D20="","",IFERROR(O20/פרמטרים!$C$5,""))</f>
        <v>1.1284992180962039E-2</v>
      </c>
      <c r="N20" s="5"/>
      <c r="O20" s="96">
        <f>'סיכום לועדה- הזנת נתונים'!N34</f>
        <v>137789.1</v>
      </c>
      <c r="P20" s="35">
        <f ca="1">IF($D20="","",INDIRECT("'"&amp;$D20&amp;"'!"&amp;'גיליון עזר'!$G$1&amp;ROW('מרכז מורשת בבל'!$J$8)))</f>
        <v>0</v>
      </c>
      <c r="Q20" s="5"/>
      <c r="R20" s="134">
        <f ca="1">IF($D20="","",INDIRECT("'"&amp;$D20&amp;"'!"&amp;'גיליון עזר'!$I$1&amp;ROW('מרכז מורשת בבל'!$L$8)))</f>
        <v>0</v>
      </c>
      <c r="S20" s="5"/>
      <c r="T20" s="36" t="str">
        <f ca="1">IF($D20="","",IFERROR(INDIRECT("'"&amp;$D20&amp;"'!"&amp;'גיליון עזר'!$K$1&amp;ROW('מרכז מורשת בבל'!$N$8))/F20,""))</f>
        <v/>
      </c>
      <c r="U20" s="35"/>
      <c r="V20" s="36" t="str">
        <f ca="1">IF($D20="","",IFERROR(INDIRECT("'"&amp;$D20&amp;"'!"&amp;'גיליון עזר'!$M$1&amp;ROW('מרכז מורשת בבל'!$P$8))/F20,""))</f>
        <v/>
      </c>
      <c r="W20" s="103" t="s">
        <v>31</v>
      </c>
      <c r="X20" s="109" t="str">
        <f ca="1">IF($D20="","",IF(AND(AA20="כן",'תנאי סף'!AX14=1),"כן","לא"))</f>
        <v>כן</v>
      </c>
      <c r="Y20" s="1" t="str">
        <f t="shared" ca="1" si="9"/>
        <v>כן</v>
      </c>
      <c r="Z20" s="1" t="str">
        <f t="shared" ca="1" si="9"/>
        <v>לא</v>
      </c>
      <c r="AA20" s="12" t="str">
        <f t="shared" si="10"/>
        <v>כן</v>
      </c>
      <c r="AB20" s="223">
        <f t="shared" ca="1" si="0"/>
        <v>1.1284992180962039E-2</v>
      </c>
      <c r="AC20" s="1" t="str">
        <f t="shared" ca="1" si="11"/>
        <v>כן</v>
      </c>
      <c r="AD20" s="1" t="str">
        <f t="shared" ca="1" si="11"/>
        <v>לא</v>
      </c>
      <c r="AE20" s="105">
        <f ca="1">IF($D20="","",IF(G20&gt;פרמטרים!$D$22,1,IF(E20&gt;=AE$16,1,0)))</f>
        <v>0</v>
      </c>
      <c r="AF20" s="105">
        <f t="shared" ca="1" si="12"/>
        <v>0</v>
      </c>
      <c r="AG20" s="105">
        <f t="shared" ca="1" si="1"/>
        <v>0</v>
      </c>
      <c r="AH20" s="105">
        <f t="shared" ca="1" si="2"/>
        <v>0</v>
      </c>
      <c r="AI20" s="105">
        <f t="shared" ca="1" si="3"/>
        <v>1</v>
      </c>
      <c r="AJ20" s="3">
        <f t="shared" ca="1" si="4"/>
        <v>0</v>
      </c>
      <c r="AK20" s="3">
        <f t="shared" ca="1" si="5"/>
        <v>0</v>
      </c>
      <c r="AL20" s="12" t="str">
        <f t="shared" ca="1" si="13"/>
        <v/>
      </c>
      <c r="AM20" s="12" t="str">
        <f t="shared" ca="1" si="14"/>
        <v/>
      </c>
      <c r="AN20" t="str">
        <f t="shared" ca="1" si="6"/>
        <v>כן</v>
      </c>
      <c r="AO20" t="str">
        <f t="shared" ca="1" si="7"/>
        <v>לא</v>
      </c>
    </row>
    <row r="21" spans="1:41" x14ac:dyDescent="0.25">
      <c r="A21" t="str">
        <f ca="1">IF(AND(LEFT(B21,11)&lt;&gt;"גיליון הזנה",INDIRECT("'"&amp;$B21&amp;"'!"&amp;'גיליון עזר'!$I$1&amp;ROW('מרכז מורשת בבל'!$I$3))=""),"חסרה הזנה","")</f>
        <v/>
      </c>
      <c r="B21" t="str">
        <f ca="1">'התאחדות עולי מצרים'!$D$3</f>
        <v>התאחדות עולי מצרים</v>
      </c>
      <c r="C21" s="7">
        <f>'ריכוז נתונים'!C21</f>
        <v>5</v>
      </c>
      <c r="D21" s="7" t="str">
        <f ca="1">IF(OR(LEFT(B21,11)="גיליון הזנה",INDIRECT("'"&amp;$B21&amp;"'!"&amp;'גיליון עזר'!$I$1&amp;ROW('מרכז מורשת בבל'!$I$3))=0),"",B21)</f>
        <v>התאחדות עולי מצרים</v>
      </c>
      <c r="E21" s="106">
        <f ca="1">IF($D21="","",IFERROR(INDIRECT("'"&amp;$D21&amp;"'!"&amp;'גיליון עזר'!$H$1&amp;ROW('מרכז מורשת בבל'!$C$11))/INDIRECT("'"&amp;$D21&amp;"'!"&amp;'גיליון עזר'!$G$1&amp;ROW('מרכז מורשת בבל'!$C$11)),0))</f>
        <v>1</v>
      </c>
      <c r="F21" s="107">
        <f ca="1">IF($D21="","",INDIRECT("'"&amp;$D21&amp;"'!"&amp;'גיליון עזר'!$C$1&amp;ROW('מרכז מורשת בבל'!$C$11)))</f>
        <v>328163</v>
      </c>
      <c r="G21" s="129">
        <f ca="1">IF($D21="","",INDIRECT("'"&amp;$D21&amp;"'!"&amp;'גיליון עזר'!$E$1&amp;ROW('מרכז מורשת בבל'!$C$11)))</f>
        <v>328163</v>
      </c>
      <c r="H21" s="128">
        <f ca="1">IF($D21="","",INDIRECT("'"&amp;$D21&amp;"'!"&amp;'גיליון עזר'!$F$1&amp;ROW('מרכז מורשת בבל'!$C$11)))</f>
        <v>328163</v>
      </c>
      <c r="I21" s="108">
        <f ca="1">IF($D21="","",'ריכוז נתונים'!AP21+'ריכוז נתונים'!AQ21+'ריכוז נתונים'!AS21+'ריכוז נתונים'!AU21+'ריכוז נתונים'!AW21+'ריכוז נתונים'!AY21)</f>
        <v>24</v>
      </c>
      <c r="J21" s="108">
        <f ca="1">IF($D21="","",IF(INDIRECT("'"&amp;$D21&amp;"'!"&amp;'גיליון עזר'!$I$1&amp;ROW('מרכז מורשת בבל'!$C$11))="",0,פרמטרים!$C$3-INDIRECT("'"&amp;$D21&amp;"'!"&amp;'גיליון עזר'!$I$1&amp;ROW('מרכז מורשת בבל'!$C$11))))</f>
        <v>24</v>
      </c>
      <c r="K21" s="108" t="str">
        <f ca="1">IF($D21="","",IF(INDIRECT("'"&amp;$D21&amp;"'!"&amp;'גיליון עזר'!$K$1&amp;ROW('מרכז מורשת בבל'!$C$11))="","",INDIRECT("'"&amp;$D21&amp;"'!"&amp;'גיליון עזר'!$K$1&amp;ROW('מרכז מורשת בבל'!$C$11))))</f>
        <v>כן</v>
      </c>
      <c r="L21" s="108" t="str">
        <f t="shared" ca="1" si="8"/>
        <v>כן</v>
      </c>
      <c r="M21" s="131">
        <f ca="1">IF($D21="","",IFERROR(O21/פרמטרים!$C$5,""))</f>
        <v>1.5762701411685658E-2</v>
      </c>
      <c r="N21" s="5"/>
      <c r="O21" s="96">
        <f>'סיכום לועדה- הזנת נתונים'!N35</f>
        <v>192461.67</v>
      </c>
      <c r="P21" s="35" t="str">
        <f ca="1">IF($D21="","",INDIRECT("'"&amp;$D21&amp;"'!"&amp;'גיליון עזר'!$G$1&amp;ROW('מרכז מורשת בבל'!$J$8)))</f>
        <v>לא</v>
      </c>
      <c r="Q21" s="5"/>
      <c r="R21" s="134">
        <f ca="1">IF($D21="","",INDIRECT("'"&amp;$D21&amp;"'!"&amp;'גיליון עזר'!$I$1&amp;ROW('מרכז מורשת בבל'!$L$8)))</f>
        <v>0</v>
      </c>
      <c r="S21" s="5"/>
      <c r="T21" s="36">
        <f ca="1">IF($D21="","",IFERROR(INDIRECT("'"&amp;$D21&amp;"'!"&amp;'גיליון עזר'!$K$1&amp;ROW('מרכז מורשת בבל'!$N$8))/F21,""))</f>
        <v>5.4064595947745479E-2</v>
      </c>
      <c r="U21" s="35"/>
      <c r="V21" s="36">
        <f ca="1">IF($D21="","",IFERROR(INDIRECT("'"&amp;$D21&amp;"'!"&amp;'גיליון עזר'!$M$1&amp;ROW('מרכז מורשת בבל'!$P$8))/F21,""))</f>
        <v>5.9897063349615892E-2</v>
      </c>
      <c r="W21" s="103"/>
      <c r="X21" s="109" t="str">
        <f ca="1">IF($D21="","",IF(AND(AA21="כן",'תנאי סף'!AX15=1),"כן","לא"))</f>
        <v>כן</v>
      </c>
      <c r="Y21" s="1" t="str">
        <f t="shared" ca="1" si="9"/>
        <v>כן</v>
      </c>
      <c r="Z21" s="1" t="str">
        <f t="shared" ca="1" si="9"/>
        <v>לא</v>
      </c>
      <c r="AA21" s="12" t="str">
        <f t="shared" ca="1" si="10"/>
        <v>כן</v>
      </c>
      <c r="AB21" s="223">
        <f t="shared" ca="1" si="0"/>
        <v>1.5762701411685658E-2</v>
      </c>
      <c r="AC21" s="1" t="str">
        <f t="shared" ca="1" si="11"/>
        <v>כן</v>
      </c>
      <c r="AD21" s="1" t="str">
        <f t="shared" ca="1" si="11"/>
        <v>לא</v>
      </c>
      <c r="AE21" s="105">
        <f ca="1">IF($D21="","",IF(G21&gt;פרמטרים!$D$22,1,IF(E21&gt;=AE$16,1,0)))</f>
        <v>1</v>
      </c>
      <c r="AF21" s="105">
        <f t="shared" ca="1" si="12"/>
        <v>1</v>
      </c>
      <c r="AG21" s="105">
        <f t="shared" ca="1" si="1"/>
        <v>1</v>
      </c>
      <c r="AH21" s="105">
        <f t="shared" ca="1" si="2"/>
        <v>1</v>
      </c>
      <c r="AI21" s="105">
        <f t="shared" ca="1" si="3"/>
        <v>1</v>
      </c>
      <c r="AJ21" s="3">
        <f t="shared" ca="1" si="4"/>
        <v>0</v>
      </c>
      <c r="AK21" s="3">
        <f t="shared" ca="1" si="5"/>
        <v>0</v>
      </c>
      <c r="AL21" s="12">
        <f t="shared" ca="1" si="13"/>
        <v>5.4064595947745479E-2</v>
      </c>
      <c r="AM21" s="12">
        <f t="shared" ca="1" si="14"/>
        <v>5.9897063349615892E-2</v>
      </c>
      <c r="AN21" t="str">
        <f t="shared" ca="1" si="6"/>
        <v>כן</v>
      </c>
      <c r="AO21" t="str">
        <f t="shared" ca="1" si="7"/>
        <v>לא</v>
      </c>
    </row>
    <row r="22" spans="1:41" x14ac:dyDescent="0.25">
      <c r="A22" t="str">
        <f ca="1">IF(AND(LEFT(B22,11)&lt;&gt;"גיליון הזנה",INDIRECT("'"&amp;$B22&amp;"'!"&amp;'גיליון עזר'!$I$1&amp;ROW('מרכז מורשת בבל'!$I$3))=""),"חסרה הזנה","")</f>
        <v/>
      </c>
      <c r="B22" t="str">
        <f ca="1">'יהודים יוצאי לוב'!$D$3</f>
        <v>יהודים יוצאי לוב</v>
      </c>
      <c r="C22" s="7">
        <f>'ריכוז נתונים'!C22</f>
        <v>6</v>
      </c>
      <c r="D22" s="7" t="str">
        <f ca="1">IF(OR(LEFT(B22,11)="גיליון הזנה",INDIRECT("'"&amp;$B22&amp;"'!"&amp;'גיליון עזר'!$I$1&amp;ROW('מרכז מורשת בבל'!$I$3))=0),"",B22)</f>
        <v>יהודים יוצאי לוב</v>
      </c>
      <c r="E22" s="106">
        <f ca="1">IF($D22="","",IFERROR(INDIRECT("'"&amp;$D22&amp;"'!"&amp;'גיליון עזר'!$H$1&amp;ROW('מרכז מורשת בבל'!$C$11))/INDIRECT("'"&amp;$D22&amp;"'!"&amp;'גיליון עזר'!$G$1&amp;ROW('מרכז מורשת בבל'!$C$11)),0))</f>
        <v>0.95157571347985881</v>
      </c>
      <c r="F22" s="107">
        <f ca="1">IF($D22="","",INDIRECT("'"&amp;$D22&amp;"'!"&amp;'גיליון עזר'!$C$1&amp;ROW('מרכז מורשת בבל'!$C$11)))</f>
        <v>1962861</v>
      </c>
      <c r="G22" s="129">
        <f ca="1">IF($D22="","",INDIRECT("'"&amp;$D22&amp;"'!"&amp;'גיליון עזר'!$E$1&amp;ROW('מרכז מורשת בבל'!$C$11)))</f>
        <v>1962861</v>
      </c>
      <c r="H22" s="128">
        <f ca="1">IF($D22="","",INDIRECT("'"&amp;$D22&amp;"'!"&amp;'גיליון עזר'!$F$1&amp;ROW('מרכז מורשת בבל'!$C$11)))</f>
        <v>1913966</v>
      </c>
      <c r="I22" s="108">
        <f ca="1">IF($D22="","",'ריכוז נתונים'!AP22+'ריכוז נתונים'!AQ22+'ריכוז נתונים'!AS22+'ריכוז נתונים'!AU22+'ריכוז נתונים'!AW22+'ריכוז נתונים'!AY22)</f>
        <v>17</v>
      </c>
      <c r="J22" s="108">
        <f ca="1">IF($D22="","",IF(INDIRECT("'"&amp;$D22&amp;"'!"&amp;'גיליון עזר'!$I$1&amp;ROW('מרכז מורשת בבל'!$C$11))="",0,פרמטרים!$C$3-INDIRECT("'"&amp;$D22&amp;"'!"&amp;'גיליון עזר'!$I$1&amp;ROW('מרכז מורשת בבל'!$C$11))))</f>
        <v>35</v>
      </c>
      <c r="K22" s="108" t="str">
        <f ca="1">IF($D22="","",IF(INDIRECT("'"&amp;$D22&amp;"'!"&amp;'גיליון עזר'!$K$1&amp;ROW('מרכז מורשת בבל'!$C$11))="","",INDIRECT("'"&amp;$D22&amp;"'!"&amp;'גיליון עזר'!$K$1&amp;ROW('מרכז מורשת בבל'!$C$11))))</f>
        <v>כן</v>
      </c>
      <c r="L22" s="108" t="str">
        <f t="shared" ca="1" si="8"/>
        <v>כן</v>
      </c>
      <c r="M22" s="131">
        <f ca="1">IF($D22="","",IFERROR(O22/פרמטרים!$C$5,""))</f>
        <v>4.1043253112914048E-2</v>
      </c>
      <c r="N22" s="5"/>
      <c r="O22" s="96">
        <f>'סיכום לועדה- הזנת נתונים'!N36</f>
        <v>501135.74</v>
      </c>
      <c r="P22" s="35" t="str">
        <f ca="1">IF($D22="","",INDIRECT("'"&amp;$D22&amp;"'!"&amp;'גיליון עזר'!$G$1&amp;ROW('מרכז מורשת בבל'!$J$8)))</f>
        <v>לא</v>
      </c>
      <c r="Q22" s="5"/>
      <c r="R22" s="134">
        <f ca="1">IF($D22="","",INDIRECT("'"&amp;$D22&amp;"'!"&amp;'גיליון עזר'!$I$1&amp;ROW('מרכז מורשת בבל'!$L$8)))</f>
        <v>0</v>
      </c>
      <c r="S22" s="5"/>
      <c r="T22" s="36">
        <f ca="1">IF($D22="","",IFERROR(INDIRECT("'"&amp;$D22&amp;"'!"&amp;'גיליון עזר'!$K$1&amp;ROW('מרכז מורשת בבל'!$N$8))/F22,""))</f>
        <v>0.23050995460198148</v>
      </c>
      <c r="U22" s="35"/>
      <c r="V22" s="36">
        <f ca="1">IF($D22="","",IFERROR(INDIRECT("'"&amp;$D22&amp;"'!"&amp;'גיליון עזר'!$M$1&amp;ROW('מרכז מורשת בבל'!$P$8))/F22,""))</f>
        <v>0.35852105676357116</v>
      </c>
      <c r="W22" s="103"/>
      <c r="X22" s="109" t="str">
        <f ca="1">IF($D22="","",IF(AND(AA22="כן",'תנאי סף'!AX16=1),"כן","לא"))</f>
        <v>כן</v>
      </c>
      <c r="Y22" s="1" t="str">
        <f t="shared" ca="1" si="9"/>
        <v>כן</v>
      </c>
      <c r="Z22" s="1" t="str">
        <f t="shared" ca="1" si="9"/>
        <v>לא</v>
      </c>
      <c r="AA22" s="12" t="str">
        <f t="shared" ca="1" si="10"/>
        <v>כן</v>
      </c>
      <c r="AB22" s="223">
        <f t="shared" ca="1" si="0"/>
        <v>4.1043253112914048E-2</v>
      </c>
      <c r="AC22" s="1" t="str">
        <f t="shared" ca="1" si="11"/>
        <v>כן</v>
      </c>
      <c r="AD22" s="1" t="str">
        <f t="shared" ca="1" si="11"/>
        <v>לא</v>
      </c>
      <c r="AE22" s="105">
        <f ca="1">IF($D22="","",IF(G22&gt;פרמטרים!$D$22,1,IF(E22&gt;=AE$16,1,0)))</f>
        <v>1</v>
      </c>
      <c r="AF22" s="105">
        <f t="shared" ca="1" si="12"/>
        <v>1</v>
      </c>
      <c r="AG22" s="105">
        <f t="shared" ca="1" si="1"/>
        <v>1</v>
      </c>
      <c r="AH22" s="105">
        <f t="shared" ca="1" si="2"/>
        <v>1</v>
      </c>
      <c r="AI22" s="105">
        <f t="shared" ca="1" si="3"/>
        <v>1</v>
      </c>
      <c r="AJ22" s="3">
        <f t="shared" ca="1" si="4"/>
        <v>0</v>
      </c>
      <c r="AK22" s="3">
        <f t="shared" ca="1" si="5"/>
        <v>0</v>
      </c>
      <c r="AL22" s="12">
        <f t="shared" ca="1" si="13"/>
        <v>0.23050995460198148</v>
      </c>
      <c r="AM22" s="12">
        <f t="shared" ca="1" si="14"/>
        <v>0.35852105676357116</v>
      </c>
      <c r="AN22" t="str">
        <f t="shared" ca="1" si="6"/>
        <v>כן</v>
      </c>
      <c r="AO22" t="str">
        <f t="shared" ca="1" si="7"/>
        <v>לא</v>
      </c>
    </row>
    <row r="23" spans="1:41" x14ac:dyDescent="0.25">
      <c r="A23" t="str">
        <f ca="1">IF(AND(LEFT(B23,11)&lt;&gt;"גיליון הזנה",INDIRECT("'"&amp;$B23&amp;"'!"&amp;'גיליון עזר'!$I$1&amp;ROW('מרכז מורשת בבל'!$I$3))=""),"חסרה הזנה","")</f>
        <v/>
      </c>
      <c r="B23" t="str">
        <f ca="1">'הפדרציה העולמית של יהדות מרוקו'!$D$3</f>
        <v>הפדרציה העולמית של יהדות מרוקו</v>
      </c>
      <c r="C23" s="7">
        <f>'ריכוז נתונים'!C23</f>
        <v>7</v>
      </c>
      <c r="D23" s="7" t="str">
        <f ca="1">IF(OR(LEFT(B23,11)="גיליון הזנה",INDIRECT("'"&amp;$B23&amp;"'!"&amp;'גיליון עזר'!$I$1&amp;ROW('מרכז מורשת בבל'!$I$3))=0),"",B23)</f>
        <v>הפדרציה העולמית של יהדות מרוקו</v>
      </c>
      <c r="E23" s="106">
        <f ca="1">IF($D23="","",IFERROR(INDIRECT("'"&amp;$D23&amp;"'!"&amp;'גיליון עזר'!$H$1&amp;ROW('מרכז מורשת בבל'!$C$11))/INDIRECT("'"&amp;$D23&amp;"'!"&amp;'גיליון עזר'!$G$1&amp;ROW('מרכז מורשת בבל'!$C$11)),0))</f>
        <v>1</v>
      </c>
      <c r="F23" s="107">
        <f ca="1">IF($D23="","",INDIRECT("'"&amp;$D23&amp;"'!"&amp;'גיליון עזר'!$C$1&amp;ROW('מרכז מורשת בבל'!$C$11)))</f>
        <v>795466</v>
      </c>
      <c r="G23" s="129">
        <f ca="1">IF($D23="","",INDIRECT("'"&amp;$D23&amp;"'!"&amp;'גיליון עזר'!$E$1&amp;ROW('מרכז מורשת בבל'!$C$11)))</f>
        <v>795466</v>
      </c>
      <c r="H23" s="128">
        <f ca="1">IF($D23="","",INDIRECT("'"&amp;$D23&amp;"'!"&amp;'גיליון עזר'!$F$1&amp;ROW('מרכז מורשת בבל'!$C$11)))</f>
        <v>794993</v>
      </c>
      <c r="I23" s="108">
        <f ca="1">IF($D23="","",'ריכוז נתונים'!AP23+'ריכוז נתונים'!AQ23+'ריכוז נתונים'!AS23+'ריכוז נתונים'!AU23+'ריכוז נתונים'!AW23+'ריכוז נתונים'!AY23)</f>
        <v>16</v>
      </c>
      <c r="J23" s="108">
        <f ca="1">IF($D23="","",IF(INDIRECT("'"&amp;$D23&amp;"'!"&amp;'גיליון עזר'!$I$1&amp;ROW('מרכז מורשת בבל'!$C$11))="",0,פרמטרים!$C$3-INDIRECT("'"&amp;$D23&amp;"'!"&amp;'גיליון עזר'!$I$1&amp;ROW('מרכז מורשת בבל'!$C$11))))</f>
        <v>24</v>
      </c>
      <c r="K23" s="108" t="str">
        <f ca="1">IF($D23="","",IF(INDIRECT("'"&amp;$D23&amp;"'!"&amp;'גיליון עזר'!$K$1&amp;ROW('מרכז מורשת בבל'!$C$11))="","",INDIRECT("'"&amp;$D23&amp;"'!"&amp;'גיליון עזר'!$K$1&amp;ROW('מרכז מורשת בבל'!$C$11))))</f>
        <v>כן</v>
      </c>
      <c r="L23" s="108" t="str">
        <f t="shared" ca="1" si="8"/>
        <v>כן</v>
      </c>
      <c r="M23" s="131">
        <f ca="1">IF($D23="","",IFERROR(O23/פרמטרים!$C$5,""))</f>
        <v>2.5230095278093868E-2</v>
      </c>
      <c r="N23" s="5"/>
      <c r="O23" s="96">
        <f>'סיכום לועדה- הזנת נתונים'!N37</f>
        <v>308058</v>
      </c>
      <c r="P23" s="35" t="str">
        <f ca="1">IF($D23="","",INDIRECT("'"&amp;$D23&amp;"'!"&amp;'גיליון עזר'!$G$1&amp;ROW('מרכז מורשת בבל'!$J$8)))</f>
        <v>לא</v>
      </c>
      <c r="Q23" s="5"/>
      <c r="R23" s="134">
        <f ca="1">IF($D23="","",INDIRECT("'"&amp;$D23&amp;"'!"&amp;'גיליון עזר'!$I$1&amp;ROW('מרכז מורשת בבל'!$L$8)))</f>
        <v>0</v>
      </c>
      <c r="S23" s="5"/>
      <c r="T23" s="36">
        <f ca="1">IF($D23="","",IFERROR(INDIRECT("'"&amp;$D23&amp;"'!"&amp;'גיליון עזר'!$K$1&amp;ROW('מרכז מורשת בבל'!$N$8))/F23,""))</f>
        <v>0.15500348223557009</v>
      </c>
      <c r="U23" s="35"/>
      <c r="V23" s="36">
        <f ca="1">IF($D23="","",IFERROR(INDIRECT("'"&amp;$D23&amp;"'!"&amp;'גיליון עזר'!$M$1&amp;ROW('מרכז מורשת בבל'!$P$8))/F23,""))</f>
        <v>0.3071268916584744</v>
      </c>
      <c r="W23" s="103"/>
      <c r="X23" s="109" t="str">
        <f ca="1">IF($D23="","",IF(AND(AA23="כן",'תנאי סף'!AX17=1),"כן","לא"))</f>
        <v>כן</v>
      </c>
      <c r="Y23" s="1" t="str">
        <f t="shared" ca="1" si="9"/>
        <v>כן</v>
      </c>
      <c r="Z23" s="1" t="str">
        <f t="shared" ca="1" si="9"/>
        <v>לא</v>
      </c>
      <c r="AA23" s="12" t="str">
        <f t="shared" ca="1" si="10"/>
        <v>כן</v>
      </c>
      <c r="AB23" s="223">
        <f t="shared" ca="1" si="0"/>
        <v>2.5230095278093868E-2</v>
      </c>
      <c r="AC23" s="1" t="str">
        <f t="shared" ca="1" si="11"/>
        <v>כן</v>
      </c>
      <c r="AD23" s="1" t="str">
        <f t="shared" ca="1" si="11"/>
        <v>לא</v>
      </c>
      <c r="AE23" s="105">
        <f ca="1">IF($D23="","",IF(G23&gt;פרמטרים!$D$22,1,IF(E23&gt;=AE$16,1,0)))</f>
        <v>1</v>
      </c>
      <c r="AF23" s="105">
        <f t="shared" ca="1" si="12"/>
        <v>1</v>
      </c>
      <c r="AG23" s="105">
        <f t="shared" ca="1" si="1"/>
        <v>1</v>
      </c>
      <c r="AH23" s="105">
        <f t="shared" ca="1" si="2"/>
        <v>1</v>
      </c>
      <c r="AI23" s="105">
        <f t="shared" ca="1" si="3"/>
        <v>1</v>
      </c>
      <c r="AJ23" s="3">
        <f t="shared" ca="1" si="4"/>
        <v>0</v>
      </c>
      <c r="AK23" s="3">
        <f t="shared" ca="1" si="5"/>
        <v>0</v>
      </c>
      <c r="AL23" s="12">
        <f t="shared" ca="1" si="13"/>
        <v>0.15500348223557009</v>
      </c>
      <c r="AM23" s="12">
        <f t="shared" ca="1" si="14"/>
        <v>0.3071268916584744</v>
      </c>
      <c r="AN23" t="str">
        <f t="shared" ca="1" si="6"/>
        <v>כן</v>
      </c>
      <c r="AO23" t="str">
        <f t="shared" ca="1" si="7"/>
        <v>לא</v>
      </c>
    </row>
    <row r="24" spans="1:41" x14ac:dyDescent="0.25">
      <c r="A24" t="str">
        <f ca="1">IF(AND(LEFT(B24,11)&lt;&gt;"גיליון הזנה",INDIRECT("'"&amp;$B24&amp;"'!"&amp;'גיליון עזר'!$I$1&amp;ROW('מרכז מורשת בבל'!$I$3))=""),"חסרה הזנה","")</f>
        <v/>
      </c>
      <c r="B24" t="str">
        <f ca="1">'אורות הגליל'!$D$3</f>
        <v>אורות הגליל</v>
      </c>
      <c r="C24" s="7">
        <f>'ריכוז נתונים'!C24</f>
        <v>8</v>
      </c>
      <c r="D24" s="7" t="str">
        <f ca="1">IF(OR(LEFT(B24,11)="גיליון הזנה",INDIRECT("'"&amp;$B24&amp;"'!"&amp;'גיליון עזר'!$I$1&amp;ROW('מרכז מורשת בבל'!$I$3))=0),"",B24)</f>
        <v>אורות הגליל</v>
      </c>
      <c r="E24" s="106">
        <f ca="1">IF($D24="","",IFERROR(INDIRECT("'"&amp;$D24&amp;"'!"&amp;'גיליון עזר'!$H$1&amp;ROW('מרכז מורשת בבל'!$C$11))/INDIRECT("'"&amp;$D24&amp;"'!"&amp;'גיליון עזר'!$G$1&amp;ROW('מרכז מורשת בבל'!$C$11)),0))</f>
        <v>0.2556565937719264</v>
      </c>
      <c r="F24" s="107">
        <f ca="1">IF($D24="","",INDIRECT("'"&amp;$D24&amp;"'!"&amp;'גיליון עזר'!$C$1&amp;ROW('מרכז מורשת בבל'!$C$11)))</f>
        <v>3493145</v>
      </c>
      <c r="G24" s="129">
        <f ca="1">IF($D24="","",INDIRECT("'"&amp;$D24&amp;"'!"&amp;'גיליון עזר'!$E$1&amp;ROW('מרכז מורשת בבל'!$C$11)))</f>
        <v>1084420</v>
      </c>
      <c r="H24" s="128">
        <f ca="1">IF($D24="","",INDIRECT("'"&amp;$D24&amp;"'!"&amp;'גיליון עזר'!$F$1&amp;ROW('מרכז מורשת בבל'!$C$11)))</f>
        <v>538632</v>
      </c>
      <c r="I24" s="108">
        <f ca="1">IF($D24="","",'ריכוז נתונים'!AP24+'ריכוז נתונים'!AQ24+'ריכוז נתונים'!AS24+'ריכוז נתונים'!AU24+'ריכוז נתונים'!AW24+'ריכוז נתונים'!AY24)</f>
        <v>67</v>
      </c>
      <c r="J24" s="108">
        <f ca="1">IF($D24="","",IF(INDIRECT("'"&amp;$D24&amp;"'!"&amp;'גיליון עזר'!$I$1&amp;ROW('מרכז מורשת בבל'!$C$11))="",0,פרמטרים!$C$3-INDIRECT("'"&amp;$D24&amp;"'!"&amp;'גיליון עזר'!$I$1&amp;ROW('מרכז מורשת בבל'!$C$11))))</f>
        <v>42</v>
      </c>
      <c r="K24" s="108" t="str">
        <f ca="1">IF($D24="","",IF(INDIRECT("'"&amp;$D24&amp;"'!"&amp;'גיליון עזר'!$K$1&amp;ROW('מרכז מורשת בבל'!$C$11))="","",INDIRECT("'"&amp;$D24&amp;"'!"&amp;'גיליון עזר'!$K$1&amp;ROW('מרכז מורשת בבל'!$C$11))))</f>
        <v>כן</v>
      </c>
      <c r="L24" s="108" t="str">
        <f t="shared" ca="1" si="8"/>
        <v>כן</v>
      </c>
      <c r="M24" s="131">
        <f ca="1">IF($D24="","",IFERROR(O24/פרמטרים!$C$5,""))</f>
        <v>2.4195824189828255E-2</v>
      </c>
      <c r="N24" s="5"/>
      <c r="O24" s="96">
        <f>'סיכום לועדה- הזנת נתונים'!N38</f>
        <v>295429.61</v>
      </c>
      <c r="P24" s="35" t="str">
        <f ca="1">IF($D24="","",INDIRECT("'"&amp;$D24&amp;"'!"&amp;'גיליון עזר'!$G$1&amp;ROW('מרכז מורשת בבל'!$J$8)))</f>
        <v>לא</v>
      </c>
      <c r="Q24" s="5"/>
      <c r="R24" s="134">
        <f ca="1">IF($D24="","",INDIRECT("'"&amp;$D24&amp;"'!"&amp;'גיליון עזר'!$I$1&amp;ROW('מרכז מורשת בבל'!$L$8)))</f>
        <v>0</v>
      </c>
      <c r="S24" s="5"/>
      <c r="T24" s="36">
        <f ca="1">IF($D24="","",IFERROR(INDIRECT("'"&amp;$D24&amp;"'!"&amp;'גיליון עזר'!$K$1&amp;ROW('מרכז מורשת בבל'!$N$8))/F24,""))</f>
        <v>0.15362030491147663</v>
      </c>
      <c r="U24" s="35"/>
      <c r="V24" s="36">
        <f ca="1">IF($D24="","",IFERROR(INDIRECT("'"&amp;$D24&amp;"'!"&amp;'גיליון עזר'!$M$1&amp;ROW('מרכז מורשת בבל'!$P$8))/F24,""))</f>
        <v>0.16944644439323303</v>
      </c>
      <c r="W24" s="103"/>
      <c r="X24" s="109" t="str">
        <f ca="1">IF($D24="","",IF(AND(AA24="כן",'תנאי סף'!AX18=1),"כן","לא"))</f>
        <v>כן</v>
      </c>
      <c r="Y24" s="1" t="str">
        <f t="shared" ca="1" si="9"/>
        <v>כן</v>
      </c>
      <c r="Z24" s="1" t="str">
        <f t="shared" ca="1" si="9"/>
        <v>לא</v>
      </c>
      <c r="AA24" s="12" t="str">
        <f t="shared" ca="1" si="10"/>
        <v>כן</v>
      </c>
      <c r="AB24" s="223">
        <f t="shared" ca="1" si="0"/>
        <v>2.4195824189828255E-2</v>
      </c>
      <c r="AC24" s="1" t="str">
        <f t="shared" ca="1" si="11"/>
        <v>כן</v>
      </c>
      <c r="AD24" s="1" t="str">
        <f t="shared" ca="1" si="11"/>
        <v>לא</v>
      </c>
      <c r="AE24" s="105">
        <f ca="1">IF($D24="","",IF(G24&gt;פרמטרים!$D$22,1,IF(E24&gt;=AE$16,1,0)))</f>
        <v>1</v>
      </c>
      <c r="AF24" s="105">
        <f t="shared" ca="1" si="12"/>
        <v>1</v>
      </c>
      <c r="AG24" s="105">
        <f t="shared" ca="1" si="1"/>
        <v>1</v>
      </c>
      <c r="AH24" s="105">
        <f t="shared" ca="1" si="2"/>
        <v>1</v>
      </c>
      <c r="AI24" s="105">
        <f t="shared" ca="1" si="3"/>
        <v>1</v>
      </c>
      <c r="AJ24" s="3">
        <f t="shared" ca="1" si="4"/>
        <v>0</v>
      </c>
      <c r="AK24" s="3">
        <f t="shared" ca="1" si="5"/>
        <v>0</v>
      </c>
      <c r="AL24" s="12">
        <f t="shared" ca="1" si="13"/>
        <v>0.15362030491147663</v>
      </c>
      <c r="AM24" s="12">
        <f t="shared" ca="1" si="14"/>
        <v>0.16944644439323303</v>
      </c>
      <c r="AN24" t="str">
        <f t="shared" ca="1" si="6"/>
        <v>כן</v>
      </c>
      <c r="AO24" t="str">
        <f t="shared" ca="1" si="7"/>
        <v>לא</v>
      </c>
    </row>
    <row r="25" spans="1:41" x14ac:dyDescent="0.25">
      <c r="A25" t="str">
        <f ca="1">IF(AND(LEFT(B25,11)&lt;&gt;"גיליון הזנה",INDIRECT("'"&amp;$B25&amp;"'!"&amp;'גיליון עזר'!$I$1&amp;ROW('מרכז מורשת בבל'!$I$3))=""),"חסרה הזנה","")</f>
        <v/>
      </c>
      <c r="B25" t="str">
        <f ca="1">אלמז!$D$3</f>
        <v>אלמז</v>
      </c>
      <c r="C25" s="7">
        <f>'ריכוז נתונים'!C25</f>
        <v>9</v>
      </c>
      <c r="D25" s="7" t="str">
        <f ca="1">IF(OR(LEFT(B25,11)="גיליון הזנה",INDIRECT("'"&amp;$B25&amp;"'!"&amp;'גיליון עזר'!$I$1&amp;ROW('מרכז מורשת בבל'!$I$3))=0),"",B25)</f>
        <v>אלמז</v>
      </c>
      <c r="E25" s="106">
        <f ca="1">IF($D25="","",IFERROR(INDIRECT("'"&amp;$D25&amp;"'!"&amp;'גיליון עזר'!$H$1&amp;ROW('מרכז מורשת בבל'!$C$11))/INDIRECT("'"&amp;$D25&amp;"'!"&amp;'גיליון עזר'!$G$1&amp;ROW('מרכז מורשת בבל'!$C$11)),0))</f>
        <v>1</v>
      </c>
      <c r="F25" s="107">
        <f ca="1">IF($D25="","",INDIRECT("'"&amp;$D25&amp;"'!"&amp;'גיליון עזר'!$C$1&amp;ROW('מרכז מורשת בבל'!$C$11)))</f>
        <v>296291</v>
      </c>
      <c r="G25" s="129">
        <f ca="1">IF($D25="","",INDIRECT("'"&amp;$D25&amp;"'!"&amp;'גיליון עזר'!$E$1&amp;ROW('מרכז מורשת בבל'!$C$11)))</f>
        <v>296291</v>
      </c>
      <c r="H25" s="128">
        <f ca="1">IF($D25="","",INDIRECT("'"&amp;$D25&amp;"'!"&amp;'גיליון עזר'!$F$1&amp;ROW('מרכז מורשת בבל'!$C$11)))</f>
        <v>296291</v>
      </c>
      <c r="I25" s="108">
        <f ca="1">IF($D25="","",'ריכוז נתונים'!AP25+'ריכוז נתונים'!AQ25+'ריכוז נתונים'!AS25+'ריכוז נתונים'!AU25+'ריכוז נתונים'!AW25+'ריכוז נתונים'!AY25)</f>
        <v>25</v>
      </c>
      <c r="J25" s="108">
        <f ca="1">IF($D25="","",IF(INDIRECT("'"&amp;$D25&amp;"'!"&amp;'גיליון עזר'!$I$1&amp;ROW('מרכז מורשת בבל'!$C$11))="",0,פרמטרים!$C$3-INDIRECT("'"&amp;$D25&amp;"'!"&amp;'גיליון עזר'!$I$1&amp;ROW('מרכז מורשת בבל'!$C$11))))</f>
        <v>12</v>
      </c>
      <c r="K25" s="108" t="str">
        <f ca="1">IF($D25="","",IF(INDIRECT("'"&amp;$D25&amp;"'!"&amp;'גיליון עזר'!$K$1&amp;ROW('מרכז מורשת בבל'!$C$11))="","",INDIRECT("'"&amp;$D25&amp;"'!"&amp;'גיליון עזר'!$K$1&amp;ROW('מרכז מורשת בבל'!$C$11))))</f>
        <v>כן</v>
      </c>
      <c r="L25" s="108" t="str">
        <f t="shared" ca="1" si="8"/>
        <v>כן</v>
      </c>
      <c r="M25" s="131">
        <f ca="1">IF($D25="","",IFERROR(O25/פרמטרים!$C$5,""))</f>
        <v>8.4960510049924883E-3</v>
      </c>
      <c r="N25" s="5"/>
      <c r="O25" s="96">
        <f>'סיכום לועדה- הזנת נתונים'!N39</f>
        <v>103736.29</v>
      </c>
      <c r="P25" s="35" t="str">
        <f ca="1">IF($D25="","",INDIRECT("'"&amp;$D25&amp;"'!"&amp;'גיליון עזר'!$G$1&amp;ROW('מרכז מורשת בבל'!$J$8)))</f>
        <v>לא</v>
      </c>
      <c r="Q25" s="5"/>
      <c r="R25" s="134">
        <f ca="1">IF($D25="","",INDIRECT("'"&amp;$D25&amp;"'!"&amp;'גיליון עזר'!$I$1&amp;ROW('מרכז מורשת בבל'!$L$8)))</f>
        <v>0</v>
      </c>
      <c r="S25" s="5"/>
      <c r="T25" s="36">
        <f ca="1">IF($D25="","",IFERROR(INDIRECT("'"&amp;$D25&amp;"'!"&amp;'גיליון עזר'!$K$1&amp;ROW('מרכז מורשת בבל'!$N$8))/F25,""))</f>
        <v>0.12004414578910598</v>
      </c>
      <c r="U25" s="35"/>
      <c r="V25" s="36">
        <f ca="1">IF($D25="","",IFERROR(INDIRECT("'"&amp;$D25&amp;"'!"&amp;'גיליון עזר'!$M$1&amp;ROW('מרכז מורשת בבל'!$P$8))/F25,""))</f>
        <v>0.6467189351009649</v>
      </c>
      <c r="W25" s="103"/>
      <c r="X25" s="109" t="str">
        <f ca="1">IF($D25="","",IF(AND(AA25="כן",'תנאי סף'!AX19=1),"כן","לא"))</f>
        <v>כן</v>
      </c>
      <c r="Y25" s="1" t="str">
        <f t="shared" ca="1" si="9"/>
        <v>כן</v>
      </c>
      <c r="Z25" s="1" t="str">
        <f t="shared" ca="1" si="9"/>
        <v>לא</v>
      </c>
      <c r="AA25" s="12" t="str">
        <f t="shared" ca="1" si="10"/>
        <v>כן</v>
      </c>
      <c r="AB25" s="223">
        <f t="shared" ca="1" si="0"/>
        <v>8.4960510049924883E-3</v>
      </c>
      <c r="AC25" s="1" t="str">
        <f t="shared" ca="1" si="11"/>
        <v>כן</v>
      </c>
      <c r="AD25" s="1" t="str">
        <f t="shared" ca="1" si="11"/>
        <v>לא</v>
      </c>
      <c r="AE25" s="105">
        <f ca="1">IF($D25="","",IF(G25&gt;פרמטרים!$D$22,1,IF(E25&gt;=AE$16,1,0)))</f>
        <v>1</v>
      </c>
      <c r="AF25" s="105">
        <f t="shared" ca="1" si="12"/>
        <v>1</v>
      </c>
      <c r="AG25" s="105">
        <f t="shared" ca="1" si="1"/>
        <v>1</v>
      </c>
      <c r="AH25" s="105">
        <f t="shared" ca="1" si="2"/>
        <v>1</v>
      </c>
      <c r="AI25" s="105">
        <f t="shared" ca="1" si="3"/>
        <v>1</v>
      </c>
      <c r="AJ25" s="3">
        <f t="shared" ca="1" si="4"/>
        <v>0</v>
      </c>
      <c r="AK25" s="3">
        <f t="shared" ca="1" si="5"/>
        <v>0</v>
      </c>
      <c r="AL25" s="12">
        <f t="shared" ca="1" si="13"/>
        <v>0.12004414578910598</v>
      </c>
      <c r="AM25" s="12">
        <f t="shared" ca="1" si="14"/>
        <v>0.6467189351009649</v>
      </c>
      <c r="AN25" t="str">
        <f t="shared" ca="1" si="6"/>
        <v>כן</v>
      </c>
      <c r="AO25" t="str">
        <f t="shared" ca="1" si="7"/>
        <v>לא</v>
      </c>
    </row>
    <row r="26" spans="1:41" x14ac:dyDescent="0.25">
      <c r="A26" t="str">
        <f ca="1">IF(AND(LEFT(B26,11)&lt;&gt;"גיליון הזנה",INDIRECT("'"&amp;$B26&amp;"'!"&amp;'גיליון עזר'!$I$1&amp;ROW('מרכז מורשת בבל'!$I$3))=""),"חסרה הזנה","")</f>
        <v/>
      </c>
      <c r="B26" t="str">
        <f ca="1">'קונגרס יהודי בוכרה'!$D$3</f>
        <v>קונגרס יהודי בוכרה</v>
      </c>
      <c r="C26" s="7">
        <f>'ריכוז נתונים'!C26</f>
        <v>10</v>
      </c>
      <c r="D26" s="7" t="str">
        <f ca="1">IF(OR(LEFT(B26,11)="גיליון הזנה",INDIRECT("'"&amp;$B26&amp;"'!"&amp;'גיליון עזר'!$I$1&amp;ROW('מרכז מורשת בבל'!$I$3))=0),"",B26)</f>
        <v>קונגרס יהודי בוכרה</v>
      </c>
      <c r="E26" s="106">
        <f ca="1">IF($D26="","",IFERROR(INDIRECT("'"&amp;$D26&amp;"'!"&amp;'גיליון עזר'!$H$1&amp;ROW('מרכז מורשת בבל'!$C$11))/INDIRECT("'"&amp;$D26&amp;"'!"&amp;'גיליון עזר'!$G$1&amp;ROW('מרכז מורשת בבל'!$C$11)),0))</f>
        <v>0.30825300345327039</v>
      </c>
      <c r="F26" s="107">
        <f ca="1">IF($D26="","",INDIRECT("'"&amp;$D26&amp;"'!"&amp;'גיליון עזר'!$C$1&amp;ROW('מרכז מורשת בבל'!$C$11)))</f>
        <v>11297460</v>
      </c>
      <c r="G26" s="129">
        <f ca="1">IF($D26="","",INDIRECT("'"&amp;$D26&amp;"'!"&amp;'גיליון עזר'!$E$1&amp;ROW('מרכז מורשת בבל'!$C$11)))</f>
        <v>3331514</v>
      </c>
      <c r="H26" s="128">
        <f ca="1">IF($D26="","",INDIRECT("'"&amp;$D26&amp;"'!"&amp;'גיליון עזר'!$F$1&amp;ROW('מרכז מורשת בבל'!$C$11)))</f>
        <v>3331514</v>
      </c>
      <c r="I26" s="108">
        <f ca="1">IF($D26="","",'ריכוז נתונים'!AP26+'ריכוז נתונים'!AQ26+'ריכוז נתונים'!AS26+'ריכוז נתונים'!AU26+'ריכוז נתונים'!AW26+'ריכוז נתונים'!AY26)</f>
        <v>293</v>
      </c>
      <c r="J26" s="108">
        <f ca="1">IF($D26="","",IF(INDIRECT("'"&amp;$D26&amp;"'!"&amp;'גיליון עזר'!$I$1&amp;ROW('מרכז מורשת בבל'!$C$11))="",0,פרמטרים!$C$3-INDIRECT("'"&amp;$D26&amp;"'!"&amp;'גיליון עזר'!$I$1&amp;ROW('מרכז מורשת בבל'!$C$11))))</f>
        <v>25</v>
      </c>
      <c r="K26" s="108" t="str">
        <f ca="1">IF($D26="","",IF(INDIRECT("'"&amp;$D26&amp;"'!"&amp;'גיליון עזר'!$K$1&amp;ROW('מרכז מורשת בבל'!$C$11))="","",INDIRECT("'"&amp;$D26&amp;"'!"&amp;'גיליון עזר'!$K$1&amp;ROW('מרכז מורשת בבל'!$C$11))))</f>
        <v>כן</v>
      </c>
      <c r="L26" s="108" t="str">
        <f t="shared" ca="1" si="8"/>
        <v>כן</v>
      </c>
      <c r="M26" s="131">
        <f ca="1">IF($D26="","",IFERROR(O26/פרמטרים!$C$5,""))</f>
        <v>8.7786166388013967E-2</v>
      </c>
      <c r="N26" s="5"/>
      <c r="O26" s="96">
        <f>'סיכום לועדה- הזנת נתונים'!N40</f>
        <v>1071864</v>
      </c>
      <c r="P26" s="35" t="str">
        <f ca="1">IF($D26="","",INDIRECT("'"&amp;$D26&amp;"'!"&amp;'גיליון עזר'!$G$1&amp;ROW('מרכז מורשת בבל'!$J$8)))</f>
        <v>לא</v>
      </c>
      <c r="Q26" s="5"/>
      <c r="R26" s="134">
        <f ca="1">IF($D26="","",INDIRECT("'"&amp;$D26&amp;"'!"&amp;'גיליון עזר'!$I$1&amp;ROW('מרכז מורשת בבל'!$L$8)))</f>
        <v>0</v>
      </c>
      <c r="S26" s="5"/>
      <c r="T26" s="36">
        <f ca="1">IF($D26="","",IFERROR(INDIRECT("'"&amp;$D26&amp;"'!"&amp;'גיליון עזר'!$K$1&amp;ROW('מרכז מורשת בבל'!$N$8))/F26,""))</f>
        <v>2.8315656793650962E-2</v>
      </c>
      <c r="U26" s="35"/>
      <c r="V26" s="36">
        <f ca="1">IF($D26="","",IFERROR(INDIRECT("'"&amp;$D26&amp;"'!"&amp;'גיליון עזר'!$M$1&amp;ROW('מרכז מורשת בבל'!$P$8))/F26,""))</f>
        <v>2.8315656793650962E-2</v>
      </c>
      <c r="W26" s="103"/>
      <c r="X26" s="109" t="str">
        <f ca="1">IF($D26="","",IF(AND(AA26="כן",'תנאי סף'!AX20=1),"כן","לא"))</f>
        <v>כן</v>
      </c>
      <c r="Y26" s="1" t="str">
        <f t="shared" ca="1" si="9"/>
        <v>כן</v>
      </c>
      <c r="Z26" s="1" t="str">
        <f t="shared" ca="1" si="9"/>
        <v>לא</v>
      </c>
      <c r="AA26" s="12" t="str">
        <f t="shared" ca="1" si="10"/>
        <v>כן</v>
      </c>
      <c r="AB26" s="223">
        <f t="shared" ca="1" si="0"/>
        <v>8.7786166388013967E-2</v>
      </c>
      <c r="AC26" s="1" t="str">
        <f t="shared" ca="1" si="11"/>
        <v>כן</v>
      </c>
      <c r="AD26" s="1" t="str">
        <f t="shared" ca="1" si="11"/>
        <v>לא</v>
      </c>
      <c r="AE26" s="105">
        <f ca="1">IF($D26="","",IF(G26&gt;פרמטרים!$D$22,1,IF(E26&gt;=AE$16,1,0)))</f>
        <v>1</v>
      </c>
      <c r="AF26" s="105">
        <f t="shared" ca="1" si="12"/>
        <v>1</v>
      </c>
      <c r="AG26" s="105">
        <f t="shared" ca="1" si="1"/>
        <v>1</v>
      </c>
      <c r="AH26" s="105">
        <f t="shared" ca="1" si="2"/>
        <v>1</v>
      </c>
      <c r="AI26" s="105">
        <f t="shared" ca="1" si="3"/>
        <v>1</v>
      </c>
      <c r="AJ26" s="3">
        <f t="shared" ca="1" si="4"/>
        <v>0</v>
      </c>
      <c r="AK26" s="3">
        <f t="shared" ca="1" si="5"/>
        <v>0</v>
      </c>
      <c r="AL26" s="12">
        <f t="shared" ca="1" si="13"/>
        <v>2.8315656793650962E-2</v>
      </c>
      <c r="AM26" s="12">
        <f t="shared" ca="1" si="14"/>
        <v>2.8315656793650962E-2</v>
      </c>
      <c r="AN26" t="str">
        <f t="shared" ca="1" si="6"/>
        <v>כן</v>
      </c>
      <c r="AO26" t="str">
        <f t="shared" ca="1" si="7"/>
        <v>לא</v>
      </c>
    </row>
    <row r="27" spans="1:41" x14ac:dyDescent="0.25">
      <c r="A27" t="str">
        <f ca="1">IF(AND(LEFT(B27,11)&lt;&gt;"גיליון הזנה",INDIRECT("'"&amp;$B27&amp;"'!"&amp;'גיליון עזר'!$I$1&amp;ROW('מרכז מורשת בבל'!$I$3))=""),"חסרה הזנה","")</f>
        <v/>
      </c>
      <c r="B27" t="str">
        <f ca="1">'יהדות שאלוניקי יוון'!$D$3</f>
        <v>יהדות שאלוניקי יוון</v>
      </c>
      <c r="C27" s="7">
        <f>'ריכוז נתונים'!C27</f>
        <v>11</v>
      </c>
      <c r="D27" s="7" t="str">
        <f ca="1">IF(OR(LEFT(B27,11)="גיליון הזנה",INDIRECT("'"&amp;$B27&amp;"'!"&amp;'גיליון עזר'!$I$1&amp;ROW('מרכז מורשת בבל'!$I$3))=0),"",B27)</f>
        <v>יהדות שאלוניקי יוון</v>
      </c>
      <c r="E27" s="106">
        <f ca="1">IF($D27="","",IFERROR(INDIRECT("'"&amp;$D27&amp;"'!"&amp;'גיליון עזר'!$H$1&amp;ROW('מרכז מורשת בבל'!$C$11))/INDIRECT("'"&amp;$D27&amp;"'!"&amp;'גיליון עזר'!$G$1&amp;ROW('מרכז מורשת בבל'!$C$11)),0))</f>
        <v>0.96812157017666112</v>
      </c>
      <c r="F27" s="107">
        <f ca="1">IF($D27="","",INDIRECT("'"&amp;$D27&amp;"'!"&amp;'גיליון עזר'!$C$1&amp;ROW('מרכז מורשת בבל'!$C$11)))</f>
        <v>2763404</v>
      </c>
      <c r="G27" s="129">
        <f ca="1">IF($D27="","",INDIRECT("'"&amp;$D27&amp;"'!"&amp;'גיליון עזר'!$E$1&amp;ROW('מרכז מורשת בבל'!$C$11)))</f>
        <v>1114167</v>
      </c>
      <c r="H27" s="128">
        <f ca="1">IF($D27="","",INDIRECT("'"&amp;$D27&amp;"'!"&amp;'גיליון עזר'!$F$1&amp;ROW('מרכז מורשת בבל'!$C$11)))</f>
        <v>1114167</v>
      </c>
      <c r="I27" s="108">
        <f ca="1">IF($D27="","",'ריכוז נתונים'!AP27+'ריכוז נתונים'!AQ27+'ריכוז נתונים'!AS27+'ריכוז נתונים'!AU27+'ריכוז נתונים'!AW27+'ריכוז נתונים'!AY27)</f>
        <v>79</v>
      </c>
      <c r="J27" s="108">
        <f ca="1">IF($D27="","",IF(INDIRECT("'"&amp;$D27&amp;"'!"&amp;'גיליון עזר'!$I$1&amp;ROW('מרכז מורשת בבל'!$C$11))="",0,פרמטרים!$C$3-INDIRECT("'"&amp;$D27&amp;"'!"&amp;'גיליון עזר'!$I$1&amp;ROW('מרכז מורשת בבל'!$C$11))))</f>
        <v>14</v>
      </c>
      <c r="K27" s="108" t="str">
        <f ca="1">IF($D27="","",IF(INDIRECT("'"&amp;$D27&amp;"'!"&amp;'גיליון עזר'!$K$1&amp;ROW('מרכז מורשת בבל'!$C$11))="","",INDIRECT("'"&amp;$D27&amp;"'!"&amp;'גיליון עזר'!$K$1&amp;ROW('מרכז מורשת בבל'!$C$11))))</f>
        <v>כן</v>
      </c>
      <c r="L27" s="108" t="str">
        <f t="shared" ca="1" si="8"/>
        <v>כן</v>
      </c>
      <c r="M27" s="131">
        <f ca="1">IF($D27="","",IFERROR(O27/פרמטרים!$C$5,""))</f>
        <v>2.1641638428749294E-2</v>
      </c>
      <c r="N27" s="5"/>
      <c r="O27" s="96">
        <f>'סיכום לועדה- הזנת נתונים'!N41</f>
        <v>264243.15000000002</v>
      </c>
      <c r="P27" s="35" t="str">
        <f ca="1">IF($D27="","",INDIRECT("'"&amp;$D27&amp;"'!"&amp;'גיליון עזר'!$G$1&amp;ROW('מרכז מורשת בבל'!$J$8)))</f>
        <v>לא</v>
      </c>
      <c r="Q27" s="5"/>
      <c r="R27" s="134">
        <f ca="1">IF($D27="","",INDIRECT("'"&amp;$D27&amp;"'!"&amp;'גיליון עזר'!$I$1&amp;ROW('מרכז מורשת בבל'!$L$8)))</f>
        <v>0</v>
      </c>
      <c r="S27" s="5"/>
      <c r="T27" s="36">
        <f ca="1">IF($D27="","",IFERROR(INDIRECT("'"&amp;$D27&amp;"'!"&amp;'גיליון עזר'!$K$1&amp;ROW('מרכז מורשת בבל'!$N$8))/F27,""))</f>
        <v>-0.22439136658990144</v>
      </c>
      <c r="U27" s="35"/>
      <c r="V27" s="36">
        <f ca="1">IF($D27="","",IFERROR(INDIRECT("'"&amp;$D27&amp;"'!"&amp;'גיליון עזר'!$M$1&amp;ROW('מרכז מורשת בבל'!$P$8))/F27,""))</f>
        <v>4.5380718852545625</v>
      </c>
      <c r="W27" s="103"/>
      <c r="X27" s="109" t="str">
        <f ca="1">IF($D27="","",IF(AND(AA27="כן",'תנאי סף'!AX21=1),"כן","לא"))</f>
        <v>כן</v>
      </c>
      <c r="Y27" s="1" t="str">
        <f t="shared" ca="1" si="9"/>
        <v>כן</v>
      </c>
      <c r="Z27" s="1" t="str">
        <f t="shared" ca="1" si="9"/>
        <v>לא</v>
      </c>
      <c r="AA27" s="12" t="str">
        <f t="shared" ca="1" si="10"/>
        <v>כן</v>
      </c>
      <c r="AB27" s="223">
        <f t="shared" ca="1" si="0"/>
        <v>2.1641638428749294E-2</v>
      </c>
      <c r="AC27" s="1" t="str">
        <f t="shared" ca="1" si="11"/>
        <v>כן</v>
      </c>
      <c r="AD27" s="1" t="str">
        <f t="shared" ca="1" si="11"/>
        <v>לא</v>
      </c>
      <c r="AE27" s="105">
        <f ca="1">IF($D27="","",IF(G27&gt;פרמטרים!$D$22,1,IF(E27&gt;=AE$16,1,0)))</f>
        <v>1</v>
      </c>
      <c r="AF27" s="105">
        <f t="shared" ca="1" si="12"/>
        <v>1</v>
      </c>
      <c r="AG27" s="105">
        <f t="shared" ca="1" si="1"/>
        <v>1</v>
      </c>
      <c r="AH27" s="105">
        <f t="shared" ca="1" si="2"/>
        <v>1</v>
      </c>
      <c r="AI27" s="105">
        <f t="shared" ca="1" si="3"/>
        <v>1</v>
      </c>
      <c r="AJ27" s="3">
        <f t="shared" ca="1" si="4"/>
        <v>0</v>
      </c>
      <c r="AK27" s="3">
        <f t="shared" ca="1" si="5"/>
        <v>0</v>
      </c>
      <c r="AL27" s="12">
        <f t="shared" ca="1" si="13"/>
        <v>-0.22439136658990144</v>
      </c>
      <c r="AM27" s="12">
        <f t="shared" ca="1" si="14"/>
        <v>4.5380718852545625</v>
      </c>
      <c r="AN27" t="str">
        <f t="shared" ca="1" si="6"/>
        <v>כן</v>
      </c>
      <c r="AO27" t="str">
        <f t="shared" ca="1" si="7"/>
        <v>לא</v>
      </c>
    </row>
    <row r="28" spans="1:41" hidden="1" x14ac:dyDescent="0.25">
      <c r="A28" t="str">
        <f ca="1">IF(AND(LEFT(B28,11)&lt;&gt;"גיליון הזנה",INDIRECT("'"&amp;$B28&amp;"'!"&amp;'גיליון עזר'!$I$1&amp;ROW('מרכז מורשת בבל'!$I$3))=""),"חסרה הזנה","")</f>
        <v/>
      </c>
      <c r="B28" t="str">
        <f ca="1">'גיליון הזנה 12'!$D$3</f>
        <v>גיליון הזנה 12</v>
      </c>
      <c r="C28" s="7">
        <f>'ריכוז נתונים'!C28</f>
        <v>12</v>
      </c>
      <c r="D28" s="7" t="str">
        <f ca="1">IF(OR(LEFT(B28,11)="גיליון הזנה",INDIRECT("'"&amp;$B28&amp;"'!"&amp;'גיליון עזר'!$I$1&amp;ROW('מרכז מורשת בבל'!$I$3))=0),"",B28)</f>
        <v/>
      </c>
      <c r="E28" s="106" t="str">
        <f ca="1">IF($D28="","",IFERROR(INDIRECT("'"&amp;$D28&amp;"'!"&amp;'גיליון עזר'!$H$1&amp;ROW('מרכז מורשת בבל'!$C$11))/INDIRECT("'"&amp;$D28&amp;"'!"&amp;'גיליון עזר'!$G$1&amp;ROW('מרכז מורשת בבל'!$C$11)),0))</f>
        <v/>
      </c>
      <c r="F28" s="107" t="str">
        <f ca="1">IF($D28="","",INDIRECT("'"&amp;$D28&amp;"'!"&amp;'גיליון עזר'!$C$1&amp;ROW('מרכז מורשת בבל'!$C$11)))</f>
        <v/>
      </c>
      <c r="G28" s="129" t="str">
        <f ca="1">IF($D28="","",INDIRECT("'"&amp;$D28&amp;"'!"&amp;'גיליון עזר'!$E$1&amp;ROW('מרכז מורשת בבל'!$C$11)))</f>
        <v/>
      </c>
      <c r="H28" s="128" t="str">
        <f ca="1">IF($D28="","",INDIRECT("'"&amp;$D28&amp;"'!"&amp;'גיליון עזר'!$F$1&amp;ROW('מרכז מורשת בבל'!$C$11)))</f>
        <v/>
      </c>
      <c r="I28" s="108" t="str">
        <f ca="1">IF($D28="","",'ריכוז נתונים'!AP28+'ריכוז נתונים'!AQ28+'ריכוז נתונים'!AS28+'ריכוז נתונים'!AU28+'ריכוז נתונים'!AW28+'ריכוז נתונים'!AY28)</f>
        <v/>
      </c>
      <c r="J28" s="108" t="str">
        <f ca="1">IF($D28="","",IF(INDIRECT("'"&amp;$D28&amp;"'!"&amp;'גיליון עזר'!$I$1&amp;ROW('מרכז מורשת בבל'!$C$11))="",0,פרמטרים!$C$3-INDIRECT("'"&amp;$D28&amp;"'!"&amp;'גיליון עזר'!$I$1&amp;ROW('מרכז מורשת בבל'!$C$11))))</f>
        <v/>
      </c>
      <c r="K28" s="108" t="str">
        <f ca="1">IF($D28="","",IF(INDIRECT("'"&amp;$D28&amp;"'!"&amp;'גיליון עזר'!$K$1&amp;ROW('מרכז מורשת בבל'!$C$11))="","",INDIRECT("'"&amp;$D28&amp;"'!"&amp;'גיליון עזר'!$K$1&amp;ROW('מרכז מורשת בבל'!$C$11))))</f>
        <v/>
      </c>
      <c r="L28" s="108" t="str">
        <f t="shared" ca="1" si="8"/>
        <v/>
      </c>
      <c r="M28" s="131" t="str">
        <f ca="1">IF($D28="","",IFERROR(O28/פרמטרים!$C$5,""))</f>
        <v/>
      </c>
      <c r="N28" s="5"/>
      <c r="O28" s="96">
        <f>'סיכום לועדה- הזנת נתונים'!N42</f>
        <v>0</v>
      </c>
      <c r="P28" s="35" t="str">
        <f ca="1">IF($D28="","",INDIRECT("'"&amp;$D28&amp;"'!"&amp;'גיליון עזר'!$G$1&amp;ROW('מרכז מורשת בבל'!$J$8)))</f>
        <v/>
      </c>
      <c r="Q28" s="5"/>
      <c r="R28" s="134" t="str">
        <f ca="1">IF($D28="","",INDIRECT("'"&amp;$D28&amp;"'!"&amp;'גיליון עזר'!$I$1&amp;ROW('מרכז מורשת בבל'!$L$8)))</f>
        <v/>
      </c>
      <c r="S28" s="5"/>
      <c r="T28" s="36" t="str">
        <f ca="1">IF($D28="","",IFERROR(INDIRECT("'"&amp;$D28&amp;"'!"&amp;'גיליון עזר'!$K$1&amp;ROW('מרכז מורשת בבל'!$N$8))/F28,""))</f>
        <v/>
      </c>
      <c r="U28" s="35"/>
      <c r="V28" s="36" t="str">
        <f ca="1">IF($D28="","",IFERROR(INDIRECT("'"&amp;$D28&amp;"'!"&amp;'גיליון עזר'!$M$1&amp;ROW('מרכז מורשת בבל'!$P$8))/F28,""))</f>
        <v/>
      </c>
      <c r="W28" s="103"/>
      <c r="X28" s="109" t="str">
        <f ca="1">IF($D28="","",IF(AND(AA28="כן",'תנאי סף'!AX22=1),"כן","לא"))</f>
        <v/>
      </c>
      <c r="Y28" s="1" t="str">
        <f t="shared" ca="1" si="9"/>
        <v/>
      </c>
      <c r="Z28" s="1" t="str">
        <f t="shared" ca="1" si="9"/>
        <v/>
      </c>
      <c r="AA28" s="12" t="str">
        <f t="shared" ca="1" si="10"/>
        <v>לא</v>
      </c>
      <c r="AB28" s="223" t="str">
        <f t="shared" ca="1" si="0"/>
        <v/>
      </c>
      <c r="AC28" s="1" t="str">
        <f t="shared" ca="1" si="11"/>
        <v/>
      </c>
      <c r="AD28" s="1" t="str">
        <f t="shared" ca="1" si="11"/>
        <v/>
      </c>
      <c r="AE28" s="105" t="str">
        <f ca="1">IF($D28="","",IF(G28&gt;פרמטרים!$D$22,1,IF(E28&gt;=AE$16,1,0)))</f>
        <v/>
      </c>
      <c r="AF28" s="105" t="str">
        <f t="shared" ca="1" si="12"/>
        <v/>
      </c>
      <c r="AG28" s="105" t="str">
        <f t="shared" ca="1" si="1"/>
        <v/>
      </c>
      <c r="AH28" s="105" t="str">
        <f t="shared" ca="1" si="2"/>
        <v/>
      </c>
      <c r="AI28" s="105" t="str">
        <f t="shared" ca="1" si="3"/>
        <v/>
      </c>
      <c r="AJ28" s="3" t="str">
        <f t="shared" ca="1" si="4"/>
        <v/>
      </c>
      <c r="AK28" s="3" t="str">
        <f t="shared" ca="1" si="5"/>
        <v/>
      </c>
      <c r="AL28" s="12" t="str">
        <f t="shared" ca="1" si="13"/>
        <v/>
      </c>
      <c r="AM28" s="12" t="str">
        <f t="shared" ca="1" si="14"/>
        <v/>
      </c>
      <c r="AN28" t="str">
        <f t="shared" ca="1" si="6"/>
        <v/>
      </c>
      <c r="AO28" t="str">
        <f t="shared" ca="1" si="7"/>
        <v/>
      </c>
    </row>
    <row r="29" spans="1:41" hidden="1" x14ac:dyDescent="0.25">
      <c r="A29" t="str">
        <f ca="1">IF(AND(LEFT(B29,11)&lt;&gt;"גיליון הזנה",INDIRECT("'"&amp;$B29&amp;"'!"&amp;'גיליון עזר'!$I$1&amp;ROW('מרכז מורשת בבל'!$I$3))=""),"חסרה הזנה","")</f>
        <v/>
      </c>
      <c r="B29" t="str">
        <f ca="1">'גיליון הזנה 13'!$D$3</f>
        <v>גיליון הזנה 13</v>
      </c>
      <c r="C29" s="7">
        <f>'ריכוז נתונים'!C29</f>
        <v>13</v>
      </c>
      <c r="D29" s="7" t="str">
        <f ca="1">IF(OR(LEFT(B29,11)="גיליון הזנה",INDIRECT("'"&amp;$B29&amp;"'!"&amp;'גיליון עזר'!$I$1&amp;ROW('מרכז מורשת בבל'!$I$3))=0),"",B29)</f>
        <v/>
      </c>
      <c r="E29" s="106" t="str">
        <f ca="1">IF($D29="","",IFERROR(INDIRECT("'"&amp;$D29&amp;"'!"&amp;'גיליון עזר'!$H$1&amp;ROW('מרכז מורשת בבל'!$C$11))/INDIRECT("'"&amp;$D29&amp;"'!"&amp;'גיליון עזר'!$G$1&amp;ROW('מרכז מורשת בבל'!$C$11)),0))</f>
        <v/>
      </c>
      <c r="F29" s="107" t="str">
        <f ca="1">IF($D29="","",INDIRECT("'"&amp;$D29&amp;"'!"&amp;'גיליון עזר'!$C$1&amp;ROW('מרכז מורשת בבל'!$C$11)))</f>
        <v/>
      </c>
      <c r="G29" s="129" t="str">
        <f ca="1">IF($D29="","",INDIRECT("'"&amp;$D29&amp;"'!"&amp;'גיליון עזר'!$E$1&amp;ROW('מרכז מורשת בבל'!$C$11)))</f>
        <v/>
      </c>
      <c r="H29" s="128" t="str">
        <f ca="1">IF($D29="","",INDIRECT("'"&amp;$D29&amp;"'!"&amp;'גיליון עזר'!$F$1&amp;ROW('מרכז מורשת בבל'!$C$11)))</f>
        <v/>
      </c>
      <c r="I29" s="108" t="str">
        <f ca="1">IF($D29="","",'ריכוז נתונים'!AP29+'ריכוז נתונים'!AQ29+'ריכוז נתונים'!AS29+'ריכוז נתונים'!AU29+'ריכוז נתונים'!AW29+'ריכוז נתונים'!AY29)</f>
        <v/>
      </c>
      <c r="J29" s="108" t="str">
        <f ca="1">IF($D29="","",IF(INDIRECT("'"&amp;$D29&amp;"'!"&amp;'גיליון עזר'!$I$1&amp;ROW('מרכז מורשת בבל'!$C$11))="",0,פרמטרים!$C$3-INDIRECT("'"&amp;$D29&amp;"'!"&amp;'גיליון עזר'!$I$1&amp;ROW('מרכז מורשת בבל'!$C$11))))</f>
        <v/>
      </c>
      <c r="K29" s="108" t="str">
        <f ca="1">IF($D29="","",IF(INDIRECT("'"&amp;$D29&amp;"'!"&amp;'גיליון עזר'!$K$1&amp;ROW('מרכז מורשת בבל'!$C$11))="","",INDIRECT("'"&amp;$D29&amp;"'!"&amp;'גיליון עזר'!$K$1&amp;ROW('מרכז מורשת בבל'!$C$11))))</f>
        <v/>
      </c>
      <c r="L29" s="108" t="str">
        <f t="shared" ca="1" si="8"/>
        <v/>
      </c>
      <c r="M29" s="131" t="str">
        <f ca="1">IF($D29="","",IFERROR(O29/פרמטרים!$C$5,""))</f>
        <v/>
      </c>
      <c r="N29" s="5"/>
      <c r="O29" s="96">
        <f>'סיכום לועדה- הזנת נתונים'!N43</f>
        <v>0</v>
      </c>
      <c r="P29" s="35" t="str">
        <f ca="1">IF($D29="","",INDIRECT("'"&amp;$D29&amp;"'!"&amp;'גיליון עזר'!$G$1&amp;ROW('מרכז מורשת בבל'!$J$8)))</f>
        <v/>
      </c>
      <c r="Q29" s="5"/>
      <c r="R29" s="134" t="str">
        <f ca="1">IF($D29="","",INDIRECT("'"&amp;$D29&amp;"'!"&amp;'גיליון עזר'!$I$1&amp;ROW('מרכז מורשת בבל'!$L$8)))</f>
        <v/>
      </c>
      <c r="S29" s="5"/>
      <c r="T29" s="36" t="str">
        <f ca="1">IF($D29="","",IFERROR(INDIRECT("'"&amp;$D29&amp;"'!"&amp;'גיליון עזר'!$K$1&amp;ROW('מרכז מורשת בבל'!$N$8))/F29,""))</f>
        <v/>
      </c>
      <c r="U29" s="35"/>
      <c r="V29" s="36" t="str">
        <f ca="1">IF($D29="","",IFERROR(INDIRECT("'"&amp;$D29&amp;"'!"&amp;'גיליון עזר'!$M$1&amp;ROW('מרכז מורשת בבל'!$P$8))/F29,""))</f>
        <v/>
      </c>
      <c r="W29" s="103"/>
      <c r="X29" s="109" t="str">
        <f ca="1">IF($D29="","",IF(AND(AA29="כן",'תנאי סף'!AX23=1),"כן","לא"))</f>
        <v/>
      </c>
      <c r="Y29" s="1" t="str">
        <f t="shared" ca="1" si="9"/>
        <v/>
      </c>
      <c r="Z29" s="1" t="str">
        <f t="shared" ca="1" si="9"/>
        <v/>
      </c>
      <c r="AA29" s="12" t="str">
        <f t="shared" ca="1" si="10"/>
        <v>לא</v>
      </c>
      <c r="AB29" s="223" t="str">
        <f t="shared" ca="1" si="0"/>
        <v/>
      </c>
      <c r="AC29" s="1" t="str">
        <f t="shared" ca="1" si="11"/>
        <v/>
      </c>
      <c r="AD29" s="1" t="str">
        <f t="shared" ca="1" si="11"/>
        <v/>
      </c>
      <c r="AE29" s="105" t="str">
        <f ca="1">IF($D29="","",IF(G29&gt;פרמטרים!$D$22,1,IF(E29&gt;=AE$16,1,0)))</f>
        <v/>
      </c>
      <c r="AF29" s="105" t="str">
        <f t="shared" ca="1" si="12"/>
        <v/>
      </c>
      <c r="AG29" s="105" t="str">
        <f t="shared" ca="1" si="1"/>
        <v/>
      </c>
      <c r="AH29" s="105" t="str">
        <f t="shared" ca="1" si="2"/>
        <v/>
      </c>
      <c r="AI29" s="105" t="str">
        <f t="shared" ca="1" si="3"/>
        <v/>
      </c>
      <c r="AJ29" s="3" t="str">
        <f t="shared" ca="1" si="4"/>
        <v/>
      </c>
      <c r="AK29" s="3" t="str">
        <f t="shared" ca="1" si="5"/>
        <v/>
      </c>
      <c r="AL29" s="12" t="str">
        <f t="shared" ca="1" si="13"/>
        <v/>
      </c>
      <c r="AM29" s="12" t="str">
        <f t="shared" ca="1" si="14"/>
        <v/>
      </c>
      <c r="AN29" t="str">
        <f t="shared" ca="1" si="6"/>
        <v/>
      </c>
      <c r="AO29" t="str">
        <f t="shared" ca="1" si="7"/>
        <v/>
      </c>
    </row>
    <row r="30" spans="1:41" hidden="1" x14ac:dyDescent="0.25">
      <c r="A30" t="str">
        <f ca="1">IF(AND(LEFT(B30,11)&lt;&gt;"גיליון הזנה",INDIRECT("'"&amp;$B30&amp;"'!"&amp;'גיליון עזר'!$I$1&amp;ROW('מרכז מורשת בבל'!$I$3))=""),"חסרה הזנה","")</f>
        <v/>
      </c>
      <c r="B30" t="str">
        <f ca="1">'גיליון הזנה 14'!$D$3</f>
        <v>גיליון הזנה 14</v>
      </c>
      <c r="C30" s="7">
        <f>'ריכוז נתונים'!C30</f>
        <v>14</v>
      </c>
      <c r="D30" s="7" t="str">
        <f ca="1">IF(OR(LEFT(B30,11)="גיליון הזנה",INDIRECT("'"&amp;$B30&amp;"'!"&amp;'גיליון עזר'!$I$1&amp;ROW('מרכז מורשת בבל'!$I$3))=0),"",B30)</f>
        <v/>
      </c>
      <c r="E30" s="106" t="str">
        <f ca="1">IF($D30="","",IFERROR(INDIRECT("'"&amp;$D30&amp;"'!"&amp;'גיליון עזר'!$H$1&amp;ROW('מרכז מורשת בבל'!$C$11))/INDIRECT("'"&amp;$D30&amp;"'!"&amp;'גיליון עזר'!$G$1&amp;ROW('מרכז מורשת בבל'!$C$11)),0))</f>
        <v/>
      </c>
      <c r="F30" s="107" t="str">
        <f ca="1">IF($D30="","",INDIRECT("'"&amp;$D30&amp;"'!"&amp;'גיליון עזר'!$C$1&amp;ROW('מרכז מורשת בבל'!$C$11)))</f>
        <v/>
      </c>
      <c r="G30" s="129" t="str">
        <f ca="1">IF($D30="","",INDIRECT("'"&amp;$D30&amp;"'!"&amp;'גיליון עזר'!$E$1&amp;ROW('מרכז מורשת בבל'!$C$11)))</f>
        <v/>
      </c>
      <c r="H30" s="128" t="str">
        <f ca="1">IF($D30="","",INDIRECT("'"&amp;$D30&amp;"'!"&amp;'גיליון עזר'!$F$1&amp;ROW('מרכז מורשת בבל'!$C$11)))</f>
        <v/>
      </c>
      <c r="I30" s="108" t="str">
        <f ca="1">IF($D30="","",'ריכוז נתונים'!AP30+'ריכוז נתונים'!AQ30+'ריכוז נתונים'!AS30+'ריכוז נתונים'!AU30+'ריכוז נתונים'!AW30+'ריכוז נתונים'!AY30)</f>
        <v/>
      </c>
      <c r="J30" s="108" t="str">
        <f ca="1">IF($D30="","",IF(INDIRECT("'"&amp;$D30&amp;"'!"&amp;'גיליון עזר'!$I$1&amp;ROW('מרכז מורשת בבל'!$C$11))="",0,פרמטרים!$C$3-INDIRECT("'"&amp;$D30&amp;"'!"&amp;'גיליון עזר'!$I$1&amp;ROW('מרכז מורשת בבל'!$C$11))))</f>
        <v/>
      </c>
      <c r="K30" s="108" t="str">
        <f ca="1">IF($D30="","",IF(INDIRECT("'"&amp;$D30&amp;"'!"&amp;'גיליון עזר'!$K$1&amp;ROW('מרכז מורשת בבל'!$C$11))="","",INDIRECT("'"&amp;$D30&amp;"'!"&amp;'גיליון עזר'!$K$1&amp;ROW('מרכז מורשת בבל'!$C$11))))</f>
        <v/>
      </c>
      <c r="L30" s="108" t="str">
        <f t="shared" ca="1" si="8"/>
        <v/>
      </c>
      <c r="M30" s="131" t="str">
        <f ca="1">IF($D30="","",IFERROR(O30/פרמטרים!$C$5,""))</f>
        <v/>
      </c>
      <c r="N30" s="5"/>
      <c r="O30" s="96">
        <f>'סיכום לועדה- הזנת נתונים'!N44</f>
        <v>0</v>
      </c>
      <c r="P30" s="35" t="str">
        <f ca="1">IF($D30="","",INDIRECT("'"&amp;$D30&amp;"'!"&amp;'גיליון עזר'!$G$1&amp;ROW('מרכז מורשת בבל'!$J$8)))</f>
        <v/>
      </c>
      <c r="Q30" s="5"/>
      <c r="R30" s="134" t="str">
        <f ca="1">IF($D30="","",INDIRECT("'"&amp;$D30&amp;"'!"&amp;'גיליון עזר'!$I$1&amp;ROW('מרכז מורשת בבל'!$L$8)))</f>
        <v/>
      </c>
      <c r="S30" s="5"/>
      <c r="T30" s="36" t="str">
        <f ca="1">IF($D30="","",IFERROR(INDIRECT("'"&amp;$D30&amp;"'!"&amp;'גיליון עזר'!$K$1&amp;ROW('מרכז מורשת בבל'!$N$8))/F30,""))</f>
        <v/>
      </c>
      <c r="U30" s="35"/>
      <c r="V30" s="36" t="str">
        <f ca="1">IF($D30="","",IFERROR(INDIRECT("'"&amp;$D30&amp;"'!"&amp;'גיליון עזר'!$M$1&amp;ROW('מרכז מורשת בבל'!$P$8))/F30,""))</f>
        <v/>
      </c>
      <c r="W30" s="103"/>
      <c r="X30" s="109" t="str">
        <f ca="1">IF($D30="","",IF(AND(AA30="כן",'תנאי סף'!AX24=1),"כן","לא"))</f>
        <v/>
      </c>
      <c r="Y30" s="1" t="str">
        <f t="shared" ca="1" si="9"/>
        <v/>
      </c>
      <c r="Z30" s="1" t="str">
        <f t="shared" ca="1" si="9"/>
        <v/>
      </c>
      <c r="AA30" s="12" t="str">
        <f t="shared" ca="1" si="10"/>
        <v>לא</v>
      </c>
      <c r="AB30" s="223" t="str">
        <f t="shared" ca="1" si="0"/>
        <v/>
      </c>
      <c r="AC30" s="1" t="str">
        <f t="shared" ca="1" si="11"/>
        <v/>
      </c>
      <c r="AD30" s="1" t="str">
        <f t="shared" ca="1" si="11"/>
        <v/>
      </c>
      <c r="AE30" s="105" t="str">
        <f ca="1">IF($D30="","",IF(G30&gt;פרמטרים!$D$22,1,IF(E30&gt;=AE$16,1,0)))</f>
        <v/>
      </c>
      <c r="AF30" s="105" t="str">
        <f t="shared" ca="1" si="12"/>
        <v/>
      </c>
      <c r="AG30" s="105" t="str">
        <f t="shared" ca="1" si="1"/>
        <v/>
      </c>
      <c r="AH30" s="105" t="str">
        <f t="shared" ca="1" si="2"/>
        <v/>
      </c>
      <c r="AI30" s="105" t="str">
        <f t="shared" ca="1" si="3"/>
        <v/>
      </c>
      <c r="AJ30" s="3" t="str">
        <f t="shared" ca="1" si="4"/>
        <v/>
      </c>
      <c r="AK30" s="3" t="str">
        <f t="shared" ca="1" si="5"/>
        <v/>
      </c>
      <c r="AL30" s="12" t="str">
        <f t="shared" ca="1" si="13"/>
        <v/>
      </c>
      <c r="AM30" s="12" t="str">
        <f t="shared" ca="1" si="14"/>
        <v/>
      </c>
      <c r="AN30" t="str">
        <f t="shared" ca="1" si="6"/>
        <v/>
      </c>
      <c r="AO30" t="str">
        <f t="shared" ca="1" si="7"/>
        <v/>
      </c>
    </row>
    <row r="31" spans="1:41" x14ac:dyDescent="0.25">
      <c r="A31" t="str">
        <f ca="1">IF(AND(LEFT(B31,11)&lt;&gt;"גיליון הזנה",INDIRECT("'"&amp;$B31&amp;"'!"&amp;'גיליון עזר'!$I$1&amp;ROW('מרכז מורשת בבל'!$I$3))=""),"חסרה הזנה","")</f>
        <v/>
      </c>
      <c r="B31" t="str">
        <f ca="1">'החברה לטיפוח חברה תרבות תיעוד '!$D$3</f>
        <v xml:space="preserve">החברה לטיפוח חברה תרבות תיעוד </v>
      </c>
      <c r="C31" s="7">
        <f>'ריכוז נתונים'!C31</f>
        <v>15</v>
      </c>
      <c r="D31" s="7" t="str">
        <f ca="1">IF(OR(LEFT(B31,11)="גיליון הזנה",INDIRECT("'"&amp;$B31&amp;"'!"&amp;'גיליון עזר'!$I$1&amp;ROW('מרכז מורשת בבל'!$I$3))=0),"",B31)</f>
        <v xml:space="preserve">החברה לטיפוח חברה תרבות תיעוד </v>
      </c>
      <c r="E31" s="106">
        <f ca="1">IF($D31="","",IFERROR(INDIRECT("'"&amp;$D31&amp;"'!"&amp;'גיליון עזר'!$H$1&amp;ROW('מרכז מורשת בבל'!$C$11))/INDIRECT("'"&amp;$D31&amp;"'!"&amp;'גיליון עזר'!$G$1&amp;ROW('מרכז מורשת בבל'!$C$11)),0))</f>
        <v>0.664144328965938</v>
      </c>
      <c r="F31" s="107">
        <f ca="1">IF($D31="","",INDIRECT("'"&amp;$D31&amp;"'!"&amp;'גיליון עזר'!$C$1&amp;ROW('מרכז מורשת בבל'!$C$11)))</f>
        <v>6962651</v>
      </c>
      <c r="G31" s="129">
        <f ca="1">IF($D31="","",INDIRECT("'"&amp;$D31&amp;"'!"&amp;'גיליון עזר'!$E$1&amp;ROW('מרכז מורשת בבל'!$C$11)))</f>
        <v>5103322</v>
      </c>
      <c r="H31" s="128">
        <f ca="1">IF($D31="","",INDIRECT("'"&amp;$D31&amp;"'!"&amp;'גיליון עזר'!$F$1&amp;ROW('מרכז מורשת בבל'!$C$11)))</f>
        <v>5103322</v>
      </c>
      <c r="I31" s="108">
        <f ca="1">IF($D31="","",'ריכוז נתונים'!AP31+'ריכוז נתונים'!AQ31+'ריכוז נתונים'!AS31+'ריכוז נתונים'!AU31+'ריכוז נתונים'!AW31+'ריכוז נתונים'!AY31)</f>
        <v>458</v>
      </c>
      <c r="J31" s="108">
        <f ca="1">IF($D31="","",IF(INDIRECT("'"&amp;$D31&amp;"'!"&amp;'גיליון עזר'!$I$1&amp;ROW('מרכז מורשת בבל'!$C$11))="",0,פרמטרים!$C$3-INDIRECT("'"&amp;$D31&amp;"'!"&amp;'גיליון עזר'!$I$1&amp;ROW('מרכז מורשת בבל'!$C$11))))</f>
        <v>42</v>
      </c>
      <c r="K31" s="108" t="str">
        <f ca="1">IF($D31="","",IF(INDIRECT("'"&amp;$D31&amp;"'!"&amp;'גיליון עזר'!$K$1&amp;ROW('מרכז מורשת בבל'!$C$11))="","",INDIRECT("'"&amp;$D31&amp;"'!"&amp;'גיליון עזר'!$K$1&amp;ROW('מרכז מורשת בבל'!$C$11))))</f>
        <v>כן</v>
      </c>
      <c r="L31" s="108" t="str">
        <f t="shared" ca="1" si="8"/>
        <v>כן</v>
      </c>
      <c r="M31" s="131">
        <f ca="1">IF($D31="","",IFERROR(O31/פרמטרים!$C$5,""))</f>
        <v>0.12404001755290893</v>
      </c>
      <c r="N31" s="5"/>
      <c r="O31" s="96">
        <f>'סיכום לועדה- הזנת נתונים'!N45</f>
        <v>1514521.42</v>
      </c>
      <c r="P31" s="35" t="str">
        <f ca="1">IF($D31="","",INDIRECT("'"&amp;$D31&amp;"'!"&amp;'גיליון עזר'!$G$1&amp;ROW('מרכז מורשת בבל'!$J$8)))</f>
        <v>לא</v>
      </c>
      <c r="Q31" s="5"/>
      <c r="R31" s="134">
        <f ca="1">IF($D31="","",INDIRECT("'"&amp;$D31&amp;"'!"&amp;'גיליון עזר'!$I$1&amp;ROW('מרכז מורשת בבל'!$L$8)))</f>
        <v>0</v>
      </c>
      <c r="S31" s="5"/>
      <c r="T31" s="36">
        <f ca="1">IF($D31="","",IFERROR(INDIRECT("'"&amp;$D31&amp;"'!"&amp;'גיליון עזר'!$K$1&amp;ROW('מרכז מורשת בבל'!$N$8))/F31,""))</f>
        <v>4.7691604821209627E-3</v>
      </c>
      <c r="U31" s="35"/>
      <c r="V31" s="36">
        <f ca="1">IF($D31="","",IFERROR(INDIRECT("'"&amp;$D31&amp;"'!"&amp;'גיליון עזר'!$M$1&amp;ROW('מרכז מורשת בבל'!$P$8))/F31,""))</f>
        <v>5.7346117161408777E-2</v>
      </c>
      <c r="W31" s="103"/>
      <c r="X31" s="109" t="str">
        <f ca="1">IF($D31="","",IF(AND(AA31="כן",'תנאי סף'!AX25=1),"כן","לא"))</f>
        <v>כן</v>
      </c>
      <c r="Y31" s="1" t="str">
        <f t="shared" ca="1" si="9"/>
        <v>כן</v>
      </c>
      <c r="Z31" s="1" t="str">
        <f t="shared" ca="1" si="9"/>
        <v>לא</v>
      </c>
      <c r="AA31" s="12" t="str">
        <f t="shared" ca="1" si="10"/>
        <v>כן</v>
      </c>
      <c r="AB31" s="223">
        <f t="shared" ca="1" si="0"/>
        <v>0.12404001755290893</v>
      </c>
      <c r="AC31" s="1" t="str">
        <f t="shared" ca="1" si="11"/>
        <v>כן</v>
      </c>
      <c r="AD31" s="1" t="str">
        <f t="shared" ca="1" si="11"/>
        <v>לא</v>
      </c>
      <c r="AE31" s="105">
        <f ca="1">IF($D31="","",IF(G31&gt;פרמטרים!$D$22,1,IF(E31&gt;=AE$16,1,0)))</f>
        <v>1</v>
      </c>
      <c r="AF31" s="105">
        <f t="shared" ca="1" si="12"/>
        <v>1</v>
      </c>
      <c r="AG31" s="105">
        <f t="shared" ca="1" si="1"/>
        <v>1</v>
      </c>
      <c r="AH31" s="105">
        <f t="shared" ca="1" si="2"/>
        <v>1</v>
      </c>
      <c r="AI31" s="105">
        <f t="shared" ca="1" si="3"/>
        <v>1</v>
      </c>
      <c r="AJ31" s="3">
        <f t="shared" ca="1" si="4"/>
        <v>0</v>
      </c>
      <c r="AK31" s="3">
        <f t="shared" ca="1" si="5"/>
        <v>0</v>
      </c>
      <c r="AL31" s="12">
        <f t="shared" ca="1" si="13"/>
        <v>4.7691604821209627E-3</v>
      </c>
      <c r="AM31" s="12">
        <f t="shared" ca="1" si="14"/>
        <v>5.7346117161408777E-2</v>
      </c>
      <c r="AN31" t="str">
        <f t="shared" ca="1" si="6"/>
        <v>כן</v>
      </c>
      <c r="AO31" t="str">
        <f t="shared" ca="1" si="7"/>
        <v>לא</v>
      </c>
    </row>
    <row r="32" spans="1:41" ht="16.5" customHeight="1" x14ac:dyDescent="0.25">
      <c r="A32" t="str">
        <f ca="1">IF(AND(LEFT(B32,11)&lt;&gt;"גיליון הזנה",INDIRECT("'"&amp;$B32&amp;"'!"&amp;'גיליון עזר'!$I$1&amp;ROW('מרכז מורשת בבל'!$I$3))=""),"חסרה הזנה","")</f>
        <v/>
      </c>
      <c r="B32" t="str">
        <f ca="1">'עמותת אור שלום'!$D$3</f>
        <v>עמותת אור שלום</v>
      </c>
      <c r="C32" s="7">
        <f>'ריכוז נתונים'!C32</f>
        <v>16</v>
      </c>
      <c r="D32" s="7" t="str">
        <f ca="1">IF(OR(LEFT(B32,11)="גיליון הזנה",INDIRECT("'"&amp;$B32&amp;"'!"&amp;'גיליון עזר'!$I$1&amp;ROW('מרכז מורשת בבל'!$I$3))=0),"",B32)</f>
        <v>עמותת אור שלום</v>
      </c>
      <c r="E32" s="106">
        <f ca="1">IF($D32="","",IFERROR(INDIRECT("'"&amp;$D32&amp;"'!"&amp;'גיליון עזר'!$H$1&amp;ROW('מרכז מורשת בבל'!$C$11))/INDIRECT("'"&amp;$D32&amp;"'!"&amp;'גיליון עזר'!$G$1&amp;ROW('מרכז מורשת בבל'!$C$11)),0))</f>
        <v>1</v>
      </c>
      <c r="F32" s="107">
        <f ca="1">IF($D32="","",INDIRECT("'"&amp;$D32&amp;"'!"&amp;'גיליון עזר'!$C$1&amp;ROW('מרכז מורשת בבל'!$C$11)))</f>
        <v>849541</v>
      </c>
      <c r="G32" s="129">
        <f ca="1">IF($D32="","",INDIRECT("'"&amp;$D32&amp;"'!"&amp;'גיליון עזר'!$E$1&amp;ROW('מרכז מורשת בבל'!$C$11)))</f>
        <v>849541</v>
      </c>
      <c r="H32" s="128">
        <f ca="1">IF($D32="","",INDIRECT("'"&amp;$D32&amp;"'!"&amp;'גיליון עזר'!$F$1&amp;ROW('מרכז מורשת בבל'!$C$11)))</f>
        <v>849541</v>
      </c>
      <c r="I32" s="108">
        <f ca="1">IF($D32="","",'ריכוז נתונים'!AP32+'ריכוז נתונים'!AQ32+'ריכוז נתונים'!AS32+'ריכוז נתונים'!AU32+'ריכוז נתונים'!AW32+'ריכוז נתונים'!AY32)</f>
        <v>21</v>
      </c>
      <c r="J32" s="108">
        <f ca="1">IF($D32="","",IF(INDIRECT("'"&amp;$D32&amp;"'!"&amp;'גיליון עזר'!$I$1&amp;ROW('מרכז מורשת בבל'!$C$11))="",0,פרמטרים!$C$3-INDIRECT("'"&amp;$D32&amp;"'!"&amp;'גיליון עזר'!$I$1&amp;ROW('מרכז מורשת בבל'!$C$11))))</f>
        <v>29</v>
      </c>
      <c r="K32" s="108" t="str">
        <f ca="1">IF($D32="","",IF(INDIRECT("'"&amp;$D32&amp;"'!"&amp;'גיליון עזר'!$K$1&amp;ROW('מרכז מורשת בבל'!$C$11))="","",INDIRECT("'"&amp;$D32&amp;"'!"&amp;'גיליון עזר'!$K$1&amp;ROW('מרכז מורשת בבל'!$C$11))))</f>
        <v>כן</v>
      </c>
      <c r="L32" s="108" t="str">
        <f t="shared" ca="1" si="8"/>
        <v>כן</v>
      </c>
      <c r="M32" s="131">
        <f ca="1">IF($D32="","",IFERROR(O32/פרמטרים!$C$5,""))</f>
        <v>4.1847760619993117E-2</v>
      </c>
      <c r="N32" s="5"/>
      <c r="O32" s="96">
        <f>'סיכום לועדה- הזנת נתונים'!N46</f>
        <v>510958.73</v>
      </c>
      <c r="P32" s="35" t="str">
        <f ca="1">IF($D32="","",INDIRECT("'"&amp;$D32&amp;"'!"&amp;'גיליון עזר'!$G$1&amp;ROW('מרכז מורשת בבל'!$J$8)))</f>
        <v>לא</v>
      </c>
      <c r="Q32" s="5"/>
      <c r="R32" s="134">
        <f ca="1">IF($D32="","",INDIRECT("'"&amp;$D32&amp;"'!"&amp;'גיליון עזר'!$I$1&amp;ROW('מרכז מורשת בבל'!$L$8)))</f>
        <v>0</v>
      </c>
      <c r="S32" s="5"/>
      <c r="T32" s="36">
        <f ca="1">IF($D32="","",IFERROR(INDIRECT("'"&amp;$D32&amp;"'!"&amp;'גיליון עזר'!$K$1&amp;ROW('מרכז מורשת בבל'!$N$8))/F32,""))</f>
        <v>5.6171509085494401E-3</v>
      </c>
      <c r="U32" s="35"/>
      <c r="V32" s="36">
        <f ca="1">IF($D32="","",IFERROR(INDIRECT("'"&amp;$D32&amp;"'!"&amp;'גיליון עזר'!$M$1&amp;ROW('מרכז מורשת בבל'!$P$8))/F32,""))</f>
        <v>7.2011827563354794E-2</v>
      </c>
      <c r="W32" s="103"/>
      <c r="X32" s="109" t="str">
        <f ca="1">IF($D32="","",IF(AND(AA32="כן",'תנאי סף'!AX26=1),"כן","לא"))</f>
        <v>כן</v>
      </c>
      <c r="Y32" s="1" t="str">
        <f t="shared" ca="1" si="9"/>
        <v>כן</v>
      </c>
      <c r="Z32" s="1" t="str">
        <f t="shared" ca="1" si="9"/>
        <v>לא</v>
      </c>
      <c r="AA32" s="12" t="str">
        <f t="shared" ca="1" si="10"/>
        <v>כן</v>
      </c>
      <c r="AB32" s="223">
        <f t="shared" ca="1" si="0"/>
        <v>4.1847760619993117E-2</v>
      </c>
      <c r="AC32" s="1" t="str">
        <f t="shared" ca="1" si="11"/>
        <v>כן</v>
      </c>
      <c r="AD32" s="1" t="str">
        <f t="shared" ca="1" si="11"/>
        <v>לא</v>
      </c>
      <c r="AE32" s="105">
        <f ca="1">IF($D32="","",IF(G32&gt;פרמטרים!$D$22,1,IF(E32&gt;=AE$16,1,0)))</f>
        <v>1</v>
      </c>
      <c r="AF32" s="105">
        <f t="shared" ca="1" si="12"/>
        <v>1</v>
      </c>
      <c r="AG32" s="105">
        <f t="shared" ca="1" si="1"/>
        <v>1</v>
      </c>
      <c r="AH32" s="105">
        <f t="shared" ca="1" si="2"/>
        <v>1</v>
      </c>
      <c r="AI32" s="105">
        <f t="shared" ca="1" si="3"/>
        <v>1</v>
      </c>
      <c r="AJ32" s="3">
        <f t="shared" ca="1" si="4"/>
        <v>0</v>
      </c>
      <c r="AK32" s="3">
        <f t="shared" ca="1" si="5"/>
        <v>0</v>
      </c>
      <c r="AL32" s="12">
        <f t="shared" ca="1" si="13"/>
        <v>5.6171509085494401E-3</v>
      </c>
      <c r="AM32" s="12">
        <f t="shared" ca="1" si="14"/>
        <v>7.2011827563354794E-2</v>
      </c>
      <c r="AN32" t="str">
        <f t="shared" ca="1" si="6"/>
        <v>כן</v>
      </c>
      <c r="AO32" t="str">
        <f t="shared" ca="1" si="7"/>
        <v>לא</v>
      </c>
    </row>
    <row r="33" spans="1:41" hidden="1" x14ac:dyDescent="0.25">
      <c r="A33" t="str">
        <f ca="1">IF(AND(LEFT(B33,11)&lt;&gt;"גיליון הזנה",INDIRECT("'"&amp;$B33&amp;"'!"&amp;'גיליון עזר'!$I$1&amp;ROW('מרכז מורשת בבל'!$I$3))=""),"חסרה הזנה","")</f>
        <v/>
      </c>
      <c r="B33" t="str">
        <f ca="1">'גיליון הזנה 17'!$D$3</f>
        <v>גיליון הזנה 17</v>
      </c>
      <c r="C33" s="7">
        <f>'ריכוז נתונים'!C33</f>
        <v>17</v>
      </c>
      <c r="D33" s="7" t="str">
        <f ca="1">IF(OR(LEFT(B33,11)="גיליון הזנה",INDIRECT("'"&amp;$B33&amp;"'!"&amp;'גיליון עזר'!$I$1&amp;ROW('מרכז מורשת בבל'!$I$3))=0),"",B33)</f>
        <v/>
      </c>
      <c r="E33" s="106" t="str">
        <f ca="1">IF($D33="","",IFERROR(INDIRECT("'"&amp;$D33&amp;"'!"&amp;'גיליון עזר'!$H$1&amp;ROW('מרכז מורשת בבל'!$C$11))/INDIRECT("'"&amp;$D33&amp;"'!"&amp;'גיליון עזר'!$G$1&amp;ROW('מרכז מורשת בבל'!$C$11)),0))</f>
        <v/>
      </c>
      <c r="F33" s="107" t="str">
        <f ca="1">IF($D33="","",INDIRECT("'"&amp;$D33&amp;"'!"&amp;'גיליון עזר'!$C$1&amp;ROW('מרכז מורשת בבל'!$C$11)))</f>
        <v/>
      </c>
      <c r="G33" s="129" t="str">
        <f ca="1">IF($D33="","",INDIRECT("'"&amp;$D33&amp;"'!"&amp;'גיליון עזר'!$E$1&amp;ROW('מרכז מורשת בבל'!$C$11)))</f>
        <v/>
      </c>
      <c r="H33" s="128" t="str">
        <f ca="1">IF($D33="","",INDIRECT("'"&amp;$D33&amp;"'!"&amp;'גיליון עזר'!$F$1&amp;ROW('מרכז מורשת בבל'!$C$11)))</f>
        <v/>
      </c>
      <c r="I33" s="108" t="str">
        <f ca="1">IF($D33="","",'ריכוז נתונים'!AP33+'ריכוז נתונים'!AQ33+'ריכוז נתונים'!AS33+'ריכוז נתונים'!AU33+'ריכוז נתונים'!AW33+'ריכוז נתונים'!AY33)</f>
        <v/>
      </c>
      <c r="J33" s="108" t="str">
        <f ca="1">IF($D33="","",IF(INDIRECT("'"&amp;$D33&amp;"'!"&amp;'גיליון עזר'!$I$1&amp;ROW('מרכז מורשת בבל'!$C$11))="",0,פרמטרים!$C$3-INDIRECT("'"&amp;$D33&amp;"'!"&amp;'גיליון עזר'!$I$1&amp;ROW('מרכז מורשת בבל'!$C$11))))</f>
        <v/>
      </c>
      <c r="K33" s="108" t="str">
        <f ca="1">IF($D33="","",IF(INDIRECT("'"&amp;$D33&amp;"'!"&amp;'גיליון עזר'!$K$1&amp;ROW('מרכז מורשת בבל'!$C$11))="","",INDIRECT("'"&amp;$D33&amp;"'!"&amp;'גיליון עזר'!$K$1&amp;ROW('מרכז מורשת בבל'!$C$11))))</f>
        <v/>
      </c>
      <c r="L33" s="108" t="str">
        <f t="shared" ca="1" si="8"/>
        <v/>
      </c>
      <c r="M33" s="131" t="str">
        <f ca="1">IF($D33="","",IFERROR(O33/פרמטרים!$C$5,""))</f>
        <v/>
      </c>
      <c r="N33" s="5"/>
      <c r="O33" s="96">
        <f>'סיכום לועדה- הזנת נתונים'!N47</f>
        <v>0</v>
      </c>
      <c r="P33" s="35" t="str">
        <f ca="1">IF($D33="","",INDIRECT("'"&amp;$D33&amp;"'!"&amp;'גיליון עזר'!$G$1&amp;ROW('מרכז מורשת בבל'!$J$8)))</f>
        <v/>
      </c>
      <c r="Q33" s="5"/>
      <c r="R33" s="134" t="str">
        <f ca="1">IF($D33="","",INDIRECT("'"&amp;$D33&amp;"'!"&amp;'גיליון עזר'!$I$1&amp;ROW('מרכז מורשת בבל'!$L$8)))</f>
        <v/>
      </c>
      <c r="S33" s="5"/>
      <c r="T33" s="36" t="str">
        <f ca="1">IF($D33="","",IFERROR(INDIRECT("'"&amp;$D33&amp;"'!"&amp;'גיליון עזר'!$K$1&amp;ROW('מרכז מורשת בבל'!$N$8))/F33,""))</f>
        <v/>
      </c>
      <c r="U33" s="35"/>
      <c r="V33" s="36" t="str">
        <f ca="1">IF($D33="","",IFERROR(INDIRECT("'"&amp;$D33&amp;"'!"&amp;'גיליון עזר'!$M$1&amp;ROW('מרכז מורשת בבל'!$P$8))/F33,""))</f>
        <v/>
      </c>
      <c r="W33" s="103"/>
      <c r="X33" s="109" t="str">
        <f ca="1">IF($D33="","",IF(AND(AA33="כן",'תנאי סף'!AX27=1),"כן","לא"))</f>
        <v/>
      </c>
      <c r="Y33" s="1" t="str">
        <f t="shared" ca="1" si="9"/>
        <v/>
      </c>
      <c r="Z33" s="1" t="str">
        <f t="shared" ca="1" si="9"/>
        <v/>
      </c>
      <c r="AA33" s="12" t="str">
        <f t="shared" ca="1" si="10"/>
        <v>לא</v>
      </c>
      <c r="AB33" s="223" t="str">
        <f t="shared" ca="1" si="0"/>
        <v/>
      </c>
      <c r="AC33" s="1" t="str">
        <f t="shared" ca="1" si="11"/>
        <v/>
      </c>
      <c r="AD33" s="1" t="str">
        <f t="shared" ca="1" si="11"/>
        <v/>
      </c>
      <c r="AE33" s="105" t="str">
        <f ca="1">IF($D33="","",IF(G33&gt;פרמטרים!$D$22,1,IF(E33&gt;=AE$16,1,0)))</f>
        <v/>
      </c>
      <c r="AF33" s="105" t="str">
        <f t="shared" ca="1" si="12"/>
        <v/>
      </c>
      <c r="AG33" s="105" t="str">
        <f t="shared" ca="1" si="1"/>
        <v/>
      </c>
      <c r="AH33" s="105" t="str">
        <f t="shared" ca="1" si="2"/>
        <v/>
      </c>
      <c r="AI33" s="105" t="str">
        <f t="shared" ca="1" si="3"/>
        <v/>
      </c>
      <c r="AJ33" s="3" t="str">
        <f t="shared" ca="1" si="4"/>
        <v/>
      </c>
      <c r="AK33" s="3" t="str">
        <f t="shared" ca="1" si="5"/>
        <v/>
      </c>
      <c r="AL33" s="12" t="str">
        <f t="shared" ca="1" si="13"/>
        <v/>
      </c>
      <c r="AM33" s="12" t="str">
        <f t="shared" ca="1" si="14"/>
        <v/>
      </c>
      <c r="AN33" t="str">
        <f t="shared" ca="1" si="6"/>
        <v/>
      </c>
      <c r="AO33" t="str">
        <f t="shared" ca="1" si="7"/>
        <v/>
      </c>
    </row>
    <row r="34" spans="1:41" x14ac:dyDescent="0.25">
      <c r="A34" t="str">
        <f ca="1">IF(AND(LEFT(B34,11)&lt;&gt;"גיליון הזנה",INDIRECT("'"&amp;$B34&amp;"'!"&amp;'גיליון עזר'!$I$1&amp;ROW('מרכז מורשת בבל'!$I$3))=""),"חסרה הזנה","")</f>
        <v/>
      </c>
      <c r="B34" t="str">
        <f ca="1">'ישיבת קרלין סטולין'!$D$3</f>
        <v>ישיבת קרלין סטולין</v>
      </c>
      <c r="C34" s="7">
        <f>'ריכוז נתונים'!C34</f>
        <v>18</v>
      </c>
      <c r="D34" s="7" t="str">
        <f ca="1">IF(OR(LEFT(B34,11)="גיליון הזנה",INDIRECT("'"&amp;$B34&amp;"'!"&amp;'גיליון עזר'!$I$1&amp;ROW('מרכז מורשת בבל'!$I$3))=0),"",B34)</f>
        <v>ישיבת קרלין סטולין</v>
      </c>
      <c r="E34" s="106">
        <f ca="1">IF($D34="","",IFERROR(INDIRECT("'"&amp;$D34&amp;"'!"&amp;'גיליון עזר'!$H$1&amp;ROW('מרכז מורשת בבל'!$C$11))/INDIRECT("'"&amp;$D34&amp;"'!"&amp;'גיליון עזר'!$G$1&amp;ROW('מרכז מורשת בבל'!$C$11)),0))</f>
        <v>0.15744378294547298</v>
      </c>
      <c r="F34" s="107">
        <f ca="1">IF($D34="","",INDIRECT("'"&amp;$D34&amp;"'!"&amp;'גיליון עזר'!$C$1&amp;ROW('מרכז מורשת בבל'!$C$11)))</f>
        <v>6496843</v>
      </c>
      <c r="G34" s="129">
        <f ca="1">IF($D34="","",INDIRECT("'"&amp;$D34&amp;"'!"&amp;'גיליון עזר'!$E$1&amp;ROW('מרכז מורשת בבל'!$C$11)))</f>
        <v>1041932</v>
      </c>
      <c r="H34" s="128">
        <f ca="1">IF($D34="","",INDIRECT("'"&amp;$D34&amp;"'!"&amp;'גיליון עזר'!$F$1&amp;ROW('מרכז מורשת בבל'!$C$11)))</f>
        <v>1041932</v>
      </c>
      <c r="I34" s="108">
        <f ca="1">IF($D34="","",'ריכוז נתונים'!AP34+'ריכוז נתונים'!AQ34+'ריכוז נתונים'!AS34+'ריכוז נתונים'!AU34+'ריכוז נתונים'!AW34+'ריכוז נתונים'!AY34)</f>
        <v>136</v>
      </c>
      <c r="J34" s="108">
        <f ca="1">IF($D34="","",IF(INDIRECT("'"&amp;$D34&amp;"'!"&amp;'גיליון עזר'!$I$1&amp;ROW('מרכז מורשת בבל'!$C$11))="",0,פרמטרים!$C$3-INDIRECT("'"&amp;$D34&amp;"'!"&amp;'גיליון עזר'!$I$1&amp;ROW('מרכז מורשת בבל'!$C$11))))</f>
        <v>43</v>
      </c>
      <c r="K34" s="108" t="str">
        <f ca="1">IF($D34="","",IF(INDIRECT("'"&amp;$D34&amp;"'!"&amp;'גיליון עזר'!$K$1&amp;ROW('מרכז מורשת בבל'!$C$11))="","",INDIRECT("'"&amp;$D34&amp;"'!"&amp;'גיליון עזר'!$K$1&amp;ROW('מרכז מורשת בבל'!$C$11))))</f>
        <v>כן</v>
      </c>
      <c r="L34" s="108" t="str">
        <f t="shared" ca="1" si="8"/>
        <v>כן</v>
      </c>
      <c r="M34" s="131">
        <f ca="1">IF($D34="","",IFERROR(O34/פרמטרים!$C$5,""))</f>
        <v>3.0737952727375773E-2</v>
      </c>
      <c r="N34" s="5"/>
      <c r="O34" s="96">
        <f>'סיכום לועדה- הזנת נתונים'!N48</f>
        <v>375308.62</v>
      </c>
      <c r="P34" s="35" t="str">
        <f ca="1">IF($D34="","",INDIRECT("'"&amp;$D34&amp;"'!"&amp;'גיליון עזר'!$G$1&amp;ROW('מרכז מורשת בבל'!$J$8)))</f>
        <v>לא</v>
      </c>
      <c r="Q34" s="5"/>
      <c r="R34" s="134">
        <f ca="1">IF($D34="","",INDIRECT("'"&amp;$D34&amp;"'!"&amp;'גיליון עזר'!$I$1&amp;ROW('מרכז מורשת בבל'!$L$8)))</f>
        <v>0</v>
      </c>
      <c r="S34" s="5"/>
      <c r="T34" s="36">
        <f ca="1">IF($D34="","",IFERROR(INDIRECT("'"&amp;$D34&amp;"'!"&amp;'גיליון עזר'!$K$1&amp;ROW('מרכז מורשת בבל'!$N$8))/F34,""))</f>
        <v>1.078262165177764E-2</v>
      </c>
      <c r="U34" s="35"/>
      <c r="V34" s="36">
        <f ca="1">IF($D34="","",IFERROR(INDIRECT("'"&amp;$D34&amp;"'!"&amp;'גיליון עזר'!$M$1&amp;ROW('מרכז מורשת בבל'!$P$8))/F34,""))</f>
        <v>-8.8983834148370217E-2</v>
      </c>
      <c r="W34" s="103"/>
      <c r="X34" s="109" t="str">
        <f ca="1">IF($D34="","",IF(AND(AA34="כן",'תנאי סף'!AX28=1),"כן","לא"))</f>
        <v>כן</v>
      </c>
      <c r="Y34" s="1" t="str">
        <f t="shared" ca="1" si="9"/>
        <v>כן</v>
      </c>
      <c r="Z34" s="1" t="str">
        <f t="shared" ca="1" si="9"/>
        <v>לא</v>
      </c>
      <c r="AA34" s="12" t="str">
        <f t="shared" ca="1" si="10"/>
        <v>כן</v>
      </c>
      <c r="AB34" s="223">
        <f t="shared" ca="1" si="0"/>
        <v>3.0737952727375773E-2</v>
      </c>
      <c r="AC34" s="1" t="str">
        <f t="shared" ca="1" si="11"/>
        <v>כן</v>
      </c>
      <c r="AD34" s="1" t="str">
        <f t="shared" ca="1" si="11"/>
        <v>לא</v>
      </c>
      <c r="AE34" s="105">
        <f ca="1">IF($D34="","",IF(G34&gt;פרמטרים!$D$22,1,IF(E34&gt;=AE$16,1,0)))</f>
        <v>1</v>
      </c>
      <c r="AF34" s="105">
        <f t="shared" ca="1" si="12"/>
        <v>1</v>
      </c>
      <c r="AG34" s="105">
        <f t="shared" ca="1" si="1"/>
        <v>1</v>
      </c>
      <c r="AH34" s="105">
        <f t="shared" ca="1" si="2"/>
        <v>1</v>
      </c>
      <c r="AI34" s="105">
        <f t="shared" ca="1" si="3"/>
        <v>1</v>
      </c>
      <c r="AJ34" s="3">
        <f t="shared" ca="1" si="4"/>
        <v>0</v>
      </c>
      <c r="AK34" s="3">
        <f t="shared" ca="1" si="5"/>
        <v>0</v>
      </c>
      <c r="AL34" s="12">
        <f t="shared" ca="1" si="13"/>
        <v>1.078262165177764E-2</v>
      </c>
      <c r="AM34" s="12">
        <f t="shared" ca="1" si="14"/>
        <v>-8.8983834148370217E-2</v>
      </c>
      <c r="AN34" t="str">
        <f t="shared" ca="1" si="6"/>
        <v>כן</v>
      </c>
      <c r="AO34" t="str">
        <f t="shared" ca="1" si="7"/>
        <v>לא</v>
      </c>
    </row>
    <row r="35" spans="1:41" hidden="1" x14ac:dyDescent="0.25">
      <c r="A35" t="str">
        <f ca="1">IF(AND(LEFT(B35,11)&lt;&gt;"גיליון הזנה",INDIRECT("'"&amp;$B35&amp;"'!"&amp;'גיליון עזר'!$I$1&amp;ROW('מרכז מורשת בבל'!$I$3))=""),"חסרה הזנה","")</f>
        <v/>
      </c>
      <c r="B35" t="str">
        <f ca="1">'גיליון הזנה 19'!$D$3</f>
        <v>גיליון הזנה 19</v>
      </c>
      <c r="C35" s="7">
        <f>'ריכוז נתונים'!C35</f>
        <v>19</v>
      </c>
      <c r="D35" s="7" t="str">
        <f ca="1">IF(OR(LEFT(B35,11)="גיליון הזנה",INDIRECT("'"&amp;$B35&amp;"'!"&amp;'גיליון עזר'!$I$1&amp;ROW('מרכז מורשת בבל'!$I$3))=0),"",B35)</f>
        <v/>
      </c>
      <c r="E35" s="106" t="str">
        <f ca="1">IF($D35="","",IFERROR(INDIRECT("'"&amp;$D35&amp;"'!"&amp;'גיליון עזר'!$H$1&amp;ROW('מרכז מורשת בבל'!$C$11))/INDIRECT("'"&amp;$D35&amp;"'!"&amp;'גיליון עזר'!$G$1&amp;ROW('מרכז מורשת בבל'!$C$11)),0))</f>
        <v/>
      </c>
      <c r="F35" s="107" t="str">
        <f ca="1">IF($D35="","",INDIRECT("'"&amp;$D35&amp;"'!"&amp;'גיליון עזר'!$C$1&amp;ROW('מרכז מורשת בבל'!$C$11)))</f>
        <v/>
      </c>
      <c r="G35" s="129" t="str">
        <f ca="1">IF($D35="","",INDIRECT("'"&amp;$D35&amp;"'!"&amp;'גיליון עזר'!$E$1&amp;ROW('מרכז מורשת בבל'!$C$11)))</f>
        <v/>
      </c>
      <c r="H35" s="128" t="str">
        <f ca="1">IF($D35="","",INDIRECT("'"&amp;$D35&amp;"'!"&amp;'גיליון עזר'!$F$1&amp;ROW('מרכז מורשת בבל'!$C$11)))</f>
        <v/>
      </c>
      <c r="I35" s="108" t="str">
        <f ca="1">IF($D35="","",'ריכוז נתונים'!AP35+'ריכוז נתונים'!AQ35+'ריכוז נתונים'!AS35+'ריכוז נתונים'!AU35+'ריכוז נתונים'!AW35+'ריכוז נתונים'!AY35)</f>
        <v/>
      </c>
      <c r="J35" s="108" t="str">
        <f ca="1">IF($D35="","",IF(INDIRECT("'"&amp;$D35&amp;"'!"&amp;'גיליון עזר'!$I$1&amp;ROW('מרכז מורשת בבל'!$C$11))="",0,פרמטרים!$C$3-INDIRECT("'"&amp;$D35&amp;"'!"&amp;'גיליון עזר'!$I$1&amp;ROW('מרכז מורשת בבל'!$C$11))))</f>
        <v/>
      </c>
      <c r="K35" s="108" t="str">
        <f ca="1">IF($D35="","",IF(INDIRECT("'"&amp;$D35&amp;"'!"&amp;'גיליון עזר'!$K$1&amp;ROW('מרכז מורשת בבל'!$C$11))="","",INDIRECT("'"&amp;$D35&amp;"'!"&amp;'גיליון עזר'!$K$1&amp;ROW('מרכז מורשת בבל'!$C$11))))</f>
        <v/>
      </c>
      <c r="L35" s="108" t="str">
        <f t="shared" ca="1" si="8"/>
        <v/>
      </c>
      <c r="M35" s="131" t="str">
        <f ca="1">IF($D35="","",IFERROR(O35/פרמטרים!$C$5,""))</f>
        <v/>
      </c>
      <c r="N35" s="5"/>
      <c r="O35" s="96">
        <f>'סיכום לועדה- הזנת נתונים'!N49</f>
        <v>0</v>
      </c>
      <c r="P35" s="35" t="str">
        <f ca="1">IF($D35="","",INDIRECT("'"&amp;$D35&amp;"'!"&amp;'גיליון עזר'!$G$1&amp;ROW('מרכז מורשת בבל'!$J$8)))</f>
        <v/>
      </c>
      <c r="Q35" s="5"/>
      <c r="R35" s="134" t="str">
        <f ca="1">IF($D35="","",INDIRECT("'"&amp;$D35&amp;"'!"&amp;'גיליון עזר'!$I$1&amp;ROW('מרכז מורשת בבל'!$L$8)))</f>
        <v/>
      </c>
      <c r="S35" s="5"/>
      <c r="T35" s="36" t="str">
        <f ca="1">IF($D35="","",IFERROR(INDIRECT("'"&amp;$D35&amp;"'!"&amp;'גיליון עזר'!$K$1&amp;ROW('מרכז מורשת בבל'!$N$8))/F35,""))</f>
        <v/>
      </c>
      <c r="U35" s="35"/>
      <c r="V35" s="36" t="str">
        <f ca="1">IF($D35="","",IFERROR(INDIRECT("'"&amp;$D35&amp;"'!"&amp;'גיליון עזר'!$M$1&amp;ROW('מרכז מורשת בבל'!$P$8))/F35,""))</f>
        <v/>
      </c>
      <c r="W35" s="103"/>
      <c r="X35" s="109" t="str">
        <f ca="1">IF($D35="","",IF(AND(AA35="כן",'תנאי סף'!AX29=1),"כן","לא"))</f>
        <v/>
      </c>
      <c r="Y35" s="1" t="str">
        <f t="shared" ca="1" si="9"/>
        <v/>
      </c>
      <c r="Z35" s="1" t="str">
        <f t="shared" ca="1" si="9"/>
        <v/>
      </c>
      <c r="AA35" s="12" t="str">
        <f t="shared" ca="1" si="10"/>
        <v>לא</v>
      </c>
      <c r="AB35" s="223" t="str">
        <f t="shared" ca="1" si="0"/>
        <v/>
      </c>
      <c r="AC35" s="1" t="str">
        <f t="shared" ca="1" si="11"/>
        <v/>
      </c>
      <c r="AD35" s="1" t="str">
        <f t="shared" ca="1" si="11"/>
        <v/>
      </c>
      <c r="AE35" s="105" t="str">
        <f ca="1">IF($D35="","",IF(G35&gt;פרמטרים!$D$22,1,IF(E35&gt;=AE$16,1,0)))</f>
        <v/>
      </c>
      <c r="AF35" s="105" t="str">
        <f t="shared" ca="1" si="12"/>
        <v/>
      </c>
      <c r="AG35" s="105" t="str">
        <f t="shared" ca="1" si="1"/>
        <v/>
      </c>
      <c r="AH35" s="105" t="str">
        <f t="shared" ca="1" si="2"/>
        <v/>
      </c>
      <c r="AI35" s="105" t="str">
        <f t="shared" ca="1" si="3"/>
        <v/>
      </c>
      <c r="AJ35" s="3" t="str">
        <f t="shared" ca="1" si="4"/>
        <v/>
      </c>
      <c r="AK35" s="3" t="str">
        <f t="shared" ca="1" si="5"/>
        <v/>
      </c>
      <c r="AL35" s="12" t="str">
        <f t="shared" ca="1" si="13"/>
        <v/>
      </c>
      <c r="AM35" s="12" t="str">
        <f t="shared" ca="1" si="14"/>
        <v/>
      </c>
      <c r="AN35" t="str">
        <f t="shared" ca="1" si="6"/>
        <v/>
      </c>
      <c r="AO35" t="str">
        <f t="shared" ca="1" si="7"/>
        <v/>
      </c>
    </row>
    <row r="36" spans="1:41" hidden="1" x14ac:dyDescent="0.25">
      <c r="A36" t="str">
        <f ca="1">IF(AND(LEFT(B36,11)&lt;&gt;"גיליון הזנה",INDIRECT("'"&amp;$B36&amp;"'!"&amp;'גיליון עזר'!$I$1&amp;ROW('מרכז מורשת בבל'!$I$3))=""),"חסרה הזנה","")</f>
        <v/>
      </c>
      <c r="B36" t="str">
        <f ca="1">'גיליון הזנה 20'!$D$3</f>
        <v>גיליון הזנה 20</v>
      </c>
      <c r="C36" s="7">
        <f>'ריכוז נתונים'!C36</f>
        <v>20</v>
      </c>
      <c r="D36" s="7" t="str">
        <f ca="1">IF(OR(LEFT(B36,11)="גיליון הזנה",INDIRECT("'"&amp;$B36&amp;"'!"&amp;'גיליון עזר'!$I$1&amp;ROW('מרכז מורשת בבל'!$I$3))=0),"",B36)</f>
        <v/>
      </c>
      <c r="E36" s="106" t="str">
        <f ca="1">IF($D36="","",IFERROR(INDIRECT("'"&amp;$D36&amp;"'!"&amp;'גיליון עזר'!$H$1&amp;ROW('מרכז מורשת בבל'!$C$11))/INDIRECT("'"&amp;$D36&amp;"'!"&amp;'גיליון עזר'!$G$1&amp;ROW('מרכז מורשת בבל'!$C$11)),0))</f>
        <v/>
      </c>
      <c r="F36" s="107" t="str">
        <f ca="1">IF($D36="","",INDIRECT("'"&amp;$D36&amp;"'!"&amp;'גיליון עזר'!$C$1&amp;ROW('מרכז מורשת בבל'!$C$11)))</f>
        <v/>
      </c>
      <c r="G36" s="129" t="str">
        <f ca="1">IF($D36="","",INDIRECT("'"&amp;$D36&amp;"'!"&amp;'גיליון עזר'!$E$1&amp;ROW('מרכז מורשת בבל'!$C$11)))</f>
        <v/>
      </c>
      <c r="H36" s="128" t="str">
        <f ca="1">IF($D36="","",INDIRECT("'"&amp;$D36&amp;"'!"&amp;'גיליון עזר'!$F$1&amp;ROW('מרכז מורשת בבל'!$C$11)))</f>
        <v/>
      </c>
      <c r="I36" s="108" t="str">
        <f ca="1">IF($D36="","",'ריכוז נתונים'!AP36+'ריכוז נתונים'!AQ36+'ריכוז נתונים'!AS36+'ריכוז נתונים'!AU36+'ריכוז נתונים'!AW36+'ריכוז נתונים'!AY36)</f>
        <v/>
      </c>
      <c r="J36" s="108" t="str">
        <f ca="1">IF($D36="","",IF(INDIRECT("'"&amp;$D36&amp;"'!"&amp;'גיליון עזר'!$I$1&amp;ROW('מרכז מורשת בבל'!$C$11))="",0,פרמטרים!$C$3-INDIRECT("'"&amp;$D36&amp;"'!"&amp;'גיליון עזר'!$I$1&amp;ROW('מרכז מורשת בבל'!$C$11))))</f>
        <v/>
      </c>
      <c r="K36" s="108" t="str">
        <f ca="1">IF($D36="","",IF(INDIRECT("'"&amp;$D36&amp;"'!"&amp;'גיליון עזר'!$K$1&amp;ROW('מרכז מורשת בבל'!$C$11))="","",INDIRECT("'"&amp;$D36&amp;"'!"&amp;'גיליון עזר'!$K$1&amp;ROW('מרכז מורשת בבל'!$C$11))))</f>
        <v/>
      </c>
      <c r="L36" s="108" t="str">
        <f t="shared" ca="1" si="8"/>
        <v/>
      </c>
      <c r="M36" s="131" t="str">
        <f ca="1">IF($D36="","",IFERROR(O36/פרמטרים!$C$5,""))</f>
        <v/>
      </c>
      <c r="N36" s="5"/>
      <c r="O36" s="96">
        <f>'סיכום לועדה- הזנת נתונים'!N50</f>
        <v>0</v>
      </c>
      <c r="P36" s="35" t="str">
        <f ca="1">IF($D36="","",INDIRECT("'"&amp;$D36&amp;"'!"&amp;'גיליון עזר'!$G$1&amp;ROW('מרכז מורשת בבל'!$J$8)))</f>
        <v/>
      </c>
      <c r="Q36" s="5"/>
      <c r="R36" s="134" t="str">
        <f ca="1">IF($D36="","",INDIRECT("'"&amp;$D36&amp;"'!"&amp;'גיליון עזר'!$I$1&amp;ROW('מרכז מורשת בבל'!$L$8)))</f>
        <v/>
      </c>
      <c r="S36" s="5"/>
      <c r="T36" s="36" t="str">
        <f ca="1">IF($D36="","",IFERROR(INDIRECT("'"&amp;$D36&amp;"'!"&amp;'גיליון עזר'!$K$1&amp;ROW('מרכז מורשת בבל'!$N$8))/F36,""))</f>
        <v/>
      </c>
      <c r="U36" s="35"/>
      <c r="V36" s="36" t="str">
        <f ca="1">IF($D36="","",IFERROR(INDIRECT("'"&amp;$D36&amp;"'!"&amp;'גיליון עזר'!$M$1&amp;ROW('מרכז מורשת בבל'!$P$8))/F36,""))</f>
        <v/>
      </c>
      <c r="W36" s="103"/>
      <c r="X36" s="109" t="str">
        <f ca="1">IF($D36="","",IF(AND(AA36="כן",'תנאי סף'!AX30=1),"כן","לא"))</f>
        <v/>
      </c>
      <c r="Y36" s="1" t="str">
        <f t="shared" ca="1" si="9"/>
        <v/>
      </c>
      <c r="Z36" s="1" t="str">
        <f t="shared" ca="1" si="9"/>
        <v/>
      </c>
      <c r="AA36" s="12" t="str">
        <f t="shared" ca="1" si="10"/>
        <v>לא</v>
      </c>
      <c r="AB36" s="223" t="str">
        <f t="shared" ca="1" si="0"/>
        <v/>
      </c>
      <c r="AC36" s="1" t="str">
        <f t="shared" ca="1" si="11"/>
        <v/>
      </c>
      <c r="AD36" s="1" t="str">
        <f t="shared" ca="1" si="11"/>
        <v/>
      </c>
      <c r="AE36" s="105" t="str">
        <f ca="1">IF($D36="","",IF(G36&gt;פרמטרים!$D$22,1,IF(E36&gt;=AE$16,1,0)))</f>
        <v/>
      </c>
      <c r="AF36" s="105" t="str">
        <f t="shared" ca="1" si="12"/>
        <v/>
      </c>
      <c r="AG36" s="105" t="str">
        <f t="shared" ca="1" si="1"/>
        <v/>
      </c>
      <c r="AH36" s="105" t="str">
        <f t="shared" ca="1" si="2"/>
        <v/>
      </c>
      <c r="AI36" s="105" t="str">
        <f t="shared" ca="1" si="3"/>
        <v/>
      </c>
      <c r="AJ36" s="3" t="str">
        <f t="shared" ca="1" si="4"/>
        <v/>
      </c>
      <c r="AK36" s="3" t="str">
        <f t="shared" ca="1" si="5"/>
        <v/>
      </c>
      <c r="AL36" s="12" t="str">
        <f t="shared" ca="1" si="13"/>
        <v/>
      </c>
      <c r="AM36" s="12" t="str">
        <f t="shared" ca="1" si="14"/>
        <v/>
      </c>
      <c r="AN36" t="str">
        <f t="shared" ca="1" si="6"/>
        <v/>
      </c>
      <c r="AO36" t="str">
        <f t="shared" ca="1" si="7"/>
        <v/>
      </c>
    </row>
    <row r="37" spans="1:41" x14ac:dyDescent="0.25">
      <c r="A37" t="str">
        <f ca="1">IF(AND(LEFT(B37,11)&lt;&gt;"גיליון הזנה",INDIRECT("'"&amp;$B37&amp;"'!"&amp;'גיליון עזר'!$I$1&amp;ROW('מרכז מורשת בבל'!$I$3))=""),"חסרה הזנה","")</f>
        <v/>
      </c>
      <c r="B37" t="str">
        <f ca="1">'ברית יוצאי מרוקו'!$D$3</f>
        <v>ברית יוצאי מרוקו</v>
      </c>
      <c r="C37" s="7">
        <f>'ריכוז נתונים'!C37</f>
        <v>21</v>
      </c>
      <c r="D37" s="7" t="str">
        <f ca="1">IF(OR(LEFT(B37,11)="גיליון הזנה",INDIRECT("'"&amp;$B37&amp;"'!"&amp;'גיליון עזר'!$I$1&amp;ROW('מרכז מורשת בבל'!$I$3))=0),"",B37)</f>
        <v>ברית יוצאי מרוקו</v>
      </c>
      <c r="E37" s="106">
        <f ca="1">IF($D37="","",IFERROR(INDIRECT("'"&amp;$D37&amp;"'!"&amp;'גיליון עזר'!$H$1&amp;ROW('מרכז מורשת בבל'!$C$11))/INDIRECT("'"&amp;$D37&amp;"'!"&amp;'גיליון עזר'!$G$1&amp;ROW('מרכז מורשת בבל'!$C$11)),0))</f>
        <v>1</v>
      </c>
      <c r="F37" s="107">
        <f ca="1">IF($D37="","",INDIRECT("'"&amp;$D37&amp;"'!"&amp;'גיליון עזר'!$C$1&amp;ROW('מרכז מורשת בבל'!$C$11)))</f>
        <v>1517219</v>
      </c>
      <c r="G37" s="129">
        <f ca="1">IF($D37="","",INDIRECT("'"&amp;$D37&amp;"'!"&amp;'גיליון עזר'!$E$1&amp;ROW('מרכז מורשת בבל'!$C$11)))</f>
        <v>1517219</v>
      </c>
      <c r="H37" s="128">
        <f ca="1">IF($D37="","",INDIRECT("'"&amp;$D37&amp;"'!"&amp;'גיליון עזר'!$F$1&amp;ROW('מרכז מורשת בבל'!$C$11)))</f>
        <v>1517219</v>
      </c>
      <c r="I37" s="108">
        <f ca="1">IF($D37="","",'ריכוז נתונים'!AP37+'ריכוז נתונים'!AQ37+'ריכוז נתונים'!AS37+'ריכוז נתונים'!AU37+'ריכוז נתונים'!AW37+'ריכוז נתונים'!AY37)</f>
        <v>15</v>
      </c>
      <c r="J37" s="108">
        <f ca="1">IF($D37="","",IF(INDIRECT("'"&amp;$D37&amp;"'!"&amp;'גיליון עזר'!$I$1&amp;ROW('מרכז מורשת בבל'!$C$11))="",0,פרמטרים!$C$3-INDIRECT("'"&amp;$D37&amp;"'!"&amp;'גיליון עזר'!$I$1&amp;ROW('מרכז מורשת בבל'!$C$11))))</f>
        <v>40</v>
      </c>
      <c r="K37" s="108" t="str">
        <f ca="1">IF($D37="","",IF(INDIRECT("'"&amp;$D37&amp;"'!"&amp;'גיליון עזר'!$K$1&amp;ROW('מרכז מורשת בבל'!$C$11))="","",INDIRECT("'"&amp;$D37&amp;"'!"&amp;'גיליון עזר'!$K$1&amp;ROW('מרכז מורשת בבל'!$C$11))))</f>
        <v>כן</v>
      </c>
      <c r="L37" s="108" t="str">
        <f t="shared" ca="1" si="8"/>
        <v>כן</v>
      </c>
      <c r="M37" s="131">
        <f ca="1">IF($D37="","",IFERROR(O37/פרמטרים!$C$5,""))</f>
        <v>1.4939383004440152E-2</v>
      </c>
      <c r="N37" s="5"/>
      <c r="O37" s="96">
        <f>'סיכום לועדה- הזנת נתונים'!N51</f>
        <v>182409</v>
      </c>
      <c r="P37" s="35" t="str">
        <f ca="1">IF($D37="","",INDIRECT("'"&amp;$D37&amp;"'!"&amp;'גיליון עזר'!$G$1&amp;ROW('מרכז מורשת בבל'!$J$8)))</f>
        <v>לא</v>
      </c>
      <c r="Q37" s="5"/>
      <c r="R37" s="134">
        <f ca="1">IF($D37="","",INDIRECT("'"&amp;$D37&amp;"'!"&amp;'גיליון עזר'!$I$1&amp;ROW('מרכז מורשת בבל'!$L$8)))</f>
        <v>0</v>
      </c>
      <c r="S37" s="5"/>
      <c r="T37" s="36">
        <f ca="1">IF($D37="","",IFERROR(INDIRECT("'"&amp;$D37&amp;"'!"&amp;'גיליון עזר'!$K$1&amp;ROW('מרכז מורשת בבל'!$N$8))/F37,""))</f>
        <v>-3.1999335626564126E-3</v>
      </c>
      <c r="U37" s="35"/>
      <c r="V37" s="36">
        <f ca="1">IF($D37="","",IFERROR(INDIRECT("'"&amp;$D37&amp;"'!"&amp;'גיליון עזר'!$M$1&amp;ROW('מרכז מורשת בבל'!$P$8))/F37,""))</f>
        <v>0.27320512068462099</v>
      </c>
      <c r="W37" s="103"/>
      <c r="X37" s="109" t="str">
        <f ca="1">IF($D37="","",IF(AND(AA37="כן",'תנאי סף'!AX31=1),"כן","לא"))</f>
        <v>כן</v>
      </c>
      <c r="Y37" s="1" t="str">
        <f t="shared" ca="1" si="9"/>
        <v>כן</v>
      </c>
      <c r="Z37" s="1" t="str">
        <f t="shared" ca="1" si="9"/>
        <v>לא</v>
      </c>
      <c r="AA37" s="12" t="str">
        <f t="shared" ca="1" si="10"/>
        <v>כן</v>
      </c>
      <c r="AB37" s="223">
        <f t="shared" ca="1" si="0"/>
        <v>1.4939383004440152E-2</v>
      </c>
      <c r="AC37" s="1" t="str">
        <f t="shared" ca="1" si="11"/>
        <v>כן</v>
      </c>
      <c r="AD37" s="1" t="str">
        <f t="shared" ca="1" si="11"/>
        <v>לא</v>
      </c>
      <c r="AE37" s="105">
        <f ca="1">IF($D37="","",IF(G37&gt;פרמטרים!$D$22,1,IF(E37&gt;=AE$16,1,0)))</f>
        <v>1</v>
      </c>
      <c r="AF37" s="105">
        <f t="shared" ca="1" si="12"/>
        <v>1</v>
      </c>
      <c r="AG37" s="105">
        <f t="shared" ca="1" si="1"/>
        <v>1</v>
      </c>
      <c r="AH37" s="105">
        <f t="shared" ca="1" si="2"/>
        <v>1</v>
      </c>
      <c r="AI37" s="105">
        <f t="shared" ca="1" si="3"/>
        <v>1</v>
      </c>
      <c r="AJ37" s="3">
        <f t="shared" ca="1" si="4"/>
        <v>0</v>
      </c>
      <c r="AK37" s="3">
        <f t="shared" ca="1" si="5"/>
        <v>0</v>
      </c>
      <c r="AL37" s="12">
        <f t="shared" ca="1" si="13"/>
        <v>-3.1999335626564126E-3</v>
      </c>
      <c r="AM37" s="12">
        <f t="shared" ca="1" si="14"/>
        <v>0.27320512068462099</v>
      </c>
      <c r="AN37" t="str">
        <f t="shared" ca="1" si="6"/>
        <v>כן</v>
      </c>
      <c r="AO37" t="str">
        <f t="shared" ca="1" si="7"/>
        <v>לא</v>
      </c>
    </row>
    <row r="38" spans="1:41" x14ac:dyDescent="0.25">
      <c r="A38" t="str">
        <f ca="1">IF(AND(LEFT(B38,11)&lt;&gt;"גיליון הזנה",INDIRECT("'"&amp;$B38&amp;"'!"&amp;'גיליון עזר'!$I$1&amp;ROW('מרכז מורשת בבל'!$I$3))=""),"חסרה הזנה","")</f>
        <v/>
      </c>
      <c r="B38" t="str">
        <f ca="1">'הקם - בית הקונפדרציה'!$D$3</f>
        <v>הקם - בית הקונפדרציה</v>
      </c>
      <c r="C38" s="7">
        <f>'ריכוז נתונים'!C38</f>
        <v>22</v>
      </c>
      <c r="D38" s="7" t="str">
        <f ca="1">IF(OR(LEFT(B38,11)="גיליון הזנה",INDIRECT("'"&amp;$B38&amp;"'!"&amp;'גיליון עזר'!$I$1&amp;ROW('מרכז מורשת בבל'!$I$3))=0),"",B38)</f>
        <v>הקם - בית הקונפדרציה</v>
      </c>
      <c r="E38" s="106">
        <f ca="1">IF($D38="","",IFERROR(INDIRECT("'"&amp;$D38&amp;"'!"&amp;'גיליון עזר'!$H$1&amp;ROW('מרכז מורשת בבל'!$C$11))/INDIRECT("'"&amp;$D38&amp;"'!"&amp;'גיליון עזר'!$G$1&amp;ROW('מרכז מורשת בבל'!$C$11)),0))</f>
        <v>0.2392376336327986</v>
      </c>
      <c r="F38" s="107">
        <f ca="1">IF($D38="","",INDIRECT("'"&amp;$D38&amp;"'!"&amp;'גיליון עזר'!$C$1&amp;ROW('מרכז מורשת בבל'!$C$11)))</f>
        <v>6229243</v>
      </c>
      <c r="G38" s="129">
        <f ca="1">IF($D38="","",INDIRECT("'"&amp;$D38&amp;"'!"&amp;'גיליון עזר'!$E$1&amp;ROW('מרכז מורשת בבל'!$C$11)))</f>
        <v>1429932</v>
      </c>
      <c r="H38" s="128">
        <f ca="1">IF($D38="","",INDIRECT("'"&amp;$D38&amp;"'!"&amp;'גיליון עזר'!$F$1&amp;ROW('מרכז מורשת בבל'!$C$11)))</f>
        <v>1429932</v>
      </c>
      <c r="I38" s="108">
        <f ca="1">IF($D38="","",'ריכוז נתונים'!AP38+'ריכוז נתונים'!AQ38+'ריכוז נתונים'!AS38+'ריכוז נתונים'!AU38+'ריכוז נתונים'!AW38+'ריכוז נתונים'!AY38)</f>
        <v>62</v>
      </c>
      <c r="J38" s="108">
        <f ca="1">IF($D38="","",IF(INDIRECT("'"&amp;$D38&amp;"'!"&amp;'גיליון עזר'!$I$1&amp;ROW('מרכז מורשת בבל'!$C$11))="",0,פרמטרים!$C$3-INDIRECT("'"&amp;$D38&amp;"'!"&amp;'גיליון עזר'!$I$1&amp;ROW('מרכז מורשת בבל'!$C$11))))</f>
        <v>49</v>
      </c>
      <c r="K38" s="108" t="str">
        <f ca="1">IF($D38="","",IF(INDIRECT("'"&amp;$D38&amp;"'!"&amp;'גיליון עזר'!$K$1&amp;ROW('מרכז מורשת בבל'!$C$11))="","",INDIRECT("'"&amp;$D38&amp;"'!"&amp;'גיליון עזר'!$K$1&amp;ROW('מרכז מורשת בבל'!$C$11))))</f>
        <v>כן</v>
      </c>
      <c r="L38" s="108" t="str">
        <f t="shared" ca="1" si="8"/>
        <v>כן</v>
      </c>
      <c r="M38" s="131">
        <f ca="1">IF($D38="","",IFERROR(O38/פרמטרים!$C$5,""))</f>
        <v>5.0194471849252027E-2</v>
      </c>
      <c r="N38" s="5"/>
      <c r="O38" s="96">
        <f>'סיכום לועדה- הזנת נתונים'!N52</f>
        <v>612871.59</v>
      </c>
      <c r="P38" s="35" t="str">
        <f ca="1">IF($D38="","",INDIRECT("'"&amp;$D38&amp;"'!"&amp;'גיליון עזר'!$G$1&amp;ROW('מרכז מורשת בבל'!$J$8)))</f>
        <v>לא</v>
      </c>
      <c r="Q38" s="5"/>
      <c r="R38" s="134">
        <f ca="1">IF($D38="","",INDIRECT("'"&amp;$D38&amp;"'!"&amp;'גיליון עזר'!$I$1&amp;ROW('מרכז מורשת בבל'!$L$8)))</f>
        <v>0</v>
      </c>
      <c r="S38" s="5"/>
      <c r="T38" s="36">
        <f ca="1">IF($D38="","",IFERROR(INDIRECT("'"&amp;$D38&amp;"'!"&amp;'גיליון עזר'!$K$1&amp;ROW('מרכז מורשת בבל'!$N$8))/F38,""))</f>
        <v>4.754670832394883E-3</v>
      </c>
      <c r="U38" s="35"/>
      <c r="V38" s="36">
        <f ca="1">IF($D38="","",IFERROR(INDIRECT("'"&amp;$D38&amp;"'!"&amp;'גיליון עזר'!$M$1&amp;ROW('מרכז מורשת בבל'!$P$8))/F38,""))</f>
        <v>0.20130600138732749</v>
      </c>
      <c r="W38" s="103"/>
      <c r="X38" s="109" t="str">
        <f ca="1">IF($D38="","",IF(AND(AA38="כן",'תנאי סף'!AX32=1),"כן","לא"))</f>
        <v>כן</v>
      </c>
      <c r="Y38" s="1" t="str">
        <f t="shared" ca="1" si="9"/>
        <v>כן</v>
      </c>
      <c r="Z38" s="1" t="str">
        <f t="shared" ca="1" si="9"/>
        <v>לא</v>
      </c>
      <c r="AA38" s="12" t="str">
        <f t="shared" ca="1" si="10"/>
        <v>כן</v>
      </c>
      <c r="AB38" s="223">
        <f t="shared" ca="1" si="0"/>
        <v>5.0194471849252027E-2</v>
      </c>
      <c r="AC38" s="1" t="str">
        <f t="shared" ca="1" si="11"/>
        <v>כן</v>
      </c>
      <c r="AD38" s="1" t="str">
        <f t="shared" ca="1" si="11"/>
        <v>לא</v>
      </c>
      <c r="AE38" s="105">
        <f ca="1">IF($D38="","",IF(G38&gt;פרמטרים!$D$22,1,IF(E38&gt;=AE$16,1,0)))</f>
        <v>1</v>
      </c>
      <c r="AF38" s="105">
        <f t="shared" ca="1" si="12"/>
        <v>1</v>
      </c>
      <c r="AG38" s="105">
        <f t="shared" ca="1" si="1"/>
        <v>1</v>
      </c>
      <c r="AH38" s="105">
        <f t="shared" ca="1" si="2"/>
        <v>1</v>
      </c>
      <c r="AI38" s="105">
        <f t="shared" ca="1" si="3"/>
        <v>1</v>
      </c>
      <c r="AJ38" s="3">
        <f t="shared" ca="1" si="4"/>
        <v>0</v>
      </c>
      <c r="AK38" s="3">
        <f t="shared" ca="1" si="5"/>
        <v>0</v>
      </c>
      <c r="AL38" s="12">
        <f t="shared" ca="1" si="13"/>
        <v>4.754670832394883E-3</v>
      </c>
      <c r="AM38" s="12">
        <f t="shared" ca="1" si="14"/>
        <v>0.20130600138732749</v>
      </c>
      <c r="AN38" t="str">
        <f t="shared" ca="1" si="6"/>
        <v>כן</v>
      </c>
      <c r="AO38" t="str">
        <f t="shared" ca="1" si="7"/>
        <v>לא</v>
      </c>
    </row>
    <row r="39" spans="1:41" x14ac:dyDescent="0.25">
      <c r="A39" t="str">
        <f ca="1">IF(AND(LEFT(B39,11)&lt;&gt;"גיליון הזנה",INDIRECT("'"&amp;$B39&amp;"'!"&amp;'גיליון עזר'!$I$1&amp;ROW('מרכז מורשת בבל'!$I$3))=""),"חסרה הזנה","")</f>
        <v/>
      </c>
      <c r="B39" t="str">
        <f ca="1">'מוסיקה מזרח מערב'!$D$3</f>
        <v>מוסיקה מזרח מערב</v>
      </c>
      <c r="C39" s="7">
        <f>'ריכוז נתונים'!C39</f>
        <v>23</v>
      </c>
      <c r="D39" s="7" t="str">
        <f ca="1">IF(OR(LEFT(B39,11)="גיליון הזנה",INDIRECT("'"&amp;$B39&amp;"'!"&amp;'גיליון עזר'!$I$1&amp;ROW('מרכז מורשת בבל'!$I$3))=0),"",B39)</f>
        <v>מוסיקה מזרח מערב</v>
      </c>
      <c r="E39" s="106">
        <f ca="1">IF($D39="","",IFERROR(INDIRECT("'"&amp;$D39&amp;"'!"&amp;'גיליון עזר'!$H$1&amp;ROW('מרכז מורשת בבל'!$C$11))/INDIRECT("'"&amp;$D39&amp;"'!"&amp;'גיליון עזר'!$G$1&amp;ROW('מרכז מורשת בבל'!$C$11)),0))</f>
        <v>0.95000008289660642</v>
      </c>
      <c r="F39" s="107">
        <f ca="1">IF($D39="","",INDIRECT("'"&amp;$D39&amp;"'!"&amp;'גיליון עזר'!$C$1&amp;ROW('מרכז מורשת בבל'!$C$11)))</f>
        <v>1282819</v>
      </c>
      <c r="G39" s="129">
        <f ca="1">IF($D39="","",INDIRECT("'"&amp;$D39&amp;"'!"&amp;'גיליון עזר'!$E$1&amp;ROW('מרכז מורשת בבל'!$C$11)))</f>
        <v>1216380</v>
      </c>
      <c r="H39" s="128">
        <f ca="1">IF($D39="","",INDIRECT("'"&amp;$D39&amp;"'!"&amp;'גיליון עזר'!$F$1&amp;ROW('מרכז מורשת בבל'!$C$11)))</f>
        <v>1216380</v>
      </c>
      <c r="I39" s="108">
        <f ca="1">IF($D39="","",'ריכוז נתונים'!AP39+'ריכוז נתונים'!AQ39+'ריכוז נתונים'!AS39+'ריכוז נתונים'!AU39+'ריכוז נתונים'!AW39+'ריכוז נתונים'!AY39)</f>
        <v>149</v>
      </c>
      <c r="J39" s="108">
        <f ca="1">IF($D39="","",IF(INDIRECT("'"&amp;$D39&amp;"'!"&amp;'גיליון עזר'!$I$1&amp;ROW('מרכז מורשת בבל'!$C$11))="",0,פרמטרים!$C$3-INDIRECT("'"&amp;$D39&amp;"'!"&amp;'גיליון עזר'!$I$1&amp;ROW('מרכז מורשת בבל'!$C$11))))</f>
        <v>35</v>
      </c>
      <c r="K39" s="108" t="str">
        <f ca="1">IF($D39="","",IF(INDIRECT("'"&amp;$D39&amp;"'!"&amp;'גיליון עזר'!$K$1&amp;ROW('מרכז מורשת בבל'!$C$11))="","",INDIRECT("'"&amp;$D39&amp;"'!"&amp;'גיליון עזר'!$K$1&amp;ROW('מרכז מורשת בבל'!$C$11))))</f>
        <v>כן</v>
      </c>
      <c r="L39" s="108" t="str">
        <f t="shared" ca="1" si="8"/>
        <v>כן</v>
      </c>
      <c r="M39" s="131">
        <f ca="1">IF($D39="","",IFERROR(O39/פרמטרים!$C$5,""))</f>
        <v>5.6532470015009086E-2</v>
      </c>
      <c r="N39" s="5"/>
      <c r="O39" s="96">
        <f>'סיכום לועדה- הזנת נתונים'!N53</f>
        <v>690258.18</v>
      </c>
      <c r="P39" s="35" t="str">
        <f ca="1">IF($D39="","",INDIRECT("'"&amp;$D39&amp;"'!"&amp;'גיליון עזר'!$G$1&amp;ROW('מרכז מורשת בבל'!$J$8)))</f>
        <v>לא</v>
      </c>
      <c r="Q39" s="5"/>
      <c r="R39" s="134">
        <f ca="1">IF($D39="","",INDIRECT("'"&amp;$D39&amp;"'!"&amp;'גיליון עזר'!$I$1&amp;ROW('מרכז מורשת בבל'!$L$8)))</f>
        <v>0</v>
      </c>
      <c r="S39" s="5"/>
      <c r="T39" s="36">
        <f ca="1">IF($D39="","",IFERROR(INDIRECT("'"&amp;$D39&amp;"'!"&amp;'גיליון עזר'!$K$1&amp;ROW('מרכז מורשת בבל'!$N$8))/F39,""))</f>
        <v>2.6262473505615368E-3</v>
      </c>
      <c r="U39" s="35"/>
      <c r="V39" s="36">
        <f ca="1">IF($D39="","",IFERROR(INDIRECT("'"&amp;$D39&amp;"'!"&amp;'גיליון עזר'!$M$1&amp;ROW('מרכז מורשת בבל'!$P$8))/F39,""))</f>
        <v>-3.2205634621875728E-2</v>
      </c>
      <c r="W39" s="103"/>
      <c r="X39" s="109" t="str">
        <f ca="1">IF($D39="","",IF(AND(AA39="כן",'תנאי סף'!AX33=1),"כן","לא"))</f>
        <v>כן</v>
      </c>
      <c r="Y39" s="1" t="str">
        <f t="shared" ca="1" si="9"/>
        <v>כן</v>
      </c>
      <c r="Z39" s="1" t="str">
        <f t="shared" ca="1" si="9"/>
        <v>לא</v>
      </c>
      <c r="AA39" s="12" t="str">
        <f t="shared" ca="1" si="10"/>
        <v>כן</v>
      </c>
      <c r="AB39" s="223">
        <f t="shared" ca="1" si="0"/>
        <v>5.6532470015009086E-2</v>
      </c>
      <c r="AC39" s="1" t="str">
        <f t="shared" ca="1" si="11"/>
        <v>כן</v>
      </c>
      <c r="AD39" s="1" t="str">
        <f t="shared" ca="1" si="11"/>
        <v>לא</v>
      </c>
      <c r="AE39" s="105">
        <f ca="1">IF($D39="","",IF(G39&gt;פרמטרים!$D$22,1,IF(E39&gt;=AE$16,1,0)))</f>
        <v>1</v>
      </c>
      <c r="AF39" s="105">
        <f t="shared" ca="1" si="12"/>
        <v>1</v>
      </c>
      <c r="AG39" s="105">
        <f t="shared" ca="1" si="1"/>
        <v>1</v>
      </c>
      <c r="AH39" s="105">
        <f t="shared" ca="1" si="2"/>
        <v>1</v>
      </c>
      <c r="AI39" s="105">
        <f t="shared" ca="1" si="3"/>
        <v>1</v>
      </c>
      <c r="AJ39" s="3">
        <f t="shared" ca="1" si="4"/>
        <v>0</v>
      </c>
      <c r="AK39" s="3">
        <f t="shared" ca="1" si="5"/>
        <v>0</v>
      </c>
      <c r="AL39" s="12">
        <f t="shared" ca="1" si="13"/>
        <v>2.6262473505615368E-3</v>
      </c>
      <c r="AM39" s="12">
        <f t="shared" ca="1" si="14"/>
        <v>-3.2205634621875728E-2</v>
      </c>
      <c r="AN39" t="str">
        <f t="shared" ca="1" si="6"/>
        <v>כן</v>
      </c>
      <c r="AO39" t="str">
        <f t="shared" ca="1" si="7"/>
        <v>לא</v>
      </c>
    </row>
    <row r="40" spans="1:41" x14ac:dyDescent="0.25">
      <c r="A40" t="str">
        <f ca="1">IF(AND(LEFT(B40,11)&lt;&gt;"גיליון הזנה",INDIRECT("'"&amp;$B40&amp;"'!"&amp;'גיליון עזר'!$I$1&amp;ROW('מרכז מורשת בבל'!$I$3))=""),"חסרה הזנה","")</f>
        <v/>
      </c>
      <c r="B40" t="str">
        <f ca="1">'אעלה בתמר'!$D$3</f>
        <v>אעלה בתמר</v>
      </c>
      <c r="C40" s="7">
        <f>'ריכוז נתונים'!C40</f>
        <v>24</v>
      </c>
      <c r="D40" s="7" t="str">
        <f ca="1">IF(OR(LEFT(B40,11)="גיליון הזנה",INDIRECT("'"&amp;$B40&amp;"'!"&amp;'גיליון עזר'!$I$1&amp;ROW('מרכז מורשת בבל'!$I$3))=0),"",B40)</f>
        <v>אעלה בתמר</v>
      </c>
      <c r="E40" s="106">
        <f ca="1">IF($D40="","",IFERROR(INDIRECT("'"&amp;$D40&amp;"'!"&amp;'גיליון עזר'!$H$1&amp;ROW('מרכז מורשת בבל'!$C$11))/INDIRECT("'"&amp;$D40&amp;"'!"&amp;'גיליון עזר'!$G$1&amp;ROW('מרכז מורשת בבל'!$C$11)),0))</f>
        <v>1</v>
      </c>
      <c r="F40" s="107">
        <f ca="1">IF($D40="","",INDIRECT("'"&amp;$D40&amp;"'!"&amp;'גיליון עזר'!$C$1&amp;ROW('מרכז מורשת בבל'!$C$11)))</f>
        <v>3074858</v>
      </c>
      <c r="G40" s="129">
        <f ca="1">IF($D40="","",INDIRECT("'"&amp;$D40&amp;"'!"&amp;'גיליון עזר'!$E$1&amp;ROW('מרכז מורשת בבל'!$C$11)))</f>
        <v>3074858</v>
      </c>
      <c r="H40" s="128">
        <f ca="1">IF($D40="","",INDIRECT("'"&amp;$D40&amp;"'!"&amp;'גיליון עזר'!$F$1&amp;ROW('מרכז מורשת בבל'!$C$11)))</f>
        <v>3074858</v>
      </c>
      <c r="I40" s="108">
        <f ca="1">IF($D40="","",'ריכוז נתונים'!AP40+'ריכוז נתונים'!AQ40+'ריכוז נתונים'!AS40+'ריכוז נתונים'!AU40+'ריכוז נתונים'!AW40+'ריכוז נתונים'!AY40)</f>
        <v>364</v>
      </c>
      <c r="J40" s="108">
        <f ca="1">IF($D40="","",IF(INDIRECT("'"&amp;$D40&amp;"'!"&amp;'גיליון עזר'!$I$1&amp;ROW('מרכז מורשת בבל'!$C$11))="",0,פרמטרים!$C$3-INDIRECT("'"&amp;$D40&amp;"'!"&amp;'גיליון עזר'!$I$1&amp;ROW('מרכז מורשת בבל'!$C$11))))</f>
        <v>42</v>
      </c>
      <c r="K40" s="108" t="str">
        <f ca="1">IF($D40="","",IF(INDIRECT("'"&amp;$D40&amp;"'!"&amp;'גיליון עזר'!$K$1&amp;ROW('מרכז מורשת בבל'!$C$11))="","",INDIRECT("'"&amp;$D40&amp;"'!"&amp;'גיליון עזר'!$K$1&amp;ROW('מרכז מורשת בבל'!$C$11))))</f>
        <v>כן</v>
      </c>
      <c r="L40" s="108" t="str">
        <f t="shared" ca="1" si="8"/>
        <v>כן</v>
      </c>
      <c r="M40" s="131">
        <f ca="1">IF($D40="","",IFERROR(O40/פרמטרים!$C$5,""))</f>
        <v>9.8788149853619292E-2</v>
      </c>
      <c r="N40" s="5"/>
      <c r="O40" s="96">
        <f>'סיכום לועדה- הזנת נתונים'!N54</f>
        <v>1206197.58</v>
      </c>
      <c r="P40" s="35" t="str">
        <f ca="1">IF($D40="","",INDIRECT("'"&amp;$D40&amp;"'!"&amp;'גיליון עזר'!$G$1&amp;ROW('מרכז מורשת בבל'!$J$8)))</f>
        <v>כן</v>
      </c>
      <c r="Q40" s="5"/>
      <c r="R40" s="134">
        <f ca="1">IF($D40="","",INDIRECT("'"&amp;$D40&amp;"'!"&amp;'גיליון עזר'!$I$1&amp;ROW('מרכז מורשת בבל'!$L$8)))</f>
        <v>0</v>
      </c>
      <c r="S40" s="5"/>
      <c r="T40" s="36">
        <f ca="1">IF($D40="","",IFERROR(INDIRECT("'"&amp;$D40&amp;"'!"&amp;'גיליון עזר'!$K$1&amp;ROW('מרכז מורשת בבל'!$N$8))/F40,""))</f>
        <v>0.15402695018761842</v>
      </c>
      <c r="U40" s="35"/>
      <c r="V40" s="36">
        <f ca="1">IF($D40="","",IFERROR(INDIRECT("'"&amp;$D40&amp;"'!"&amp;'גיליון עזר'!$M$1&amp;ROW('מרכז מורשת בבל'!$P$8))/F40,""))</f>
        <v>0.15402695018761842</v>
      </c>
      <c r="W40" s="103"/>
      <c r="X40" s="109" t="str">
        <f ca="1">IF($D40="","",IF(AND(AA40="כן",'תנאי סף'!AX34=1),"כן","לא"))</f>
        <v>כן</v>
      </c>
      <c r="Y40" s="1" t="str">
        <f t="shared" ca="1" si="9"/>
        <v>כן</v>
      </c>
      <c r="Z40" s="1" t="str">
        <f t="shared" ca="1" si="9"/>
        <v>לא</v>
      </c>
      <c r="AA40" s="12" t="str">
        <f t="shared" ca="1" si="10"/>
        <v>כן</v>
      </c>
      <c r="AB40" s="223">
        <f t="shared" ca="1" si="0"/>
        <v>9.8788149853619292E-2</v>
      </c>
      <c r="AC40" s="1" t="str">
        <f t="shared" ca="1" si="11"/>
        <v>כן</v>
      </c>
      <c r="AD40" s="1" t="str">
        <f t="shared" ca="1" si="11"/>
        <v>לא</v>
      </c>
      <c r="AE40" s="105">
        <f ca="1">IF($D40="","",IF(G40&gt;פרמטרים!$D$22,1,IF(E40&gt;=AE$16,1,0)))</f>
        <v>1</v>
      </c>
      <c r="AF40" s="105">
        <f t="shared" ca="1" si="12"/>
        <v>1</v>
      </c>
      <c r="AG40" s="105">
        <f t="shared" ca="1" si="1"/>
        <v>1</v>
      </c>
      <c r="AH40" s="105">
        <f t="shared" ca="1" si="2"/>
        <v>1</v>
      </c>
      <c r="AI40" s="105">
        <f t="shared" ca="1" si="3"/>
        <v>1</v>
      </c>
      <c r="AJ40" s="3">
        <f t="shared" ca="1" si="4"/>
        <v>0</v>
      </c>
      <c r="AK40" s="3">
        <f t="shared" ca="1" si="5"/>
        <v>0</v>
      </c>
      <c r="AL40" s="12">
        <f t="shared" ca="1" si="13"/>
        <v>0.15402695018761842</v>
      </c>
      <c r="AM40" s="12">
        <f t="shared" ca="1" si="14"/>
        <v>0.15402695018761842</v>
      </c>
      <c r="AN40" t="str">
        <f t="shared" ca="1" si="6"/>
        <v>כן</v>
      </c>
      <c r="AO40" t="str">
        <f t="shared" ca="1" si="7"/>
        <v>לא</v>
      </c>
    </row>
    <row r="41" spans="1:41" hidden="1" x14ac:dyDescent="0.25">
      <c r="A41" t="str">
        <f ca="1">IF(AND(LEFT(B41,11)&lt;&gt;"גיליון הזנה",INDIRECT("'"&amp;$B41&amp;"'!"&amp;'גיליון עזר'!$I$1&amp;ROW('מרכז מורשת בבל'!$I$3))=""),"חסרה הזנה","")</f>
        <v/>
      </c>
      <c r="B41" t="str">
        <f ca="1">'גיליון הזנה 25'!$D$3</f>
        <v>גיליון הזנה 25</v>
      </c>
      <c r="C41" s="7">
        <f>'ריכוז נתונים'!C41</f>
        <v>25</v>
      </c>
      <c r="D41" s="7" t="str">
        <f ca="1">IF(OR(LEFT(B41,11)="גיליון הזנה",INDIRECT("'"&amp;$B41&amp;"'!"&amp;'גיליון עזר'!$I$1&amp;ROW('מרכז מורשת בבל'!$I$3))=0),"",B41)</f>
        <v/>
      </c>
      <c r="E41" s="106" t="str">
        <f ca="1">IF($D41="","",IFERROR(INDIRECT("'"&amp;$D41&amp;"'!"&amp;'גיליון עזר'!$H$1&amp;ROW('מרכז מורשת בבל'!$C$11))/INDIRECT("'"&amp;$D41&amp;"'!"&amp;'גיליון עזר'!$G$1&amp;ROW('מרכז מורשת בבל'!$C$11)),0))</f>
        <v/>
      </c>
      <c r="F41" s="107" t="str">
        <f ca="1">IF($D41="","",INDIRECT("'"&amp;$D41&amp;"'!"&amp;'גיליון עזר'!$C$1&amp;ROW('מרכז מורשת בבל'!$C$11)))</f>
        <v/>
      </c>
      <c r="G41" s="129" t="str">
        <f ca="1">IF($D41="","",INDIRECT("'"&amp;$D41&amp;"'!"&amp;'גיליון עזר'!$E$1&amp;ROW('מרכז מורשת בבל'!$C$11)))</f>
        <v/>
      </c>
      <c r="H41" s="128" t="str">
        <f ca="1">IF($D41="","",INDIRECT("'"&amp;$D41&amp;"'!"&amp;'גיליון עזר'!$F$1&amp;ROW('מרכז מורשת בבל'!$C$11)))</f>
        <v/>
      </c>
      <c r="I41" s="108" t="str">
        <f ca="1">IF($D41="","",'ריכוז נתונים'!AP41+'ריכוז נתונים'!AQ41+'ריכוז נתונים'!AS41+'ריכוז נתונים'!AU41+'ריכוז נתונים'!AW41+'ריכוז נתונים'!AY41)</f>
        <v/>
      </c>
      <c r="J41" s="108" t="str">
        <f ca="1">IF($D41="","",IF(INDIRECT("'"&amp;$D41&amp;"'!"&amp;'גיליון עזר'!$I$1&amp;ROW('מרכז מורשת בבל'!$C$11))="",0,פרמטרים!$C$3-INDIRECT("'"&amp;$D41&amp;"'!"&amp;'גיליון עזר'!$I$1&amp;ROW('מרכז מורשת בבל'!$C$11))))</f>
        <v/>
      </c>
      <c r="K41" s="108" t="str">
        <f ca="1">IF($D41="","",IF(INDIRECT("'"&amp;$D41&amp;"'!"&amp;'גיליון עזר'!$K$1&amp;ROW('מרכז מורשת בבל'!$C$11))="","",INDIRECT("'"&amp;$D41&amp;"'!"&amp;'גיליון עזר'!$K$1&amp;ROW('מרכז מורשת בבל'!$C$11))))</f>
        <v/>
      </c>
      <c r="L41" s="108" t="str">
        <f t="shared" ca="1" si="8"/>
        <v/>
      </c>
      <c r="M41" s="131" t="str">
        <f ca="1">IF($D41="","",IFERROR(O41/פרמטרים!$C$5,""))</f>
        <v/>
      </c>
      <c r="N41" s="5"/>
      <c r="O41" s="96">
        <f>'סיכום לועדה- הזנת נתונים'!N55</f>
        <v>0</v>
      </c>
      <c r="P41" s="35" t="str">
        <f ca="1">IF($D41="","",INDIRECT("'"&amp;$D41&amp;"'!"&amp;'גיליון עזר'!$G$1&amp;ROW('מרכז מורשת בבל'!$J$8)))</f>
        <v/>
      </c>
      <c r="Q41" s="5"/>
      <c r="R41" s="134" t="str">
        <f ca="1">IF($D41="","",INDIRECT("'"&amp;$D41&amp;"'!"&amp;'גיליון עזר'!$I$1&amp;ROW('מרכז מורשת בבל'!$L$8)))</f>
        <v/>
      </c>
      <c r="S41" s="5"/>
      <c r="T41" s="36" t="str">
        <f ca="1">IF($D41="","",IFERROR(INDIRECT("'"&amp;$D41&amp;"'!"&amp;'גיליון עזר'!$K$1&amp;ROW('מרכז מורשת בבל'!$N$8))/F41,""))</f>
        <v/>
      </c>
      <c r="U41" s="35"/>
      <c r="V41" s="36" t="str">
        <f ca="1">IF($D41="","",IFERROR(INDIRECT("'"&amp;$D41&amp;"'!"&amp;'גיליון עזר'!$M$1&amp;ROW('מרכז מורשת בבל'!$P$8))/F41,""))</f>
        <v/>
      </c>
      <c r="W41" s="103"/>
      <c r="X41" s="109" t="str">
        <f ca="1">IF($D41="","",IF(AND(AA41="כן",'תנאי סף'!AX35=1),"כן","לא"))</f>
        <v/>
      </c>
      <c r="Y41" s="1" t="str">
        <f t="shared" ca="1" si="9"/>
        <v/>
      </c>
      <c r="Z41" s="1" t="str">
        <f t="shared" ca="1" si="9"/>
        <v/>
      </c>
      <c r="AA41" s="12" t="str">
        <f t="shared" ca="1" si="10"/>
        <v>לא</v>
      </c>
      <c r="AB41" s="223" t="str">
        <f t="shared" ca="1" si="0"/>
        <v/>
      </c>
      <c r="AC41" s="1" t="str">
        <f t="shared" ca="1" si="11"/>
        <v/>
      </c>
      <c r="AD41" s="1" t="str">
        <f t="shared" ca="1" si="11"/>
        <v/>
      </c>
      <c r="AE41" s="105" t="str">
        <f ca="1">IF($D41="","",IF(G41&gt;פרמטרים!$D$22,1,IF(E41&gt;=AE$16,1,0)))</f>
        <v/>
      </c>
      <c r="AF41" s="105" t="str">
        <f t="shared" ca="1" si="12"/>
        <v/>
      </c>
      <c r="AG41" s="105" t="str">
        <f t="shared" ca="1" si="1"/>
        <v/>
      </c>
      <c r="AH41" s="105" t="str">
        <f t="shared" ca="1" si="2"/>
        <v/>
      </c>
      <c r="AI41" s="105" t="str">
        <f t="shared" ca="1" si="3"/>
        <v/>
      </c>
      <c r="AJ41" s="3" t="str">
        <f t="shared" ca="1" si="4"/>
        <v/>
      </c>
      <c r="AK41" s="3" t="str">
        <f t="shared" ca="1" si="5"/>
        <v/>
      </c>
      <c r="AL41" s="12" t="str">
        <f t="shared" ca="1" si="13"/>
        <v/>
      </c>
      <c r="AM41" s="12" t="str">
        <f t="shared" ca="1" si="14"/>
        <v/>
      </c>
      <c r="AN41" t="str">
        <f t="shared" ca="1" si="6"/>
        <v/>
      </c>
      <c r="AO41" t="str">
        <f t="shared" ca="1" si="7"/>
        <v/>
      </c>
    </row>
    <row r="42" spans="1:41" hidden="1" x14ac:dyDescent="0.25">
      <c r="A42" t="str">
        <f ca="1">IF(AND(LEFT(B42,11)&lt;&gt;"גיליון הזנה",INDIRECT("'"&amp;$B42&amp;"'!"&amp;'גיליון עזר'!$I$1&amp;ROW('מרכז מורשת בבל'!$I$3))=""),"חסרה הזנה","")</f>
        <v/>
      </c>
      <c r="B42" t="str">
        <f ca="1">'גיליון הזנה 26'!$D$3</f>
        <v>גיליון הזנה 26</v>
      </c>
      <c r="C42" s="7">
        <f>'ריכוז נתונים'!C42</f>
        <v>26</v>
      </c>
      <c r="D42" s="7" t="str">
        <f ca="1">IF(OR(LEFT(B42,11)="גיליון הזנה",INDIRECT("'"&amp;$B42&amp;"'!"&amp;'גיליון עזר'!$I$1&amp;ROW('מרכז מורשת בבל'!$I$3))=0),"",B42)</f>
        <v/>
      </c>
      <c r="E42" s="106" t="str">
        <f ca="1">IF($D42="","",IFERROR(INDIRECT("'"&amp;$D42&amp;"'!"&amp;'גיליון עזר'!$H$1&amp;ROW('מרכז מורשת בבל'!$C$11))/INDIRECT("'"&amp;$D42&amp;"'!"&amp;'גיליון עזר'!$G$1&amp;ROW('מרכז מורשת בבל'!$C$11)),0))</f>
        <v/>
      </c>
      <c r="F42" s="107" t="str">
        <f ca="1">IF($D42="","",INDIRECT("'"&amp;$D42&amp;"'!"&amp;'גיליון עזר'!$C$1&amp;ROW('מרכז מורשת בבל'!$C$11)))</f>
        <v/>
      </c>
      <c r="G42" s="129" t="str">
        <f ca="1">IF($D42="","",INDIRECT("'"&amp;$D42&amp;"'!"&amp;'גיליון עזר'!$E$1&amp;ROW('מרכז מורשת בבל'!$C$11)))</f>
        <v/>
      </c>
      <c r="H42" s="128" t="str">
        <f ca="1">IF($D42="","",INDIRECT("'"&amp;$D42&amp;"'!"&amp;'גיליון עזר'!$F$1&amp;ROW('מרכז מורשת בבל'!$C$11)))</f>
        <v/>
      </c>
      <c r="I42" s="108" t="str">
        <f ca="1">IF($D42="","",'ריכוז נתונים'!AP42+'ריכוז נתונים'!AQ42+'ריכוז נתונים'!AS42+'ריכוז נתונים'!AU42+'ריכוז נתונים'!AW42+'ריכוז נתונים'!AY42)</f>
        <v/>
      </c>
      <c r="J42" s="108" t="str">
        <f ca="1">IF($D42="","",IF(INDIRECT("'"&amp;$D42&amp;"'!"&amp;'גיליון עזר'!$I$1&amp;ROW('מרכז מורשת בבל'!$C$11))="",0,פרמטרים!$C$3-INDIRECT("'"&amp;$D42&amp;"'!"&amp;'גיליון עזר'!$I$1&amp;ROW('מרכז מורשת בבל'!$C$11))))</f>
        <v/>
      </c>
      <c r="K42" s="108" t="str">
        <f ca="1">IF($D42="","",IF(INDIRECT("'"&amp;$D42&amp;"'!"&amp;'גיליון עזר'!$K$1&amp;ROW('מרכז מורשת בבל'!$C$11))="","",INDIRECT("'"&amp;$D42&amp;"'!"&amp;'גיליון עזר'!$K$1&amp;ROW('מרכז מורשת בבל'!$C$11))))</f>
        <v/>
      </c>
      <c r="L42" s="108" t="str">
        <f t="shared" ca="1" si="8"/>
        <v/>
      </c>
      <c r="M42" s="131" t="str">
        <f ca="1">IF($D42="","",IFERROR(O42/פרמטרים!$C$5,""))</f>
        <v/>
      </c>
      <c r="N42" s="5"/>
      <c r="O42" s="96">
        <f>'סיכום לועדה- הזנת נתונים'!N56</f>
        <v>0</v>
      </c>
      <c r="P42" s="35" t="str">
        <f ca="1">IF($D42="","",INDIRECT("'"&amp;$D42&amp;"'!"&amp;'גיליון עזר'!$G$1&amp;ROW('מרכז מורשת בבל'!$J$8)))</f>
        <v/>
      </c>
      <c r="Q42" s="5"/>
      <c r="R42" s="134" t="str">
        <f ca="1">IF($D42="","",INDIRECT("'"&amp;$D42&amp;"'!"&amp;'גיליון עזר'!$I$1&amp;ROW('מרכז מורשת בבל'!$L$8)))</f>
        <v/>
      </c>
      <c r="S42" s="5"/>
      <c r="T42" s="36" t="str">
        <f ca="1">IF($D42="","",IFERROR(INDIRECT("'"&amp;$D42&amp;"'!"&amp;'גיליון עזר'!$K$1&amp;ROW('מרכז מורשת בבל'!$N$8))/F42,""))</f>
        <v/>
      </c>
      <c r="U42" s="35"/>
      <c r="V42" s="36" t="str">
        <f ca="1">IF($D42="","",IFERROR(INDIRECT("'"&amp;$D42&amp;"'!"&amp;'גיליון עזר'!$M$1&amp;ROW('מרכז מורשת בבל'!$P$8))/F42,""))</f>
        <v/>
      </c>
      <c r="W42" s="103"/>
      <c r="X42" s="109" t="str">
        <f ca="1">IF($D42="","",IF(AND(AA42="כן",'תנאי סף'!AX36=1),"כן","לא"))</f>
        <v/>
      </c>
      <c r="Y42" s="1" t="str">
        <f t="shared" ca="1" si="9"/>
        <v/>
      </c>
      <c r="Z42" s="1" t="str">
        <f t="shared" ca="1" si="9"/>
        <v/>
      </c>
      <c r="AA42" s="12" t="str">
        <f t="shared" ca="1" si="10"/>
        <v>לא</v>
      </c>
      <c r="AB42" s="223" t="str">
        <f t="shared" ca="1" si="0"/>
        <v/>
      </c>
      <c r="AC42" s="1" t="str">
        <f t="shared" ca="1" si="11"/>
        <v/>
      </c>
      <c r="AD42" s="1" t="str">
        <f t="shared" ca="1" si="11"/>
        <v/>
      </c>
      <c r="AE42" s="105" t="str">
        <f ca="1">IF($D42="","",IF(G42&gt;פרמטרים!$D$22,1,IF(E42&gt;=AE$16,1,0)))</f>
        <v/>
      </c>
      <c r="AF42" s="105" t="str">
        <f t="shared" ca="1" si="12"/>
        <v/>
      </c>
      <c r="AG42" s="105" t="str">
        <f t="shared" ca="1" si="1"/>
        <v/>
      </c>
      <c r="AH42" s="105" t="str">
        <f t="shared" ca="1" si="2"/>
        <v/>
      </c>
      <c r="AI42" s="105" t="str">
        <f t="shared" ca="1" si="3"/>
        <v/>
      </c>
      <c r="AJ42" s="3" t="str">
        <f t="shared" ca="1" si="4"/>
        <v/>
      </c>
      <c r="AK42" s="3" t="str">
        <f t="shared" ca="1" si="5"/>
        <v/>
      </c>
      <c r="AL42" s="12" t="str">
        <f t="shared" ca="1" si="13"/>
        <v/>
      </c>
      <c r="AM42" s="12" t="str">
        <f t="shared" ca="1" si="14"/>
        <v/>
      </c>
      <c r="AN42" t="str">
        <f t="shared" ca="1" si="6"/>
        <v/>
      </c>
      <c r="AO42" t="str">
        <f t="shared" ca="1" si="7"/>
        <v/>
      </c>
    </row>
    <row r="43" spans="1:41" x14ac:dyDescent="0.25">
      <c r="A43" t="str">
        <f ca="1">IF(AND(LEFT(B43,11)&lt;&gt;"גיליון הזנה",INDIRECT("'"&amp;$B43&amp;"'!"&amp;'גיליון עזר'!$I$1&amp;ROW('מרכז מורשת בבל'!$I$3))=""),"חסרה הזנה","")</f>
        <v/>
      </c>
      <c r="B43" t="str">
        <f ca="1">'מכון הברמן'!$D$3</f>
        <v>מכון הברמן</v>
      </c>
      <c r="C43" s="7">
        <f>'ריכוז נתונים'!C43</f>
        <v>27</v>
      </c>
      <c r="D43" s="7" t="str">
        <f ca="1">IF(OR(LEFT(B43,11)="גיליון הזנה",INDIRECT("'"&amp;$B43&amp;"'!"&amp;'גיליון עזר'!$I$1&amp;ROW('מרכז מורשת בבל'!$I$3))=0),"",B43)</f>
        <v>מכון הברמן</v>
      </c>
      <c r="E43" s="106">
        <f ca="1">IF($D43="","",IFERROR(INDIRECT("'"&amp;$D43&amp;"'!"&amp;'גיליון עזר'!$H$1&amp;ROW('מרכז מורשת בבל'!$C$11))/INDIRECT("'"&amp;$D43&amp;"'!"&amp;'גיליון עזר'!$G$1&amp;ROW('מרכז מורשת בבל'!$C$11)),0))</f>
        <v>1</v>
      </c>
      <c r="F43" s="107">
        <f ca="1">IF($D43="","",INDIRECT("'"&amp;$D43&amp;"'!"&amp;'גיליון עזר'!$C$1&amp;ROW('מרכז מורשת בבל'!$C$11)))</f>
        <v>502396</v>
      </c>
      <c r="G43" s="129">
        <f ca="1">IF($D43="","",INDIRECT("'"&amp;$D43&amp;"'!"&amp;'גיליון עזר'!$E$1&amp;ROW('מרכז מורשת בבל'!$C$11)))</f>
        <v>502396</v>
      </c>
      <c r="H43" s="128">
        <f ca="1">IF($D43="","",INDIRECT("'"&amp;$D43&amp;"'!"&amp;'גיליון עזר'!$F$1&amp;ROW('מרכז מורשת בבל'!$C$11)))</f>
        <v>502396</v>
      </c>
      <c r="I43" s="108">
        <f ca="1">IF($D43="","",'ריכוז נתונים'!AP43+'ריכוז נתונים'!AQ43+'ריכוז נתונים'!AS43+'ריכוז נתונים'!AU43+'ריכוז נתונים'!AW43+'ריכוז נתונים'!AY43)</f>
        <v>55</v>
      </c>
      <c r="J43" s="108">
        <f ca="1">IF($D43="","",IF(INDIRECT("'"&amp;$D43&amp;"'!"&amp;'גיליון עזר'!$I$1&amp;ROW('מרכז מורשת בבל'!$C$11))="",0,פרמטרים!$C$3-INDIRECT("'"&amp;$D43&amp;"'!"&amp;'גיליון עזר'!$I$1&amp;ROW('מרכז מורשת בבל'!$C$11))))</f>
        <v>32</v>
      </c>
      <c r="K43" s="108" t="str">
        <f ca="1">IF($D43="","",IF(INDIRECT("'"&amp;$D43&amp;"'!"&amp;'גיליון עזר'!$K$1&amp;ROW('מרכז מורשת בבל'!$C$11))="","",INDIRECT("'"&amp;$D43&amp;"'!"&amp;'גיליון עזר'!$K$1&amp;ROW('מרכז מורשת בבל'!$C$11))))</f>
        <v>כן</v>
      </c>
      <c r="L43" s="108" t="str">
        <f t="shared" ca="1" si="8"/>
        <v>כן</v>
      </c>
      <c r="M43" s="131">
        <f ca="1">IF($D43="","",IFERROR(O43/פרמטרים!$C$5,""))</f>
        <v>2.2001100414727602E-2</v>
      </c>
      <c r="N43" s="5"/>
      <c r="O43" s="96">
        <f>'סיכום לועדה- הזנת נתונים'!N57</f>
        <v>268632.15999999997</v>
      </c>
      <c r="P43" s="35" t="str">
        <f ca="1">IF($D43="","",INDIRECT("'"&amp;$D43&amp;"'!"&amp;'גיליון עזר'!$G$1&amp;ROW('מרכז מורשת בבל'!$J$8)))</f>
        <v>כן</v>
      </c>
      <c r="Q43" s="5"/>
      <c r="R43" s="134">
        <f ca="1">IF($D43="","",INDIRECT("'"&amp;$D43&amp;"'!"&amp;'גיליון עזר'!$I$1&amp;ROW('מרכז מורשת בבל'!$L$8)))</f>
        <v>0</v>
      </c>
      <c r="S43" s="5"/>
      <c r="T43" s="36">
        <f ca="1">IF($D43="","",IFERROR(INDIRECT("'"&amp;$D43&amp;"'!"&amp;'גיליון עזר'!$K$1&amp;ROW('מרכז מורשת בבל'!$N$8))/F43,""))</f>
        <v>0.10565967881909888</v>
      </c>
      <c r="U43" s="35"/>
      <c r="V43" s="36">
        <f ca="1">IF($D43="","",IFERROR(INDIRECT("'"&amp;$D43&amp;"'!"&amp;'גיליון עזר'!$M$1&amp;ROW('מרכז מורשת בבל'!$P$8))/F43,""))</f>
        <v>2.19647449422368E-2</v>
      </c>
      <c r="W43" s="103"/>
      <c r="X43" s="109" t="str">
        <f ca="1">IF($D43="","",IF(AND(AA43="כן",'תנאי סף'!AX37=1),"כן","לא"))</f>
        <v>כן</v>
      </c>
      <c r="Y43" s="1" t="str">
        <f t="shared" ca="1" si="9"/>
        <v>כן</v>
      </c>
      <c r="Z43" s="1" t="str">
        <f t="shared" ca="1" si="9"/>
        <v>לא</v>
      </c>
      <c r="AA43" s="12" t="str">
        <f t="shared" ca="1" si="10"/>
        <v>כן</v>
      </c>
      <c r="AB43" s="223">
        <f t="shared" ca="1" si="0"/>
        <v>2.2001100414727602E-2</v>
      </c>
      <c r="AC43" s="1" t="str">
        <f t="shared" ca="1" si="11"/>
        <v>כן</v>
      </c>
      <c r="AD43" s="1" t="str">
        <f t="shared" ca="1" si="11"/>
        <v>לא</v>
      </c>
      <c r="AE43" s="105">
        <f ca="1">IF($D43="","",IF(G43&gt;פרמטרים!$D$22,1,IF(E43&gt;=AE$16,1,0)))</f>
        <v>1</v>
      </c>
      <c r="AF43" s="105">
        <f t="shared" ca="1" si="12"/>
        <v>1</v>
      </c>
      <c r="AG43" s="105">
        <f t="shared" ca="1" si="1"/>
        <v>1</v>
      </c>
      <c r="AH43" s="105">
        <f t="shared" ca="1" si="2"/>
        <v>1</v>
      </c>
      <c r="AI43" s="105">
        <f t="shared" ca="1" si="3"/>
        <v>1</v>
      </c>
      <c r="AJ43" s="3">
        <f t="shared" ca="1" si="4"/>
        <v>0</v>
      </c>
      <c r="AK43" s="3">
        <f t="shared" ca="1" si="5"/>
        <v>0</v>
      </c>
      <c r="AL43" s="12">
        <f t="shared" ca="1" si="13"/>
        <v>0.10565967881909888</v>
      </c>
      <c r="AM43" s="12">
        <f t="shared" ca="1" si="14"/>
        <v>2.19647449422368E-2</v>
      </c>
      <c r="AN43" t="str">
        <f t="shared" ca="1" si="6"/>
        <v>כן</v>
      </c>
      <c r="AO43" t="str">
        <f t="shared" ca="1" si="7"/>
        <v>לא</v>
      </c>
    </row>
    <row r="44" spans="1:41" x14ac:dyDescent="0.25">
      <c r="A44" t="str">
        <f ca="1">IF(AND(LEFT(B44,11)&lt;&gt;"גיליון הזנה",INDIRECT("'"&amp;$B44&amp;"'!"&amp;'גיליון עזר'!$I$1&amp;ROW('מרכז מורשת בבל'!$I$3))=""),"חסרה הזנה","")</f>
        <v/>
      </c>
      <c r="B44" t="str">
        <f ca="1">'גיליון הזנה 28'!$D$3</f>
        <v>גיליון הזנה 28</v>
      </c>
      <c r="C44" s="7">
        <f>'ריכוז נתונים'!C44</f>
        <v>28</v>
      </c>
      <c r="D44" s="7" t="str">
        <f ca="1">IF(OR(LEFT(B44,11)="גיליון הזנה",INDIRECT("'"&amp;$B44&amp;"'!"&amp;'גיליון עזר'!$I$1&amp;ROW('מרכז מורשת בבל'!$I$3))=0),"",B44)</f>
        <v/>
      </c>
      <c r="E44" s="106" t="str">
        <f ca="1">IF($D44="","",IFERROR(INDIRECT("'"&amp;$D44&amp;"'!"&amp;'גיליון עזר'!$H$1&amp;ROW('מרכז מורשת בבל'!$C$11))/INDIRECT("'"&amp;$D44&amp;"'!"&amp;'גיליון עזר'!$G$1&amp;ROW('מרכז מורשת בבל'!$C$11)),0))</f>
        <v/>
      </c>
      <c r="F44" s="107" t="str">
        <f ca="1">IF($D44="","",INDIRECT("'"&amp;$D44&amp;"'!"&amp;'גיליון עזר'!$C$1&amp;ROW('מרכז מורשת בבל'!$C$11)))</f>
        <v/>
      </c>
      <c r="G44" s="129" t="str">
        <f ca="1">IF($D44="","",INDIRECT("'"&amp;$D44&amp;"'!"&amp;'גיליון עזר'!$E$1&amp;ROW('מרכז מורשת בבל'!$C$11)))</f>
        <v/>
      </c>
      <c r="H44" s="128" t="str">
        <f ca="1">IF($D44="","",INDIRECT("'"&amp;$D44&amp;"'!"&amp;'גיליון עזר'!$F$1&amp;ROW('מרכז מורשת בבל'!$C$11)))</f>
        <v/>
      </c>
      <c r="I44" s="108" t="str">
        <f ca="1">IF($D44="","",'ריכוז נתונים'!AP44+'ריכוז נתונים'!AQ44+'ריכוז נתונים'!AS44+'ריכוז נתונים'!AU44+'ריכוז נתונים'!AW44+'ריכוז נתונים'!AY44)</f>
        <v/>
      </c>
      <c r="J44" s="108" t="str">
        <f ca="1">IF($D44="","",IF(INDIRECT("'"&amp;$D44&amp;"'!"&amp;'גיליון עזר'!$I$1&amp;ROW('מרכז מורשת בבל'!$C$11))="",0,פרמטרים!$C$3-INDIRECT("'"&amp;$D44&amp;"'!"&amp;'גיליון עזר'!$I$1&amp;ROW('מרכז מורשת בבל'!$C$11))))</f>
        <v/>
      </c>
      <c r="K44" s="108" t="str">
        <f ca="1">IF($D44="","",IF(INDIRECT("'"&amp;$D44&amp;"'!"&amp;'גיליון עזר'!$K$1&amp;ROW('מרכז מורשת בבל'!$C$11))="","",INDIRECT("'"&amp;$D44&amp;"'!"&amp;'גיליון עזר'!$K$1&amp;ROW('מרכז מורשת בבל'!$C$11))))</f>
        <v/>
      </c>
      <c r="L44" s="108" t="str">
        <f t="shared" ca="1" si="8"/>
        <v/>
      </c>
      <c r="M44" s="131" t="str">
        <f ca="1">IF($D44="","",IFERROR(O44/פרמטרים!$C$5,""))</f>
        <v/>
      </c>
      <c r="N44" s="5"/>
      <c r="O44" s="96">
        <f>'סיכום לועדה- הזנת נתונים'!N58</f>
        <v>0</v>
      </c>
      <c r="P44" s="35" t="str">
        <f ca="1">IF($D44="","",INDIRECT("'"&amp;$D44&amp;"'!"&amp;'גיליון עזר'!$G$1&amp;ROW('מרכז מורשת בבל'!$J$8)))</f>
        <v/>
      </c>
      <c r="Q44" s="5"/>
      <c r="R44" s="134" t="str">
        <f ca="1">IF($D44="","",INDIRECT("'"&amp;$D44&amp;"'!"&amp;'גיליון עזר'!$I$1&amp;ROW('מרכז מורשת בבל'!$L$8)))</f>
        <v/>
      </c>
      <c r="S44" s="5"/>
      <c r="T44" s="36" t="str">
        <f ca="1">IF($D44="","",IFERROR(INDIRECT("'"&amp;$D44&amp;"'!"&amp;'גיליון עזר'!$K$1&amp;ROW('מרכז מורשת בבל'!$N$8))/F44,""))</f>
        <v/>
      </c>
      <c r="U44" s="35"/>
      <c r="V44" s="36" t="str">
        <f ca="1">IF($D44="","",IFERROR(INDIRECT("'"&amp;$D44&amp;"'!"&amp;'גיליון עזר'!$M$1&amp;ROW('מרכז מורשת בבל'!$P$8))/F44,""))</f>
        <v/>
      </c>
      <c r="W44" s="103"/>
      <c r="X44" s="109" t="str">
        <f ca="1">IF($D44="","",IF(AND(AA44="כן",'תנאי סף'!AX38=1),"כן","לא"))</f>
        <v/>
      </c>
      <c r="Y44" s="1" t="str">
        <f t="shared" ca="1" si="9"/>
        <v/>
      </c>
      <c r="Z44" s="1" t="str">
        <f t="shared" ca="1" si="9"/>
        <v/>
      </c>
      <c r="AA44" s="12" t="str">
        <f t="shared" ca="1" si="10"/>
        <v>לא</v>
      </c>
      <c r="AB44" s="223" t="str">
        <f t="shared" ca="1" si="0"/>
        <v/>
      </c>
      <c r="AC44" s="1" t="str">
        <f t="shared" ca="1" si="11"/>
        <v/>
      </c>
      <c r="AD44" s="1" t="str">
        <f t="shared" ca="1" si="11"/>
        <v/>
      </c>
      <c r="AE44" s="105" t="str">
        <f ca="1">IF($D44="","",IF(G44&gt;פרמטרים!$D$22,1,IF(E44&gt;=AE$16,1,0)))</f>
        <v/>
      </c>
      <c r="AF44" s="105" t="str">
        <f t="shared" ca="1" si="12"/>
        <v/>
      </c>
      <c r="AG44" s="105" t="str">
        <f t="shared" ca="1" si="1"/>
        <v/>
      </c>
      <c r="AH44" s="105" t="str">
        <f t="shared" ca="1" si="2"/>
        <v/>
      </c>
      <c r="AI44" s="105" t="str">
        <f t="shared" ca="1" si="3"/>
        <v/>
      </c>
      <c r="AJ44" s="3" t="str">
        <f t="shared" ca="1" si="4"/>
        <v/>
      </c>
      <c r="AK44" s="3" t="str">
        <f t="shared" ca="1" si="5"/>
        <v/>
      </c>
      <c r="AL44" s="12" t="str">
        <f t="shared" ca="1" si="13"/>
        <v/>
      </c>
      <c r="AM44" s="12" t="str">
        <f t="shared" ca="1" si="14"/>
        <v/>
      </c>
      <c r="AN44" t="str">
        <f t="shared" ca="1" si="6"/>
        <v/>
      </c>
      <c r="AO44" t="str">
        <f t="shared" ca="1" si="7"/>
        <v/>
      </c>
    </row>
    <row r="45" spans="1:41" x14ac:dyDescent="0.25">
      <c r="A45" t="str">
        <f ca="1">IF(AND(LEFT(B45,11)&lt;&gt;"גיליון הזנה",INDIRECT("'"&amp;$B45&amp;"'!"&amp;'גיליון עזר'!$I$1&amp;ROW('מרכז מורשת בבל'!$I$3))=""),"חסרה הזנה","")</f>
        <v/>
      </c>
      <c r="B45" t="str">
        <f ca="1">'גיליון הזנה 29'!$D$3</f>
        <v>גיליון הזנה 29</v>
      </c>
      <c r="C45" s="7">
        <f>'ריכוז נתונים'!C45</f>
        <v>29</v>
      </c>
      <c r="D45" s="7" t="str">
        <f ca="1">IF(OR(LEFT(B45,11)="גיליון הזנה",INDIRECT("'"&amp;$B45&amp;"'!"&amp;'גיליון עזר'!$I$1&amp;ROW('מרכז מורשת בבל'!$I$3))=0),"",B45)</f>
        <v/>
      </c>
      <c r="E45" s="106" t="str">
        <f ca="1">IF($D45="","",IFERROR(INDIRECT("'"&amp;$D45&amp;"'!"&amp;'גיליון עזר'!$H$1&amp;ROW('מרכז מורשת בבל'!$C$11))/INDIRECT("'"&amp;$D45&amp;"'!"&amp;'גיליון עזר'!$G$1&amp;ROW('מרכז מורשת בבל'!$C$11)),0))</f>
        <v/>
      </c>
      <c r="F45" s="107" t="str">
        <f ca="1">IF($D45="","",INDIRECT("'"&amp;$D45&amp;"'!"&amp;'גיליון עזר'!$C$1&amp;ROW('מרכז מורשת בבל'!$C$11)))</f>
        <v/>
      </c>
      <c r="G45" s="129" t="str">
        <f ca="1">IF($D45="","",INDIRECT("'"&amp;$D45&amp;"'!"&amp;'גיליון עזר'!$E$1&amp;ROW('מרכז מורשת בבל'!$C$11)))</f>
        <v/>
      </c>
      <c r="H45" s="128" t="str">
        <f ca="1">IF($D45="","",INDIRECT("'"&amp;$D45&amp;"'!"&amp;'גיליון עזר'!$F$1&amp;ROW('מרכז מורשת בבל'!$C$11)))</f>
        <v/>
      </c>
      <c r="I45" s="108" t="str">
        <f ca="1">IF($D45="","",'ריכוז נתונים'!AP45+'ריכוז נתונים'!AQ45+'ריכוז נתונים'!AS45+'ריכוז נתונים'!AU45+'ריכוז נתונים'!AW45+'ריכוז נתונים'!AY45)</f>
        <v/>
      </c>
      <c r="J45" s="108" t="str">
        <f ca="1">IF($D45="","",IF(INDIRECT("'"&amp;$D45&amp;"'!"&amp;'גיליון עזר'!$I$1&amp;ROW('מרכז מורשת בבל'!$C$11))="",0,פרמטרים!$C$3-INDIRECT("'"&amp;$D45&amp;"'!"&amp;'גיליון עזר'!$I$1&amp;ROW('מרכז מורשת בבל'!$C$11))))</f>
        <v/>
      </c>
      <c r="K45" s="108" t="str">
        <f ca="1">IF($D45="","",IF(INDIRECT("'"&amp;$D45&amp;"'!"&amp;'גיליון עזר'!$K$1&amp;ROW('מרכז מורשת בבל'!$C$11))="","",INDIRECT("'"&amp;$D45&amp;"'!"&amp;'גיליון עזר'!$K$1&amp;ROW('מרכז מורשת בבל'!$C$11))))</f>
        <v/>
      </c>
      <c r="L45" s="108" t="str">
        <f t="shared" ca="1" si="8"/>
        <v/>
      </c>
      <c r="M45" s="131" t="str">
        <f ca="1">IF($D45="","",IFERROR(O45/פרמטרים!$C$5,""))</f>
        <v/>
      </c>
      <c r="N45" s="5"/>
      <c r="O45" s="96">
        <f>'סיכום לועדה- הזנת נתונים'!N59</f>
        <v>0</v>
      </c>
      <c r="P45" s="35" t="str">
        <f ca="1">IF($D45="","",INDIRECT("'"&amp;$D45&amp;"'!"&amp;'גיליון עזר'!$G$1&amp;ROW('מרכז מורשת בבל'!$J$8)))</f>
        <v/>
      </c>
      <c r="Q45" s="5"/>
      <c r="R45" s="134" t="str">
        <f ca="1">IF($D45="","",INDIRECT("'"&amp;$D45&amp;"'!"&amp;'גיליון עזר'!$I$1&amp;ROW('מרכז מורשת בבל'!$L$8)))</f>
        <v/>
      </c>
      <c r="S45" s="5"/>
      <c r="T45" s="36" t="str">
        <f ca="1">IF($D45="","",IFERROR(INDIRECT("'"&amp;$D45&amp;"'!"&amp;'גיליון עזר'!$K$1&amp;ROW('מרכז מורשת בבל'!$N$8))/F45,""))</f>
        <v/>
      </c>
      <c r="U45" s="35"/>
      <c r="V45" s="36" t="str">
        <f ca="1">IF($D45="","",IFERROR(INDIRECT("'"&amp;$D45&amp;"'!"&amp;'גיליון עזר'!$M$1&amp;ROW('מרכז מורשת בבל'!$P$8))/F45,""))</f>
        <v/>
      </c>
      <c r="W45" s="103"/>
      <c r="X45" s="109" t="str">
        <f ca="1">IF($D45="","",IF(AND(AA45="כן",'תנאי סף'!AX39=1),"כן","לא"))</f>
        <v/>
      </c>
      <c r="Y45" s="1" t="str">
        <f t="shared" ca="1" si="9"/>
        <v/>
      </c>
      <c r="Z45" s="1" t="str">
        <f t="shared" ca="1" si="9"/>
        <v/>
      </c>
      <c r="AA45" s="12" t="str">
        <f t="shared" ca="1" si="10"/>
        <v>לא</v>
      </c>
      <c r="AB45" s="223" t="str">
        <f t="shared" ca="1" si="0"/>
        <v/>
      </c>
      <c r="AC45" s="1" t="str">
        <f t="shared" ca="1" si="11"/>
        <v/>
      </c>
      <c r="AD45" s="1" t="str">
        <f t="shared" ca="1" si="11"/>
        <v/>
      </c>
      <c r="AE45" s="105" t="str">
        <f ca="1">IF($D45="","",IF(G45&gt;פרמטרים!$D$22,1,IF(E45&gt;=AE$16,1,0)))</f>
        <v/>
      </c>
      <c r="AF45" s="105" t="str">
        <f t="shared" ca="1" si="12"/>
        <v/>
      </c>
      <c r="AG45" s="105" t="str">
        <f t="shared" ca="1" si="1"/>
        <v/>
      </c>
      <c r="AH45" s="105" t="str">
        <f t="shared" ca="1" si="2"/>
        <v/>
      </c>
      <c r="AI45" s="105" t="str">
        <f t="shared" ca="1" si="3"/>
        <v/>
      </c>
      <c r="AJ45" s="3" t="str">
        <f t="shared" ca="1" si="4"/>
        <v/>
      </c>
      <c r="AK45" s="3" t="str">
        <f t="shared" ca="1" si="5"/>
        <v/>
      </c>
      <c r="AL45" s="12" t="str">
        <f t="shared" ca="1" si="13"/>
        <v/>
      </c>
      <c r="AM45" s="12" t="str">
        <f t="shared" ca="1" si="14"/>
        <v/>
      </c>
      <c r="AN45" t="str">
        <f t="shared" ca="1" si="6"/>
        <v/>
      </c>
      <c r="AO45" t="str">
        <f t="shared" ca="1" si="7"/>
        <v/>
      </c>
    </row>
    <row r="46" spans="1:41" x14ac:dyDescent="0.25">
      <c r="A46" t="str">
        <f ca="1">IF(AND(LEFT(B46,11)&lt;&gt;"גיליון הזנה",INDIRECT("'"&amp;$B46&amp;"'!"&amp;'גיליון עזר'!$I$1&amp;ROW('מרכז מורשת בבל'!$I$3))=""),"חסרה הזנה","")</f>
        <v/>
      </c>
      <c r="B46" t="str">
        <f ca="1">'גיליון הזנה 30'!$D$3</f>
        <v>גיליון הזנה 30</v>
      </c>
      <c r="C46" s="7">
        <f>'ריכוז נתונים'!C46</f>
        <v>30</v>
      </c>
      <c r="D46" s="7" t="str">
        <f ca="1">IF(OR(LEFT(B46,11)="גיליון הזנה",INDIRECT("'"&amp;$B46&amp;"'!"&amp;'גיליון עזר'!$I$1&amp;ROW('מרכז מורשת בבל'!$I$3))=0),"",B46)</f>
        <v/>
      </c>
      <c r="E46" s="106" t="str">
        <f ca="1">IF($D46="","",IFERROR(INDIRECT("'"&amp;$D46&amp;"'!"&amp;'גיליון עזר'!$H$1&amp;ROW('מרכז מורשת בבל'!$C$11))/INDIRECT("'"&amp;$D46&amp;"'!"&amp;'גיליון עזר'!$G$1&amp;ROW('מרכז מורשת בבל'!$C$11)),0))</f>
        <v/>
      </c>
      <c r="F46" s="107" t="str">
        <f ca="1">IF($D46="","",INDIRECT("'"&amp;$D46&amp;"'!"&amp;'גיליון עזר'!$C$1&amp;ROW('מרכז מורשת בבל'!$C$11)))</f>
        <v/>
      </c>
      <c r="G46" s="129" t="str">
        <f ca="1">IF($D46="","",INDIRECT("'"&amp;$D46&amp;"'!"&amp;'גיליון עזר'!$E$1&amp;ROW('מרכז מורשת בבל'!$C$11)))</f>
        <v/>
      </c>
      <c r="H46" s="128" t="str">
        <f ca="1">IF($D46="","",INDIRECT("'"&amp;$D46&amp;"'!"&amp;'גיליון עזר'!$F$1&amp;ROW('מרכז מורשת בבל'!$C$11)))</f>
        <v/>
      </c>
      <c r="I46" s="108" t="str">
        <f ca="1">IF($D46="","",'ריכוז נתונים'!AP46+'ריכוז נתונים'!AQ46+'ריכוז נתונים'!AS46+'ריכוז נתונים'!AU46+'ריכוז נתונים'!AW46+'ריכוז נתונים'!AY46)</f>
        <v/>
      </c>
      <c r="J46" s="108" t="str">
        <f ca="1">IF($D46="","",IF(INDIRECT("'"&amp;$D46&amp;"'!"&amp;'גיליון עזר'!$I$1&amp;ROW('מרכז מורשת בבל'!$C$11))="",0,פרמטרים!$C$3-INDIRECT("'"&amp;$D46&amp;"'!"&amp;'גיליון עזר'!$I$1&amp;ROW('מרכז מורשת בבל'!$C$11))))</f>
        <v/>
      </c>
      <c r="K46" s="108" t="str">
        <f ca="1">IF($D46="","",IF(INDIRECT("'"&amp;$D46&amp;"'!"&amp;'גיליון עזר'!$K$1&amp;ROW('מרכז מורשת בבל'!$C$11))="","",INDIRECT("'"&amp;$D46&amp;"'!"&amp;'גיליון עזר'!$K$1&amp;ROW('מרכז מורשת בבל'!$C$11))))</f>
        <v/>
      </c>
      <c r="L46" s="108" t="str">
        <f t="shared" ca="1" si="8"/>
        <v/>
      </c>
      <c r="M46" s="131" t="str">
        <f ca="1">IF($D46="","",IFERROR(O46/פרמטרים!$C$5,""))</f>
        <v/>
      </c>
      <c r="N46" s="5"/>
      <c r="O46" s="96">
        <f>'סיכום לועדה- הזנת נתונים'!N60</f>
        <v>0</v>
      </c>
      <c r="P46" s="35" t="str">
        <f ca="1">IF($D46="","",INDIRECT("'"&amp;$D46&amp;"'!"&amp;'גיליון עזר'!$G$1&amp;ROW('מרכז מורשת בבל'!$J$8)))</f>
        <v/>
      </c>
      <c r="Q46" s="5"/>
      <c r="R46" s="134" t="str">
        <f ca="1">IF($D46="","",INDIRECT("'"&amp;$D46&amp;"'!"&amp;'גיליון עזר'!$I$1&amp;ROW('מרכז מורשת בבל'!$L$8)))</f>
        <v/>
      </c>
      <c r="S46" s="5"/>
      <c r="T46" s="36" t="str">
        <f ca="1">IF($D46="","",IFERROR(INDIRECT("'"&amp;$D46&amp;"'!"&amp;'גיליון עזר'!$K$1&amp;ROW('מרכז מורשת בבל'!$N$8))/F46,""))</f>
        <v/>
      </c>
      <c r="U46" s="35"/>
      <c r="V46" s="36" t="str">
        <f ca="1">IF($D46="","",IFERROR(INDIRECT("'"&amp;$D46&amp;"'!"&amp;'גיליון עזר'!$M$1&amp;ROW('מרכז מורשת בבל'!$P$8))/F46,""))</f>
        <v/>
      </c>
      <c r="W46" s="103"/>
      <c r="X46" s="109" t="str">
        <f ca="1">IF($D46="","",IF(AND(AA46="כן",'תנאי סף'!AX40=1),"כן","לא"))</f>
        <v/>
      </c>
      <c r="Y46" s="1" t="str">
        <f t="shared" ca="1" si="9"/>
        <v/>
      </c>
      <c r="Z46" s="1" t="str">
        <f t="shared" ca="1" si="9"/>
        <v/>
      </c>
      <c r="AA46" s="12" t="str">
        <f t="shared" ca="1" si="10"/>
        <v>לא</v>
      </c>
      <c r="AB46" s="223" t="str">
        <f t="shared" ca="1" si="0"/>
        <v/>
      </c>
      <c r="AC46" s="1" t="str">
        <f t="shared" ca="1" si="11"/>
        <v/>
      </c>
      <c r="AD46" s="1" t="str">
        <f t="shared" ca="1" si="11"/>
        <v/>
      </c>
      <c r="AE46" s="105" t="str">
        <f ca="1">IF($D46="","",IF(G46&gt;פרמטרים!$D$22,1,IF(E46&gt;=AE$16,1,0)))</f>
        <v/>
      </c>
      <c r="AF46" s="105" t="str">
        <f t="shared" ca="1" si="12"/>
        <v/>
      </c>
      <c r="AG46" s="105" t="str">
        <f t="shared" ca="1" si="1"/>
        <v/>
      </c>
      <c r="AH46" s="105" t="str">
        <f t="shared" ca="1" si="2"/>
        <v/>
      </c>
      <c r="AI46" s="105" t="str">
        <f t="shared" ca="1" si="3"/>
        <v/>
      </c>
      <c r="AJ46" s="3" t="str">
        <f t="shared" ca="1" si="4"/>
        <v/>
      </c>
      <c r="AK46" s="3" t="str">
        <f t="shared" ca="1" si="5"/>
        <v/>
      </c>
      <c r="AL46" s="12" t="str">
        <f t="shared" ca="1" si="13"/>
        <v/>
      </c>
      <c r="AM46" s="12" t="str">
        <f t="shared" ca="1" si="14"/>
        <v/>
      </c>
      <c r="AN46" t="str">
        <f t="shared" ca="1" si="6"/>
        <v/>
      </c>
      <c r="AO46" t="str">
        <f t="shared" ca="1" si="7"/>
        <v/>
      </c>
    </row>
    <row r="47" spans="1:41" x14ac:dyDescent="0.25">
      <c r="A47" t="str">
        <f ca="1">IF(AND(LEFT(B47,11)&lt;&gt;"גיליון הזנה",INDIRECT("'"&amp;$B47&amp;"'!"&amp;'גיליון עזר'!$I$1&amp;ROW('מרכז מורשת בבל'!$I$3))=""),"חסרה הזנה","")</f>
        <v/>
      </c>
      <c r="B47" t="str">
        <f ca="1">כולנא!$D$3</f>
        <v>כולנא</v>
      </c>
      <c r="C47" s="7">
        <f>'ריכוז נתונים'!C47</f>
        <v>31</v>
      </c>
      <c r="D47" s="7" t="str">
        <f ca="1">IF(OR(LEFT(B47,11)="גיליון הזנה",INDIRECT("'"&amp;$B47&amp;"'!"&amp;'גיליון עזר'!$I$1&amp;ROW('מרכז מורשת בבל'!$I$3))=0),"",B47)</f>
        <v>כולנא</v>
      </c>
      <c r="E47" s="106">
        <f ca="1">IF($D47="","",IFERROR(INDIRECT("'"&amp;$D47&amp;"'!"&amp;'גיליון עזר'!$H$1&amp;ROW('מרכז מורשת בבל'!$C$11))/INDIRECT("'"&amp;$D47&amp;"'!"&amp;'גיליון עזר'!$G$1&amp;ROW('מרכז מורשת בבל'!$C$11)),0))</f>
        <v>0.17234579439252337</v>
      </c>
      <c r="F47" s="107">
        <f ca="1">IF($D47="","",INDIRECT("'"&amp;$D47&amp;"'!"&amp;'גיליון עזר'!$C$1&amp;ROW('מרכז מורשת בבל'!$C$11)))</f>
        <v>11500000</v>
      </c>
      <c r="G47" s="129">
        <f ca="1">IF($D47="","",INDIRECT("'"&amp;$D47&amp;"'!"&amp;'גיליון עזר'!$E$1&amp;ROW('מרכז מורשת בבל'!$C$11)))</f>
        <v>1750000</v>
      </c>
      <c r="H47" s="128">
        <f ca="1">IF($D47="","",INDIRECT("'"&amp;$D47&amp;"'!"&amp;'גיליון עזר'!$F$1&amp;ROW('מרכז מורשת בבל'!$C$11)))</f>
        <v>1750000</v>
      </c>
      <c r="I47" s="108">
        <f ca="1">IF($D47="","",'ריכוז נתונים'!AP47+'ריכוז נתונים'!AQ47+'ריכוז נתונים'!AS47+'ריכוז נתונים'!AU47+'ריכוז נתונים'!AW47+'ריכוז נתונים'!AY47)</f>
        <v>136</v>
      </c>
      <c r="J47" s="108">
        <f ca="1">IF($D47="","",IF(INDIRECT("'"&amp;$D47&amp;"'!"&amp;'גיליון עזר'!$I$1&amp;ROW('מרכז מורשת בבל'!$C$11))="",0,פרמטרים!$C$3-INDIRECT("'"&amp;$D47&amp;"'!"&amp;'גיליון עזר'!$I$1&amp;ROW('מרכז מורשת בבל'!$C$11))))</f>
        <v>5</v>
      </c>
      <c r="K47" s="108" t="str">
        <f ca="1">IF($D47="","",IF(INDIRECT("'"&amp;$D47&amp;"'!"&amp;'גיליון עזר'!$K$1&amp;ROW('מרכז מורשת בבל'!$C$11))="","",INDIRECT("'"&amp;$D47&amp;"'!"&amp;'גיליון עזר'!$K$1&amp;ROW('מרכז מורשת בבל'!$C$11))))</f>
        <v>כן</v>
      </c>
      <c r="L47" s="108" t="str">
        <f t="shared" ca="1" si="8"/>
        <v>כן</v>
      </c>
      <c r="M47" s="131">
        <f ca="1">IF($D47="","",IFERROR(O47/פרמטרים!$C$5,""))</f>
        <v>3.0097705623826878E-2</v>
      </c>
      <c r="N47" s="5"/>
      <c r="O47" s="96">
        <f>'סיכום לועדה- הזנת נתונים'!N61</f>
        <v>367491.24</v>
      </c>
      <c r="P47" s="35" t="str">
        <f ca="1">IF($D47="","",INDIRECT("'"&amp;$D47&amp;"'!"&amp;'גיליון עזר'!$G$1&amp;ROW('מרכז מורשת בבל'!$J$8)))</f>
        <v>כן</v>
      </c>
      <c r="Q47" s="5"/>
      <c r="R47" s="134">
        <f ca="1">IF($D47="","",INDIRECT("'"&amp;$D47&amp;"'!"&amp;'גיליון עזר'!$I$1&amp;ROW('מרכז מורשת בבל'!$L$8)))</f>
        <v>0</v>
      </c>
      <c r="S47" s="5"/>
      <c r="T47" s="36">
        <f ca="1">IF($D47="","",IFERROR(INDIRECT("'"&amp;$D47&amp;"'!"&amp;'גיליון עזר'!$K$1&amp;ROW('מרכז מורשת בבל'!$N$8))/F47,""))</f>
        <v>8.6956521739130436E-3</v>
      </c>
      <c r="U47" s="35"/>
      <c r="V47" s="36">
        <f ca="1">IF($D47="","",IFERROR(INDIRECT("'"&amp;$D47&amp;"'!"&amp;'גיליון עזר'!$M$1&amp;ROW('מרכז מורשת בבל'!$P$8))/F47,""))</f>
        <v>8.2869565217391306E-2</v>
      </c>
      <c r="W47" s="103"/>
      <c r="X47" s="109" t="str">
        <f ca="1">IF($D47="","",IF(AND(AA47="כן",'תנאי סף'!AX41=1),"כן","לא"))</f>
        <v>כן</v>
      </c>
      <c r="Y47" s="1" t="str">
        <f t="shared" ca="1" si="9"/>
        <v>כן</v>
      </c>
      <c r="Z47" s="1" t="str">
        <f t="shared" ca="1" si="9"/>
        <v>לא</v>
      </c>
      <c r="AA47" s="12" t="str">
        <f t="shared" ca="1" si="10"/>
        <v>כן</v>
      </c>
      <c r="AB47" s="223">
        <f t="shared" ca="1" si="0"/>
        <v>3.0097705623826878E-2</v>
      </c>
      <c r="AC47" s="1" t="str">
        <f t="shared" ca="1" si="11"/>
        <v>כן</v>
      </c>
      <c r="AD47" s="1" t="str">
        <f t="shared" ca="1" si="11"/>
        <v>לא</v>
      </c>
      <c r="AE47" s="105">
        <f ca="1">IF($D47="","",IF(G47&gt;פרמטרים!$D$22,1,IF(E47&gt;=AE$16,1,0)))</f>
        <v>1</v>
      </c>
      <c r="AF47" s="105">
        <f t="shared" ca="1" si="12"/>
        <v>1</v>
      </c>
      <c r="AG47" s="105">
        <f t="shared" ca="1" si="1"/>
        <v>1</v>
      </c>
      <c r="AH47" s="105">
        <f t="shared" ca="1" si="2"/>
        <v>1</v>
      </c>
      <c r="AI47" s="105">
        <f t="shared" ca="1" si="3"/>
        <v>1</v>
      </c>
      <c r="AJ47" s="3">
        <f t="shared" ca="1" si="4"/>
        <v>0</v>
      </c>
      <c r="AK47" s="3">
        <f t="shared" ca="1" si="5"/>
        <v>0</v>
      </c>
      <c r="AL47" s="12">
        <f t="shared" ca="1" si="13"/>
        <v>8.6956521739130436E-3</v>
      </c>
      <c r="AM47" s="12">
        <f t="shared" ca="1" si="14"/>
        <v>8.2869565217391306E-2</v>
      </c>
      <c r="AN47" t="str">
        <f t="shared" ca="1" si="6"/>
        <v>כן</v>
      </c>
      <c r="AO47" t="str">
        <f t="shared" ca="1" si="7"/>
        <v>לא</v>
      </c>
    </row>
    <row r="48" spans="1:41" hidden="1" x14ac:dyDescent="0.25">
      <c r="A48" t="str">
        <f ca="1">IF(AND(LEFT(B48,11)&lt;&gt;"גיליון הזנה",INDIRECT("'"&amp;$B48&amp;"'!"&amp;'גיליון עזר'!$I$1&amp;ROW('מרכז מורשת בבל'!$I$3))=""),"חסרה הזנה","")</f>
        <v/>
      </c>
      <c r="B48" t="str">
        <f ca="1">'גיליון הזנה 32'!$D$3</f>
        <v>גיליון הזנה 32</v>
      </c>
      <c r="C48" s="7">
        <f>'ריכוז נתונים'!C48</f>
        <v>32</v>
      </c>
      <c r="D48" s="7" t="str">
        <f ca="1">IF(OR(LEFT(B48,11)="גיליון הזנה",INDIRECT("'"&amp;$B48&amp;"'!"&amp;'גיליון עזר'!$I$1&amp;ROW('מרכז מורשת בבל'!$I$3))=0),"",B48)</f>
        <v/>
      </c>
      <c r="E48" s="106" t="str">
        <f ca="1">IF($D48="","",IFERROR(INDIRECT("'"&amp;$D48&amp;"'!"&amp;'גיליון עזר'!$H$1&amp;ROW('מרכז מורשת בבל'!$C$11))/INDIRECT("'"&amp;$D48&amp;"'!"&amp;'גיליון עזר'!$G$1&amp;ROW('מרכז מורשת בבל'!$C$11)),0))</f>
        <v/>
      </c>
      <c r="F48" s="107" t="str">
        <f ca="1">IF($D48="","",INDIRECT("'"&amp;$D48&amp;"'!"&amp;'גיליון עזר'!$C$1&amp;ROW('מרכז מורשת בבל'!$C$11)))</f>
        <v/>
      </c>
      <c r="G48" s="129" t="str">
        <f ca="1">IF($D48="","",INDIRECT("'"&amp;$D48&amp;"'!"&amp;'גיליון עזר'!$E$1&amp;ROW('מרכז מורשת בבל'!$C$11)))</f>
        <v/>
      </c>
      <c r="H48" s="128" t="str">
        <f ca="1">IF($D48="","",INDIRECT("'"&amp;$D48&amp;"'!"&amp;'גיליון עזר'!$F$1&amp;ROW('מרכז מורשת בבל'!$C$11)))</f>
        <v/>
      </c>
      <c r="I48" s="108" t="str">
        <f ca="1">IF($D48="","",'ריכוז נתונים'!AP48+'ריכוז נתונים'!AQ48+'ריכוז נתונים'!AS48+'ריכוז נתונים'!AU48+'ריכוז נתונים'!AW48+'ריכוז נתונים'!AY48)</f>
        <v/>
      </c>
      <c r="J48" s="108" t="str">
        <f ca="1">IF($D48="","",IF(INDIRECT("'"&amp;$D48&amp;"'!"&amp;'גיליון עזר'!$I$1&amp;ROW('מרכז מורשת בבל'!$C$11))="",0,פרמטרים!$C$3-INDIRECT("'"&amp;$D48&amp;"'!"&amp;'גיליון עזר'!$I$1&amp;ROW('מרכז מורשת בבל'!$C$11))))</f>
        <v/>
      </c>
      <c r="K48" s="108" t="str">
        <f ca="1">IF($D48="","",IF(INDIRECT("'"&amp;$D48&amp;"'!"&amp;'גיליון עזר'!$K$1&amp;ROW('מרכז מורשת בבל'!$C$11))="","",INDIRECT("'"&amp;$D48&amp;"'!"&amp;'גיליון עזר'!$K$1&amp;ROW('מרכז מורשת בבל'!$C$11))))</f>
        <v/>
      </c>
      <c r="L48" s="108" t="str">
        <f t="shared" ca="1" si="8"/>
        <v/>
      </c>
      <c r="M48" s="131" t="str">
        <f ca="1">IF($D48="","",IFERROR(O48/פרמטרים!$C$5,""))</f>
        <v/>
      </c>
      <c r="N48" s="5"/>
      <c r="O48" s="96">
        <f>'סיכום לועדה- הזנת נתונים'!N62</f>
        <v>0</v>
      </c>
      <c r="P48" s="35" t="str">
        <f ca="1">IF($D48="","",INDIRECT("'"&amp;$D48&amp;"'!"&amp;'גיליון עזר'!$G$1&amp;ROW('מרכז מורשת בבל'!$J$8)))</f>
        <v/>
      </c>
      <c r="Q48" s="5"/>
      <c r="R48" s="134" t="str">
        <f ca="1">IF($D48="","",INDIRECT("'"&amp;$D48&amp;"'!"&amp;'גיליון עזר'!$I$1&amp;ROW('מרכז מורשת בבל'!$L$8)))</f>
        <v/>
      </c>
      <c r="S48" s="5"/>
      <c r="T48" s="36" t="str">
        <f ca="1">IF($D48="","",IFERROR(INDIRECT("'"&amp;$D48&amp;"'!"&amp;'גיליון עזר'!$K$1&amp;ROW('מרכז מורשת בבל'!$N$8))/F48,""))</f>
        <v/>
      </c>
      <c r="U48" s="35"/>
      <c r="V48" s="36" t="str">
        <f ca="1">IF($D48="","",IFERROR(INDIRECT("'"&amp;$D48&amp;"'!"&amp;'גיליון עזר'!$M$1&amp;ROW('מרכז מורשת בבל'!$P$8))/F48,""))</f>
        <v/>
      </c>
      <c r="W48" s="103"/>
      <c r="X48" s="109" t="str">
        <f ca="1">IF($D48="","",IF(AND(AA48="כן",'תנאי סף'!AX42=1),"כן","לא"))</f>
        <v/>
      </c>
      <c r="Y48" s="1" t="str">
        <f t="shared" ca="1" si="9"/>
        <v/>
      </c>
      <c r="Z48" s="1" t="str">
        <f t="shared" ca="1" si="9"/>
        <v/>
      </c>
      <c r="AA48" s="12" t="str">
        <f t="shared" ca="1" si="10"/>
        <v>לא</v>
      </c>
      <c r="AB48" s="223" t="str">
        <f t="shared" ca="1" si="0"/>
        <v/>
      </c>
      <c r="AC48" s="1" t="str">
        <f t="shared" ca="1" si="11"/>
        <v/>
      </c>
      <c r="AD48" s="1" t="str">
        <f t="shared" ca="1" si="11"/>
        <v/>
      </c>
      <c r="AE48" s="105" t="str">
        <f ca="1">IF($D48="","",IF(G48&gt;פרמטרים!$D$22,1,IF(E48&gt;=AE$16,1,0)))</f>
        <v/>
      </c>
      <c r="AF48" s="105" t="str">
        <f t="shared" ca="1" si="12"/>
        <v/>
      </c>
      <c r="AG48" s="105" t="str">
        <f t="shared" ca="1" si="1"/>
        <v/>
      </c>
      <c r="AH48" s="105" t="str">
        <f t="shared" ca="1" si="2"/>
        <v/>
      </c>
      <c r="AI48" s="105" t="str">
        <f t="shared" ca="1" si="3"/>
        <v/>
      </c>
      <c r="AJ48" s="3" t="str">
        <f t="shared" ca="1" si="4"/>
        <v/>
      </c>
      <c r="AK48" s="3" t="str">
        <f t="shared" ca="1" si="5"/>
        <v/>
      </c>
      <c r="AL48" s="12" t="str">
        <f t="shared" ca="1" si="13"/>
        <v/>
      </c>
      <c r="AM48" s="12" t="str">
        <f t="shared" ca="1" si="14"/>
        <v/>
      </c>
      <c r="AN48" t="str">
        <f t="shared" ca="1" si="6"/>
        <v/>
      </c>
      <c r="AO48" t="str">
        <f t="shared" ca="1" si="7"/>
        <v/>
      </c>
    </row>
    <row r="49" spans="1:41" hidden="1" x14ac:dyDescent="0.25">
      <c r="A49" t="str">
        <f ca="1">IF(AND(LEFT(B49,11)&lt;&gt;"גיליון הזנה",INDIRECT("'"&amp;$B49&amp;"'!"&amp;'גיליון עזר'!$I$1&amp;ROW('מרכז מורשת בבל'!$I$3))=""),"חסרה הזנה","")</f>
        <v/>
      </c>
      <c r="B49" t="str">
        <f ca="1">'גיליון הזנה 33'!$D$3</f>
        <v>גיליון הזנה 33</v>
      </c>
      <c r="C49" s="7">
        <f>'ריכוז נתונים'!C49</f>
        <v>33</v>
      </c>
      <c r="D49" s="7" t="str">
        <f ca="1">IF(OR(LEFT(B49,11)="גיליון הזנה",INDIRECT("'"&amp;$B49&amp;"'!"&amp;'גיליון עזר'!$I$1&amp;ROW('מרכז מורשת בבל'!$I$3))=0),"",B49)</f>
        <v/>
      </c>
      <c r="E49" s="106" t="str">
        <f ca="1">IF($D49="","",IFERROR(INDIRECT("'"&amp;$D49&amp;"'!"&amp;'גיליון עזר'!$H$1&amp;ROW('מרכז מורשת בבל'!$C$11))/INDIRECT("'"&amp;$D49&amp;"'!"&amp;'גיליון עזר'!$G$1&amp;ROW('מרכז מורשת בבל'!$C$11)),0))</f>
        <v/>
      </c>
      <c r="F49" s="107" t="str">
        <f ca="1">IF($D49="","",INDIRECT("'"&amp;$D49&amp;"'!"&amp;'גיליון עזר'!$C$1&amp;ROW('מרכז מורשת בבל'!$C$11)))</f>
        <v/>
      </c>
      <c r="G49" s="129" t="str">
        <f ca="1">IF($D49="","",INDIRECT("'"&amp;$D49&amp;"'!"&amp;'גיליון עזר'!$E$1&amp;ROW('מרכז מורשת בבל'!$C$11)))</f>
        <v/>
      </c>
      <c r="H49" s="128" t="str">
        <f ca="1">IF($D49="","",INDIRECT("'"&amp;$D49&amp;"'!"&amp;'גיליון עזר'!$F$1&amp;ROW('מרכז מורשת בבל'!$C$11)))</f>
        <v/>
      </c>
      <c r="I49" s="108" t="str">
        <f ca="1">IF($D49="","",'ריכוז נתונים'!AP49+'ריכוז נתונים'!AQ49+'ריכוז נתונים'!AS49+'ריכוז נתונים'!AU49+'ריכוז נתונים'!AW49+'ריכוז נתונים'!AY49)</f>
        <v/>
      </c>
      <c r="J49" s="108" t="str">
        <f ca="1">IF($D49="","",IF(INDIRECT("'"&amp;$D49&amp;"'!"&amp;'גיליון עזר'!$I$1&amp;ROW('מרכז מורשת בבל'!$C$11))="",0,פרמטרים!$C$3-INDIRECT("'"&amp;$D49&amp;"'!"&amp;'גיליון עזר'!$I$1&amp;ROW('מרכז מורשת בבל'!$C$11))))</f>
        <v/>
      </c>
      <c r="K49" s="108" t="str">
        <f ca="1">IF($D49="","",IF(INDIRECT("'"&amp;$D49&amp;"'!"&amp;'גיליון עזר'!$K$1&amp;ROW('מרכז מורשת בבל'!$C$11))="","",INDIRECT("'"&amp;$D49&amp;"'!"&amp;'גיליון עזר'!$K$1&amp;ROW('מרכז מורשת בבל'!$C$11))))</f>
        <v/>
      </c>
      <c r="L49" s="108" t="str">
        <f t="shared" ca="1" si="8"/>
        <v/>
      </c>
      <c r="M49" s="131" t="str">
        <f ca="1">IF($D49="","",IFERROR(O49/פרמטרים!$C$5,""))</f>
        <v/>
      </c>
      <c r="N49" s="5"/>
      <c r="O49" s="96">
        <f>'סיכום לועדה- הזנת נתונים'!N63</f>
        <v>0</v>
      </c>
      <c r="P49" s="35" t="str">
        <f ca="1">IF($D49="","",INDIRECT("'"&amp;$D49&amp;"'!"&amp;'גיליון עזר'!$G$1&amp;ROW('מרכז מורשת בבל'!$J$8)))</f>
        <v/>
      </c>
      <c r="Q49" s="5"/>
      <c r="R49" s="134" t="str">
        <f ca="1">IF($D49="","",INDIRECT("'"&amp;$D49&amp;"'!"&amp;'גיליון עזר'!$I$1&amp;ROW('מרכז מורשת בבל'!$L$8)))</f>
        <v/>
      </c>
      <c r="S49" s="5"/>
      <c r="T49" s="36" t="str">
        <f ca="1">IF($D49="","",IFERROR(INDIRECT("'"&amp;$D49&amp;"'!"&amp;'גיליון עזר'!$K$1&amp;ROW('מרכז מורשת בבל'!$N$8))/F49,""))</f>
        <v/>
      </c>
      <c r="U49" s="35"/>
      <c r="V49" s="36" t="str">
        <f ca="1">IF($D49="","",IFERROR(INDIRECT("'"&amp;$D49&amp;"'!"&amp;'גיליון עזר'!$M$1&amp;ROW('מרכז מורשת בבל'!$P$8))/F49,""))</f>
        <v/>
      </c>
      <c r="W49" s="103"/>
      <c r="X49" s="109" t="str">
        <f ca="1">IF($D49="","",IF(AND(AA49="כן",'תנאי סף'!AX43=1),"כן","לא"))</f>
        <v/>
      </c>
      <c r="Y49" s="1" t="str">
        <f t="shared" ca="1" si="9"/>
        <v/>
      </c>
      <c r="Z49" s="1" t="str">
        <f t="shared" ca="1" si="9"/>
        <v/>
      </c>
      <c r="AA49" s="12" t="str">
        <f t="shared" ca="1" si="10"/>
        <v>לא</v>
      </c>
      <c r="AB49" s="223" t="str">
        <f t="shared" ref="AB49:AB76" ca="1" si="15">IF($D49="","",IF(M49&gt;=0,M49,$AB$15))</f>
        <v/>
      </c>
      <c r="AC49" s="1" t="str">
        <f t="shared" ca="1" si="11"/>
        <v/>
      </c>
      <c r="AD49" s="1" t="str">
        <f t="shared" ca="1" si="11"/>
        <v/>
      </c>
      <c r="AE49" s="105" t="str">
        <f ca="1">IF($D49="","",IF(G49&gt;פרמטרים!$D$22,1,IF(E49&gt;=AE$16,1,0)))</f>
        <v/>
      </c>
      <c r="AF49" s="105" t="str">
        <f t="shared" ca="1" si="12"/>
        <v/>
      </c>
      <c r="AG49" s="105" t="str">
        <f t="shared" ref="AG49:AG76" ca="1" si="16">IF($D49="","",IF(I49&gt;=AG$16,1,0))</f>
        <v/>
      </c>
      <c r="AH49" s="105" t="str">
        <f t="shared" ref="AH49:AH76" ca="1" si="17">IF($D49="","",IF(J49&gt;=AH$16,1,0))</f>
        <v/>
      </c>
      <c r="AI49" s="105" t="str">
        <f t="shared" ref="AI49:AI76" ca="1" si="18">IF($D49="","",IF(K49=AI$16,1,0))</f>
        <v/>
      </c>
      <c r="AJ49" s="3" t="str">
        <f t="shared" ref="AJ49:AJ76" ca="1" si="19">IF($D49="","",IF(R49="",$AB$15,IF(ISERR(R49/3),$AB$15,R49)))</f>
        <v/>
      </c>
      <c r="AK49" s="3" t="str">
        <f t="shared" ref="AK49:AK76" ca="1" si="20">IFERROR(IF(AJ49=$AB$15,AJ49,IF(P49=$AD$16,0,1)*AJ49),"")</f>
        <v/>
      </c>
      <c r="AL49" s="12" t="str">
        <f t="shared" ca="1" si="13"/>
        <v/>
      </c>
      <c r="AM49" s="12" t="str">
        <f t="shared" ca="1" si="14"/>
        <v/>
      </c>
      <c r="AN49" t="str">
        <f t="shared" ref="AN49:AN76" ca="1" si="21">IF(D49="","",AN$16)</f>
        <v/>
      </c>
      <c r="AO49" t="str">
        <f t="shared" ref="AO49:AO78" ca="1" si="22">IF(X49="","",AO$16)</f>
        <v/>
      </c>
    </row>
    <row r="50" spans="1:41" hidden="1" x14ac:dyDescent="0.25">
      <c r="A50" t="str">
        <f ca="1">IF(AND(LEFT(B50,11)&lt;&gt;"גיליון הזנה",INDIRECT("'"&amp;$B50&amp;"'!"&amp;'גיליון עזר'!$I$1&amp;ROW('מרכז מורשת בבל'!$I$3))=""),"חסרה הזנה","")</f>
        <v/>
      </c>
      <c r="B50" t="str">
        <f ca="1">'גיליון הזנה 34'!$D$3</f>
        <v>גיליון הזנה 34</v>
      </c>
      <c r="C50" s="7">
        <f>'ריכוז נתונים'!C50</f>
        <v>34</v>
      </c>
      <c r="D50" s="7" t="str">
        <f ca="1">IF(OR(LEFT(B50,11)="גיליון הזנה",INDIRECT("'"&amp;$B50&amp;"'!"&amp;'גיליון עזר'!$I$1&amp;ROW('מרכז מורשת בבל'!$I$3))=0),"",B50)</f>
        <v/>
      </c>
      <c r="E50" s="106" t="str">
        <f ca="1">IF($D50="","",IFERROR(INDIRECT("'"&amp;$D50&amp;"'!"&amp;'גיליון עזר'!$H$1&amp;ROW('מרכז מורשת בבל'!$C$11))/INDIRECT("'"&amp;$D50&amp;"'!"&amp;'גיליון עזר'!$G$1&amp;ROW('מרכז מורשת בבל'!$C$11)),0))</f>
        <v/>
      </c>
      <c r="F50" s="107" t="str">
        <f ca="1">IF($D50="","",INDIRECT("'"&amp;$D50&amp;"'!"&amp;'גיליון עזר'!$C$1&amp;ROW('מרכז מורשת בבל'!$C$11)))</f>
        <v/>
      </c>
      <c r="G50" s="129" t="str">
        <f ca="1">IF($D50="","",INDIRECT("'"&amp;$D50&amp;"'!"&amp;'גיליון עזר'!$E$1&amp;ROW('מרכז מורשת בבל'!$C$11)))</f>
        <v/>
      </c>
      <c r="H50" s="128" t="str">
        <f ca="1">IF($D50="","",INDIRECT("'"&amp;$D50&amp;"'!"&amp;'גיליון עזר'!$F$1&amp;ROW('מרכז מורשת בבל'!$C$11)))</f>
        <v/>
      </c>
      <c r="I50" s="108" t="str">
        <f ca="1">IF($D50="","",'ריכוז נתונים'!AP50+'ריכוז נתונים'!AQ50+'ריכוז נתונים'!AS50+'ריכוז נתונים'!AU50+'ריכוז נתונים'!AW50+'ריכוז נתונים'!AY50)</f>
        <v/>
      </c>
      <c r="J50" s="108" t="str">
        <f ca="1">IF($D50="","",IF(INDIRECT("'"&amp;$D50&amp;"'!"&amp;'גיליון עזר'!$I$1&amp;ROW('מרכז מורשת בבל'!$C$11))="",0,פרמטרים!$C$3-INDIRECT("'"&amp;$D50&amp;"'!"&amp;'גיליון עזר'!$I$1&amp;ROW('מרכז מורשת בבל'!$C$11))))</f>
        <v/>
      </c>
      <c r="K50" s="108" t="str">
        <f ca="1">IF($D50="","",IF(INDIRECT("'"&amp;$D50&amp;"'!"&amp;'גיליון עזר'!$K$1&amp;ROW('מרכז מורשת בבל'!$C$11))="","",INDIRECT("'"&amp;$D50&amp;"'!"&amp;'גיליון עזר'!$K$1&amp;ROW('מרכז מורשת בבל'!$C$11))))</f>
        <v/>
      </c>
      <c r="L50" s="108" t="str">
        <f t="shared" ca="1" si="8"/>
        <v/>
      </c>
      <c r="M50" s="131" t="str">
        <f ca="1">IF($D50="","",IFERROR(O50/פרמטרים!$C$5,""))</f>
        <v/>
      </c>
      <c r="N50" s="5"/>
      <c r="O50" s="96">
        <f>'סיכום לועדה- הזנת נתונים'!N64</f>
        <v>0</v>
      </c>
      <c r="P50" s="35" t="str">
        <f ca="1">IF($D50="","",INDIRECT("'"&amp;$D50&amp;"'!"&amp;'גיליון עזר'!$G$1&amp;ROW('מרכז מורשת בבל'!$J$8)))</f>
        <v/>
      </c>
      <c r="Q50" s="5"/>
      <c r="R50" s="134" t="str">
        <f ca="1">IF($D50="","",INDIRECT("'"&amp;$D50&amp;"'!"&amp;'גיליון עזר'!$I$1&amp;ROW('מרכז מורשת בבל'!$L$8)))</f>
        <v/>
      </c>
      <c r="S50" s="5"/>
      <c r="T50" s="36" t="str">
        <f ca="1">IF($D50="","",IFERROR(INDIRECT("'"&amp;$D50&amp;"'!"&amp;'גיליון עזר'!$K$1&amp;ROW('מרכז מורשת בבל'!$N$8))/F50,""))</f>
        <v/>
      </c>
      <c r="U50" s="35"/>
      <c r="V50" s="36" t="str">
        <f ca="1">IF($D50="","",IFERROR(INDIRECT("'"&amp;$D50&amp;"'!"&amp;'גיליון עזר'!$M$1&amp;ROW('מרכז מורשת בבל'!$P$8))/F50,""))</f>
        <v/>
      </c>
      <c r="W50" s="103"/>
      <c r="X50" s="109" t="str">
        <f ca="1">IF($D50="","",IF(AND(AA50="כן",'תנאי סף'!AX44=1),"כן","לא"))</f>
        <v/>
      </c>
      <c r="Y50" s="1" t="str">
        <f t="shared" ca="1" si="9"/>
        <v/>
      </c>
      <c r="Z50" s="1" t="str">
        <f t="shared" ca="1" si="9"/>
        <v/>
      </c>
      <c r="AA50" s="12" t="str">
        <f t="shared" ca="1" si="10"/>
        <v>לא</v>
      </c>
      <c r="AB50" s="223" t="str">
        <f t="shared" ca="1" si="15"/>
        <v/>
      </c>
      <c r="AC50" s="1" t="str">
        <f t="shared" ca="1" si="11"/>
        <v/>
      </c>
      <c r="AD50" s="1" t="str">
        <f t="shared" ca="1" si="11"/>
        <v/>
      </c>
      <c r="AE50" s="105" t="str">
        <f ca="1">IF($D50="","",IF(G50&gt;פרמטרים!$D$22,1,IF(E50&gt;=AE$16,1,0)))</f>
        <v/>
      </c>
      <c r="AF50" s="105" t="str">
        <f t="shared" ca="1" si="12"/>
        <v/>
      </c>
      <c r="AG50" s="105" t="str">
        <f t="shared" ca="1" si="16"/>
        <v/>
      </c>
      <c r="AH50" s="105" t="str">
        <f t="shared" ca="1" si="17"/>
        <v/>
      </c>
      <c r="AI50" s="105" t="str">
        <f t="shared" ca="1" si="18"/>
        <v/>
      </c>
      <c r="AJ50" s="3" t="str">
        <f t="shared" ca="1" si="19"/>
        <v/>
      </c>
      <c r="AK50" s="3" t="str">
        <f t="shared" ca="1" si="20"/>
        <v/>
      </c>
      <c r="AL50" s="12" t="str">
        <f t="shared" ca="1" si="13"/>
        <v/>
      </c>
      <c r="AM50" s="12" t="str">
        <f t="shared" ca="1" si="14"/>
        <v/>
      </c>
      <c r="AN50" t="str">
        <f t="shared" ca="1" si="21"/>
        <v/>
      </c>
      <c r="AO50" t="str">
        <f t="shared" ca="1" si="22"/>
        <v/>
      </c>
    </row>
    <row r="51" spans="1:41" hidden="1" x14ac:dyDescent="0.25">
      <c r="A51" t="str">
        <f ca="1">IF(AND(LEFT(B51,11)&lt;&gt;"גיליון הזנה",INDIRECT("'"&amp;$B51&amp;"'!"&amp;'גיליון עזר'!$I$1&amp;ROW('מרכז מורשת בבל'!$I$3))=""),"חסרה הזנה","")</f>
        <v/>
      </c>
      <c r="B51" t="str">
        <f ca="1">'גיליון הזנה 35'!$D$3</f>
        <v>גיליון הזנה 35</v>
      </c>
      <c r="C51" s="7">
        <f>'ריכוז נתונים'!C51</f>
        <v>35</v>
      </c>
      <c r="D51" s="7" t="str">
        <f ca="1">IF(OR(LEFT(B51,11)="גיליון הזנה",INDIRECT("'"&amp;$B51&amp;"'!"&amp;'גיליון עזר'!$I$1&amp;ROW('מרכז מורשת בבל'!$I$3))=0),"",B51)</f>
        <v/>
      </c>
      <c r="E51" s="106" t="str">
        <f ca="1">IF($D51="","",IFERROR(INDIRECT("'"&amp;$D51&amp;"'!"&amp;'גיליון עזר'!$H$1&amp;ROW('מרכז מורשת בבל'!$C$11))/INDIRECT("'"&amp;$D51&amp;"'!"&amp;'גיליון עזר'!$G$1&amp;ROW('מרכז מורשת בבל'!$C$11)),0))</f>
        <v/>
      </c>
      <c r="F51" s="107" t="str">
        <f ca="1">IF($D51="","",INDIRECT("'"&amp;$D51&amp;"'!"&amp;'גיליון עזר'!$C$1&amp;ROW('מרכז מורשת בבל'!$C$11)))</f>
        <v/>
      </c>
      <c r="G51" s="129" t="str">
        <f ca="1">IF($D51="","",INDIRECT("'"&amp;$D51&amp;"'!"&amp;'גיליון עזר'!$E$1&amp;ROW('מרכז מורשת בבל'!$C$11)))</f>
        <v/>
      </c>
      <c r="H51" s="128" t="str">
        <f ca="1">IF($D51="","",INDIRECT("'"&amp;$D51&amp;"'!"&amp;'גיליון עזר'!$F$1&amp;ROW('מרכז מורשת בבל'!$C$11)))</f>
        <v/>
      </c>
      <c r="I51" s="108" t="str">
        <f ca="1">IF($D51="","",'ריכוז נתונים'!AP51+'ריכוז נתונים'!AQ51+'ריכוז נתונים'!AS51+'ריכוז נתונים'!AU51+'ריכוז נתונים'!AW51+'ריכוז נתונים'!AY51)</f>
        <v/>
      </c>
      <c r="J51" s="108" t="str">
        <f ca="1">IF($D51="","",IF(INDIRECT("'"&amp;$D51&amp;"'!"&amp;'גיליון עזר'!$I$1&amp;ROW('מרכז מורשת בבל'!$C$11))="",0,פרמטרים!$C$3-INDIRECT("'"&amp;$D51&amp;"'!"&amp;'גיליון עזר'!$I$1&amp;ROW('מרכז מורשת בבל'!$C$11))))</f>
        <v/>
      </c>
      <c r="K51" s="108" t="str">
        <f ca="1">IF($D51="","",IF(INDIRECT("'"&amp;$D51&amp;"'!"&amp;'גיליון עזר'!$K$1&amp;ROW('מרכז מורשת בבל'!$C$11))="","",INDIRECT("'"&amp;$D51&amp;"'!"&amp;'גיליון עזר'!$K$1&amp;ROW('מרכז מורשת בבל'!$C$11))))</f>
        <v/>
      </c>
      <c r="L51" s="108" t="str">
        <f t="shared" ca="1" si="8"/>
        <v/>
      </c>
      <c r="M51" s="131" t="str">
        <f ca="1">IF($D51="","",IFERROR(O51/פרמטרים!$C$5,""))</f>
        <v/>
      </c>
      <c r="N51" s="5"/>
      <c r="O51" s="96">
        <f>'סיכום לועדה- הזנת נתונים'!N65</f>
        <v>0</v>
      </c>
      <c r="P51" s="35" t="str">
        <f ca="1">IF($D51="","",INDIRECT("'"&amp;$D51&amp;"'!"&amp;'גיליון עזר'!$G$1&amp;ROW('מרכז מורשת בבל'!$J$8)))</f>
        <v/>
      </c>
      <c r="Q51" s="5"/>
      <c r="R51" s="134" t="str">
        <f ca="1">IF($D51="","",INDIRECT("'"&amp;$D51&amp;"'!"&amp;'גיליון עזר'!$I$1&amp;ROW('מרכז מורשת בבל'!$L$8)))</f>
        <v/>
      </c>
      <c r="S51" s="5"/>
      <c r="T51" s="36" t="str">
        <f ca="1">IF($D51="","",IFERROR(INDIRECT("'"&amp;$D51&amp;"'!"&amp;'גיליון עזר'!$K$1&amp;ROW('מרכז מורשת בבל'!$N$8))/F51,""))</f>
        <v/>
      </c>
      <c r="U51" s="35"/>
      <c r="V51" s="36" t="str">
        <f ca="1">IF($D51="","",IFERROR(INDIRECT("'"&amp;$D51&amp;"'!"&amp;'גיליון עזר'!$M$1&amp;ROW('מרכז מורשת בבל'!$P$8))/F51,""))</f>
        <v/>
      </c>
      <c r="W51" s="103"/>
      <c r="X51" s="109" t="str">
        <f ca="1">IF($D51="","",IF(AND(AA51="כן",'תנאי סף'!AX45=1),"כן","לא"))</f>
        <v/>
      </c>
      <c r="Y51" s="1" t="str">
        <f t="shared" ca="1" si="9"/>
        <v/>
      </c>
      <c r="Z51" s="1" t="str">
        <f t="shared" ca="1" si="9"/>
        <v/>
      </c>
      <c r="AA51" s="12" t="str">
        <f t="shared" ca="1" si="10"/>
        <v>לא</v>
      </c>
      <c r="AB51" s="223" t="str">
        <f t="shared" ca="1" si="15"/>
        <v/>
      </c>
      <c r="AC51" s="1" t="str">
        <f t="shared" ca="1" si="11"/>
        <v/>
      </c>
      <c r="AD51" s="1" t="str">
        <f t="shared" ca="1" si="11"/>
        <v/>
      </c>
      <c r="AE51" s="105" t="str">
        <f ca="1">IF($D51="","",IF(G51&gt;פרמטרים!$D$22,1,IF(E51&gt;=AE$16,1,0)))</f>
        <v/>
      </c>
      <c r="AF51" s="105" t="str">
        <f t="shared" ca="1" si="12"/>
        <v/>
      </c>
      <c r="AG51" s="105" t="str">
        <f t="shared" ca="1" si="16"/>
        <v/>
      </c>
      <c r="AH51" s="105" t="str">
        <f t="shared" ca="1" si="17"/>
        <v/>
      </c>
      <c r="AI51" s="105" t="str">
        <f t="shared" ca="1" si="18"/>
        <v/>
      </c>
      <c r="AJ51" s="3" t="str">
        <f t="shared" ca="1" si="19"/>
        <v/>
      </c>
      <c r="AK51" s="3" t="str">
        <f t="shared" ca="1" si="20"/>
        <v/>
      </c>
      <c r="AL51" s="12" t="str">
        <f t="shared" ca="1" si="13"/>
        <v/>
      </c>
      <c r="AM51" s="12" t="str">
        <f t="shared" ca="1" si="14"/>
        <v/>
      </c>
      <c r="AN51" t="str">
        <f t="shared" ca="1" si="21"/>
        <v/>
      </c>
      <c r="AO51" t="str">
        <f t="shared" ca="1" si="22"/>
        <v/>
      </c>
    </row>
    <row r="52" spans="1:41" hidden="1" x14ac:dyDescent="0.25">
      <c r="A52" t="str">
        <f ca="1">IF(AND(LEFT(B52,11)&lt;&gt;"גיליון הזנה",INDIRECT("'"&amp;$B52&amp;"'!"&amp;'גיליון עזר'!$I$1&amp;ROW('מרכז מורשת בבל'!$I$3))=""),"חסרה הזנה","")</f>
        <v/>
      </c>
      <c r="B52" t="str">
        <f ca="1">'גיליון הזנה 36'!$D$3</f>
        <v>גיליון הזנה 36</v>
      </c>
      <c r="C52" s="7">
        <f>'ריכוז נתונים'!C52</f>
        <v>36</v>
      </c>
      <c r="D52" s="7" t="str">
        <f ca="1">IF(OR(LEFT(B52,11)="גיליון הזנה",INDIRECT("'"&amp;$B52&amp;"'!"&amp;'גיליון עזר'!$I$1&amp;ROW('מרכז מורשת בבל'!$I$3))=0),"",B52)</f>
        <v/>
      </c>
      <c r="E52" s="106" t="str">
        <f ca="1">IF($D52="","",IFERROR(INDIRECT("'"&amp;$D52&amp;"'!"&amp;'גיליון עזר'!$H$1&amp;ROW('מרכז מורשת בבל'!$C$11))/INDIRECT("'"&amp;$D52&amp;"'!"&amp;'גיליון עזר'!$G$1&amp;ROW('מרכז מורשת בבל'!$C$11)),0))</f>
        <v/>
      </c>
      <c r="F52" s="107" t="str">
        <f ca="1">IF($D52="","",INDIRECT("'"&amp;$D52&amp;"'!"&amp;'גיליון עזר'!$C$1&amp;ROW('מרכז מורשת בבל'!$C$11)))</f>
        <v/>
      </c>
      <c r="G52" s="129" t="str">
        <f ca="1">IF($D52="","",INDIRECT("'"&amp;$D52&amp;"'!"&amp;'גיליון עזר'!$E$1&amp;ROW('מרכז מורשת בבל'!$C$11)))</f>
        <v/>
      </c>
      <c r="H52" s="128" t="str">
        <f ca="1">IF($D52="","",INDIRECT("'"&amp;$D52&amp;"'!"&amp;'גיליון עזר'!$F$1&amp;ROW('מרכז מורשת בבל'!$C$11)))</f>
        <v/>
      </c>
      <c r="I52" s="108" t="str">
        <f ca="1">IF($D52="","",'ריכוז נתונים'!AP52+'ריכוז נתונים'!AQ52+'ריכוז נתונים'!AS52+'ריכוז נתונים'!AU52+'ריכוז נתונים'!AW52+'ריכוז נתונים'!AY52)</f>
        <v/>
      </c>
      <c r="J52" s="108" t="str">
        <f ca="1">IF($D52="","",IF(INDIRECT("'"&amp;$D52&amp;"'!"&amp;'גיליון עזר'!$I$1&amp;ROW('מרכז מורשת בבל'!$C$11))="",0,פרמטרים!$C$3-INDIRECT("'"&amp;$D52&amp;"'!"&amp;'גיליון עזר'!$I$1&amp;ROW('מרכז מורשת בבל'!$C$11))))</f>
        <v/>
      </c>
      <c r="K52" s="108" t="str">
        <f ca="1">IF($D52="","",IF(INDIRECT("'"&amp;$D52&amp;"'!"&amp;'גיליון עזר'!$K$1&amp;ROW('מרכז מורשת בבל'!$C$11))="","",INDIRECT("'"&amp;$D52&amp;"'!"&amp;'גיליון עזר'!$K$1&amp;ROW('מרכז מורשת בבל'!$C$11))))</f>
        <v/>
      </c>
      <c r="L52" s="108" t="str">
        <f t="shared" ca="1" si="8"/>
        <v/>
      </c>
      <c r="M52" s="131" t="str">
        <f ca="1">IF($D52="","",IFERROR(O52/פרמטרים!$C$5,""))</f>
        <v/>
      </c>
      <c r="N52" s="5"/>
      <c r="O52" s="96">
        <f>'סיכום לועדה- הזנת נתונים'!N66</f>
        <v>0</v>
      </c>
      <c r="P52" s="35" t="str">
        <f ca="1">IF($D52="","",INDIRECT("'"&amp;$D52&amp;"'!"&amp;'גיליון עזר'!$G$1&amp;ROW('מרכז מורשת בבל'!$J$8)))</f>
        <v/>
      </c>
      <c r="Q52" s="5"/>
      <c r="R52" s="134" t="str">
        <f ca="1">IF($D52="","",INDIRECT("'"&amp;$D52&amp;"'!"&amp;'גיליון עזר'!$I$1&amp;ROW('מרכז מורשת בבל'!$L$8)))</f>
        <v/>
      </c>
      <c r="S52" s="5"/>
      <c r="T52" s="36" t="str">
        <f ca="1">IF($D52="","",IFERROR(INDIRECT("'"&amp;$D52&amp;"'!"&amp;'גיליון עזר'!$K$1&amp;ROW('מרכז מורשת בבל'!$N$8))/F52,""))</f>
        <v/>
      </c>
      <c r="U52" s="35"/>
      <c r="V52" s="36" t="str">
        <f ca="1">IF($D52="","",IFERROR(INDIRECT("'"&amp;$D52&amp;"'!"&amp;'גיליון עזר'!$M$1&amp;ROW('מרכז מורשת בבל'!$P$8))/F52,""))</f>
        <v/>
      </c>
      <c r="W52" s="103"/>
      <c r="X52" s="109" t="str">
        <f ca="1">IF($D52="","",IF(AND(AA52="כן",'תנאי סף'!AX46=1),"כן","לא"))</f>
        <v/>
      </c>
      <c r="Y52" s="1" t="str">
        <f t="shared" ca="1" si="9"/>
        <v/>
      </c>
      <c r="Z52" s="1" t="str">
        <f t="shared" ca="1" si="9"/>
        <v/>
      </c>
      <c r="AA52" s="12" t="str">
        <f t="shared" ca="1" si="10"/>
        <v>לא</v>
      </c>
      <c r="AB52" s="223" t="str">
        <f t="shared" ca="1" si="15"/>
        <v/>
      </c>
      <c r="AC52" s="1" t="str">
        <f t="shared" ca="1" si="11"/>
        <v/>
      </c>
      <c r="AD52" s="1" t="str">
        <f t="shared" ca="1" si="11"/>
        <v/>
      </c>
      <c r="AE52" s="105" t="str">
        <f ca="1">IF($D52="","",IF(G52&gt;פרמטרים!$D$22,1,IF(E52&gt;=AE$16,1,0)))</f>
        <v/>
      </c>
      <c r="AF52" s="105" t="str">
        <f t="shared" ca="1" si="12"/>
        <v/>
      </c>
      <c r="AG52" s="105" t="str">
        <f t="shared" ca="1" si="16"/>
        <v/>
      </c>
      <c r="AH52" s="105" t="str">
        <f t="shared" ca="1" si="17"/>
        <v/>
      </c>
      <c r="AI52" s="105" t="str">
        <f t="shared" ca="1" si="18"/>
        <v/>
      </c>
      <c r="AJ52" s="3" t="str">
        <f t="shared" ca="1" si="19"/>
        <v/>
      </c>
      <c r="AK52" s="3" t="str">
        <f t="shared" ca="1" si="20"/>
        <v/>
      </c>
      <c r="AL52" s="12" t="str">
        <f t="shared" ca="1" si="13"/>
        <v/>
      </c>
      <c r="AM52" s="12" t="str">
        <f t="shared" ca="1" si="14"/>
        <v/>
      </c>
      <c r="AN52" t="str">
        <f t="shared" ca="1" si="21"/>
        <v/>
      </c>
      <c r="AO52" t="str">
        <f t="shared" ca="1" si="22"/>
        <v/>
      </c>
    </row>
    <row r="53" spans="1:41" hidden="1" x14ac:dyDescent="0.25">
      <c r="A53" t="str">
        <f ca="1">IF(AND(LEFT(B53,11)&lt;&gt;"גיליון הזנה",INDIRECT("'"&amp;$B53&amp;"'!"&amp;'גיליון עזר'!$I$1&amp;ROW('מרכז מורשת בבל'!$I$3))=""),"חסרה הזנה","")</f>
        <v/>
      </c>
      <c r="B53" t="str">
        <f ca="1">'גיליון הזנה 37'!$D$3</f>
        <v>גיליון הזנה 37</v>
      </c>
      <c r="C53" s="7">
        <f>'ריכוז נתונים'!C53</f>
        <v>37</v>
      </c>
      <c r="D53" s="7" t="str">
        <f ca="1">IF(OR(LEFT(B53,11)="גיליון הזנה",INDIRECT("'"&amp;$B53&amp;"'!"&amp;'גיליון עזר'!$I$1&amp;ROW('מרכז מורשת בבל'!$I$3))=0),"",B53)</f>
        <v/>
      </c>
      <c r="E53" s="106" t="str">
        <f ca="1">IF($D53="","",IFERROR(INDIRECT("'"&amp;$D53&amp;"'!"&amp;'גיליון עזר'!$H$1&amp;ROW('מרכז מורשת בבל'!$C$11))/INDIRECT("'"&amp;$D53&amp;"'!"&amp;'גיליון עזר'!$G$1&amp;ROW('מרכז מורשת בבל'!$C$11)),0))</f>
        <v/>
      </c>
      <c r="F53" s="107" t="str">
        <f ca="1">IF($D53="","",INDIRECT("'"&amp;$D53&amp;"'!"&amp;'גיליון עזר'!$C$1&amp;ROW('מרכז מורשת בבל'!$C$11)))</f>
        <v/>
      </c>
      <c r="G53" s="129" t="str">
        <f ca="1">IF($D53="","",INDIRECT("'"&amp;$D53&amp;"'!"&amp;'גיליון עזר'!$E$1&amp;ROW('מרכז מורשת בבל'!$C$11)))</f>
        <v/>
      </c>
      <c r="H53" s="128" t="str">
        <f ca="1">IF($D53="","",INDIRECT("'"&amp;$D53&amp;"'!"&amp;'גיליון עזר'!$F$1&amp;ROW('מרכז מורשת בבל'!$C$11)))</f>
        <v/>
      </c>
      <c r="I53" s="108" t="str">
        <f ca="1">IF($D53="","",'ריכוז נתונים'!AP53+'ריכוז נתונים'!AQ53+'ריכוז נתונים'!AS53+'ריכוז נתונים'!AU53+'ריכוז נתונים'!AW53+'ריכוז נתונים'!AY53)</f>
        <v/>
      </c>
      <c r="J53" s="108" t="str">
        <f ca="1">IF($D53="","",IF(INDIRECT("'"&amp;$D53&amp;"'!"&amp;'גיליון עזר'!$I$1&amp;ROW('מרכז מורשת בבל'!$C$11))="",0,פרמטרים!$C$3-INDIRECT("'"&amp;$D53&amp;"'!"&amp;'גיליון עזר'!$I$1&amp;ROW('מרכז מורשת בבל'!$C$11))))</f>
        <v/>
      </c>
      <c r="K53" s="108" t="str">
        <f ca="1">IF($D53="","",IF(INDIRECT("'"&amp;$D53&amp;"'!"&amp;'גיליון עזר'!$K$1&amp;ROW('מרכז מורשת בבל'!$C$11))="","",INDIRECT("'"&amp;$D53&amp;"'!"&amp;'גיליון עזר'!$K$1&amp;ROW('מרכז מורשת בבל'!$C$11))))</f>
        <v/>
      </c>
      <c r="L53" s="108" t="str">
        <f t="shared" ca="1" si="8"/>
        <v/>
      </c>
      <c r="M53" s="131" t="str">
        <f ca="1">IF($D53="","",IFERROR(O53/פרמטרים!$C$5,""))</f>
        <v/>
      </c>
      <c r="N53" s="5"/>
      <c r="O53" s="96">
        <f>'סיכום לועדה- הזנת נתונים'!N67</f>
        <v>0</v>
      </c>
      <c r="P53" s="35" t="str">
        <f ca="1">IF($D53="","",INDIRECT("'"&amp;$D53&amp;"'!"&amp;'גיליון עזר'!$G$1&amp;ROW('מרכז מורשת בבל'!$J$8)))</f>
        <v/>
      </c>
      <c r="Q53" s="5"/>
      <c r="R53" s="134" t="str">
        <f ca="1">IF($D53="","",INDIRECT("'"&amp;$D53&amp;"'!"&amp;'גיליון עזר'!$I$1&amp;ROW('מרכז מורשת בבל'!$L$8)))</f>
        <v/>
      </c>
      <c r="S53" s="5"/>
      <c r="T53" s="36" t="str">
        <f ca="1">IF($D53="","",IFERROR(INDIRECT("'"&amp;$D53&amp;"'!"&amp;'גיליון עזר'!$K$1&amp;ROW('מרכז מורשת בבל'!$N$8))/F53,""))</f>
        <v/>
      </c>
      <c r="U53" s="35"/>
      <c r="V53" s="36" t="str">
        <f ca="1">IF($D53="","",IFERROR(INDIRECT("'"&amp;$D53&amp;"'!"&amp;'גיליון עזר'!$M$1&amp;ROW('מרכז מורשת בבל'!$P$8))/F53,""))</f>
        <v/>
      </c>
      <c r="W53" s="103"/>
      <c r="X53" s="109" t="str">
        <f ca="1">IF($D53="","",IF(AND(AA53="כן",'תנאי סף'!AX47=1),"כן","לא"))</f>
        <v/>
      </c>
      <c r="Y53" s="1" t="str">
        <f t="shared" ca="1" si="9"/>
        <v/>
      </c>
      <c r="Z53" s="1" t="str">
        <f t="shared" ca="1" si="9"/>
        <v/>
      </c>
      <c r="AA53" s="12" t="str">
        <f t="shared" ca="1" si="10"/>
        <v>לא</v>
      </c>
      <c r="AB53" s="223" t="str">
        <f t="shared" ca="1" si="15"/>
        <v/>
      </c>
      <c r="AC53" s="1" t="str">
        <f t="shared" ca="1" si="11"/>
        <v/>
      </c>
      <c r="AD53" s="1" t="str">
        <f t="shared" ca="1" si="11"/>
        <v/>
      </c>
      <c r="AE53" s="105" t="str">
        <f ca="1">IF($D53="","",IF(G53&gt;פרמטרים!$D$22,1,IF(E53&gt;=AE$16,1,0)))</f>
        <v/>
      </c>
      <c r="AF53" s="105" t="str">
        <f t="shared" ca="1" si="12"/>
        <v/>
      </c>
      <c r="AG53" s="105" t="str">
        <f t="shared" ca="1" si="16"/>
        <v/>
      </c>
      <c r="AH53" s="105" t="str">
        <f t="shared" ca="1" si="17"/>
        <v/>
      </c>
      <c r="AI53" s="105" t="str">
        <f t="shared" ca="1" si="18"/>
        <v/>
      </c>
      <c r="AJ53" s="3" t="str">
        <f t="shared" ca="1" si="19"/>
        <v/>
      </c>
      <c r="AK53" s="3" t="str">
        <f t="shared" ca="1" si="20"/>
        <v/>
      </c>
      <c r="AL53" s="12" t="str">
        <f t="shared" ca="1" si="13"/>
        <v/>
      </c>
      <c r="AM53" s="12" t="str">
        <f t="shared" ca="1" si="14"/>
        <v/>
      </c>
      <c r="AN53" t="str">
        <f t="shared" ca="1" si="21"/>
        <v/>
      </c>
      <c r="AO53" t="str">
        <f t="shared" ca="1" si="22"/>
        <v/>
      </c>
    </row>
    <row r="54" spans="1:41" hidden="1" x14ac:dyDescent="0.25">
      <c r="A54" t="str">
        <f ca="1">IF(AND(LEFT(B54,11)&lt;&gt;"גיליון הזנה",INDIRECT("'"&amp;$B54&amp;"'!"&amp;'גיליון עזר'!$I$1&amp;ROW('מרכז מורשת בבל'!$I$3))=""),"חסרה הזנה","")</f>
        <v/>
      </c>
      <c r="B54" t="str">
        <f ca="1">'גיליון הזנה 38'!$D$3</f>
        <v>גיליון הזנה 38</v>
      </c>
      <c r="C54" s="7">
        <f>'ריכוז נתונים'!C54</f>
        <v>38</v>
      </c>
      <c r="D54" s="7" t="str">
        <f ca="1">IF(OR(LEFT(B54,11)="גיליון הזנה",INDIRECT("'"&amp;$B54&amp;"'!"&amp;'גיליון עזר'!$I$1&amp;ROW('מרכז מורשת בבל'!$I$3))=0),"",B54)</f>
        <v/>
      </c>
      <c r="E54" s="106" t="str">
        <f ca="1">IF($D54="","",IFERROR(INDIRECT("'"&amp;$D54&amp;"'!"&amp;'גיליון עזר'!$H$1&amp;ROW('מרכז מורשת בבל'!$C$11))/INDIRECT("'"&amp;$D54&amp;"'!"&amp;'גיליון עזר'!$G$1&amp;ROW('מרכז מורשת בבל'!$C$11)),0))</f>
        <v/>
      </c>
      <c r="F54" s="107" t="str">
        <f ca="1">IF($D54="","",INDIRECT("'"&amp;$D54&amp;"'!"&amp;'גיליון עזר'!$C$1&amp;ROW('מרכז מורשת בבל'!$C$11)))</f>
        <v/>
      </c>
      <c r="G54" s="129" t="str">
        <f ca="1">IF($D54="","",INDIRECT("'"&amp;$D54&amp;"'!"&amp;'גיליון עזר'!$E$1&amp;ROW('מרכז מורשת בבל'!$C$11)))</f>
        <v/>
      </c>
      <c r="H54" s="128" t="str">
        <f ca="1">IF($D54="","",INDIRECT("'"&amp;$D54&amp;"'!"&amp;'גיליון עזר'!$F$1&amp;ROW('מרכז מורשת בבל'!$C$11)))</f>
        <v/>
      </c>
      <c r="I54" s="108" t="str">
        <f ca="1">IF($D54="","",'ריכוז נתונים'!AP54+'ריכוז נתונים'!AQ54+'ריכוז נתונים'!AS54+'ריכוז נתונים'!AU54+'ריכוז נתונים'!AW54+'ריכוז נתונים'!AY54)</f>
        <v/>
      </c>
      <c r="J54" s="108" t="str">
        <f ca="1">IF($D54="","",IF(INDIRECT("'"&amp;$D54&amp;"'!"&amp;'גיליון עזר'!$I$1&amp;ROW('מרכז מורשת בבל'!$C$11))="",0,פרמטרים!$C$3-INDIRECT("'"&amp;$D54&amp;"'!"&amp;'גיליון עזר'!$I$1&amp;ROW('מרכז מורשת בבל'!$C$11))))</f>
        <v/>
      </c>
      <c r="K54" s="108" t="str">
        <f ca="1">IF($D54="","",IF(INDIRECT("'"&amp;$D54&amp;"'!"&amp;'גיליון עזר'!$K$1&amp;ROW('מרכז מורשת בבל'!$C$11))="","",INDIRECT("'"&amp;$D54&amp;"'!"&amp;'גיליון עזר'!$K$1&amp;ROW('מרכז מורשת בבל'!$C$11))))</f>
        <v/>
      </c>
      <c r="L54" s="108" t="str">
        <f t="shared" ca="1" si="8"/>
        <v/>
      </c>
      <c r="M54" s="131" t="str">
        <f ca="1">IF($D54="","",IFERROR(O54/פרמטרים!$C$5,""))</f>
        <v/>
      </c>
      <c r="N54" s="5"/>
      <c r="O54" s="96">
        <f>'סיכום לועדה- הזנת נתונים'!N68</f>
        <v>0</v>
      </c>
      <c r="P54" s="35" t="str">
        <f ca="1">IF($D54="","",INDIRECT("'"&amp;$D54&amp;"'!"&amp;'גיליון עזר'!$G$1&amp;ROW('מרכז מורשת בבל'!$J$8)))</f>
        <v/>
      </c>
      <c r="Q54" s="5"/>
      <c r="R54" s="134" t="str">
        <f ca="1">IF($D54="","",INDIRECT("'"&amp;$D54&amp;"'!"&amp;'גיליון עזר'!$I$1&amp;ROW('מרכז מורשת בבל'!$L$8)))</f>
        <v/>
      </c>
      <c r="S54" s="5"/>
      <c r="T54" s="36" t="str">
        <f ca="1">IF($D54="","",IFERROR(INDIRECT("'"&amp;$D54&amp;"'!"&amp;'גיליון עזר'!$K$1&amp;ROW('מרכז מורשת בבל'!$N$8))/F54,""))</f>
        <v/>
      </c>
      <c r="U54" s="35"/>
      <c r="V54" s="36" t="str">
        <f ca="1">IF($D54="","",IFERROR(INDIRECT("'"&amp;$D54&amp;"'!"&amp;'גיליון עזר'!$M$1&amp;ROW('מרכז מורשת בבל'!$P$8))/F54,""))</f>
        <v/>
      </c>
      <c r="W54" s="103"/>
      <c r="X54" s="109" t="str">
        <f ca="1">IF($D54="","",IF(AND(AA54="כן",'תנאי סף'!AX48=1),"כן","לא"))</f>
        <v/>
      </c>
      <c r="Y54" s="1" t="str">
        <f t="shared" ca="1" si="9"/>
        <v/>
      </c>
      <c r="Z54" s="1" t="str">
        <f t="shared" ca="1" si="9"/>
        <v/>
      </c>
      <c r="AA54" s="12" t="str">
        <f t="shared" ca="1" si="10"/>
        <v>לא</v>
      </c>
      <c r="AB54" s="223" t="str">
        <f t="shared" ca="1" si="15"/>
        <v/>
      </c>
      <c r="AC54" s="1" t="str">
        <f t="shared" ca="1" si="11"/>
        <v/>
      </c>
      <c r="AD54" s="1" t="str">
        <f t="shared" ca="1" si="11"/>
        <v/>
      </c>
      <c r="AE54" s="105" t="str">
        <f ca="1">IF($D54="","",IF(G54&gt;פרמטרים!$D$22,1,IF(E54&gt;=AE$16,1,0)))</f>
        <v/>
      </c>
      <c r="AF54" s="105" t="str">
        <f t="shared" ca="1" si="12"/>
        <v/>
      </c>
      <c r="AG54" s="105" t="str">
        <f t="shared" ca="1" si="16"/>
        <v/>
      </c>
      <c r="AH54" s="105" t="str">
        <f t="shared" ca="1" si="17"/>
        <v/>
      </c>
      <c r="AI54" s="105" t="str">
        <f t="shared" ca="1" si="18"/>
        <v/>
      </c>
      <c r="AJ54" s="3" t="str">
        <f t="shared" ca="1" si="19"/>
        <v/>
      </c>
      <c r="AK54" s="3" t="str">
        <f t="shared" ca="1" si="20"/>
        <v/>
      </c>
      <c r="AL54" s="12" t="str">
        <f t="shared" ca="1" si="13"/>
        <v/>
      </c>
      <c r="AM54" s="12" t="str">
        <f t="shared" ca="1" si="14"/>
        <v/>
      </c>
      <c r="AN54" t="str">
        <f t="shared" ca="1" si="21"/>
        <v/>
      </c>
      <c r="AO54" t="str">
        <f t="shared" ca="1" si="22"/>
        <v/>
      </c>
    </row>
    <row r="55" spans="1:41" hidden="1" x14ac:dyDescent="0.25">
      <c r="A55" t="str">
        <f ca="1">IF(AND(LEFT(B55,11)&lt;&gt;"גיליון הזנה",INDIRECT("'"&amp;$B55&amp;"'!"&amp;'גיליון עזר'!$I$1&amp;ROW('מרכז מורשת בבל'!$I$3))=""),"חסרה הזנה","")</f>
        <v/>
      </c>
      <c r="B55" t="str">
        <f ca="1">'גיליון הזנה 39'!$D$3</f>
        <v>גיליון הזנה 39</v>
      </c>
      <c r="C55" s="7">
        <f>'ריכוז נתונים'!C55</f>
        <v>39</v>
      </c>
      <c r="D55" s="7" t="str">
        <f ca="1">IF(OR(LEFT(B55,11)="גיליון הזנה",INDIRECT("'"&amp;$B55&amp;"'!"&amp;'גיליון עזר'!$I$1&amp;ROW('מרכז מורשת בבל'!$I$3))=0),"",B55)</f>
        <v/>
      </c>
      <c r="E55" s="106" t="str">
        <f ca="1">IF($D55="","",IFERROR(INDIRECT("'"&amp;$D55&amp;"'!"&amp;'גיליון עזר'!$H$1&amp;ROW('מרכז מורשת בבל'!$C$11))/INDIRECT("'"&amp;$D55&amp;"'!"&amp;'גיליון עזר'!$G$1&amp;ROW('מרכז מורשת בבל'!$C$11)),0))</f>
        <v/>
      </c>
      <c r="F55" s="107" t="str">
        <f ca="1">IF($D55="","",INDIRECT("'"&amp;$D55&amp;"'!"&amp;'גיליון עזר'!$C$1&amp;ROW('מרכז מורשת בבל'!$C$11)))</f>
        <v/>
      </c>
      <c r="G55" s="129" t="str">
        <f ca="1">IF($D55="","",INDIRECT("'"&amp;$D55&amp;"'!"&amp;'גיליון עזר'!$E$1&amp;ROW('מרכז מורשת בבל'!$C$11)))</f>
        <v/>
      </c>
      <c r="H55" s="128" t="str">
        <f ca="1">IF($D55="","",INDIRECT("'"&amp;$D55&amp;"'!"&amp;'גיליון עזר'!$F$1&amp;ROW('מרכז מורשת בבל'!$C$11)))</f>
        <v/>
      </c>
      <c r="I55" s="108" t="str">
        <f ca="1">IF($D55="","",'ריכוז נתונים'!AP55+'ריכוז נתונים'!AQ55+'ריכוז נתונים'!AS55+'ריכוז נתונים'!AU55+'ריכוז נתונים'!AW55+'ריכוז נתונים'!AY55)</f>
        <v/>
      </c>
      <c r="J55" s="108" t="str">
        <f ca="1">IF($D55="","",IF(INDIRECT("'"&amp;$D55&amp;"'!"&amp;'גיליון עזר'!$I$1&amp;ROW('מרכז מורשת בבל'!$C$11))="",0,פרמטרים!$C$3-INDIRECT("'"&amp;$D55&amp;"'!"&amp;'גיליון עזר'!$I$1&amp;ROW('מרכז מורשת בבל'!$C$11))))</f>
        <v/>
      </c>
      <c r="K55" s="108" t="str">
        <f ca="1">IF($D55="","",IF(INDIRECT("'"&amp;$D55&amp;"'!"&amp;'גיליון עזר'!$K$1&amp;ROW('מרכז מורשת בבל'!$C$11))="","",INDIRECT("'"&amp;$D55&amp;"'!"&amp;'גיליון עזר'!$K$1&amp;ROW('מרכז מורשת בבל'!$C$11))))</f>
        <v/>
      </c>
      <c r="L55" s="108" t="str">
        <f t="shared" ca="1" si="8"/>
        <v/>
      </c>
      <c r="M55" s="131" t="str">
        <f ca="1">IF($D55="","",IFERROR(O55/פרמטרים!$C$5,""))</f>
        <v/>
      </c>
      <c r="N55" s="5"/>
      <c r="O55" s="96">
        <f>'סיכום לועדה- הזנת נתונים'!N69</f>
        <v>0</v>
      </c>
      <c r="P55" s="35" t="str">
        <f ca="1">IF($D55="","",INDIRECT("'"&amp;$D55&amp;"'!"&amp;'גיליון עזר'!$G$1&amp;ROW('מרכז מורשת בבל'!$J$8)))</f>
        <v/>
      </c>
      <c r="Q55" s="5"/>
      <c r="R55" s="134" t="str">
        <f ca="1">IF($D55="","",INDIRECT("'"&amp;$D55&amp;"'!"&amp;'גיליון עזר'!$I$1&amp;ROW('מרכז מורשת בבל'!$L$8)))</f>
        <v/>
      </c>
      <c r="S55" s="5"/>
      <c r="T55" s="36" t="str">
        <f ca="1">IF($D55="","",IFERROR(INDIRECT("'"&amp;$D55&amp;"'!"&amp;'גיליון עזר'!$K$1&amp;ROW('מרכז מורשת בבל'!$N$8))/F55,""))</f>
        <v/>
      </c>
      <c r="U55" s="35"/>
      <c r="V55" s="36" t="str">
        <f ca="1">IF($D55="","",IFERROR(INDIRECT("'"&amp;$D55&amp;"'!"&amp;'גיליון עזר'!$M$1&amp;ROW('מרכז מורשת בבל'!$P$8))/F55,""))</f>
        <v/>
      </c>
      <c r="W55" s="103"/>
      <c r="X55" s="109" t="str">
        <f ca="1">IF($D55="","",IF(AND(AA55="כן",'תנאי סף'!AX49=1),"כן","לא"))</f>
        <v/>
      </c>
      <c r="Y55" s="1" t="str">
        <f t="shared" ca="1" si="9"/>
        <v/>
      </c>
      <c r="Z55" s="1" t="str">
        <f t="shared" ca="1" si="9"/>
        <v/>
      </c>
      <c r="AA55" s="12" t="str">
        <f t="shared" ca="1" si="10"/>
        <v>לא</v>
      </c>
      <c r="AB55" s="223" t="str">
        <f t="shared" ca="1" si="15"/>
        <v/>
      </c>
      <c r="AC55" s="1" t="str">
        <f t="shared" ca="1" si="11"/>
        <v/>
      </c>
      <c r="AD55" s="1" t="str">
        <f t="shared" ca="1" si="11"/>
        <v/>
      </c>
      <c r="AE55" s="105" t="str">
        <f ca="1">IF($D55="","",IF(G55&gt;פרמטרים!$D$22,1,IF(E55&gt;=AE$16,1,0)))</f>
        <v/>
      </c>
      <c r="AF55" s="105" t="str">
        <f t="shared" ca="1" si="12"/>
        <v/>
      </c>
      <c r="AG55" s="105" t="str">
        <f t="shared" ca="1" si="16"/>
        <v/>
      </c>
      <c r="AH55" s="105" t="str">
        <f t="shared" ca="1" si="17"/>
        <v/>
      </c>
      <c r="AI55" s="105" t="str">
        <f t="shared" ca="1" si="18"/>
        <v/>
      </c>
      <c r="AJ55" s="3" t="str">
        <f t="shared" ca="1" si="19"/>
        <v/>
      </c>
      <c r="AK55" s="3" t="str">
        <f t="shared" ca="1" si="20"/>
        <v/>
      </c>
      <c r="AL55" s="12" t="str">
        <f t="shared" ca="1" si="13"/>
        <v/>
      </c>
      <c r="AM55" s="12" t="str">
        <f t="shared" ca="1" si="14"/>
        <v/>
      </c>
      <c r="AN55" t="str">
        <f t="shared" ca="1" si="21"/>
        <v/>
      </c>
      <c r="AO55" t="str">
        <f t="shared" ca="1" si="22"/>
        <v/>
      </c>
    </row>
    <row r="56" spans="1:41" hidden="1" x14ac:dyDescent="0.25">
      <c r="A56" t="str">
        <f ca="1">IF(AND(LEFT(B56,11)&lt;&gt;"גיליון הזנה",INDIRECT("'"&amp;$B56&amp;"'!"&amp;'גיליון עזר'!$I$1&amp;ROW('מרכז מורשת בבל'!$I$3))=""),"חסרה הזנה","")</f>
        <v/>
      </c>
      <c r="B56" t="str">
        <f ca="1">'גיליון הזנה 40'!$D$3</f>
        <v>גיליון הזנה 40</v>
      </c>
      <c r="C56" s="7">
        <f>'ריכוז נתונים'!C56</f>
        <v>40</v>
      </c>
      <c r="D56" s="7" t="str">
        <f ca="1">IF(OR(LEFT(B56,11)="גיליון הזנה",INDIRECT("'"&amp;$B56&amp;"'!"&amp;'גיליון עזר'!$I$1&amp;ROW('מרכז מורשת בבל'!$I$3))=0),"",B56)</f>
        <v/>
      </c>
      <c r="E56" s="106" t="str">
        <f ca="1">IF($D56="","",IFERROR(INDIRECT("'"&amp;$D56&amp;"'!"&amp;'גיליון עזר'!$H$1&amp;ROW('מרכז מורשת בבל'!$C$11))/INDIRECT("'"&amp;$D56&amp;"'!"&amp;'גיליון עזר'!$G$1&amp;ROW('מרכז מורשת בבל'!$C$11)),0))</f>
        <v/>
      </c>
      <c r="F56" s="107" t="str">
        <f ca="1">IF($D56="","",INDIRECT("'"&amp;$D56&amp;"'!"&amp;'גיליון עזר'!$C$1&amp;ROW('מרכז מורשת בבל'!$C$11)))</f>
        <v/>
      </c>
      <c r="G56" s="129" t="str">
        <f ca="1">IF($D56="","",INDIRECT("'"&amp;$D56&amp;"'!"&amp;'גיליון עזר'!$E$1&amp;ROW('מרכז מורשת בבל'!$C$11)))</f>
        <v/>
      </c>
      <c r="H56" s="128" t="str">
        <f ca="1">IF($D56="","",INDIRECT("'"&amp;$D56&amp;"'!"&amp;'גיליון עזר'!$F$1&amp;ROW('מרכז מורשת בבל'!$C$11)))</f>
        <v/>
      </c>
      <c r="I56" s="108" t="str">
        <f ca="1">IF($D56="","",'ריכוז נתונים'!AP56+'ריכוז נתונים'!AQ56+'ריכוז נתונים'!AS56+'ריכוז נתונים'!AU56+'ריכוז נתונים'!AW56+'ריכוז נתונים'!AY56)</f>
        <v/>
      </c>
      <c r="J56" s="108" t="str">
        <f ca="1">IF($D56="","",IF(INDIRECT("'"&amp;$D56&amp;"'!"&amp;'גיליון עזר'!$I$1&amp;ROW('מרכז מורשת בבל'!$C$11))="",0,פרמטרים!$C$3-INDIRECT("'"&amp;$D56&amp;"'!"&amp;'גיליון עזר'!$I$1&amp;ROW('מרכז מורשת בבל'!$C$11))))</f>
        <v/>
      </c>
      <c r="K56" s="108" t="str">
        <f ca="1">IF($D56="","",IF(INDIRECT("'"&amp;$D56&amp;"'!"&amp;'גיליון עזר'!$K$1&amp;ROW('מרכז מורשת בבל'!$C$11))="","",INDIRECT("'"&amp;$D56&amp;"'!"&amp;'גיליון עזר'!$K$1&amp;ROW('מרכז מורשת בבל'!$C$11))))</f>
        <v/>
      </c>
      <c r="L56" s="108" t="str">
        <f t="shared" ca="1" si="8"/>
        <v/>
      </c>
      <c r="M56" s="131" t="str">
        <f ca="1">IF($D56="","",IFERROR(O56/פרמטרים!$C$5,""))</f>
        <v/>
      </c>
      <c r="N56" s="5"/>
      <c r="O56" s="96">
        <f>'סיכום לועדה- הזנת נתונים'!N70</f>
        <v>0</v>
      </c>
      <c r="P56" s="35" t="str">
        <f ca="1">IF($D56="","",INDIRECT("'"&amp;$D56&amp;"'!"&amp;'גיליון עזר'!$G$1&amp;ROW('מרכז מורשת בבל'!$J$8)))</f>
        <v/>
      </c>
      <c r="Q56" s="5"/>
      <c r="R56" s="134" t="str">
        <f ca="1">IF($D56="","",INDIRECT("'"&amp;$D56&amp;"'!"&amp;'גיליון עזר'!$I$1&amp;ROW('מרכז מורשת בבל'!$L$8)))</f>
        <v/>
      </c>
      <c r="S56" s="5"/>
      <c r="T56" s="36" t="str">
        <f ca="1">IF($D56="","",IFERROR(INDIRECT("'"&amp;$D56&amp;"'!"&amp;'גיליון עזר'!$K$1&amp;ROW('מרכז מורשת בבל'!$N$8))/F56,""))</f>
        <v/>
      </c>
      <c r="U56" s="35"/>
      <c r="V56" s="36" t="str">
        <f ca="1">IF($D56="","",IFERROR(INDIRECT("'"&amp;$D56&amp;"'!"&amp;'גיליון עזר'!$M$1&amp;ROW('מרכז מורשת בבל'!$P$8))/F56,""))</f>
        <v/>
      </c>
      <c r="W56" s="103"/>
      <c r="X56" s="109" t="str">
        <f ca="1">IF($D56="","",IF(AND(AA56="כן",'תנאי סף'!AX50=1),"כן","לא"))</f>
        <v/>
      </c>
      <c r="Y56" s="1" t="str">
        <f t="shared" ca="1" si="9"/>
        <v/>
      </c>
      <c r="Z56" s="1" t="str">
        <f t="shared" ca="1" si="9"/>
        <v/>
      </c>
      <c r="AA56" s="12" t="str">
        <f t="shared" ca="1" si="10"/>
        <v>לא</v>
      </c>
      <c r="AB56" s="223" t="str">
        <f t="shared" ca="1" si="15"/>
        <v/>
      </c>
      <c r="AC56" s="1" t="str">
        <f t="shared" ca="1" si="11"/>
        <v/>
      </c>
      <c r="AD56" s="1" t="str">
        <f t="shared" ca="1" si="11"/>
        <v/>
      </c>
      <c r="AE56" s="105" t="str">
        <f ca="1">IF($D56="","",IF(G56&gt;פרמטרים!$D$22,1,IF(E56&gt;=AE$16,1,0)))</f>
        <v/>
      </c>
      <c r="AF56" s="105" t="str">
        <f t="shared" ca="1" si="12"/>
        <v/>
      </c>
      <c r="AG56" s="105" t="str">
        <f t="shared" ca="1" si="16"/>
        <v/>
      </c>
      <c r="AH56" s="105" t="str">
        <f t="shared" ca="1" si="17"/>
        <v/>
      </c>
      <c r="AI56" s="105" t="str">
        <f t="shared" ca="1" si="18"/>
        <v/>
      </c>
      <c r="AJ56" s="3" t="str">
        <f t="shared" ca="1" si="19"/>
        <v/>
      </c>
      <c r="AK56" s="3" t="str">
        <f t="shared" ca="1" si="20"/>
        <v/>
      </c>
      <c r="AL56" s="12" t="str">
        <f t="shared" ca="1" si="13"/>
        <v/>
      </c>
      <c r="AM56" s="12" t="str">
        <f t="shared" ca="1" si="14"/>
        <v/>
      </c>
      <c r="AN56" t="str">
        <f t="shared" ca="1" si="21"/>
        <v/>
      </c>
      <c r="AO56" t="str">
        <f t="shared" ca="1" si="22"/>
        <v/>
      </c>
    </row>
    <row r="57" spans="1:41" hidden="1" x14ac:dyDescent="0.25">
      <c r="A57" t="str">
        <f ca="1">IF(AND(LEFT(B57,11)&lt;&gt;"גיליון הזנה",INDIRECT("'"&amp;$B57&amp;"'!"&amp;'גיליון עזר'!$I$1&amp;ROW('מרכז מורשת בבל'!$I$3))=""),"חסרה הזנה","")</f>
        <v/>
      </c>
      <c r="B57" t="str">
        <f ca="1">'גיליון הזנה 41'!$D$3</f>
        <v>גיליון הזנה 41</v>
      </c>
      <c r="C57" s="7">
        <f>'ריכוז נתונים'!C57</f>
        <v>41</v>
      </c>
      <c r="D57" s="7" t="str">
        <f ca="1">IF(OR(LEFT(B57,11)="גיליון הזנה",INDIRECT("'"&amp;$B57&amp;"'!"&amp;'גיליון עזר'!$I$1&amp;ROW('מרכז מורשת בבל'!$I$3))=0),"",B57)</f>
        <v/>
      </c>
      <c r="E57" s="106" t="str">
        <f ca="1">IF($D57="","",IFERROR(INDIRECT("'"&amp;$D57&amp;"'!"&amp;'גיליון עזר'!$H$1&amp;ROW('מרכז מורשת בבל'!$C$11))/INDIRECT("'"&amp;$D57&amp;"'!"&amp;'גיליון עזר'!$G$1&amp;ROW('מרכז מורשת בבל'!$C$11)),0))</f>
        <v/>
      </c>
      <c r="F57" s="107" t="str">
        <f ca="1">IF($D57="","",INDIRECT("'"&amp;$D57&amp;"'!"&amp;'גיליון עזר'!$C$1&amp;ROW('מרכז מורשת בבל'!$C$11)))</f>
        <v/>
      </c>
      <c r="G57" s="129" t="str">
        <f ca="1">IF($D57="","",INDIRECT("'"&amp;$D57&amp;"'!"&amp;'גיליון עזר'!$E$1&amp;ROW('מרכז מורשת בבל'!$C$11)))</f>
        <v/>
      </c>
      <c r="H57" s="128" t="str">
        <f ca="1">IF($D57="","",INDIRECT("'"&amp;$D57&amp;"'!"&amp;'גיליון עזר'!$F$1&amp;ROW('מרכז מורשת בבל'!$C$11)))</f>
        <v/>
      </c>
      <c r="I57" s="108" t="str">
        <f ca="1">IF($D57="","",'ריכוז נתונים'!AP57+'ריכוז נתונים'!AQ57+'ריכוז נתונים'!AS57+'ריכוז נתונים'!AU57+'ריכוז נתונים'!AW57+'ריכוז נתונים'!AY57)</f>
        <v/>
      </c>
      <c r="J57" s="108" t="str">
        <f ca="1">IF($D57="","",IF(INDIRECT("'"&amp;$D57&amp;"'!"&amp;'גיליון עזר'!$I$1&amp;ROW('מרכז מורשת בבל'!$C$11))="",0,פרמטרים!$C$3-INDIRECT("'"&amp;$D57&amp;"'!"&amp;'גיליון עזר'!$I$1&amp;ROW('מרכז מורשת בבל'!$C$11))))</f>
        <v/>
      </c>
      <c r="K57" s="108" t="str">
        <f ca="1">IF($D57="","",IF(INDIRECT("'"&amp;$D57&amp;"'!"&amp;'גיליון עזר'!$K$1&amp;ROW('מרכז מורשת בבל'!$C$11))="","",INDIRECT("'"&amp;$D57&amp;"'!"&amp;'גיליון עזר'!$K$1&amp;ROW('מרכז מורשת בבל'!$C$11))))</f>
        <v/>
      </c>
      <c r="L57" s="108" t="str">
        <f t="shared" ca="1" si="8"/>
        <v/>
      </c>
      <c r="M57" s="131" t="str">
        <f ca="1">IF($D57="","",IFERROR(O57/פרמטרים!$C$5,""))</f>
        <v/>
      </c>
      <c r="N57" s="5"/>
      <c r="O57" s="96">
        <f>'סיכום לועדה- הזנת נתונים'!N71</f>
        <v>0</v>
      </c>
      <c r="P57" s="35" t="str">
        <f ca="1">IF($D57="","",INDIRECT("'"&amp;$D57&amp;"'!"&amp;'גיליון עזר'!$G$1&amp;ROW('מרכז מורשת בבל'!$J$8)))</f>
        <v/>
      </c>
      <c r="Q57" s="5"/>
      <c r="R57" s="134" t="str">
        <f ca="1">IF($D57="","",INDIRECT("'"&amp;$D57&amp;"'!"&amp;'גיליון עזר'!$I$1&amp;ROW('מרכז מורשת בבל'!$L$8)))</f>
        <v/>
      </c>
      <c r="S57" s="5"/>
      <c r="T57" s="36" t="str">
        <f ca="1">IF($D57="","",IFERROR(INDIRECT("'"&amp;$D57&amp;"'!"&amp;'גיליון עזר'!$K$1&amp;ROW('מרכז מורשת בבל'!$N$8))/F57,""))</f>
        <v/>
      </c>
      <c r="U57" s="35"/>
      <c r="V57" s="36" t="str">
        <f ca="1">IF($D57="","",IFERROR(INDIRECT("'"&amp;$D57&amp;"'!"&amp;'גיליון עזר'!$M$1&amp;ROW('מרכז מורשת בבל'!$P$8))/F57,""))</f>
        <v/>
      </c>
      <c r="W57" s="103"/>
      <c r="X57" s="109" t="str">
        <f ca="1">IF($D57="","",IF(AND(AA57="כן",'תנאי סף'!AX51=1),"כן","לא"))</f>
        <v/>
      </c>
      <c r="Y57" s="1" t="str">
        <f t="shared" ca="1" si="9"/>
        <v/>
      </c>
      <c r="Z57" s="1" t="str">
        <f t="shared" ca="1" si="9"/>
        <v/>
      </c>
      <c r="AA57" s="12" t="str">
        <f t="shared" ca="1" si="10"/>
        <v>לא</v>
      </c>
      <c r="AB57" s="223" t="str">
        <f t="shared" ca="1" si="15"/>
        <v/>
      </c>
      <c r="AC57" s="1" t="str">
        <f t="shared" ca="1" si="11"/>
        <v/>
      </c>
      <c r="AD57" s="1" t="str">
        <f t="shared" ca="1" si="11"/>
        <v/>
      </c>
      <c r="AE57" s="105" t="str">
        <f ca="1">IF($D57="","",IF(G57&gt;פרמטרים!$D$22,1,IF(E57&gt;=AE$16,1,0)))</f>
        <v/>
      </c>
      <c r="AF57" s="105" t="str">
        <f t="shared" ca="1" si="12"/>
        <v/>
      </c>
      <c r="AG57" s="105" t="str">
        <f t="shared" ca="1" si="16"/>
        <v/>
      </c>
      <c r="AH57" s="105" t="str">
        <f t="shared" ca="1" si="17"/>
        <v/>
      </c>
      <c r="AI57" s="105" t="str">
        <f t="shared" ca="1" si="18"/>
        <v/>
      </c>
      <c r="AJ57" s="3" t="str">
        <f t="shared" ca="1" si="19"/>
        <v/>
      </c>
      <c r="AK57" s="3" t="str">
        <f t="shared" ca="1" si="20"/>
        <v/>
      </c>
      <c r="AL57" s="12" t="str">
        <f t="shared" ca="1" si="13"/>
        <v/>
      </c>
      <c r="AM57" s="12" t="str">
        <f t="shared" ca="1" si="14"/>
        <v/>
      </c>
      <c r="AN57" t="str">
        <f t="shared" ca="1" si="21"/>
        <v/>
      </c>
      <c r="AO57" t="str">
        <f t="shared" ca="1" si="22"/>
        <v/>
      </c>
    </row>
    <row r="58" spans="1:41" hidden="1" x14ac:dyDescent="0.25">
      <c r="A58" t="str">
        <f ca="1">IF(AND(LEFT(B58,11)&lt;&gt;"גיליון הזנה",INDIRECT("'"&amp;$B58&amp;"'!"&amp;'גיליון עזר'!$I$1&amp;ROW('מרכז מורשת בבל'!$I$3))=""),"חסרה הזנה","")</f>
        <v/>
      </c>
      <c r="B58" t="str">
        <f ca="1">'גיליון הזנה 42'!$D$3</f>
        <v>גיליון הזנה 42</v>
      </c>
      <c r="C58" s="7">
        <f>'ריכוז נתונים'!C58</f>
        <v>42</v>
      </c>
      <c r="D58" s="7" t="str">
        <f ca="1">IF(OR(LEFT(B58,11)="גיליון הזנה",INDIRECT("'"&amp;$B58&amp;"'!"&amp;'גיליון עזר'!$I$1&amp;ROW('מרכז מורשת בבל'!$I$3))=0),"",B58)</f>
        <v/>
      </c>
      <c r="E58" s="106" t="str">
        <f ca="1">IF($D58="","",IFERROR(INDIRECT("'"&amp;$D58&amp;"'!"&amp;'גיליון עזר'!$H$1&amp;ROW('מרכז מורשת בבל'!$C$11))/INDIRECT("'"&amp;$D58&amp;"'!"&amp;'גיליון עזר'!$G$1&amp;ROW('מרכז מורשת בבל'!$C$11)),0))</f>
        <v/>
      </c>
      <c r="F58" s="107" t="str">
        <f ca="1">IF($D58="","",INDIRECT("'"&amp;$D58&amp;"'!"&amp;'גיליון עזר'!$C$1&amp;ROW('מרכז מורשת בבל'!$C$11)))</f>
        <v/>
      </c>
      <c r="G58" s="129" t="str">
        <f ca="1">IF($D58="","",INDIRECT("'"&amp;$D58&amp;"'!"&amp;'גיליון עזר'!$E$1&amp;ROW('מרכז מורשת בבל'!$C$11)))</f>
        <v/>
      </c>
      <c r="H58" s="128" t="str">
        <f ca="1">IF($D58="","",INDIRECT("'"&amp;$D58&amp;"'!"&amp;'גיליון עזר'!$F$1&amp;ROW('מרכז מורשת בבל'!$C$11)))</f>
        <v/>
      </c>
      <c r="I58" s="108" t="str">
        <f ca="1">IF($D58="","",'ריכוז נתונים'!AP58+'ריכוז נתונים'!AQ58+'ריכוז נתונים'!AS58+'ריכוז נתונים'!AU58+'ריכוז נתונים'!AW58+'ריכוז נתונים'!AY58)</f>
        <v/>
      </c>
      <c r="J58" s="108" t="str">
        <f ca="1">IF($D58="","",IF(INDIRECT("'"&amp;$D58&amp;"'!"&amp;'גיליון עזר'!$I$1&amp;ROW('מרכז מורשת בבל'!$C$11))="",0,פרמטרים!$C$3-INDIRECT("'"&amp;$D58&amp;"'!"&amp;'גיליון עזר'!$I$1&amp;ROW('מרכז מורשת בבל'!$C$11))))</f>
        <v/>
      </c>
      <c r="K58" s="108" t="str">
        <f ca="1">IF($D58="","",IF(INDIRECT("'"&amp;$D58&amp;"'!"&amp;'גיליון עזר'!$K$1&amp;ROW('מרכז מורשת בבל'!$C$11))="","",INDIRECT("'"&amp;$D58&amp;"'!"&amp;'גיליון עזר'!$K$1&amp;ROW('מרכז מורשת בבל'!$C$11))))</f>
        <v/>
      </c>
      <c r="L58" s="108" t="str">
        <f t="shared" ca="1" si="8"/>
        <v/>
      </c>
      <c r="M58" s="131" t="str">
        <f ca="1">IF($D58="","",IFERROR(O58/פרמטרים!$C$5,""))</f>
        <v/>
      </c>
      <c r="N58" s="5"/>
      <c r="O58" s="96">
        <f>'סיכום לועדה- הזנת נתונים'!N72</f>
        <v>0</v>
      </c>
      <c r="P58" s="35" t="str">
        <f ca="1">IF($D58="","",INDIRECT("'"&amp;$D58&amp;"'!"&amp;'גיליון עזר'!$G$1&amp;ROW('מרכז מורשת בבל'!$J$8)))</f>
        <v/>
      </c>
      <c r="Q58" s="5"/>
      <c r="R58" s="134" t="str">
        <f ca="1">IF($D58="","",INDIRECT("'"&amp;$D58&amp;"'!"&amp;'גיליון עזר'!$I$1&amp;ROW('מרכז מורשת בבל'!$L$8)))</f>
        <v/>
      </c>
      <c r="S58" s="5"/>
      <c r="T58" s="36" t="str">
        <f ca="1">IF($D58="","",IFERROR(INDIRECT("'"&amp;$D58&amp;"'!"&amp;'גיליון עזר'!$K$1&amp;ROW('מרכז מורשת בבל'!$N$8))/F58,""))</f>
        <v/>
      </c>
      <c r="U58" s="35"/>
      <c r="V58" s="36" t="str">
        <f ca="1">IF($D58="","",IFERROR(INDIRECT("'"&amp;$D58&amp;"'!"&amp;'גיליון עזר'!$M$1&amp;ROW('מרכז מורשת בבל'!$P$8))/F58,""))</f>
        <v/>
      </c>
      <c r="W58" s="103"/>
      <c r="X58" s="109" t="str">
        <f ca="1">IF($D58="","",IF(AND(AA58="כן",'תנאי סף'!AX52=1),"כן","לא"))</f>
        <v/>
      </c>
      <c r="Y58" s="1" t="str">
        <f t="shared" ca="1" si="9"/>
        <v/>
      </c>
      <c r="Z58" s="1" t="str">
        <f t="shared" ca="1" si="9"/>
        <v/>
      </c>
      <c r="AA58" s="12" t="str">
        <f t="shared" ca="1" si="10"/>
        <v>לא</v>
      </c>
      <c r="AB58" s="223" t="str">
        <f t="shared" ca="1" si="15"/>
        <v/>
      </c>
      <c r="AC58" s="1" t="str">
        <f t="shared" ca="1" si="11"/>
        <v/>
      </c>
      <c r="AD58" s="1" t="str">
        <f t="shared" ca="1" si="11"/>
        <v/>
      </c>
      <c r="AE58" s="105" t="str">
        <f ca="1">IF($D58="","",IF(G58&gt;פרמטרים!$D$22,1,IF(E58&gt;=AE$16,1,0)))</f>
        <v/>
      </c>
      <c r="AF58" s="105" t="str">
        <f t="shared" ca="1" si="12"/>
        <v/>
      </c>
      <c r="AG58" s="105" t="str">
        <f t="shared" ca="1" si="16"/>
        <v/>
      </c>
      <c r="AH58" s="105" t="str">
        <f t="shared" ca="1" si="17"/>
        <v/>
      </c>
      <c r="AI58" s="105" t="str">
        <f t="shared" ca="1" si="18"/>
        <v/>
      </c>
      <c r="AJ58" s="3" t="str">
        <f t="shared" ca="1" si="19"/>
        <v/>
      </c>
      <c r="AK58" s="3" t="str">
        <f t="shared" ca="1" si="20"/>
        <v/>
      </c>
      <c r="AL58" s="12" t="str">
        <f t="shared" ca="1" si="13"/>
        <v/>
      </c>
      <c r="AM58" s="12" t="str">
        <f t="shared" ca="1" si="14"/>
        <v/>
      </c>
      <c r="AN58" t="str">
        <f t="shared" ca="1" si="21"/>
        <v/>
      </c>
      <c r="AO58" t="str">
        <f t="shared" ca="1" si="22"/>
        <v/>
      </c>
    </row>
    <row r="59" spans="1:41" hidden="1" x14ac:dyDescent="0.25">
      <c r="A59" t="str">
        <f ca="1">IF(AND(LEFT(B59,11)&lt;&gt;"גיליון הזנה",INDIRECT("'"&amp;$B59&amp;"'!"&amp;'גיליון עזר'!$I$1&amp;ROW('מרכז מורשת בבל'!$I$3))=""),"חסרה הזנה","")</f>
        <v/>
      </c>
      <c r="B59" t="str">
        <f ca="1">'גיליון הזנה 44'!$D$3</f>
        <v>גיליון הזנה 44</v>
      </c>
      <c r="C59" s="7">
        <f>'ריכוז נתונים'!C59</f>
        <v>43</v>
      </c>
      <c r="D59" s="7" t="str">
        <f ca="1">IF(OR(LEFT(B59,11)="גיליון הזנה",INDIRECT("'"&amp;$B59&amp;"'!"&amp;'גיליון עזר'!$I$1&amp;ROW('מרכז מורשת בבל'!$I$3))=0),"",B59)</f>
        <v/>
      </c>
      <c r="E59" s="106" t="str">
        <f ca="1">IF($D59="","",IFERROR(INDIRECT("'"&amp;$D59&amp;"'!"&amp;'גיליון עזר'!$H$1&amp;ROW('מרכז מורשת בבל'!$C$11))/INDIRECT("'"&amp;$D59&amp;"'!"&amp;'גיליון עזר'!$G$1&amp;ROW('מרכז מורשת בבל'!$C$11)),0))</f>
        <v/>
      </c>
      <c r="F59" s="107" t="str">
        <f ca="1">IF($D59="","",INDIRECT("'"&amp;$D59&amp;"'!"&amp;'גיליון עזר'!$C$1&amp;ROW('מרכז מורשת בבל'!$C$11)))</f>
        <v/>
      </c>
      <c r="G59" s="129" t="str">
        <f ca="1">IF($D59="","",INDIRECT("'"&amp;$D59&amp;"'!"&amp;'גיליון עזר'!$E$1&amp;ROW('מרכז מורשת בבל'!$C$11)))</f>
        <v/>
      </c>
      <c r="H59" s="128" t="str">
        <f ca="1">IF($D59="","",INDIRECT("'"&amp;$D59&amp;"'!"&amp;'גיליון עזר'!$F$1&amp;ROW('מרכז מורשת בבל'!$C$11)))</f>
        <v/>
      </c>
      <c r="I59" s="108" t="str">
        <f ca="1">IF($D59="","",'ריכוז נתונים'!AP59+'ריכוז נתונים'!AQ59+'ריכוז נתונים'!AS59+'ריכוז נתונים'!AU59+'ריכוז נתונים'!AW59+'ריכוז נתונים'!AY59)</f>
        <v/>
      </c>
      <c r="J59" s="108" t="str">
        <f ca="1">IF($D59="","",IF(INDIRECT("'"&amp;$D59&amp;"'!"&amp;'גיליון עזר'!$I$1&amp;ROW('מרכז מורשת בבל'!$C$11))="",0,פרמטרים!$C$3-INDIRECT("'"&amp;$D59&amp;"'!"&amp;'גיליון עזר'!$I$1&amp;ROW('מרכז מורשת בבל'!$C$11))))</f>
        <v/>
      </c>
      <c r="K59" s="108" t="str">
        <f ca="1">IF($D59="","",IF(INDIRECT("'"&amp;$D59&amp;"'!"&amp;'גיליון עזר'!$K$1&amp;ROW('מרכז מורשת בבל'!$C$11))="","",INDIRECT("'"&amp;$D59&amp;"'!"&amp;'גיליון עזר'!$K$1&amp;ROW('מרכז מורשת בבל'!$C$11))))</f>
        <v/>
      </c>
      <c r="L59" s="108" t="str">
        <f t="shared" ca="1" si="8"/>
        <v/>
      </c>
      <c r="M59" s="131" t="str">
        <f ca="1">IF($D59="","",IFERROR(O59/פרמטרים!$C$5,""))</f>
        <v/>
      </c>
      <c r="N59" s="5"/>
      <c r="O59" s="96">
        <f>'סיכום לועדה- הזנת נתונים'!N73</f>
        <v>0</v>
      </c>
      <c r="P59" s="35" t="str">
        <f ca="1">IF($D59="","",INDIRECT("'"&amp;$D59&amp;"'!"&amp;'גיליון עזר'!$G$1&amp;ROW('מרכז מורשת בבל'!$J$8)))</f>
        <v/>
      </c>
      <c r="Q59" s="5"/>
      <c r="R59" s="134" t="str">
        <f ca="1">IF($D59="","",INDIRECT("'"&amp;$D59&amp;"'!"&amp;'גיליון עזר'!$I$1&amp;ROW('מרכז מורשת בבל'!$L$8)))</f>
        <v/>
      </c>
      <c r="S59" s="5"/>
      <c r="T59" s="36" t="str">
        <f ca="1">IF($D59="","",IFERROR(INDIRECT("'"&amp;$D59&amp;"'!"&amp;'גיליון עזר'!$K$1&amp;ROW('מרכז מורשת בבל'!$N$8))/F59,""))</f>
        <v/>
      </c>
      <c r="U59" s="35"/>
      <c r="V59" s="36" t="str">
        <f ca="1">IF($D59="","",IFERROR(INDIRECT("'"&amp;$D59&amp;"'!"&amp;'גיליון עזר'!$M$1&amp;ROW('מרכז מורשת בבל'!$P$8))/F59,""))</f>
        <v/>
      </c>
      <c r="W59" s="103"/>
      <c r="X59" s="109" t="str">
        <f ca="1">IF($D59="","",IF(AND(AA59="כן",'תנאי סף'!AX53=1),"כן","לא"))</f>
        <v/>
      </c>
      <c r="Y59" s="1" t="str">
        <f t="shared" ca="1" si="9"/>
        <v/>
      </c>
      <c r="Z59" s="1" t="str">
        <f t="shared" ca="1" si="9"/>
        <v/>
      </c>
      <c r="AA59" s="12" t="str">
        <f t="shared" ca="1" si="10"/>
        <v>לא</v>
      </c>
      <c r="AB59" s="223" t="str">
        <f t="shared" ca="1" si="15"/>
        <v/>
      </c>
      <c r="AC59" s="1" t="str">
        <f t="shared" ca="1" si="11"/>
        <v/>
      </c>
      <c r="AD59" s="1" t="str">
        <f t="shared" ca="1" si="11"/>
        <v/>
      </c>
      <c r="AE59" s="105" t="str">
        <f ca="1">IF($D59="","",IF(G59&gt;פרמטרים!$D$22,1,IF(E59&gt;=AE$16,1,0)))</f>
        <v/>
      </c>
      <c r="AF59" s="105" t="str">
        <f t="shared" ca="1" si="12"/>
        <v/>
      </c>
      <c r="AG59" s="105" t="str">
        <f t="shared" ca="1" si="16"/>
        <v/>
      </c>
      <c r="AH59" s="105" t="str">
        <f t="shared" ca="1" si="17"/>
        <v/>
      </c>
      <c r="AI59" s="105" t="str">
        <f t="shared" ca="1" si="18"/>
        <v/>
      </c>
      <c r="AJ59" s="3" t="str">
        <f t="shared" ca="1" si="19"/>
        <v/>
      </c>
      <c r="AK59" s="3" t="str">
        <f t="shared" ca="1" si="20"/>
        <v/>
      </c>
      <c r="AL59" s="12" t="str">
        <f t="shared" ca="1" si="13"/>
        <v/>
      </c>
      <c r="AM59" s="12" t="str">
        <f t="shared" ca="1" si="14"/>
        <v/>
      </c>
      <c r="AN59" t="str">
        <f t="shared" ca="1" si="21"/>
        <v/>
      </c>
      <c r="AO59" t="str">
        <f t="shared" ca="1" si="22"/>
        <v/>
      </c>
    </row>
    <row r="60" spans="1:41" hidden="1" x14ac:dyDescent="0.25">
      <c r="A60" t="str">
        <f ca="1">IF(AND(LEFT(B60,11)&lt;&gt;"גיליון הזנה",INDIRECT("'"&amp;$B60&amp;"'!"&amp;'גיליון עזר'!$I$1&amp;ROW('מרכז מורשת בבל'!$I$3))=""),"חסרה הזנה","")</f>
        <v/>
      </c>
      <c r="B60" t="str">
        <f ca="1">'גיליון הזנה 55'!$D$3</f>
        <v>גיליון הזנה 55</v>
      </c>
      <c r="C60" s="7">
        <f>'ריכוז נתונים'!C60</f>
        <v>44</v>
      </c>
      <c r="D60" s="7" t="str">
        <f ca="1">IF(OR(LEFT(B60,11)="גיליון הזנה",INDIRECT("'"&amp;$B60&amp;"'!"&amp;'גיליון עזר'!$I$1&amp;ROW('מרכז מורשת בבל'!$I$3))=0),"",B60)</f>
        <v/>
      </c>
      <c r="E60" s="106" t="str">
        <f ca="1">IF($D60="","",IFERROR(INDIRECT("'"&amp;$D60&amp;"'!"&amp;'גיליון עזר'!$H$1&amp;ROW('מרכז מורשת בבל'!$C$11))/INDIRECT("'"&amp;$D60&amp;"'!"&amp;'גיליון עזר'!$G$1&amp;ROW('מרכז מורשת בבל'!$C$11)),0))</f>
        <v/>
      </c>
      <c r="F60" s="107" t="str">
        <f ca="1">IF($D60="","",INDIRECT("'"&amp;$D60&amp;"'!"&amp;'גיליון עזר'!$C$1&amp;ROW('מרכז מורשת בבל'!$C$11)))</f>
        <v/>
      </c>
      <c r="G60" s="129" t="str">
        <f ca="1">IF($D60="","",INDIRECT("'"&amp;$D60&amp;"'!"&amp;'גיליון עזר'!$E$1&amp;ROW('מרכז מורשת בבל'!$C$11)))</f>
        <v/>
      </c>
      <c r="H60" s="128" t="str">
        <f ca="1">IF($D60="","",INDIRECT("'"&amp;$D60&amp;"'!"&amp;'גיליון עזר'!$F$1&amp;ROW('מרכז מורשת בבל'!$C$11)))</f>
        <v/>
      </c>
      <c r="I60" s="108" t="str">
        <f ca="1">IF($D60="","",'ריכוז נתונים'!AP60+'ריכוז נתונים'!AQ60+'ריכוז נתונים'!AS60+'ריכוז נתונים'!AU60+'ריכוז נתונים'!AW60+'ריכוז נתונים'!AY60)</f>
        <v/>
      </c>
      <c r="J60" s="108" t="str">
        <f ca="1">IF($D60="","",IF(INDIRECT("'"&amp;$D60&amp;"'!"&amp;'גיליון עזר'!$I$1&amp;ROW('מרכז מורשת בבל'!$C$11))="",0,פרמטרים!$C$3-INDIRECT("'"&amp;$D60&amp;"'!"&amp;'גיליון עזר'!$I$1&amp;ROW('מרכז מורשת בבל'!$C$11))))</f>
        <v/>
      </c>
      <c r="K60" s="108" t="str">
        <f ca="1">IF($D60="","",IF(INDIRECT("'"&amp;$D60&amp;"'!"&amp;'גיליון עזר'!$K$1&amp;ROW('מרכז מורשת בבל'!$C$11))="","",INDIRECT("'"&amp;$D60&amp;"'!"&amp;'גיליון עזר'!$K$1&amp;ROW('מרכז מורשת בבל'!$C$11))))</f>
        <v/>
      </c>
      <c r="L60" s="108" t="str">
        <f t="shared" ca="1" si="8"/>
        <v/>
      </c>
      <c r="M60" s="131" t="str">
        <f ca="1">IF($D60="","",IFERROR(O60/פרמטרים!$C$5,""))</f>
        <v/>
      </c>
      <c r="N60" s="5"/>
      <c r="O60" s="96">
        <f>'סיכום לועדה- הזנת נתונים'!N74</f>
        <v>0</v>
      </c>
      <c r="P60" s="35" t="str">
        <f ca="1">IF($D60="","",INDIRECT("'"&amp;$D60&amp;"'!"&amp;'גיליון עזר'!$G$1&amp;ROW('מרכז מורשת בבל'!$J$8)))</f>
        <v/>
      </c>
      <c r="Q60" s="5"/>
      <c r="R60" s="134" t="str">
        <f ca="1">IF($D60="","",INDIRECT("'"&amp;$D60&amp;"'!"&amp;'גיליון עזר'!$I$1&amp;ROW('מרכז מורשת בבל'!$L$8)))</f>
        <v/>
      </c>
      <c r="S60" s="5"/>
      <c r="T60" s="36" t="str">
        <f ca="1">IF($D60="","",IFERROR(INDIRECT("'"&amp;$D60&amp;"'!"&amp;'גיליון עזר'!$K$1&amp;ROW('מרכז מורשת בבל'!$N$8))/F60,""))</f>
        <v/>
      </c>
      <c r="U60" s="35"/>
      <c r="V60" s="36" t="str">
        <f ca="1">IF($D60="","",IFERROR(INDIRECT("'"&amp;$D60&amp;"'!"&amp;'גיליון עזר'!$M$1&amp;ROW('מרכז מורשת בבל'!$P$8))/F60,""))</f>
        <v/>
      </c>
      <c r="W60" s="103"/>
      <c r="X60" s="109" t="str">
        <f ca="1">IF($D60="","",IF(AND(AA60="כן",'תנאי סף'!AX54=1),"כן","לא"))</f>
        <v/>
      </c>
      <c r="Y60" s="1" t="str">
        <f t="shared" ca="1" si="9"/>
        <v/>
      </c>
      <c r="Z60" s="1" t="str">
        <f t="shared" ca="1" si="9"/>
        <v/>
      </c>
      <c r="AA60" s="12" t="str">
        <f t="shared" ca="1" si="10"/>
        <v>לא</v>
      </c>
      <c r="AB60" s="223" t="str">
        <f t="shared" ca="1" si="15"/>
        <v/>
      </c>
      <c r="AC60" s="1" t="str">
        <f t="shared" ca="1" si="11"/>
        <v/>
      </c>
      <c r="AD60" s="1" t="str">
        <f t="shared" ca="1" si="11"/>
        <v/>
      </c>
      <c r="AE60" s="105" t="str">
        <f ca="1">IF($D60="","",IF(G60&gt;פרמטרים!$D$22,1,IF(E60&gt;=AE$16,1,0)))</f>
        <v/>
      </c>
      <c r="AF60" s="105" t="str">
        <f t="shared" ca="1" si="12"/>
        <v/>
      </c>
      <c r="AG60" s="105" t="str">
        <f t="shared" ca="1" si="16"/>
        <v/>
      </c>
      <c r="AH60" s="105" t="str">
        <f t="shared" ca="1" si="17"/>
        <v/>
      </c>
      <c r="AI60" s="105" t="str">
        <f t="shared" ca="1" si="18"/>
        <v/>
      </c>
      <c r="AJ60" s="3" t="str">
        <f t="shared" ca="1" si="19"/>
        <v/>
      </c>
      <c r="AK60" s="3" t="str">
        <f t="shared" ca="1" si="20"/>
        <v/>
      </c>
      <c r="AL60" s="12" t="str">
        <f t="shared" ca="1" si="13"/>
        <v/>
      </c>
      <c r="AM60" s="12" t="str">
        <f t="shared" ca="1" si="14"/>
        <v/>
      </c>
      <c r="AN60" t="str">
        <f t="shared" ca="1" si="21"/>
        <v/>
      </c>
      <c r="AO60" t="str">
        <f t="shared" ca="1" si="22"/>
        <v/>
      </c>
    </row>
    <row r="61" spans="1:41" hidden="1" x14ac:dyDescent="0.25">
      <c r="A61" t="str">
        <f ca="1">IF(AND(LEFT(B61,11)&lt;&gt;"גיליון הזנה",INDIRECT("'"&amp;$B61&amp;"'!"&amp;'גיליון עזר'!$I$1&amp;ROW('מרכז מורשת בבל'!$I$3))=""),"חסרה הזנה","")</f>
        <v/>
      </c>
      <c r="B61" t="str">
        <f ca="1">'גיליון הזנה 45'!$D$3</f>
        <v>גיליון הזנה 45</v>
      </c>
      <c r="C61" s="7">
        <f>'ריכוז נתונים'!C61</f>
        <v>45</v>
      </c>
      <c r="D61" s="7" t="str">
        <f ca="1">IF(OR(LEFT(B61,11)="גיליון הזנה",INDIRECT("'"&amp;$B61&amp;"'!"&amp;'גיליון עזר'!$I$1&amp;ROW('מרכז מורשת בבל'!$I$3))=0),"",B61)</f>
        <v/>
      </c>
      <c r="E61" s="106" t="str">
        <f ca="1">IF($D61="","",IFERROR(INDIRECT("'"&amp;$D61&amp;"'!"&amp;'גיליון עזר'!$H$1&amp;ROW('מרכז מורשת בבל'!$C$11))/INDIRECT("'"&amp;$D61&amp;"'!"&amp;'גיליון עזר'!$G$1&amp;ROW('מרכז מורשת בבל'!$C$11)),0))</f>
        <v/>
      </c>
      <c r="F61" s="107" t="str">
        <f ca="1">IF($D61="","",INDIRECT("'"&amp;$D61&amp;"'!"&amp;'גיליון עזר'!$C$1&amp;ROW('מרכז מורשת בבל'!$C$11)))</f>
        <v/>
      </c>
      <c r="G61" s="129" t="str">
        <f ca="1">IF($D61="","",INDIRECT("'"&amp;$D61&amp;"'!"&amp;'גיליון עזר'!$E$1&amp;ROW('מרכז מורשת בבל'!$C$11)))</f>
        <v/>
      </c>
      <c r="H61" s="128" t="str">
        <f ca="1">IF($D61="","",INDIRECT("'"&amp;$D61&amp;"'!"&amp;'גיליון עזר'!$F$1&amp;ROW('מרכז מורשת בבל'!$C$11)))</f>
        <v/>
      </c>
      <c r="I61" s="108" t="str">
        <f ca="1">IF($D61="","",'ריכוז נתונים'!AP61+'ריכוז נתונים'!AQ61+'ריכוז נתונים'!AS61+'ריכוז נתונים'!AU61+'ריכוז נתונים'!AW61+'ריכוז נתונים'!AY61)</f>
        <v/>
      </c>
      <c r="J61" s="108" t="str">
        <f ca="1">IF($D61="","",IF(INDIRECT("'"&amp;$D61&amp;"'!"&amp;'גיליון עזר'!$I$1&amp;ROW('מרכז מורשת בבל'!$C$11))="",0,פרמטרים!$C$3-INDIRECT("'"&amp;$D61&amp;"'!"&amp;'גיליון עזר'!$I$1&amp;ROW('מרכז מורשת בבל'!$C$11))))</f>
        <v/>
      </c>
      <c r="K61" s="108" t="str">
        <f ca="1">IF($D61="","",IF(INDIRECT("'"&amp;$D61&amp;"'!"&amp;'גיליון עזר'!$K$1&amp;ROW('מרכז מורשת בבל'!$C$11))="","",INDIRECT("'"&amp;$D61&amp;"'!"&amp;'גיליון עזר'!$K$1&amp;ROW('מרכז מורשת בבל'!$C$11))))</f>
        <v/>
      </c>
      <c r="L61" s="108" t="str">
        <f t="shared" ca="1" si="8"/>
        <v/>
      </c>
      <c r="M61" s="131" t="str">
        <f ca="1">IF($D61="","",IFERROR(O61/פרמטרים!$C$5,""))</f>
        <v/>
      </c>
      <c r="N61" s="5"/>
      <c r="O61" s="96">
        <f>'סיכום לועדה- הזנת נתונים'!N75</f>
        <v>0</v>
      </c>
      <c r="P61" s="35" t="str">
        <f ca="1">IF($D61="","",INDIRECT("'"&amp;$D61&amp;"'!"&amp;'גיליון עזר'!$G$1&amp;ROW('מרכז מורשת בבל'!$J$8)))</f>
        <v/>
      </c>
      <c r="Q61" s="5"/>
      <c r="R61" s="134" t="str">
        <f ca="1">IF($D61="","",INDIRECT("'"&amp;$D61&amp;"'!"&amp;'גיליון עזר'!$I$1&amp;ROW('מרכז מורשת בבל'!$L$8)))</f>
        <v/>
      </c>
      <c r="S61" s="5"/>
      <c r="T61" s="36" t="str">
        <f ca="1">IF($D61="","",IFERROR(INDIRECT("'"&amp;$D61&amp;"'!"&amp;'גיליון עזר'!$K$1&amp;ROW('מרכז מורשת בבל'!$N$8))/F61,""))</f>
        <v/>
      </c>
      <c r="U61" s="35"/>
      <c r="V61" s="36" t="str">
        <f ca="1">IF($D61="","",IFERROR(INDIRECT("'"&amp;$D61&amp;"'!"&amp;'גיליון עזר'!$M$1&amp;ROW('מרכז מורשת בבל'!$P$8))/F61,""))</f>
        <v/>
      </c>
      <c r="W61" s="103"/>
      <c r="X61" s="109" t="str">
        <f ca="1">IF($D61="","",IF(AND(AA61="כן",'תנאי סף'!AX55=1),"כן","לא"))</f>
        <v/>
      </c>
      <c r="Y61" s="1" t="str">
        <f t="shared" ca="1" si="9"/>
        <v/>
      </c>
      <c r="Z61" s="1" t="str">
        <f t="shared" ca="1" si="9"/>
        <v/>
      </c>
      <c r="AA61" s="12" t="str">
        <f t="shared" ca="1" si="10"/>
        <v>לא</v>
      </c>
      <c r="AB61" s="223" t="str">
        <f t="shared" ca="1" si="15"/>
        <v/>
      </c>
      <c r="AC61" s="1" t="str">
        <f t="shared" ca="1" si="11"/>
        <v/>
      </c>
      <c r="AD61" s="1" t="str">
        <f t="shared" ca="1" si="11"/>
        <v/>
      </c>
      <c r="AE61" s="105" t="str">
        <f ca="1">IF($D61="","",IF(G61&gt;פרמטרים!$D$22,1,IF(E61&gt;=AE$16,1,0)))</f>
        <v/>
      </c>
      <c r="AF61" s="105" t="str">
        <f t="shared" ca="1" si="12"/>
        <v/>
      </c>
      <c r="AG61" s="105" t="str">
        <f t="shared" ca="1" si="16"/>
        <v/>
      </c>
      <c r="AH61" s="105" t="str">
        <f t="shared" ca="1" si="17"/>
        <v/>
      </c>
      <c r="AI61" s="105" t="str">
        <f t="shared" ca="1" si="18"/>
        <v/>
      </c>
      <c r="AJ61" s="3" t="str">
        <f t="shared" ca="1" si="19"/>
        <v/>
      </c>
      <c r="AK61" s="3" t="str">
        <f t="shared" ca="1" si="20"/>
        <v/>
      </c>
      <c r="AL61" s="12" t="str">
        <f t="shared" ca="1" si="13"/>
        <v/>
      </c>
      <c r="AM61" s="12" t="str">
        <f t="shared" ca="1" si="14"/>
        <v/>
      </c>
      <c r="AN61" t="str">
        <f t="shared" ca="1" si="21"/>
        <v/>
      </c>
      <c r="AO61" t="str">
        <f t="shared" ca="1" si="22"/>
        <v/>
      </c>
    </row>
    <row r="62" spans="1:41" x14ac:dyDescent="0.25">
      <c r="A62" t="str">
        <f ca="1">IF(AND(LEFT(B62,11)&lt;&gt;"גיליון הזנה",INDIRECT("'"&amp;$B62&amp;"'!"&amp;'גיליון עזר'!$I$1&amp;ROW('מרכז מורשת בבל'!$I$3))=""),"חסרה הזנה","")</f>
        <v/>
      </c>
      <c r="B62" t="str">
        <f ca="1">'ענבל מרכז אתני'!$D$3</f>
        <v>ענבל מרכז אתני</v>
      </c>
      <c r="C62" s="7">
        <f>'ריכוז נתונים'!C62</f>
        <v>46</v>
      </c>
      <c r="D62" s="7" t="str">
        <f ca="1">IF(OR(LEFT(B62,11)="גיליון הזנה",INDIRECT("'"&amp;$B62&amp;"'!"&amp;'גיליון עזר'!$I$1&amp;ROW('מרכז מורשת בבל'!$I$3))=0),"",B62)</f>
        <v>ענבל מרכז אתני</v>
      </c>
      <c r="E62" s="106">
        <f ca="1">IF($D62="","",IFERROR(INDIRECT("'"&amp;$D62&amp;"'!"&amp;'גיליון עזר'!$H$1&amp;ROW('מרכז מורשת בבל'!$C$11))/INDIRECT("'"&amp;$D62&amp;"'!"&amp;'גיליון עזר'!$G$1&amp;ROW('מרכז מורשת בבל'!$C$11)),0))</f>
        <v>0.40405515447421142</v>
      </c>
      <c r="F62" s="107">
        <f ca="1">IF($D62="","",INDIRECT("'"&amp;$D62&amp;"'!"&amp;'גיליון עזר'!$C$1&amp;ROW('מרכז מורשת בבל'!$C$11)))</f>
        <v>4528385</v>
      </c>
      <c r="G62" s="129">
        <f ca="1">IF($D62="","",INDIRECT("'"&amp;$D62&amp;"'!"&amp;'גיליון עזר'!$E$1&amp;ROW('מרכז מורשת בבל'!$C$11)))</f>
        <v>2003570</v>
      </c>
      <c r="H62" s="128">
        <f ca="1">IF($D62="","",INDIRECT("'"&amp;$D62&amp;"'!"&amp;'גיליון עזר'!$F$1&amp;ROW('מרכז מורשת בבל'!$C$11)))</f>
        <v>2003570</v>
      </c>
      <c r="I62" s="108">
        <f ca="1">IF($D62="","",'ריכוז נתונים'!AP62+'ריכוז נתונים'!AQ62+'ריכוז נתונים'!AS62+'ריכוז נתונים'!AU62+'ריכוז נתונים'!AW62+'ריכוז נתונים'!AY62)</f>
        <v>62</v>
      </c>
      <c r="J62" s="108">
        <f ca="1">IF($D62="","",IF(INDIRECT("'"&amp;$D62&amp;"'!"&amp;'גיליון עזר'!$I$1&amp;ROW('מרכז מורשת בבל'!$C$11))="",0,פרמטרים!$C$3-INDIRECT("'"&amp;$D62&amp;"'!"&amp;'גיליון עזר'!$I$1&amp;ROW('מרכז מורשת בבל'!$C$11))))</f>
        <v>38</v>
      </c>
      <c r="K62" s="108" t="str">
        <f ca="1">IF($D62="","",IF(INDIRECT("'"&amp;$D62&amp;"'!"&amp;'גיליון עזר'!$K$1&amp;ROW('מרכז מורשת בבל'!$C$11))="","",INDIRECT("'"&amp;$D62&amp;"'!"&amp;'גיליון עזר'!$K$1&amp;ROW('מרכז מורשת בבל'!$C$11))))</f>
        <v>כן</v>
      </c>
      <c r="L62" s="108" t="str">
        <f t="shared" ca="1" si="8"/>
        <v>כן</v>
      </c>
      <c r="M62" s="131">
        <f ca="1">IF($D62="","",IFERROR(O62/פרמטרים!$C$5,""))</f>
        <v>6.7846799763668003E-2</v>
      </c>
      <c r="N62" s="5"/>
      <c r="O62" s="96">
        <f>'סיכום לועדה- הזנת נתונים'!N76</f>
        <v>828405.49</v>
      </c>
      <c r="P62" s="35" t="str">
        <f ca="1">IF($D62="","",INDIRECT("'"&amp;$D62&amp;"'!"&amp;'גיליון עזר'!$G$1&amp;ROW('מרכז מורשת בבל'!$J$8)))</f>
        <v>לא</v>
      </c>
      <c r="Q62" s="5"/>
      <c r="R62" s="134">
        <f ca="1">IF($D62="","",INDIRECT("'"&amp;$D62&amp;"'!"&amp;'גיליון עזר'!$I$1&amp;ROW('מרכז מורשת בבל'!$L$8)))</f>
        <v>0</v>
      </c>
      <c r="S62" s="5"/>
      <c r="T62" s="36">
        <f ca="1">IF($D62="","",IFERROR(INDIRECT("'"&amp;$D62&amp;"'!"&amp;'גיליון עזר'!$K$1&amp;ROW('מרכז מורשת בבל'!$N$8))/F62,""))</f>
        <v>-0.13969726513977943</v>
      </c>
      <c r="U62" s="35"/>
      <c r="V62" s="36">
        <f ca="1">IF($D62="","",IFERROR(INDIRECT("'"&amp;$D62&amp;"'!"&amp;'גיליון עזר'!$M$1&amp;ROW('מרכז מורשת בבל'!$P$8))/F62,""))</f>
        <v>7.2183570964041266E-2</v>
      </c>
      <c r="W62" s="103"/>
      <c r="X62" s="109" t="str">
        <f ca="1">IF($D62="","",IF(AND(AA62="כן",'תנאי סף'!AX56=1),"כן","לא"))</f>
        <v>כן</v>
      </c>
      <c r="Y62" s="1" t="str">
        <f t="shared" ca="1" si="9"/>
        <v>כן</v>
      </c>
      <c r="Z62" s="1" t="str">
        <f t="shared" ca="1" si="9"/>
        <v>לא</v>
      </c>
      <c r="AA62" s="12" t="str">
        <f t="shared" ca="1" si="10"/>
        <v>כן</v>
      </c>
      <c r="AB62" s="223">
        <f t="shared" ca="1" si="15"/>
        <v>6.7846799763668003E-2</v>
      </c>
      <c r="AC62" s="1" t="str">
        <f t="shared" ca="1" si="11"/>
        <v>כן</v>
      </c>
      <c r="AD62" s="1" t="str">
        <f t="shared" ca="1" si="11"/>
        <v>לא</v>
      </c>
      <c r="AE62" s="105">
        <f ca="1">IF($D62="","",IF(G62&gt;פרמטרים!$D$22,1,IF(E62&gt;=AE$16,1,0)))</f>
        <v>1</v>
      </c>
      <c r="AF62" s="105">
        <f t="shared" ca="1" si="12"/>
        <v>1</v>
      </c>
      <c r="AG62" s="105">
        <f t="shared" ca="1" si="16"/>
        <v>1</v>
      </c>
      <c r="AH62" s="105">
        <f t="shared" ca="1" si="17"/>
        <v>1</v>
      </c>
      <c r="AI62" s="105">
        <f t="shared" ca="1" si="18"/>
        <v>1</v>
      </c>
      <c r="AJ62" s="3">
        <f t="shared" ca="1" si="19"/>
        <v>0</v>
      </c>
      <c r="AK62" s="3">
        <f t="shared" ca="1" si="20"/>
        <v>0</v>
      </c>
      <c r="AL62" s="12">
        <f t="shared" ca="1" si="13"/>
        <v>-0.13969726513977943</v>
      </c>
      <c r="AM62" s="12">
        <f t="shared" ca="1" si="14"/>
        <v>7.2183570964041266E-2</v>
      </c>
      <c r="AN62" t="str">
        <f t="shared" ca="1" si="21"/>
        <v>כן</v>
      </c>
      <c r="AO62" t="str">
        <f t="shared" ca="1" si="22"/>
        <v>לא</v>
      </c>
    </row>
    <row r="63" spans="1:41" x14ac:dyDescent="0.25">
      <c r="A63" t="str">
        <f ca="1">IF(AND(LEFT(B63,11)&lt;&gt;"גיליון הזנה",INDIRECT("'"&amp;$B63&amp;"'!"&amp;'גיליון עזר'!$I$1&amp;ROW('מרכז מורשת בבל'!$I$3))=""),"חסרה הזנה","")</f>
        <v/>
      </c>
      <c r="B63" t="str">
        <f ca="1">'א.ב. חדשות השומרונים'!$D$3</f>
        <v>א.ב. חדשות השומרונים</v>
      </c>
      <c r="C63" s="7">
        <f>'ריכוז נתונים'!C63</f>
        <v>47</v>
      </c>
      <c r="D63" s="7" t="str">
        <f ca="1">IF(OR(LEFT(B63,11)="גיליון הזנה",INDIRECT("'"&amp;$B63&amp;"'!"&amp;'גיליון עזר'!$I$1&amp;ROW('מרכז מורשת בבל'!$I$3))=0),"",B63)</f>
        <v>א.ב. חדשות השומרונים</v>
      </c>
      <c r="E63" s="106">
        <f ca="1">IF($D63="","",IFERROR(INDIRECT("'"&amp;$D63&amp;"'!"&amp;'גיליון עזר'!$H$1&amp;ROW('מרכז מורשת בבל'!$C$11))/INDIRECT("'"&amp;$D63&amp;"'!"&amp;'גיליון עזר'!$G$1&amp;ROW('מרכז מורשת בבל'!$C$11)),0))</f>
        <v>1</v>
      </c>
      <c r="F63" s="107">
        <f ca="1">IF($D63="","",INDIRECT("'"&amp;$D63&amp;"'!"&amp;'גיליון עזר'!$C$1&amp;ROW('מרכז מורשת בבל'!$C$11)))</f>
        <v>259498</v>
      </c>
      <c r="G63" s="129">
        <f ca="1">IF($D63="","",INDIRECT("'"&amp;$D63&amp;"'!"&amp;'גיליון עזר'!$E$1&amp;ROW('מרכז מורשת בבל'!$C$11)))</f>
        <v>259498</v>
      </c>
      <c r="H63" s="128">
        <f ca="1">IF($D63="","",INDIRECT("'"&amp;$D63&amp;"'!"&amp;'גיליון עזר'!$F$1&amp;ROW('מרכז מורשת בבל'!$C$11)))</f>
        <v>259498</v>
      </c>
      <c r="I63" s="108">
        <f ca="1">IF($D63="","",'ריכוז נתונים'!AP63+'ריכוז נתונים'!AQ63+'ריכוז נתונים'!AS63+'ריכוז נתונים'!AU63+'ריכוז נתונים'!AW63+'ריכוז נתונים'!AY63)</f>
        <v>8</v>
      </c>
      <c r="J63" s="108">
        <f ca="1">IF($D63="","",IF(INDIRECT("'"&amp;$D63&amp;"'!"&amp;'גיליון עזר'!$I$1&amp;ROW('מרכז מורשת בבל'!$C$11))="",0,פרמטרים!$C$3-INDIRECT("'"&amp;$D63&amp;"'!"&amp;'גיליון עזר'!$I$1&amp;ROW('מרכז מורשת בבל'!$C$11))))</f>
        <v>44</v>
      </c>
      <c r="K63" s="108" t="str">
        <f ca="1">IF($D63="","",IF(INDIRECT("'"&amp;$D63&amp;"'!"&amp;'גיליון עזר'!$K$1&amp;ROW('מרכז מורשת בבל'!$C$11))="","",INDIRECT("'"&amp;$D63&amp;"'!"&amp;'גיליון עזר'!$K$1&amp;ROW('מרכז מורשת בבל'!$C$11))))</f>
        <v>כן</v>
      </c>
      <c r="L63" s="108" t="str">
        <f t="shared" ca="1" si="8"/>
        <v>כן</v>
      </c>
      <c r="M63" s="131">
        <f ca="1">IF($D63="","",IFERROR(O63/פרמטרים!$C$5,""))</f>
        <v>1.3334227959477613E-2</v>
      </c>
      <c r="N63" s="5"/>
      <c r="O63" s="96">
        <f>'סיכום לועדה- הזנת נתונים'!N77</f>
        <v>162810.15</v>
      </c>
      <c r="P63" s="35" t="str">
        <f ca="1">IF($D63="","",INDIRECT("'"&amp;$D63&amp;"'!"&amp;'גיליון עזר'!$G$1&amp;ROW('מרכז מורשת בבל'!$J$8)))</f>
        <v>לא</v>
      </c>
      <c r="Q63" s="5"/>
      <c r="R63" s="134">
        <f ca="1">IF($D63="","",INDIRECT("'"&amp;$D63&amp;"'!"&amp;'גיליון עזר'!$I$1&amp;ROW('מרכז מורשת בבל'!$L$8)))</f>
        <v>0</v>
      </c>
      <c r="S63" s="5"/>
      <c r="T63" s="36">
        <f ca="1">IF($D63="","",IFERROR(INDIRECT("'"&amp;$D63&amp;"'!"&amp;'גיליון עזר'!$K$1&amp;ROW('מרכז מורשת בבל'!$N$8))/F63,""))</f>
        <v>2.4655295994574139E-2</v>
      </c>
      <c r="U63" s="35"/>
      <c r="V63" s="36">
        <f ca="1">IF($D63="","",IFERROR(INDIRECT("'"&amp;$D63&amp;"'!"&amp;'גיליון עזר'!$M$1&amp;ROW('מרכז מורשת בבל'!$P$8))/F63,""))</f>
        <v>0</v>
      </c>
      <c r="W63" s="103"/>
      <c r="X63" s="109" t="str">
        <f ca="1">IF($D63="","",IF(AND(AA63="כן",'תנאי סף'!AX57=1),"כן","לא"))</f>
        <v>כן</v>
      </c>
      <c r="Y63" s="1" t="str">
        <f t="shared" ca="1" si="9"/>
        <v>כן</v>
      </c>
      <c r="Z63" s="1" t="str">
        <f t="shared" ca="1" si="9"/>
        <v>לא</v>
      </c>
      <c r="AA63" s="12" t="str">
        <f t="shared" ca="1" si="10"/>
        <v>כן</v>
      </c>
      <c r="AB63" s="223">
        <f t="shared" ca="1" si="15"/>
        <v>1.3334227959477613E-2</v>
      </c>
      <c r="AC63" s="1" t="str">
        <f t="shared" ca="1" si="11"/>
        <v>כן</v>
      </c>
      <c r="AD63" s="1" t="str">
        <f t="shared" ca="1" si="11"/>
        <v>לא</v>
      </c>
      <c r="AE63" s="105">
        <f ca="1">IF($D63="","",IF(G63&gt;פרמטרים!$D$22,1,IF(E63&gt;=AE$16,1,0)))</f>
        <v>1</v>
      </c>
      <c r="AF63" s="105">
        <f t="shared" ca="1" si="12"/>
        <v>1</v>
      </c>
      <c r="AG63" s="105">
        <f t="shared" ca="1" si="16"/>
        <v>1</v>
      </c>
      <c r="AH63" s="105">
        <f t="shared" ca="1" si="17"/>
        <v>1</v>
      </c>
      <c r="AI63" s="105">
        <f t="shared" ca="1" si="18"/>
        <v>1</v>
      </c>
      <c r="AJ63" s="3">
        <f t="shared" ca="1" si="19"/>
        <v>0</v>
      </c>
      <c r="AK63" s="3">
        <f t="shared" ca="1" si="20"/>
        <v>0</v>
      </c>
      <c r="AL63" s="12">
        <f t="shared" ca="1" si="13"/>
        <v>2.4655295994574139E-2</v>
      </c>
      <c r="AM63" s="12">
        <f t="shared" ca="1" si="14"/>
        <v>0</v>
      </c>
      <c r="AN63" t="str">
        <f t="shared" ca="1" si="21"/>
        <v>כן</v>
      </c>
      <c r="AO63" t="str">
        <f t="shared" ca="1" si="22"/>
        <v>לא</v>
      </c>
    </row>
    <row r="64" spans="1:41" hidden="1" x14ac:dyDescent="0.25">
      <c r="A64" t="str">
        <f ca="1">IF(AND(LEFT(B64,11)&lt;&gt;"גיליון הזנה",INDIRECT("'"&amp;$B64&amp;"'!"&amp;'גיליון עזר'!$I$1&amp;ROW('מרכז מורשת בבל'!$I$3))=""),"חסרה הזנה","")</f>
        <v/>
      </c>
      <c r="B64" t="str">
        <f ca="1">'גיליון הזנה 48'!$D$3</f>
        <v>גיליון הזנה 48</v>
      </c>
      <c r="C64" s="7">
        <f>'ריכוז נתונים'!C64</f>
        <v>48</v>
      </c>
      <c r="D64" s="7" t="str">
        <f ca="1">IF(OR(LEFT(B64,11)="גיליון הזנה",INDIRECT("'"&amp;$B64&amp;"'!"&amp;'גיליון עזר'!$I$1&amp;ROW('מרכז מורשת בבל'!$I$3))=0),"",B64)</f>
        <v/>
      </c>
      <c r="E64" s="106" t="str">
        <f ca="1">IF($D64="","",IFERROR(INDIRECT("'"&amp;$D64&amp;"'!"&amp;'גיליון עזר'!$H$1&amp;ROW('מרכז מורשת בבל'!$C$11))/INDIRECT("'"&amp;$D64&amp;"'!"&amp;'גיליון עזר'!$G$1&amp;ROW('מרכז מורשת בבל'!$C$11)),0))</f>
        <v/>
      </c>
      <c r="F64" s="107" t="str">
        <f ca="1">IF($D64="","",INDIRECT("'"&amp;$D64&amp;"'!"&amp;'גיליון עזר'!$C$1&amp;ROW('מרכז מורשת בבל'!$C$11)))</f>
        <v/>
      </c>
      <c r="G64" s="129" t="str">
        <f ca="1">IF($D64="","",INDIRECT("'"&amp;$D64&amp;"'!"&amp;'גיליון עזר'!$E$1&amp;ROW('מרכז מורשת בבל'!$C$11)))</f>
        <v/>
      </c>
      <c r="H64" s="128" t="str">
        <f ca="1">IF($D64="","",INDIRECT("'"&amp;$D64&amp;"'!"&amp;'גיליון עזר'!$F$1&amp;ROW('מרכז מורשת בבל'!$C$11)))</f>
        <v/>
      </c>
      <c r="I64" s="108" t="str">
        <f ca="1">IF($D64="","",'ריכוז נתונים'!AP64+'ריכוז נתונים'!AQ64+'ריכוז נתונים'!AS64+'ריכוז נתונים'!AU64+'ריכוז נתונים'!AW64+'ריכוז נתונים'!AY64)</f>
        <v/>
      </c>
      <c r="J64" s="108" t="str">
        <f ca="1">IF($D64="","",IF(INDIRECT("'"&amp;$D64&amp;"'!"&amp;'גיליון עזר'!$I$1&amp;ROW('מרכז מורשת בבל'!$C$11))="",0,פרמטרים!$C$3-INDIRECT("'"&amp;$D64&amp;"'!"&amp;'גיליון עזר'!$I$1&amp;ROW('מרכז מורשת בבל'!$C$11))))</f>
        <v/>
      </c>
      <c r="K64" s="108" t="str">
        <f ca="1">IF($D64="","",IF(INDIRECT("'"&amp;$D64&amp;"'!"&amp;'גיליון עזר'!$K$1&amp;ROW('מרכז מורשת בבל'!$C$11))="","",INDIRECT("'"&amp;$D64&amp;"'!"&amp;'גיליון עזר'!$K$1&amp;ROW('מרכז מורשת בבל'!$C$11))))</f>
        <v/>
      </c>
      <c r="L64" s="108" t="str">
        <f t="shared" ca="1" si="8"/>
        <v/>
      </c>
      <c r="M64" s="131" t="str">
        <f ca="1">IF($D64="","",IFERROR(O64/פרמטרים!$C$5,""))</f>
        <v/>
      </c>
      <c r="N64" s="5"/>
      <c r="O64" s="96">
        <f>'סיכום לועדה- הזנת נתונים'!N78</f>
        <v>0</v>
      </c>
      <c r="P64" s="35" t="str">
        <f ca="1">IF($D64="","",INDIRECT("'"&amp;$D64&amp;"'!"&amp;'גיליון עזר'!$G$1&amp;ROW('מרכז מורשת בבל'!$J$8)))</f>
        <v/>
      </c>
      <c r="Q64" s="5"/>
      <c r="R64" s="134" t="str">
        <f ca="1">IF($D64="","",INDIRECT("'"&amp;$D64&amp;"'!"&amp;'גיליון עזר'!$I$1&amp;ROW('מרכז מורשת בבל'!$L$8)))</f>
        <v/>
      </c>
      <c r="S64" s="5"/>
      <c r="T64" s="36" t="str">
        <f ca="1">IF($D64="","",IFERROR(INDIRECT("'"&amp;$D64&amp;"'!"&amp;'גיליון עזר'!$K$1&amp;ROW('מרכז מורשת בבל'!$N$8))/F64,""))</f>
        <v/>
      </c>
      <c r="U64" s="35"/>
      <c r="V64" s="36" t="str">
        <f ca="1">IF($D64="","",IFERROR(INDIRECT("'"&amp;$D64&amp;"'!"&amp;'גיליון עזר'!$M$1&amp;ROW('מרכז מורשת בבל'!$P$8))/F64,""))</f>
        <v/>
      </c>
      <c r="W64" s="103"/>
      <c r="X64" s="109" t="str">
        <f ca="1">IF($D64="","",IF(AND(AA64="כן",'תנאי סף'!AX58=1),"כן","לא"))</f>
        <v/>
      </c>
      <c r="Y64" s="1" t="str">
        <f t="shared" ca="1" si="9"/>
        <v/>
      </c>
      <c r="Z64" s="1" t="str">
        <f t="shared" ca="1" si="9"/>
        <v/>
      </c>
      <c r="AA64" s="12" t="str">
        <f t="shared" ca="1" si="10"/>
        <v>לא</v>
      </c>
      <c r="AB64" s="223" t="str">
        <f t="shared" ca="1" si="15"/>
        <v/>
      </c>
      <c r="AC64" s="1" t="str">
        <f t="shared" ca="1" si="11"/>
        <v/>
      </c>
      <c r="AD64" s="1" t="str">
        <f t="shared" ca="1" si="11"/>
        <v/>
      </c>
      <c r="AE64" s="105" t="str">
        <f ca="1">IF($D64="","",IF(G64&gt;פרמטרים!$D$22,1,IF(E64&gt;=AE$16,1,0)))</f>
        <v/>
      </c>
      <c r="AF64" s="105" t="str">
        <f t="shared" ca="1" si="12"/>
        <v/>
      </c>
      <c r="AG64" s="105" t="str">
        <f t="shared" ca="1" si="16"/>
        <v/>
      </c>
      <c r="AH64" s="105" t="str">
        <f t="shared" ca="1" si="17"/>
        <v/>
      </c>
      <c r="AI64" s="105" t="str">
        <f t="shared" ca="1" si="18"/>
        <v/>
      </c>
      <c r="AJ64" s="3" t="str">
        <f t="shared" ca="1" si="19"/>
        <v/>
      </c>
      <c r="AK64" s="3" t="str">
        <f t="shared" ca="1" si="20"/>
        <v/>
      </c>
      <c r="AL64" s="12" t="str">
        <f t="shared" ca="1" si="13"/>
        <v/>
      </c>
      <c r="AM64" s="12" t="str">
        <f t="shared" ca="1" si="14"/>
        <v/>
      </c>
      <c r="AN64" t="str">
        <f t="shared" ca="1" si="21"/>
        <v/>
      </c>
      <c r="AO64" t="str">
        <f t="shared" ca="1" si="22"/>
        <v/>
      </c>
    </row>
    <row r="65" spans="1:41" hidden="1" x14ac:dyDescent="0.25">
      <c r="A65" t="str">
        <f ca="1">IF(AND(LEFT(B65,11)&lt;&gt;"גיליון הזנה",INDIRECT("'"&amp;$B65&amp;"'!"&amp;'גיליון עזר'!$I$1&amp;ROW('מרכז מורשת בבל'!$I$3))=""),"חסרה הזנה","")</f>
        <v/>
      </c>
      <c r="B65" t="str">
        <f ca="1">'גיליון הזנה 49'!$D$3</f>
        <v>גיליון הזנה 49</v>
      </c>
      <c r="C65" s="7">
        <f>'ריכוז נתונים'!C65</f>
        <v>49</v>
      </c>
      <c r="D65" s="7" t="str">
        <f ca="1">IF(OR(LEFT(B65,11)="גיליון הזנה",INDIRECT("'"&amp;$B65&amp;"'!"&amp;'גיליון עזר'!$I$1&amp;ROW('מרכז מורשת בבל'!$I$3))=0),"",B65)</f>
        <v/>
      </c>
      <c r="E65" s="106" t="str">
        <f ca="1">IF($D65="","",IFERROR(INDIRECT("'"&amp;$D65&amp;"'!"&amp;'גיליון עזר'!$H$1&amp;ROW('מרכז מורשת בבל'!$C$11))/INDIRECT("'"&amp;$D65&amp;"'!"&amp;'גיליון עזר'!$G$1&amp;ROW('מרכז מורשת בבל'!$C$11)),0))</f>
        <v/>
      </c>
      <c r="F65" s="107" t="str">
        <f ca="1">IF($D65="","",INDIRECT("'"&amp;$D65&amp;"'!"&amp;'גיליון עזר'!$C$1&amp;ROW('מרכז מורשת בבל'!$C$11)))</f>
        <v/>
      </c>
      <c r="G65" s="129" t="str">
        <f ca="1">IF($D65="","",INDIRECT("'"&amp;$D65&amp;"'!"&amp;'גיליון עזר'!$E$1&amp;ROW('מרכז מורשת בבל'!$C$11)))</f>
        <v/>
      </c>
      <c r="H65" s="128" t="str">
        <f ca="1">IF($D65="","",INDIRECT("'"&amp;$D65&amp;"'!"&amp;'גיליון עזר'!$F$1&amp;ROW('מרכז מורשת בבל'!$C$11)))</f>
        <v/>
      </c>
      <c r="I65" s="108" t="str">
        <f ca="1">IF($D65="","",'ריכוז נתונים'!AP65+'ריכוז נתונים'!AQ65+'ריכוז נתונים'!AS65+'ריכוז נתונים'!AU65+'ריכוז נתונים'!AW65+'ריכוז נתונים'!AY65)</f>
        <v/>
      </c>
      <c r="J65" s="108" t="str">
        <f ca="1">IF($D65="","",IF(INDIRECT("'"&amp;$D65&amp;"'!"&amp;'גיליון עזר'!$I$1&amp;ROW('מרכז מורשת בבל'!$C$11))="",0,פרמטרים!$C$3-INDIRECT("'"&amp;$D65&amp;"'!"&amp;'גיליון עזר'!$I$1&amp;ROW('מרכז מורשת בבל'!$C$11))))</f>
        <v/>
      </c>
      <c r="K65" s="108" t="str">
        <f ca="1">IF($D65="","",IF(INDIRECT("'"&amp;$D65&amp;"'!"&amp;'גיליון עזר'!$K$1&amp;ROW('מרכז מורשת בבל'!$C$11))="","",INDIRECT("'"&amp;$D65&amp;"'!"&amp;'גיליון עזר'!$K$1&amp;ROW('מרכז מורשת בבל'!$C$11))))</f>
        <v/>
      </c>
      <c r="L65" s="108" t="str">
        <f t="shared" ca="1" si="8"/>
        <v/>
      </c>
      <c r="M65" s="131" t="str">
        <f ca="1">IF($D65="","",IFERROR(O65/פרמטרים!$C$5,""))</f>
        <v/>
      </c>
      <c r="N65" s="5"/>
      <c r="O65" s="96">
        <f>'סיכום לועדה- הזנת נתונים'!N79</f>
        <v>0</v>
      </c>
      <c r="P65" s="35" t="str">
        <f ca="1">IF($D65="","",INDIRECT("'"&amp;$D65&amp;"'!"&amp;'גיליון עזר'!$G$1&amp;ROW('מרכז מורשת בבל'!$J$8)))</f>
        <v/>
      </c>
      <c r="Q65" s="5"/>
      <c r="R65" s="134" t="str">
        <f ca="1">IF($D65="","",INDIRECT("'"&amp;$D65&amp;"'!"&amp;'גיליון עזר'!$I$1&amp;ROW('מרכז מורשת בבל'!$L$8)))</f>
        <v/>
      </c>
      <c r="S65" s="5"/>
      <c r="T65" s="36" t="str">
        <f ca="1">IF($D65="","",IFERROR(INDIRECT("'"&amp;$D65&amp;"'!"&amp;'גיליון עזר'!$K$1&amp;ROW('מרכז מורשת בבל'!$N$8))/F65,""))</f>
        <v/>
      </c>
      <c r="U65" s="35"/>
      <c r="V65" s="36" t="str">
        <f ca="1">IF($D65="","",IFERROR(INDIRECT("'"&amp;$D65&amp;"'!"&amp;'גיליון עזר'!$M$1&amp;ROW('מרכז מורשת בבל'!$P$8))/F65,""))</f>
        <v/>
      </c>
      <c r="W65" s="103"/>
      <c r="X65" s="109" t="str">
        <f ca="1">IF($D65="","",IF(AND(AA65="כן",'תנאי סף'!AX59=1),"כן","לא"))</f>
        <v/>
      </c>
      <c r="Y65" s="1" t="str">
        <f t="shared" ca="1" si="9"/>
        <v/>
      </c>
      <c r="Z65" s="1" t="str">
        <f t="shared" ca="1" si="9"/>
        <v/>
      </c>
      <c r="AA65" s="12" t="str">
        <f t="shared" ca="1" si="10"/>
        <v>לא</v>
      </c>
      <c r="AB65" s="223" t="str">
        <f t="shared" ca="1" si="15"/>
        <v/>
      </c>
      <c r="AC65" s="1" t="str">
        <f t="shared" ca="1" si="11"/>
        <v/>
      </c>
      <c r="AD65" s="1" t="str">
        <f t="shared" ca="1" si="11"/>
        <v/>
      </c>
      <c r="AE65" s="105" t="str">
        <f ca="1">IF($D65="","",IF(G65&gt;פרמטרים!$D$22,1,IF(E65&gt;=AE$16,1,0)))</f>
        <v/>
      </c>
      <c r="AF65" s="105" t="str">
        <f t="shared" ca="1" si="12"/>
        <v/>
      </c>
      <c r="AG65" s="105" t="str">
        <f t="shared" ca="1" si="16"/>
        <v/>
      </c>
      <c r="AH65" s="105" t="str">
        <f t="shared" ca="1" si="17"/>
        <v/>
      </c>
      <c r="AI65" s="105" t="str">
        <f t="shared" ca="1" si="18"/>
        <v/>
      </c>
      <c r="AJ65" s="3" t="str">
        <f t="shared" ca="1" si="19"/>
        <v/>
      </c>
      <c r="AK65" s="3" t="str">
        <f t="shared" ca="1" si="20"/>
        <v/>
      </c>
      <c r="AL65" s="12" t="str">
        <f t="shared" ca="1" si="13"/>
        <v/>
      </c>
      <c r="AM65" s="12" t="str">
        <f t="shared" ca="1" si="14"/>
        <v/>
      </c>
      <c r="AN65" t="str">
        <f t="shared" ca="1" si="21"/>
        <v/>
      </c>
      <c r="AO65" t="str">
        <f t="shared" ca="1" si="22"/>
        <v/>
      </c>
    </row>
    <row r="66" spans="1:41" hidden="1" x14ac:dyDescent="0.25">
      <c r="A66" t="str">
        <f ca="1">IF(AND(LEFT(B66,11)&lt;&gt;"גיליון הזנה",INDIRECT("'"&amp;$B66&amp;"'!"&amp;'גיליון עזר'!$I$1&amp;ROW('מרכז מורשת בבל'!$I$3))=""),"חסרה הזנה","")</f>
        <v/>
      </c>
      <c r="B66" t="str">
        <f ca="1">'גיליון הזנה 52'!$D$3</f>
        <v>גיליון הזנה 52</v>
      </c>
      <c r="C66" s="7">
        <f>'ריכוז נתונים'!C66</f>
        <v>50</v>
      </c>
      <c r="D66" s="7" t="str">
        <f ca="1">IF(OR(LEFT(B66,11)="גיליון הזנה",INDIRECT("'"&amp;$B66&amp;"'!"&amp;'גיליון עזר'!$I$1&amp;ROW('מרכז מורשת בבל'!$I$3))=0),"",B66)</f>
        <v/>
      </c>
      <c r="E66" s="106" t="str">
        <f ca="1">IF($D66="","",IFERROR(INDIRECT("'"&amp;$D66&amp;"'!"&amp;'גיליון עזר'!$H$1&amp;ROW('מרכז מורשת בבל'!$C$11))/INDIRECT("'"&amp;$D66&amp;"'!"&amp;'גיליון עזר'!$G$1&amp;ROW('מרכז מורשת בבל'!$C$11)),0))</f>
        <v/>
      </c>
      <c r="F66" s="107" t="str">
        <f ca="1">IF($D66="","",INDIRECT("'"&amp;$D66&amp;"'!"&amp;'גיליון עזר'!$C$1&amp;ROW('מרכז מורשת בבל'!$C$11)))</f>
        <v/>
      </c>
      <c r="G66" s="129" t="str">
        <f ca="1">IF($D66="","",INDIRECT("'"&amp;$D66&amp;"'!"&amp;'גיליון עזר'!$E$1&amp;ROW('מרכז מורשת בבל'!$C$11)))</f>
        <v/>
      </c>
      <c r="H66" s="128" t="str">
        <f ca="1">IF($D66="","",INDIRECT("'"&amp;$D66&amp;"'!"&amp;'גיליון עזר'!$F$1&amp;ROW('מרכז מורשת בבל'!$C$11)))</f>
        <v/>
      </c>
      <c r="I66" s="108" t="str">
        <f ca="1">IF($D66="","",'ריכוז נתונים'!AP66+'ריכוז נתונים'!AQ66+'ריכוז נתונים'!AS66+'ריכוז נתונים'!AU66+'ריכוז נתונים'!AW66+'ריכוז נתונים'!AY66)</f>
        <v/>
      </c>
      <c r="J66" s="108" t="str">
        <f ca="1">IF($D66="","",IF(INDIRECT("'"&amp;$D66&amp;"'!"&amp;'גיליון עזר'!$I$1&amp;ROW('מרכז מורשת בבל'!$C$11))="",0,פרמטרים!$C$3-INDIRECT("'"&amp;$D66&amp;"'!"&amp;'גיליון עזר'!$I$1&amp;ROW('מרכז מורשת בבל'!$C$11))))</f>
        <v/>
      </c>
      <c r="K66" s="108" t="str">
        <f ca="1">IF($D66="","",IF(INDIRECT("'"&amp;$D66&amp;"'!"&amp;'גיליון עזר'!$K$1&amp;ROW('מרכז מורשת בבל'!$C$11))="","",INDIRECT("'"&amp;$D66&amp;"'!"&amp;'גיליון עזר'!$K$1&amp;ROW('מרכז מורשת בבל'!$C$11))))</f>
        <v/>
      </c>
      <c r="L66" s="108" t="str">
        <f t="shared" ca="1" si="8"/>
        <v/>
      </c>
      <c r="M66" s="131" t="str">
        <f ca="1">IF($D66="","",IFERROR(O66/פרמטרים!$C$5,""))</f>
        <v/>
      </c>
      <c r="N66" s="5"/>
      <c r="O66" s="96">
        <f>'סיכום לועדה- הזנת נתונים'!N80</f>
        <v>0</v>
      </c>
      <c r="P66" s="35" t="str">
        <f ca="1">IF($D66="","",INDIRECT("'"&amp;$D66&amp;"'!"&amp;'גיליון עזר'!$G$1&amp;ROW('מרכז מורשת בבל'!$J$8)))</f>
        <v/>
      </c>
      <c r="Q66" s="5"/>
      <c r="R66" s="134" t="str">
        <f ca="1">IF($D66="","",INDIRECT("'"&amp;$D66&amp;"'!"&amp;'גיליון עזר'!$I$1&amp;ROW('מרכז מורשת בבל'!$L$8)))</f>
        <v/>
      </c>
      <c r="S66" s="5"/>
      <c r="T66" s="36" t="str">
        <f ca="1">IF($D66="","",IFERROR(INDIRECT("'"&amp;$D66&amp;"'!"&amp;'גיליון עזר'!$K$1&amp;ROW('מרכז מורשת בבל'!$N$8))/F66,""))</f>
        <v/>
      </c>
      <c r="U66" s="35"/>
      <c r="V66" s="36" t="str">
        <f ca="1">IF($D66="","",IFERROR(INDIRECT("'"&amp;$D66&amp;"'!"&amp;'גיליון עזר'!$M$1&amp;ROW('מרכז מורשת בבל'!$P$8))/F66,""))</f>
        <v/>
      </c>
      <c r="W66" s="103"/>
      <c r="X66" s="109" t="str">
        <f ca="1">IF($D66="","",IF(AND(AA66="כן",'תנאי סף'!AX60=1),"כן","לא"))</f>
        <v/>
      </c>
      <c r="Y66" s="1" t="str">
        <f t="shared" ca="1" si="9"/>
        <v/>
      </c>
      <c r="Z66" s="1" t="str">
        <f t="shared" ca="1" si="9"/>
        <v/>
      </c>
      <c r="AA66" s="12" t="str">
        <f t="shared" ca="1" si="10"/>
        <v>לא</v>
      </c>
      <c r="AB66" s="223" t="str">
        <f t="shared" ca="1" si="15"/>
        <v/>
      </c>
      <c r="AC66" s="1" t="str">
        <f t="shared" ca="1" si="11"/>
        <v/>
      </c>
      <c r="AD66" s="1" t="str">
        <f t="shared" ca="1" si="11"/>
        <v/>
      </c>
      <c r="AE66" s="105" t="str">
        <f ca="1">IF($D66="","",IF(G66&gt;פרמטרים!$D$22,1,IF(E66&gt;=AE$16,1,0)))</f>
        <v/>
      </c>
      <c r="AF66" s="105" t="str">
        <f t="shared" ca="1" si="12"/>
        <v/>
      </c>
      <c r="AG66" s="105" t="str">
        <f t="shared" ca="1" si="16"/>
        <v/>
      </c>
      <c r="AH66" s="105" t="str">
        <f t="shared" ca="1" si="17"/>
        <v/>
      </c>
      <c r="AI66" s="105" t="str">
        <f t="shared" ca="1" si="18"/>
        <v/>
      </c>
      <c r="AJ66" s="3" t="str">
        <f t="shared" ca="1" si="19"/>
        <v/>
      </c>
      <c r="AK66" s="3" t="str">
        <f t="shared" ca="1" si="20"/>
        <v/>
      </c>
      <c r="AL66" s="12" t="str">
        <f t="shared" ca="1" si="13"/>
        <v/>
      </c>
      <c r="AM66" s="12" t="str">
        <f t="shared" ca="1" si="14"/>
        <v/>
      </c>
      <c r="AN66" t="str">
        <f t="shared" ca="1" si="21"/>
        <v/>
      </c>
      <c r="AO66" t="str">
        <f t="shared" ca="1" si="22"/>
        <v/>
      </c>
    </row>
    <row r="67" spans="1:41" hidden="1" x14ac:dyDescent="0.25">
      <c r="A67" t="str">
        <f ca="1">IF(AND(LEFT(B67,11)&lt;&gt;"גיליון הזנה",INDIRECT("'"&amp;$B67&amp;"'!"&amp;'גיליון עזר'!$I$1&amp;ROW('מרכז מורשת בבל'!$I$3))=""),"חסרה הזנה","")</f>
        <v/>
      </c>
      <c r="B67" t="str">
        <f ca="1">'גיליון הזנה 51'!$D$3</f>
        <v>גיליון הזנה 51</v>
      </c>
      <c r="C67" s="7">
        <f>'ריכוז נתונים'!C67</f>
        <v>51</v>
      </c>
      <c r="D67" s="7" t="str">
        <f ca="1">IF(OR(LEFT(B67,11)="גיליון הזנה",INDIRECT("'"&amp;$B67&amp;"'!"&amp;'גיליון עזר'!$I$1&amp;ROW('מרכז מורשת בבל'!$I$3))=0),"",B67)</f>
        <v/>
      </c>
      <c r="E67" s="106" t="str">
        <f ca="1">IF($D67="","",IFERROR(INDIRECT("'"&amp;$D67&amp;"'!"&amp;'גיליון עזר'!$H$1&amp;ROW('מרכז מורשת בבל'!$C$11))/INDIRECT("'"&amp;$D67&amp;"'!"&amp;'גיליון עזר'!$G$1&amp;ROW('מרכז מורשת בבל'!$C$11)),0))</f>
        <v/>
      </c>
      <c r="F67" s="107" t="str">
        <f ca="1">IF($D67="","",INDIRECT("'"&amp;$D67&amp;"'!"&amp;'גיליון עזר'!$C$1&amp;ROW('מרכז מורשת בבל'!$C$11)))</f>
        <v/>
      </c>
      <c r="G67" s="129" t="str">
        <f ca="1">IF($D67="","",INDIRECT("'"&amp;$D67&amp;"'!"&amp;'גיליון עזר'!$E$1&amp;ROW('מרכז מורשת בבל'!$C$11)))</f>
        <v/>
      </c>
      <c r="H67" s="128" t="str">
        <f ca="1">IF($D67="","",INDIRECT("'"&amp;$D67&amp;"'!"&amp;'גיליון עזר'!$F$1&amp;ROW('מרכז מורשת בבל'!$C$11)))</f>
        <v/>
      </c>
      <c r="I67" s="108" t="str">
        <f ca="1">IF($D67="","",'ריכוז נתונים'!AP67+'ריכוז נתונים'!AQ67+'ריכוז נתונים'!AS67+'ריכוז נתונים'!AU67+'ריכוז נתונים'!AW67+'ריכוז נתונים'!AY67)</f>
        <v/>
      </c>
      <c r="J67" s="108" t="str">
        <f ca="1">IF($D67="","",IF(INDIRECT("'"&amp;$D67&amp;"'!"&amp;'גיליון עזר'!$I$1&amp;ROW('מרכז מורשת בבל'!$C$11))="",0,פרמטרים!$C$3-INDIRECT("'"&amp;$D67&amp;"'!"&amp;'גיליון עזר'!$I$1&amp;ROW('מרכז מורשת בבל'!$C$11))))</f>
        <v/>
      </c>
      <c r="K67" s="108" t="str">
        <f ca="1">IF($D67="","",IF(INDIRECT("'"&amp;$D67&amp;"'!"&amp;'גיליון עזר'!$K$1&amp;ROW('מרכז מורשת בבל'!$C$11))="","",INDIRECT("'"&amp;$D67&amp;"'!"&amp;'גיליון עזר'!$K$1&amp;ROW('מרכז מורשת בבל'!$C$11))))</f>
        <v/>
      </c>
      <c r="L67" s="108" t="str">
        <f t="shared" ca="1" si="8"/>
        <v/>
      </c>
      <c r="M67" s="131" t="str">
        <f ca="1">IF($D67="","",IFERROR(O67/פרמטרים!$C$5,""))</f>
        <v/>
      </c>
      <c r="N67" s="5"/>
      <c r="O67" s="96">
        <f>'סיכום לועדה- הזנת נתונים'!N81</f>
        <v>0</v>
      </c>
      <c r="P67" s="35" t="str">
        <f ca="1">IF($D67="","",INDIRECT("'"&amp;$D67&amp;"'!"&amp;'גיליון עזר'!$G$1&amp;ROW('מרכז מורשת בבל'!$J$8)))</f>
        <v/>
      </c>
      <c r="Q67" s="5"/>
      <c r="R67" s="134" t="str">
        <f ca="1">IF($D67="","",INDIRECT("'"&amp;$D67&amp;"'!"&amp;'גיליון עזר'!$I$1&amp;ROW('מרכז מורשת בבל'!$L$8)))</f>
        <v/>
      </c>
      <c r="S67" s="5"/>
      <c r="T67" s="36" t="str">
        <f ca="1">IF($D67="","",IFERROR(INDIRECT("'"&amp;$D67&amp;"'!"&amp;'גיליון עזר'!$K$1&amp;ROW('מרכז מורשת בבל'!$N$8))/F67,""))</f>
        <v/>
      </c>
      <c r="U67" s="35"/>
      <c r="V67" s="36" t="str">
        <f ca="1">IF($D67="","",IFERROR(INDIRECT("'"&amp;$D67&amp;"'!"&amp;'גיליון עזר'!$M$1&amp;ROW('מרכז מורשת בבל'!$P$8))/F67,""))</f>
        <v/>
      </c>
      <c r="W67" s="103"/>
      <c r="X67" s="109" t="str">
        <f ca="1">IF($D67="","",IF(AND(AA67="כן",'תנאי סף'!AX61=1),"כן","לא"))</f>
        <v/>
      </c>
      <c r="Y67" s="1" t="str">
        <f t="shared" ca="1" si="9"/>
        <v/>
      </c>
      <c r="Z67" s="1" t="str">
        <f t="shared" ca="1" si="9"/>
        <v/>
      </c>
      <c r="AA67" s="12" t="str">
        <f t="shared" ca="1" si="10"/>
        <v>לא</v>
      </c>
      <c r="AB67" s="223" t="str">
        <f t="shared" ca="1" si="15"/>
        <v/>
      </c>
      <c r="AC67" s="1" t="str">
        <f t="shared" ca="1" si="11"/>
        <v/>
      </c>
      <c r="AD67" s="1" t="str">
        <f t="shared" ca="1" si="11"/>
        <v/>
      </c>
      <c r="AE67" s="105" t="str">
        <f ca="1">IF($D67="","",IF(G67&gt;פרמטרים!$D$22,1,IF(E67&gt;=AE$16,1,0)))</f>
        <v/>
      </c>
      <c r="AF67" s="105" t="str">
        <f t="shared" ca="1" si="12"/>
        <v/>
      </c>
      <c r="AG67" s="105" t="str">
        <f t="shared" ca="1" si="16"/>
        <v/>
      </c>
      <c r="AH67" s="105" t="str">
        <f t="shared" ca="1" si="17"/>
        <v/>
      </c>
      <c r="AI67" s="105" t="str">
        <f t="shared" ca="1" si="18"/>
        <v/>
      </c>
      <c r="AJ67" s="3" t="str">
        <f t="shared" ca="1" si="19"/>
        <v/>
      </c>
      <c r="AK67" s="3" t="str">
        <f t="shared" ca="1" si="20"/>
        <v/>
      </c>
      <c r="AL67" s="12" t="str">
        <f t="shared" ca="1" si="13"/>
        <v/>
      </c>
      <c r="AM67" s="12" t="str">
        <f t="shared" ca="1" si="14"/>
        <v/>
      </c>
      <c r="AN67" t="str">
        <f t="shared" ca="1" si="21"/>
        <v/>
      </c>
      <c r="AO67" t="str">
        <f t="shared" ca="1" si="22"/>
        <v/>
      </c>
    </row>
    <row r="68" spans="1:41" x14ac:dyDescent="0.25">
      <c r="A68" t="str">
        <f ca="1">IF(AND(LEFT(B68,11)&lt;&gt;"גיליון הזנה",INDIRECT("'"&amp;$B68&amp;"'!"&amp;'גיליון עזר'!$I$1&amp;ROW('מרכז מורשת בבל'!$I$3))=""),"חסרה הזנה","")</f>
        <v/>
      </c>
      <c r="B68" t="str">
        <f ca="1">'עמותת הנני'!$D$3</f>
        <v>עמותת הנני</v>
      </c>
      <c r="C68" s="7">
        <f>'ריכוז נתונים'!C68</f>
        <v>52</v>
      </c>
      <c r="D68" s="7" t="str">
        <f ca="1">IF(OR(LEFT(B68,11)="גיליון הזנה",INDIRECT("'"&amp;$B68&amp;"'!"&amp;'גיליון עזר'!$I$1&amp;ROW('מרכז מורשת בבל'!$I$3))=0),"",B68)</f>
        <v>עמותת הנני</v>
      </c>
      <c r="E68" s="106">
        <f ca="1">IF($D68="","",IFERROR(INDIRECT("'"&amp;$D68&amp;"'!"&amp;'גיליון עזר'!$H$1&amp;ROW('מרכז מורשת בבל'!$C$11))/INDIRECT("'"&amp;$D68&amp;"'!"&amp;'גיליון עזר'!$G$1&amp;ROW('מרכז מורשת בבל'!$C$11)),0))</f>
        <v>0.46632236484224621</v>
      </c>
      <c r="F68" s="107">
        <f ca="1">IF($D68="","",INDIRECT("'"&amp;$D68&amp;"'!"&amp;'גיליון עזר'!$C$1&amp;ROW('מרכז מורשת בבל'!$C$11)))</f>
        <v>1658278</v>
      </c>
      <c r="G68" s="129">
        <f ca="1">IF($D68="","",INDIRECT("'"&amp;$D68&amp;"'!"&amp;'גיליון עזר'!$E$1&amp;ROW('מרכז מורשת בבל'!$C$11)))</f>
        <v>987464</v>
      </c>
      <c r="H68" s="128">
        <f ca="1">IF($D68="","",INDIRECT("'"&amp;$D68&amp;"'!"&amp;'גיליון עזר'!$F$1&amp;ROW('מרכז מורשת בבל'!$C$11)))</f>
        <v>713227</v>
      </c>
      <c r="I68" s="108">
        <f ca="1">IF($D68="","",'ריכוז נתונים'!AP68+'ריכוז נתונים'!AQ68+'ריכוז נתונים'!AS68+'ריכוז נתונים'!AU68+'ריכוז נתונים'!AW68+'ריכוז נתונים'!AY68)</f>
        <v>146</v>
      </c>
      <c r="J68" s="108">
        <f ca="1">IF($D68="","",IF(INDIRECT("'"&amp;$D68&amp;"'!"&amp;'גיליון עזר'!$I$1&amp;ROW('מרכז מורשת בבל'!$C$11))="",0,פרמטרים!$C$3-INDIRECT("'"&amp;$D68&amp;"'!"&amp;'גיליון עזר'!$I$1&amp;ROW('מרכז מורשת בבל'!$C$11))))</f>
        <v>27</v>
      </c>
      <c r="K68" s="108" t="str">
        <f ca="1">IF($D68="","",IF(INDIRECT("'"&amp;$D68&amp;"'!"&amp;'גיליון עזר'!$K$1&amp;ROW('מרכז מורשת בבל'!$C$11))="","",INDIRECT("'"&amp;$D68&amp;"'!"&amp;'גיליון עזר'!$K$1&amp;ROW('מרכז מורשת בבל'!$C$11))))</f>
        <v>כן</v>
      </c>
      <c r="L68" s="108" t="str">
        <f t="shared" ca="1" si="8"/>
        <v>כן</v>
      </c>
      <c r="M68" s="131">
        <f ca="1">IF($D68="","",IFERROR(O68/פרמטרים!$C$5,""))</f>
        <v>3.6042527474741487E-2</v>
      </c>
      <c r="N68" s="5"/>
      <c r="O68" s="96">
        <f>'סיכום לועדה- הזנת נתונים'!N82</f>
        <v>440077.17</v>
      </c>
      <c r="P68" s="35" t="str">
        <f ca="1">IF($D68="","",INDIRECT("'"&amp;$D68&amp;"'!"&amp;'גיליון עזר'!$G$1&amp;ROW('מרכז מורשת בבל'!$J$8)))</f>
        <v>לא</v>
      </c>
      <c r="Q68" s="5"/>
      <c r="R68" s="134">
        <f ca="1">IF($D68="","",INDIRECT("'"&amp;$D68&amp;"'!"&amp;'גיליון עזר'!$I$1&amp;ROW('מרכז מורשת בבל'!$L$8)))</f>
        <v>0</v>
      </c>
      <c r="S68" s="5"/>
      <c r="T68" s="36">
        <f ca="1">IF($D68="","",IFERROR(INDIRECT("'"&amp;$D68&amp;"'!"&amp;'גיליון עזר'!$K$1&amp;ROW('מרכז מורשת בבל'!$N$8))/F68,""))</f>
        <v>3.7554016877749084E-2</v>
      </c>
      <c r="U68" s="35"/>
      <c r="V68" s="36">
        <f ca="1">IF($D68="","",IFERROR(INDIRECT("'"&amp;$D68&amp;"'!"&amp;'גיליון עזר'!$M$1&amp;ROW('מרכז מורשת בבל'!$P$8))/F68,""))</f>
        <v>6.6775293406774974E-2</v>
      </c>
      <c r="W68" s="103"/>
      <c r="X68" s="109" t="str">
        <f ca="1">IF($D68="","",IF(AND(AA68="כן",'תנאי סף'!AX62=1),"כן","לא"))</f>
        <v>כן</v>
      </c>
      <c r="Y68" s="1" t="str">
        <f t="shared" ca="1" si="9"/>
        <v>כן</v>
      </c>
      <c r="Z68" s="1" t="str">
        <f t="shared" ca="1" si="9"/>
        <v>לא</v>
      </c>
      <c r="AA68" s="12" t="str">
        <f t="shared" ca="1" si="10"/>
        <v>כן</v>
      </c>
      <c r="AB68" s="223">
        <f t="shared" ca="1" si="15"/>
        <v>3.6042527474741487E-2</v>
      </c>
      <c r="AC68" s="1" t="str">
        <f t="shared" ca="1" si="11"/>
        <v>כן</v>
      </c>
      <c r="AD68" s="1" t="str">
        <f t="shared" ca="1" si="11"/>
        <v>לא</v>
      </c>
      <c r="AE68" s="105">
        <f ca="1">IF($D68="","",IF(G68&gt;פרמטרים!$D$22,1,IF(E68&gt;=AE$16,1,0)))</f>
        <v>1</v>
      </c>
      <c r="AF68" s="105">
        <f t="shared" ca="1" si="12"/>
        <v>1</v>
      </c>
      <c r="AG68" s="105">
        <f t="shared" ca="1" si="16"/>
        <v>1</v>
      </c>
      <c r="AH68" s="105">
        <f t="shared" ca="1" si="17"/>
        <v>1</v>
      </c>
      <c r="AI68" s="105">
        <f t="shared" ca="1" si="18"/>
        <v>1</v>
      </c>
      <c r="AJ68" s="3">
        <f t="shared" ca="1" si="19"/>
        <v>0</v>
      </c>
      <c r="AK68" s="3">
        <f t="shared" ca="1" si="20"/>
        <v>0</v>
      </c>
      <c r="AL68" s="12">
        <f t="shared" ca="1" si="13"/>
        <v>3.7554016877749084E-2</v>
      </c>
      <c r="AM68" s="12">
        <f t="shared" ca="1" si="14"/>
        <v>6.6775293406774974E-2</v>
      </c>
      <c r="AN68" t="str">
        <f t="shared" ca="1" si="21"/>
        <v>כן</v>
      </c>
      <c r="AO68" t="str">
        <f t="shared" ca="1" si="22"/>
        <v>לא</v>
      </c>
    </row>
    <row r="69" spans="1:41" hidden="1" x14ac:dyDescent="0.25">
      <c r="A69" t="str">
        <f ca="1">IF(AND(LEFT(B69,11)&lt;&gt;"גיליון הזנה",INDIRECT("'"&amp;$B69&amp;"'!"&amp;'גיליון עזר'!$I$1&amp;ROW('מרכז מורשת בבל'!$I$3))=""),"חסרה הזנה","")</f>
        <v/>
      </c>
      <c r="B69" t="str">
        <f ca="1">'גיליון הזנה 53'!$D$3</f>
        <v>גיליון הזנה 53</v>
      </c>
      <c r="C69" s="7">
        <f>'ריכוז נתונים'!C69</f>
        <v>53</v>
      </c>
      <c r="D69" s="7" t="str">
        <f ca="1">IF(OR(LEFT(B69,11)="גיליון הזנה",INDIRECT("'"&amp;$B69&amp;"'!"&amp;'גיליון עזר'!$I$1&amp;ROW('מרכז מורשת בבל'!$I$3))=0),"",B69)</f>
        <v/>
      </c>
      <c r="E69" s="106" t="str">
        <f ca="1">IF($D69="","",IFERROR(INDIRECT("'"&amp;$D69&amp;"'!"&amp;'גיליון עזר'!$H$1&amp;ROW('מרכז מורשת בבל'!$C$11))/INDIRECT("'"&amp;$D69&amp;"'!"&amp;'גיליון עזר'!$G$1&amp;ROW('מרכז מורשת בבל'!$C$11)),0))</f>
        <v/>
      </c>
      <c r="F69" s="107" t="str">
        <f ca="1">IF($D69="","",INDIRECT("'"&amp;$D69&amp;"'!"&amp;'גיליון עזר'!$C$1&amp;ROW('מרכז מורשת בבל'!$C$11)))</f>
        <v/>
      </c>
      <c r="G69" s="129" t="str">
        <f ca="1">IF($D69="","",INDIRECT("'"&amp;$D69&amp;"'!"&amp;'גיליון עזר'!$E$1&amp;ROW('מרכז מורשת בבל'!$C$11)))</f>
        <v/>
      </c>
      <c r="H69" s="128" t="str">
        <f ca="1">IF($D69="","",INDIRECT("'"&amp;$D69&amp;"'!"&amp;'גיליון עזר'!$F$1&amp;ROW('מרכז מורשת בבל'!$C$11)))</f>
        <v/>
      </c>
      <c r="I69" s="108" t="str">
        <f ca="1">IF($D69="","",'ריכוז נתונים'!AP69+'ריכוז נתונים'!AQ69+'ריכוז נתונים'!AS69+'ריכוז נתונים'!AU69+'ריכוז נתונים'!AW69+'ריכוז נתונים'!AY69)</f>
        <v/>
      </c>
      <c r="J69" s="108" t="str">
        <f ca="1">IF($D69="","",IF(INDIRECT("'"&amp;$D69&amp;"'!"&amp;'גיליון עזר'!$I$1&amp;ROW('מרכז מורשת בבל'!$C$11))="",0,פרמטרים!$C$3-INDIRECT("'"&amp;$D69&amp;"'!"&amp;'גיליון עזר'!$I$1&amp;ROW('מרכז מורשת בבל'!$C$11))))</f>
        <v/>
      </c>
      <c r="K69" s="108" t="str">
        <f ca="1">IF($D69="","",IF(INDIRECT("'"&amp;$D69&amp;"'!"&amp;'גיליון עזר'!$K$1&amp;ROW('מרכז מורשת בבל'!$C$11))="","",INDIRECT("'"&amp;$D69&amp;"'!"&amp;'גיליון עזר'!$K$1&amp;ROW('מרכז מורשת בבל'!$C$11))))</f>
        <v/>
      </c>
      <c r="L69" s="108" t="str">
        <f t="shared" ca="1" si="8"/>
        <v/>
      </c>
      <c r="M69" s="131" t="str">
        <f ca="1">IF($D69="","",IFERROR(O69/פרמטרים!$C$5,""))</f>
        <v/>
      </c>
      <c r="N69" s="5"/>
      <c r="O69" s="96">
        <f>'סיכום לועדה- הזנת נתונים'!N83</f>
        <v>0</v>
      </c>
      <c r="P69" s="35" t="str">
        <f ca="1">IF($D69="","",INDIRECT("'"&amp;$D69&amp;"'!"&amp;'גיליון עזר'!$G$1&amp;ROW('מרכז מורשת בבל'!$J$8)))</f>
        <v/>
      </c>
      <c r="Q69" s="5"/>
      <c r="R69" s="134" t="str">
        <f ca="1">IF($D69="","",INDIRECT("'"&amp;$D69&amp;"'!"&amp;'גיליון עזר'!$I$1&amp;ROW('מרכז מורשת בבל'!$L$8)))</f>
        <v/>
      </c>
      <c r="S69" s="5"/>
      <c r="T69" s="36" t="str">
        <f ca="1">IF($D69="","",IFERROR(INDIRECT("'"&amp;$D69&amp;"'!"&amp;'גיליון עזר'!$K$1&amp;ROW('מרכז מורשת בבל'!$N$8))/F69,""))</f>
        <v/>
      </c>
      <c r="U69" s="35"/>
      <c r="V69" s="36" t="str">
        <f ca="1">IF($D69="","",IFERROR(INDIRECT("'"&amp;$D69&amp;"'!"&amp;'גיליון עזר'!$M$1&amp;ROW('מרכז מורשת בבל'!$P$8))/F69,""))</f>
        <v/>
      </c>
      <c r="W69" s="103"/>
      <c r="X69" s="109" t="str">
        <f ca="1">IF($D69="","",IF(AND(AA69="כן",'תנאי סף'!AX63=1),"כן","לא"))</f>
        <v/>
      </c>
      <c r="Y69" s="1" t="str">
        <f t="shared" ca="1" si="9"/>
        <v/>
      </c>
      <c r="Z69" s="1" t="str">
        <f t="shared" ca="1" si="9"/>
        <v/>
      </c>
      <c r="AA69" s="12" t="str">
        <f t="shared" ca="1" si="10"/>
        <v>לא</v>
      </c>
      <c r="AB69" s="223" t="str">
        <f t="shared" ca="1" si="15"/>
        <v/>
      </c>
      <c r="AC69" s="1" t="str">
        <f t="shared" ca="1" si="11"/>
        <v/>
      </c>
      <c r="AD69" s="1" t="str">
        <f t="shared" ca="1" si="11"/>
        <v/>
      </c>
      <c r="AE69" s="105" t="str">
        <f ca="1">IF($D69="","",IF(G69&gt;פרמטרים!$D$22,1,IF(E69&gt;=AE$16,1,0)))</f>
        <v/>
      </c>
      <c r="AF69" s="105" t="str">
        <f t="shared" ca="1" si="12"/>
        <v/>
      </c>
      <c r="AG69" s="105" t="str">
        <f t="shared" ca="1" si="16"/>
        <v/>
      </c>
      <c r="AH69" s="105" t="str">
        <f t="shared" ca="1" si="17"/>
        <v/>
      </c>
      <c r="AI69" s="105" t="str">
        <f t="shared" ca="1" si="18"/>
        <v/>
      </c>
      <c r="AJ69" s="3" t="str">
        <f t="shared" ca="1" si="19"/>
        <v/>
      </c>
      <c r="AK69" s="3" t="str">
        <f t="shared" ca="1" si="20"/>
        <v/>
      </c>
      <c r="AL69" s="12" t="str">
        <f t="shared" ca="1" si="13"/>
        <v/>
      </c>
      <c r="AM69" s="12" t="str">
        <f t="shared" ca="1" si="14"/>
        <v/>
      </c>
      <c r="AN69" t="str">
        <f t="shared" ca="1" si="21"/>
        <v/>
      </c>
      <c r="AO69" t="str">
        <f t="shared" ca="1" si="22"/>
        <v/>
      </c>
    </row>
    <row r="70" spans="1:41" hidden="1" x14ac:dyDescent="0.25">
      <c r="A70" t="str">
        <f ca="1">IF(AND(LEFT(B70,11)&lt;&gt;"גיליון הזנה",INDIRECT("'"&amp;$B70&amp;"'!"&amp;'גיליון עזר'!$I$1&amp;ROW('מרכז מורשת בבל'!$I$3))=""),"חסרה הזנה","")</f>
        <v/>
      </c>
      <c r="B70" t="str">
        <f ca="1">'גיליון הזנה 54'!$D$3</f>
        <v>גיליון הזנה 54</v>
      </c>
      <c r="C70" s="7">
        <f>'ריכוז נתונים'!C70</f>
        <v>54</v>
      </c>
      <c r="D70" s="7" t="str">
        <f ca="1">IF(OR(LEFT(B70,11)="גיליון הזנה",INDIRECT("'"&amp;$B70&amp;"'!"&amp;'גיליון עזר'!$I$1&amp;ROW('מרכז מורשת בבל'!$I$3))=0),"",B70)</f>
        <v/>
      </c>
      <c r="E70" s="106" t="str">
        <f ca="1">IF($D70="","",IFERROR(INDIRECT("'"&amp;$D70&amp;"'!"&amp;'גיליון עזר'!$H$1&amp;ROW('מרכז מורשת בבל'!$C$11))/INDIRECT("'"&amp;$D70&amp;"'!"&amp;'גיליון עזר'!$G$1&amp;ROW('מרכז מורשת בבל'!$C$11)),0))</f>
        <v/>
      </c>
      <c r="F70" s="107" t="str">
        <f ca="1">IF($D70="","",INDIRECT("'"&amp;$D70&amp;"'!"&amp;'גיליון עזר'!$C$1&amp;ROW('מרכז מורשת בבל'!$C$11)))</f>
        <v/>
      </c>
      <c r="G70" s="129" t="str">
        <f ca="1">IF($D70="","",INDIRECT("'"&amp;$D70&amp;"'!"&amp;'גיליון עזר'!$E$1&amp;ROW('מרכז מורשת בבל'!$C$11)))</f>
        <v/>
      </c>
      <c r="H70" s="128" t="str">
        <f ca="1">IF($D70="","",INDIRECT("'"&amp;$D70&amp;"'!"&amp;'גיליון עזר'!$F$1&amp;ROW('מרכז מורשת בבל'!$C$11)))</f>
        <v/>
      </c>
      <c r="I70" s="108" t="str">
        <f ca="1">IF($D70="","",'ריכוז נתונים'!AP70+'ריכוז נתונים'!AQ70+'ריכוז נתונים'!AS70+'ריכוז נתונים'!AU70+'ריכוז נתונים'!AW70+'ריכוז נתונים'!AY70)</f>
        <v/>
      </c>
      <c r="J70" s="108" t="str">
        <f ca="1">IF($D70="","",IF(INDIRECT("'"&amp;$D70&amp;"'!"&amp;'גיליון עזר'!$I$1&amp;ROW('מרכז מורשת בבל'!$C$11))="",0,פרמטרים!$C$3-INDIRECT("'"&amp;$D70&amp;"'!"&amp;'גיליון עזר'!$I$1&amp;ROW('מרכז מורשת בבל'!$C$11))))</f>
        <v/>
      </c>
      <c r="K70" s="108" t="str">
        <f ca="1">IF($D70="","",IF(INDIRECT("'"&amp;$D70&amp;"'!"&amp;'גיליון עזר'!$K$1&amp;ROW('מרכז מורשת בבל'!$C$11))="","",INDIRECT("'"&amp;$D70&amp;"'!"&amp;'גיליון עזר'!$K$1&amp;ROW('מרכז מורשת בבל'!$C$11))))</f>
        <v/>
      </c>
      <c r="L70" s="108" t="str">
        <f t="shared" ca="1" si="8"/>
        <v/>
      </c>
      <c r="M70" s="131" t="str">
        <f ca="1">IF($D70="","",IFERROR(O70/פרמטרים!$C$5,""))</f>
        <v/>
      </c>
      <c r="N70" s="5"/>
      <c r="O70" s="96">
        <f>'סיכום לועדה- הזנת נתונים'!N84</f>
        <v>0</v>
      </c>
      <c r="P70" s="35" t="str">
        <f ca="1">IF($D70="","",INDIRECT("'"&amp;$D70&amp;"'!"&amp;'גיליון עזר'!$G$1&amp;ROW('מרכז מורשת בבל'!$J$8)))</f>
        <v/>
      </c>
      <c r="Q70" s="5"/>
      <c r="R70" s="134" t="str">
        <f ca="1">IF($D70="","",INDIRECT("'"&amp;$D70&amp;"'!"&amp;'גיליון עזר'!$I$1&amp;ROW('מרכז מורשת בבל'!$L$8)))</f>
        <v/>
      </c>
      <c r="S70" s="5"/>
      <c r="T70" s="36" t="str">
        <f ca="1">IF($D70="","",IFERROR(INDIRECT("'"&amp;$D70&amp;"'!"&amp;'גיליון עזר'!$K$1&amp;ROW('מרכז מורשת בבל'!$N$8))/F70,""))</f>
        <v/>
      </c>
      <c r="U70" s="35"/>
      <c r="V70" s="36" t="str">
        <f ca="1">IF($D70="","",IFERROR(INDIRECT("'"&amp;$D70&amp;"'!"&amp;'גיליון עזר'!$M$1&amp;ROW('מרכז מורשת בבל'!$P$8))/F70,""))</f>
        <v/>
      </c>
      <c r="W70" s="103"/>
      <c r="X70" s="109" t="str">
        <f ca="1">IF($D70="","",IF(AND(AA70="כן",'תנאי סף'!AX64=1),"כן","לא"))</f>
        <v/>
      </c>
      <c r="Y70" s="1" t="str">
        <f t="shared" ca="1" si="9"/>
        <v/>
      </c>
      <c r="Z70" s="1" t="str">
        <f t="shared" ca="1" si="9"/>
        <v/>
      </c>
      <c r="AA70" s="12" t="str">
        <f t="shared" ca="1" si="10"/>
        <v>לא</v>
      </c>
      <c r="AB70" s="223" t="str">
        <f t="shared" ca="1" si="15"/>
        <v/>
      </c>
      <c r="AC70" s="1" t="str">
        <f t="shared" ca="1" si="11"/>
        <v/>
      </c>
      <c r="AD70" s="1" t="str">
        <f t="shared" ca="1" si="11"/>
        <v/>
      </c>
      <c r="AE70" s="105" t="str">
        <f ca="1">IF($D70="","",IF(G70&gt;פרמטרים!$D$22,1,IF(E70&gt;=AE$16,1,0)))</f>
        <v/>
      </c>
      <c r="AF70" s="105" t="str">
        <f t="shared" ca="1" si="12"/>
        <v/>
      </c>
      <c r="AG70" s="105" t="str">
        <f t="shared" ca="1" si="16"/>
        <v/>
      </c>
      <c r="AH70" s="105" t="str">
        <f t="shared" ca="1" si="17"/>
        <v/>
      </c>
      <c r="AI70" s="105" t="str">
        <f t="shared" ca="1" si="18"/>
        <v/>
      </c>
      <c r="AJ70" s="3" t="str">
        <f t="shared" ca="1" si="19"/>
        <v/>
      </c>
      <c r="AK70" s="3" t="str">
        <f t="shared" ca="1" si="20"/>
        <v/>
      </c>
      <c r="AL70" s="12" t="str">
        <f t="shared" ca="1" si="13"/>
        <v/>
      </c>
      <c r="AM70" s="12" t="str">
        <f t="shared" ca="1" si="14"/>
        <v/>
      </c>
      <c r="AN70" t="str">
        <f t="shared" ca="1" si="21"/>
        <v/>
      </c>
      <c r="AO70" t="str">
        <f t="shared" ca="1" si="22"/>
        <v/>
      </c>
    </row>
    <row r="71" spans="1:41" hidden="1" x14ac:dyDescent="0.25">
      <c r="A71" t="str">
        <f ca="1">IF(AND(LEFT(B71,11)&lt;&gt;"גיליון הזנה",INDIRECT("'"&amp;$B71&amp;"'!"&amp;'גיליון עזר'!$I$1&amp;ROW('מרכז מורשת בבל'!$I$3))=""),"חסרה הזנה","")</f>
        <v/>
      </c>
      <c r="B71" t="str">
        <f ca="1">'גיליון הזנה 43'!$D$3</f>
        <v>גיליון הזנה 43</v>
      </c>
      <c r="C71" s="7">
        <f>'ריכוז נתונים'!C71</f>
        <v>55</v>
      </c>
      <c r="D71" s="7" t="str">
        <f ca="1">IF(OR(LEFT(B71,11)="גיליון הזנה",INDIRECT("'"&amp;$B71&amp;"'!"&amp;'גיליון עזר'!$I$1&amp;ROW('מרכז מורשת בבל'!$I$3))=0),"",B71)</f>
        <v/>
      </c>
      <c r="E71" s="106" t="str">
        <f ca="1">IF($D71="","",IFERROR(INDIRECT("'"&amp;$D71&amp;"'!"&amp;'גיליון עזר'!$H$1&amp;ROW('מרכז מורשת בבל'!$C$11))/INDIRECT("'"&amp;$D71&amp;"'!"&amp;'גיליון עזר'!$G$1&amp;ROW('מרכז מורשת בבל'!$C$11)),0))</f>
        <v/>
      </c>
      <c r="F71" s="107" t="str">
        <f ca="1">IF($D71="","",INDIRECT("'"&amp;$D71&amp;"'!"&amp;'גיליון עזר'!$C$1&amp;ROW('מרכז מורשת בבל'!$C$11)))</f>
        <v/>
      </c>
      <c r="G71" s="129" t="str">
        <f ca="1">IF($D71="","",INDIRECT("'"&amp;$D71&amp;"'!"&amp;'גיליון עזר'!$E$1&amp;ROW('מרכז מורשת בבל'!$C$11)))</f>
        <v/>
      </c>
      <c r="H71" s="128" t="str">
        <f ca="1">IF($D71="","",INDIRECT("'"&amp;$D71&amp;"'!"&amp;'גיליון עזר'!$F$1&amp;ROW('מרכז מורשת בבל'!$C$11)))</f>
        <v/>
      </c>
      <c r="I71" s="108" t="str">
        <f ca="1">IF($D71="","",'ריכוז נתונים'!AP71+'ריכוז נתונים'!AQ71+'ריכוז נתונים'!AS71+'ריכוז נתונים'!AU71+'ריכוז נתונים'!AW71+'ריכוז נתונים'!AY71)</f>
        <v/>
      </c>
      <c r="J71" s="108" t="str">
        <f ca="1">IF($D71="","",IF(INDIRECT("'"&amp;$D71&amp;"'!"&amp;'גיליון עזר'!$I$1&amp;ROW('מרכז מורשת בבל'!$C$11))="",0,פרמטרים!$C$3-INDIRECT("'"&amp;$D71&amp;"'!"&amp;'גיליון עזר'!$I$1&amp;ROW('מרכז מורשת בבל'!$C$11))))</f>
        <v/>
      </c>
      <c r="K71" s="108" t="str">
        <f ca="1">IF($D71="","",IF(INDIRECT("'"&amp;$D71&amp;"'!"&amp;'גיליון עזר'!$K$1&amp;ROW('מרכז מורשת בבל'!$C$11))="","",INDIRECT("'"&amp;$D71&amp;"'!"&amp;'גיליון עזר'!$K$1&amp;ROW('מרכז מורשת בבל'!$C$11))))</f>
        <v/>
      </c>
      <c r="L71" s="108" t="str">
        <f t="shared" ca="1" si="8"/>
        <v/>
      </c>
      <c r="M71" s="131" t="str">
        <f ca="1">IF($D71="","",IFERROR(O71/פרמטרים!$C$5,""))</f>
        <v/>
      </c>
      <c r="N71" s="5"/>
      <c r="O71" s="96">
        <f>'סיכום לועדה- הזנת נתונים'!N85</f>
        <v>0</v>
      </c>
      <c r="P71" s="35" t="str">
        <f ca="1">IF($D71="","",INDIRECT("'"&amp;$D71&amp;"'!"&amp;'גיליון עזר'!$G$1&amp;ROW('מרכז מורשת בבל'!$J$8)))</f>
        <v/>
      </c>
      <c r="Q71" s="5"/>
      <c r="R71" s="134" t="str">
        <f ca="1">IF($D71="","",INDIRECT("'"&amp;$D71&amp;"'!"&amp;'גיליון עזר'!$I$1&amp;ROW('מרכז מורשת בבל'!$L$8)))</f>
        <v/>
      </c>
      <c r="S71" s="5"/>
      <c r="T71" s="36" t="str">
        <f ca="1">IF($D71="","",IFERROR(INDIRECT("'"&amp;$D71&amp;"'!"&amp;'גיליון עזר'!$K$1&amp;ROW('מרכז מורשת בבל'!$N$8))/F71,""))</f>
        <v/>
      </c>
      <c r="U71" s="35"/>
      <c r="V71" s="36" t="str">
        <f ca="1">IF($D71="","",IFERROR(INDIRECT("'"&amp;$D71&amp;"'!"&amp;'גיליון עזר'!$M$1&amp;ROW('מרכז מורשת בבל'!$P$8))/F71,""))</f>
        <v/>
      </c>
      <c r="W71" s="103"/>
      <c r="X71" s="109" t="str">
        <f ca="1">IF($D71="","",IF(AND(AA71="כן",'תנאי סף'!AX65=1),"כן","לא"))</f>
        <v/>
      </c>
      <c r="Y71" s="1" t="str">
        <f t="shared" ca="1" si="9"/>
        <v/>
      </c>
      <c r="Z71" s="1" t="str">
        <f t="shared" ca="1" si="9"/>
        <v/>
      </c>
      <c r="AA71" s="12" t="str">
        <f t="shared" ca="1" si="10"/>
        <v>לא</v>
      </c>
      <c r="AB71" s="223" t="str">
        <f t="shared" ca="1" si="15"/>
        <v/>
      </c>
      <c r="AC71" s="1" t="str">
        <f t="shared" ca="1" si="11"/>
        <v/>
      </c>
      <c r="AD71" s="1" t="str">
        <f t="shared" ca="1" si="11"/>
        <v/>
      </c>
      <c r="AE71" s="105" t="str">
        <f ca="1">IF($D71="","",IF(G71&gt;פרמטרים!$D$22,1,IF(E71&gt;=AE$16,1,0)))</f>
        <v/>
      </c>
      <c r="AF71" s="105" t="str">
        <f t="shared" ca="1" si="12"/>
        <v/>
      </c>
      <c r="AG71" s="105" t="str">
        <f t="shared" ca="1" si="16"/>
        <v/>
      </c>
      <c r="AH71" s="105" t="str">
        <f t="shared" ca="1" si="17"/>
        <v/>
      </c>
      <c r="AI71" s="105" t="str">
        <f t="shared" ca="1" si="18"/>
        <v/>
      </c>
      <c r="AJ71" s="3" t="str">
        <f t="shared" ca="1" si="19"/>
        <v/>
      </c>
      <c r="AK71" s="3" t="str">
        <f t="shared" ca="1" si="20"/>
        <v/>
      </c>
      <c r="AL71" s="12" t="str">
        <f t="shared" ca="1" si="13"/>
        <v/>
      </c>
      <c r="AM71" s="12" t="str">
        <f t="shared" ca="1" si="14"/>
        <v/>
      </c>
      <c r="AN71" t="str">
        <f t="shared" ca="1" si="21"/>
        <v/>
      </c>
      <c r="AO71" t="str">
        <f t="shared" ca="1" si="22"/>
        <v/>
      </c>
    </row>
    <row r="72" spans="1:41" hidden="1" x14ac:dyDescent="0.25">
      <c r="A72" t="str">
        <f ca="1">IF(AND(LEFT(B72,11)&lt;&gt;"גיליון הזנה",INDIRECT("'"&amp;$B72&amp;"'!"&amp;'גיליון עזר'!$I$1&amp;ROW('מרכז מורשת בבל'!$I$3))=""),"חסרה הזנה","")</f>
        <v/>
      </c>
      <c r="B72" t="str">
        <f ca="1">'גיליון הזנה 56'!$D$3</f>
        <v>גיליון הזנה 56</v>
      </c>
      <c r="C72" s="7">
        <f>'ריכוז נתונים'!C72</f>
        <v>56</v>
      </c>
      <c r="D72" s="7" t="str">
        <f ca="1">IF(OR(LEFT(B72,11)="גיליון הזנה",INDIRECT("'"&amp;$B72&amp;"'!"&amp;'גיליון עזר'!$I$1&amp;ROW('מרכז מורשת בבל'!$I$3))=0),"",B72)</f>
        <v/>
      </c>
      <c r="E72" s="106" t="str">
        <f ca="1">IF($D72="","",IFERROR(INDIRECT("'"&amp;$D72&amp;"'!"&amp;'גיליון עזר'!$H$1&amp;ROW('מרכז מורשת בבל'!$C$11))/INDIRECT("'"&amp;$D72&amp;"'!"&amp;'גיליון עזר'!$G$1&amp;ROW('מרכז מורשת בבל'!$C$11)),0))</f>
        <v/>
      </c>
      <c r="F72" s="107" t="str">
        <f ca="1">IF($D72="","",INDIRECT("'"&amp;$D72&amp;"'!"&amp;'גיליון עזר'!$C$1&amp;ROW('מרכז מורשת בבל'!$C$11)))</f>
        <v/>
      </c>
      <c r="G72" s="129" t="str">
        <f ca="1">IF($D72="","",INDIRECT("'"&amp;$D72&amp;"'!"&amp;'גיליון עזר'!$E$1&amp;ROW('מרכז מורשת בבל'!$C$11)))</f>
        <v/>
      </c>
      <c r="H72" s="128" t="str">
        <f ca="1">IF($D72="","",INDIRECT("'"&amp;$D72&amp;"'!"&amp;'גיליון עזר'!$F$1&amp;ROW('מרכז מורשת בבל'!$C$11)))</f>
        <v/>
      </c>
      <c r="I72" s="108" t="str">
        <f ca="1">IF($D72="","",'ריכוז נתונים'!AP72+'ריכוז נתונים'!AQ72+'ריכוז נתונים'!AS72+'ריכוז נתונים'!AU72+'ריכוז נתונים'!AW72+'ריכוז נתונים'!AY72)</f>
        <v/>
      </c>
      <c r="J72" s="108" t="str">
        <f ca="1">IF($D72="","",IF(INDIRECT("'"&amp;$D72&amp;"'!"&amp;'גיליון עזר'!$I$1&amp;ROW('מרכז מורשת בבל'!$C$11))="",0,פרמטרים!$C$3-INDIRECT("'"&amp;$D72&amp;"'!"&amp;'גיליון עזר'!$I$1&amp;ROW('מרכז מורשת בבל'!$C$11))))</f>
        <v/>
      </c>
      <c r="K72" s="108" t="str">
        <f ca="1">IF($D72="","",IF(INDIRECT("'"&amp;$D72&amp;"'!"&amp;'גיליון עזר'!$K$1&amp;ROW('מרכז מורשת בבל'!$C$11))="","",INDIRECT("'"&amp;$D72&amp;"'!"&amp;'גיליון עזר'!$K$1&amp;ROW('מרכז מורשת בבל'!$C$11))))</f>
        <v/>
      </c>
      <c r="L72" s="108" t="str">
        <f t="shared" ca="1" si="8"/>
        <v/>
      </c>
      <c r="M72" s="131" t="str">
        <f ca="1">IF($D72="","",IFERROR(O72/פרמטרים!$C$5,""))</f>
        <v/>
      </c>
      <c r="N72" s="5"/>
      <c r="O72" s="96">
        <f>'סיכום לועדה- הזנת נתונים'!N86</f>
        <v>0</v>
      </c>
      <c r="P72" s="35" t="str">
        <f ca="1">IF($D72="","",INDIRECT("'"&amp;$D72&amp;"'!"&amp;'גיליון עזר'!$G$1&amp;ROW('מרכז מורשת בבל'!$J$8)))</f>
        <v/>
      </c>
      <c r="Q72" s="5"/>
      <c r="R72" s="134" t="str">
        <f ca="1">IF($D72="","",INDIRECT("'"&amp;$D72&amp;"'!"&amp;'גיליון עזר'!$I$1&amp;ROW('מרכז מורשת בבל'!$L$8)))</f>
        <v/>
      </c>
      <c r="S72" s="5"/>
      <c r="T72" s="36" t="str">
        <f ca="1">IF($D72="","",IFERROR(INDIRECT("'"&amp;$D72&amp;"'!"&amp;'גיליון עזר'!$K$1&amp;ROW('מרכז מורשת בבל'!$N$8))/F72,""))</f>
        <v/>
      </c>
      <c r="U72" s="35"/>
      <c r="V72" s="36" t="str">
        <f ca="1">IF($D72="","",IFERROR(INDIRECT("'"&amp;$D72&amp;"'!"&amp;'גיליון עזר'!$M$1&amp;ROW('מרכז מורשת בבל'!$P$8))/F72,""))</f>
        <v/>
      </c>
      <c r="W72" s="103"/>
      <c r="X72" s="109" t="str">
        <f ca="1">IF($D72="","",IF(AND(AA72="כן",'תנאי סף'!AX66=1),"כן","לא"))</f>
        <v/>
      </c>
      <c r="Y72" s="1" t="str">
        <f t="shared" ca="1" si="9"/>
        <v/>
      </c>
      <c r="Z72" s="1" t="str">
        <f t="shared" ca="1" si="9"/>
        <v/>
      </c>
      <c r="AA72" s="12" t="str">
        <f t="shared" ca="1" si="10"/>
        <v>לא</v>
      </c>
      <c r="AB72" s="223" t="str">
        <f t="shared" ca="1" si="15"/>
        <v/>
      </c>
      <c r="AC72" s="1" t="str">
        <f t="shared" ca="1" si="11"/>
        <v/>
      </c>
      <c r="AD72" s="1" t="str">
        <f t="shared" ca="1" si="11"/>
        <v/>
      </c>
      <c r="AE72" s="105" t="str">
        <f ca="1">IF($D72="","",IF(G72&gt;פרמטרים!$D$22,1,IF(E72&gt;=AE$16,1,0)))</f>
        <v/>
      </c>
      <c r="AF72" s="105" t="str">
        <f t="shared" ca="1" si="12"/>
        <v/>
      </c>
      <c r="AG72" s="105" t="str">
        <f t="shared" ca="1" si="16"/>
        <v/>
      </c>
      <c r="AH72" s="105" t="str">
        <f t="shared" ca="1" si="17"/>
        <v/>
      </c>
      <c r="AI72" s="105" t="str">
        <f t="shared" ca="1" si="18"/>
        <v/>
      </c>
      <c r="AJ72" s="3" t="str">
        <f t="shared" ca="1" si="19"/>
        <v/>
      </c>
      <c r="AK72" s="3" t="str">
        <f t="shared" ca="1" si="20"/>
        <v/>
      </c>
      <c r="AL72" s="12" t="str">
        <f t="shared" ca="1" si="13"/>
        <v/>
      </c>
      <c r="AM72" s="12" t="str">
        <f t="shared" ca="1" si="14"/>
        <v/>
      </c>
      <c r="AN72" t="str">
        <f t="shared" ca="1" si="21"/>
        <v/>
      </c>
      <c r="AO72" t="str">
        <f t="shared" ca="1" si="22"/>
        <v/>
      </c>
    </row>
    <row r="73" spans="1:41" hidden="1" x14ac:dyDescent="0.25">
      <c r="A73" t="str">
        <f ca="1">IF(AND(LEFT(B73,11)&lt;&gt;"גיליון הזנה",INDIRECT("'"&amp;$B73&amp;"'!"&amp;'גיליון עזר'!$I$1&amp;ROW('מרכז מורשת בבל'!$I$3))=""),"חסרה הזנה","")</f>
        <v/>
      </c>
      <c r="B73" t="str">
        <f ca="1">'גיליון הזנה 57'!$D$3</f>
        <v>גיליון הזנה 57</v>
      </c>
      <c r="C73" s="7">
        <f>'ריכוז נתונים'!C73</f>
        <v>57</v>
      </c>
      <c r="D73" s="7" t="str">
        <f ca="1">IF(OR(LEFT(B73,11)="גיליון הזנה",INDIRECT("'"&amp;$B73&amp;"'!"&amp;'גיליון עזר'!$I$1&amp;ROW('מרכז מורשת בבל'!$I$3))=0),"",B73)</f>
        <v/>
      </c>
      <c r="E73" s="106" t="str">
        <f ca="1">IF($D73="","",IFERROR(INDIRECT("'"&amp;$D73&amp;"'!"&amp;'גיליון עזר'!$H$1&amp;ROW('מרכז מורשת בבל'!$C$11))/INDIRECT("'"&amp;$D73&amp;"'!"&amp;'גיליון עזר'!$G$1&amp;ROW('מרכז מורשת בבל'!$C$11)),0))</f>
        <v/>
      </c>
      <c r="F73" s="107" t="str">
        <f ca="1">IF($D73="","",INDIRECT("'"&amp;$D73&amp;"'!"&amp;'גיליון עזר'!$C$1&amp;ROW('מרכז מורשת בבל'!$C$11)))</f>
        <v/>
      </c>
      <c r="G73" s="129" t="str">
        <f ca="1">IF($D73="","",INDIRECT("'"&amp;$D73&amp;"'!"&amp;'גיליון עזר'!$E$1&amp;ROW('מרכז מורשת בבל'!$C$11)))</f>
        <v/>
      </c>
      <c r="H73" s="128" t="str">
        <f ca="1">IF($D73="","",INDIRECT("'"&amp;$D73&amp;"'!"&amp;'גיליון עזר'!$F$1&amp;ROW('מרכז מורשת בבל'!$C$11)))</f>
        <v/>
      </c>
      <c r="I73" s="108" t="str">
        <f ca="1">IF($D73="","",'ריכוז נתונים'!AP73+'ריכוז נתונים'!AQ73+'ריכוז נתונים'!AS73+'ריכוז נתונים'!AU73+'ריכוז נתונים'!AW73+'ריכוז נתונים'!AY73)</f>
        <v/>
      </c>
      <c r="J73" s="108" t="str">
        <f ca="1">IF($D73="","",IF(INDIRECT("'"&amp;$D73&amp;"'!"&amp;'גיליון עזר'!$I$1&amp;ROW('מרכז מורשת בבל'!$C$11))="",0,פרמטרים!$C$3-INDIRECT("'"&amp;$D73&amp;"'!"&amp;'גיליון עזר'!$I$1&amp;ROW('מרכז מורשת בבל'!$C$11))))</f>
        <v/>
      </c>
      <c r="K73" s="108" t="str">
        <f ca="1">IF($D73="","",IF(INDIRECT("'"&amp;$D73&amp;"'!"&amp;'גיליון עזר'!$K$1&amp;ROW('מרכז מורשת בבל'!$C$11))="","",INDIRECT("'"&amp;$D73&amp;"'!"&amp;'גיליון עזר'!$K$1&amp;ROW('מרכז מורשת בבל'!$C$11))))</f>
        <v/>
      </c>
      <c r="L73" s="108" t="str">
        <f t="shared" ca="1" si="8"/>
        <v/>
      </c>
      <c r="M73" s="131" t="str">
        <f ca="1">IF($D73="","",IFERROR(O73/פרמטרים!$C$5,""))</f>
        <v/>
      </c>
      <c r="N73" s="5"/>
      <c r="O73" s="96">
        <f>'סיכום לועדה- הזנת נתונים'!N87</f>
        <v>0</v>
      </c>
      <c r="P73" s="35" t="str">
        <f ca="1">IF($D73="","",INDIRECT("'"&amp;$D73&amp;"'!"&amp;'גיליון עזר'!$G$1&amp;ROW('מרכז מורשת בבל'!$J$8)))</f>
        <v/>
      </c>
      <c r="Q73" s="5"/>
      <c r="R73" s="134" t="str">
        <f ca="1">IF($D73="","",INDIRECT("'"&amp;$D73&amp;"'!"&amp;'גיליון עזר'!$I$1&amp;ROW('מרכז מורשת בבל'!$L$8)))</f>
        <v/>
      </c>
      <c r="S73" s="5"/>
      <c r="T73" s="36" t="str">
        <f ca="1">IF($D73="","",IFERROR(INDIRECT("'"&amp;$D73&amp;"'!"&amp;'גיליון עזר'!$K$1&amp;ROW('מרכז מורשת בבל'!$N$8))/F73,""))</f>
        <v/>
      </c>
      <c r="U73" s="35"/>
      <c r="V73" s="36" t="str">
        <f ca="1">IF($D73="","",IFERROR(INDIRECT("'"&amp;$D73&amp;"'!"&amp;'גיליון עזר'!$M$1&amp;ROW('מרכז מורשת בבל'!$P$8))/F73,""))</f>
        <v/>
      </c>
      <c r="W73" s="103"/>
      <c r="X73" s="109" t="str">
        <f ca="1">IF($D73="","",IF(AND(AA73="כן",'תנאי סף'!AX67=1),"כן","לא"))</f>
        <v/>
      </c>
      <c r="Y73" s="1" t="str">
        <f t="shared" ca="1" si="9"/>
        <v/>
      </c>
      <c r="Z73" s="1" t="str">
        <f t="shared" ca="1" si="9"/>
        <v/>
      </c>
      <c r="AA73" s="12" t="str">
        <f t="shared" ca="1" si="10"/>
        <v>לא</v>
      </c>
      <c r="AB73" s="223" t="str">
        <f t="shared" ca="1" si="15"/>
        <v/>
      </c>
      <c r="AC73" s="1" t="str">
        <f t="shared" ca="1" si="11"/>
        <v/>
      </c>
      <c r="AD73" s="1" t="str">
        <f t="shared" ca="1" si="11"/>
        <v/>
      </c>
      <c r="AE73" s="105" t="str">
        <f ca="1">IF($D73="","",IF(G73&gt;פרמטרים!$D$22,1,IF(E73&gt;=AE$16,1,0)))</f>
        <v/>
      </c>
      <c r="AF73" s="105" t="str">
        <f t="shared" ca="1" si="12"/>
        <v/>
      </c>
      <c r="AG73" s="105" t="str">
        <f t="shared" ca="1" si="16"/>
        <v/>
      </c>
      <c r="AH73" s="105" t="str">
        <f t="shared" ca="1" si="17"/>
        <v/>
      </c>
      <c r="AI73" s="105" t="str">
        <f t="shared" ca="1" si="18"/>
        <v/>
      </c>
      <c r="AJ73" s="3" t="str">
        <f t="shared" ca="1" si="19"/>
        <v/>
      </c>
      <c r="AK73" s="3" t="str">
        <f t="shared" ca="1" si="20"/>
        <v/>
      </c>
      <c r="AL73" s="12" t="str">
        <f t="shared" ca="1" si="13"/>
        <v/>
      </c>
      <c r="AM73" s="12" t="str">
        <f t="shared" ca="1" si="14"/>
        <v/>
      </c>
      <c r="AN73" t="str">
        <f t="shared" ca="1" si="21"/>
        <v/>
      </c>
      <c r="AO73" t="str">
        <f t="shared" ca="1" si="22"/>
        <v/>
      </c>
    </row>
    <row r="74" spans="1:41" hidden="1" x14ac:dyDescent="0.25">
      <c r="A74" t="str">
        <f ca="1">IF(AND(LEFT(B74,11)&lt;&gt;"גיליון הזנה",INDIRECT("'"&amp;$B74&amp;"'!"&amp;'גיליון עזר'!$I$1&amp;ROW('מרכז מורשת בבל'!$I$3))=""),"חסרה הזנה","")</f>
        <v/>
      </c>
      <c r="B74" t="str">
        <f ca="1">'גיליון הזנה 58'!$D$3</f>
        <v>גיליון הזנה 58</v>
      </c>
      <c r="C74" s="7">
        <f>'ריכוז נתונים'!C74</f>
        <v>58</v>
      </c>
      <c r="D74" s="7" t="str">
        <f ca="1">IF(OR(LEFT(B74,11)="גיליון הזנה",INDIRECT("'"&amp;$B74&amp;"'!"&amp;'גיליון עזר'!$I$1&amp;ROW('מרכז מורשת בבל'!$I$3))=0),"",B74)</f>
        <v/>
      </c>
      <c r="E74" s="106" t="str">
        <f ca="1">IF($D74="","",IFERROR(INDIRECT("'"&amp;$D74&amp;"'!"&amp;'גיליון עזר'!$H$1&amp;ROW('מרכז מורשת בבל'!$C$11))/INDIRECT("'"&amp;$D74&amp;"'!"&amp;'גיליון עזר'!$G$1&amp;ROW('מרכז מורשת בבל'!$C$11)),0))</f>
        <v/>
      </c>
      <c r="F74" s="107" t="str">
        <f ca="1">IF($D74="","",INDIRECT("'"&amp;$D74&amp;"'!"&amp;'גיליון עזר'!$C$1&amp;ROW('מרכז מורשת בבל'!$C$11)))</f>
        <v/>
      </c>
      <c r="G74" s="129" t="str">
        <f ca="1">IF($D74="","",INDIRECT("'"&amp;$D74&amp;"'!"&amp;'גיליון עזר'!$E$1&amp;ROW('מרכז מורשת בבל'!$C$11)))</f>
        <v/>
      </c>
      <c r="H74" s="128" t="str">
        <f ca="1">IF($D74="","",INDIRECT("'"&amp;$D74&amp;"'!"&amp;'גיליון עזר'!$F$1&amp;ROW('מרכז מורשת בבל'!$C$11)))</f>
        <v/>
      </c>
      <c r="I74" s="108" t="str">
        <f ca="1">IF($D74="","",'ריכוז נתונים'!AP74+'ריכוז נתונים'!AQ74+'ריכוז נתונים'!AS74+'ריכוז נתונים'!AU74+'ריכוז נתונים'!AW74+'ריכוז נתונים'!AY74)</f>
        <v/>
      </c>
      <c r="J74" s="108" t="str">
        <f ca="1">IF($D74="","",IF(INDIRECT("'"&amp;$D74&amp;"'!"&amp;'גיליון עזר'!$I$1&amp;ROW('מרכז מורשת בבל'!$C$11))="",0,פרמטרים!$C$3-INDIRECT("'"&amp;$D74&amp;"'!"&amp;'גיליון עזר'!$I$1&amp;ROW('מרכז מורשת בבל'!$C$11))))</f>
        <v/>
      </c>
      <c r="K74" s="108" t="str">
        <f ca="1">IF($D74="","",IF(INDIRECT("'"&amp;$D74&amp;"'!"&amp;'גיליון עזר'!$K$1&amp;ROW('מרכז מורשת בבל'!$C$11))="","",INDIRECT("'"&amp;$D74&amp;"'!"&amp;'גיליון עזר'!$K$1&amp;ROW('מרכז מורשת בבל'!$C$11))))</f>
        <v/>
      </c>
      <c r="L74" s="108" t="str">
        <f t="shared" ca="1" si="8"/>
        <v/>
      </c>
      <c r="M74" s="131" t="str">
        <f ca="1">IF($D74="","",IFERROR(O74/פרמטרים!$C$5,""))</f>
        <v/>
      </c>
      <c r="N74" s="5"/>
      <c r="O74" s="96">
        <f>'סיכום לועדה- הזנת נתונים'!N88</f>
        <v>0</v>
      </c>
      <c r="P74" s="35" t="str">
        <f ca="1">IF($D74="","",INDIRECT("'"&amp;$D74&amp;"'!"&amp;'גיליון עזר'!$G$1&amp;ROW('מרכז מורשת בבל'!$J$8)))</f>
        <v/>
      </c>
      <c r="Q74" s="5"/>
      <c r="R74" s="134" t="str">
        <f ca="1">IF($D74="","",INDIRECT("'"&amp;$D74&amp;"'!"&amp;'גיליון עזר'!$I$1&amp;ROW('מרכז מורשת בבל'!$L$8)))</f>
        <v/>
      </c>
      <c r="S74" s="5"/>
      <c r="T74" s="36" t="str">
        <f ca="1">IF($D74="","",IFERROR(INDIRECT("'"&amp;$D74&amp;"'!"&amp;'גיליון עזר'!$K$1&amp;ROW('מרכז מורשת בבל'!$N$8))/F74,""))</f>
        <v/>
      </c>
      <c r="U74" s="35"/>
      <c r="V74" s="36" t="str">
        <f ca="1">IF($D74="","",IFERROR(INDIRECT("'"&amp;$D74&amp;"'!"&amp;'גיליון עזר'!$M$1&amp;ROW('מרכז מורשת בבל'!$P$8))/F74,""))</f>
        <v/>
      </c>
      <c r="W74" s="103"/>
      <c r="X74" s="109" t="str">
        <f ca="1">IF($D74="","",IF(AND(AA74="כן",'תנאי סף'!AX68=1),"כן","לא"))</f>
        <v/>
      </c>
      <c r="Y74" s="1" t="str">
        <f t="shared" ca="1" si="9"/>
        <v/>
      </c>
      <c r="Z74" s="1" t="str">
        <f t="shared" ca="1" si="9"/>
        <v/>
      </c>
      <c r="AA74" s="12" t="str">
        <f t="shared" ca="1" si="10"/>
        <v>לא</v>
      </c>
      <c r="AB74" s="223" t="str">
        <f t="shared" ca="1" si="15"/>
        <v/>
      </c>
      <c r="AC74" s="1" t="str">
        <f t="shared" ca="1" si="11"/>
        <v/>
      </c>
      <c r="AD74" s="1" t="str">
        <f t="shared" ca="1" si="11"/>
        <v/>
      </c>
      <c r="AE74" s="105" t="str">
        <f ca="1">IF($D74="","",IF(G74&gt;פרמטרים!$D$22,1,IF(E74&gt;=AE$16,1,0)))</f>
        <v/>
      </c>
      <c r="AF74" s="105" t="str">
        <f t="shared" ca="1" si="12"/>
        <v/>
      </c>
      <c r="AG74" s="105" t="str">
        <f t="shared" ca="1" si="16"/>
        <v/>
      </c>
      <c r="AH74" s="105" t="str">
        <f t="shared" ca="1" si="17"/>
        <v/>
      </c>
      <c r="AI74" s="105" t="str">
        <f t="shared" ca="1" si="18"/>
        <v/>
      </c>
      <c r="AJ74" s="3" t="str">
        <f t="shared" ca="1" si="19"/>
        <v/>
      </c>
      <c r="AK74" s="3" t="str">
        <f t="shared" ca="1" si="20"/>
        <v/>
      </c>
      <c r="AL74" s="12" t="str">
        <f t="shared" ca="1" si="13"/>
        <v/>
      </c>
      <c r="AM74" s="12" t="str">
        <f t="shared" ca="1" si="14"/>
        <v/>
      </c>
      <c r="AN74" t="str">
        <f t="shared" ca="1" si="21"/>
        <v/>
      </c>
      <c r="AO74" t="str">
        <f t="shared" ca="1" si="22"/>
        <v/>
      </c>
    </row>
    <row r="75" spans="1:41" hidden="1" x14ac:dyDescent="0.25">
      <c r="A75" t="str">
        <f ca="1">IF(AND(LEFT(B75,11)&lt;&gt;"גיליון הזנה",INDIRECT("'"&amp;$B75&amp;"'!"&amp;'גיליון עזר'!$I$1&amp;ROW('מרכז מורשת בבל'!$I$3))=""),"חסרה הזנה","")</f>
        <v/>
      </c>
      <c r="B75" t="str">
        <f ca="1">'גיליון הזנה 59'!$D$3</f>
        <v>גיליון הזנה 59</v>
      </c>
      <c r="C75" s="7">
        <f>'ריכוז נתונים'!C75</f>
        <v>59</v>
      </c>
      <c r="D75" s="7" t="str">
        <f ca="1">IF(OR(LEFT(B75,11)="גיליון הזנה",INDIRECT("'"&amp;$B75&amp;"'!"&amp;'גיליון עזר'!$I$1&amp;ROW('מרכז מורשת בבל'!$I$3))=0),"",B75)</f>
        <v/>
      </c>
      <c r="E75" s="106" t="str">
        <f ca="1">IF($D75="","",IFERROR(INDIRECT("'"&amp;$D75&amp;"'!"&amp;'גיליון עזר'!$H$1&amp;ROW('מרכז מורשת בבל'!$C$11))/INDIRECT("'"&amp;$D75&amp;"'!"&amp;'גיליון עזר'!$G$1&amp;ROW('מרכז מורשת בבל'!$C$11)),0))</f>
        <v/>
      </c>
      <c r="F75" s="107" t="str">
        <f ca="1">IF($D75="","",INDIRECT("'"&amp;$D75&amp;"'!"&amp;'גיליון עזר'!$C$1&amp;ROW('מרכז מורשת בבל'!$C$11)))</f>
        <v/>
      </c>
      <c r="G75" s="129" t="str">
        <f ca="1">IF($D75="","",INDIRECT("'"&amp;$D75&amp;"'!"&amp;'גיליון עזר'!$E$1&amp;ROW('מרכז מורשת בבל'!$C$11)))</f>
        <v/>
      </c>
      <c r="H75" s="128" t="str">
        <f ca="1">IF($D75="","",INDIRECT("'"&amp;$D75&amp;"'!"&amp;'גיליון עזר'!$F$1&amp;ROW('מרכז מורשת בבל'!$C$11)))</f>
        <v/>
      </c>
      <c r="I75" s="108" t="str">
        <f ca="1">IF($D75="","",'ריכוז נתונים'!AP75+'ריכוז נתונים'!AQ75+'ריכוז נתונים'!AS75+'ריכוז נתונים'!AU75+'ריכוז נתונים'!AW75+'ריכוז נתונים'!AY75)</f>
        <v/>
      </c>
      <c r="J75" s="108" t="str">
        <f ca="1">IF($D75="","",IF(INDIRECT("'"&amp;$D75&amp;"'!"&amp;'גיליון עזר'!$I$1&amp;ROW('מרכז מורשת בבל'!$C$11))="",0,פרמטרים!$C$3-INDIRECT("'"&amp;$D75&amp;"'!"&amp;'גיליון עזר'!$I$1&amp;ROW('מרכז מורשת בבל'!$C$11))))</f>
        <v/>
      </c>
      <c r="K75" s="108" t="str">
        <f ca="1">IF($D75="","",IF(INDIRECT("'"&amp;$D75&amp;"'!"&amp;'גיליון עזר'!$K$1&amp;ROW('מרכז מורשת בבל'!$C$11))="","",INDIRECT("'"&amp;$D75&amp;"'!"&amp;'גיליון עזר'!$K$1&amp;ROW('מרכז מורשת בבל'!$C$11))))</f>
        <v/>
      </c>
      <c r="L75" s="108" t="str">
        <f t="shared" ca="1" si="8"/>
        <v/>
      </c>
      <c r="M75" s="131" t="str">
        <f ca="1">IF($D75="","",IFERROR(O75/פרמטרים!$C$5,""))</f>
        <v/>
      </c>
      <c r="N75" s="5"/>
      <c r="O75" s="96">
        <f>'סיכום לועדה- הזנת נתונים'!N89</f>
        <v>0</v>
      </c>
      <c r="P75" s="35" t="str">
        <f ca="1">IF($D75="","",INDIRECT("'"&amp;$D75&amp;"'!"&amp;'גיליון עזר'!$G$1&amp;ROW('מרכז מורשת בבל'!$J$8)))</f>
        <v/>
      </c>
      <c r="Q75" s="5"/>
      <c r="R75" s="134" t="str">
        <f ca="1">IF($D75="","",INDIRECT("'"&amp;$D75&amp;"'!"&amp;'גיליון עזר'!$I$1&amp;ROW('מרכז מורשת בבל'!$L$8)))</f>
        <v/>
      </c>
      <c r="S75" s="5"/>
      <c r="T75" s="36" t="str">
        <f ca="1">IF($D75="","",IFERROR(INDIRECT("'"&amp;$D75&amp;"'!"&amp;'גיליון עזר'!$K$1&amp;ROW('מרכז מורשת בבל'!$N$8))/F75,""))</f>
        <v/>
      </c>
      <c r="U75" s="35"/>
      <c r="V75" s="36" t="str">
        <f ca="1">IF($D75="","",IFERROR(INDIRECT("'"&amp;$D75&amp;"'!"&amp;'גיליון עזר'!$M$1&amp;ROW('מרכז מורשת בבל'!$P$8))/F75,""))</f>
        <v/>
      </c>
      <c r="W75" s="103"/>
      <c r="X75" s="109" t="str">
        <f ca="1">IF($D75="","",IF(AND(AA75="כן",'תנאי סף'!AX69=1),"כן","לא"))</f>
        <v/>
      </c>
      <c r="Y75" s="1" t="str">
        <f t="shared" ca="1" si="9"/>
        <v/>
      </c>
      <c r="Z75" s="1" t="str">
        <f t="shared" ca="1" si="9"/>
        <v/>
      </c>
      <c r="AA75" s="12" t="str">
        <f t="shared" ca="1" si="10"/>
        <v>לא</v>
      </c>
      <c r="AB75" s="223" t="str">
        <f t="shared" ca="1" si="15"/>
        <v/>
      </c>
      <c r="AC75" s="1" t="str">
        <f t="shared" ca="1" si="11"/>
        <v/>
      </c>
      <c r="AD75" s="1" t="str">
        <f t="shared" ca="1" si="11"/>
        <v/>
      </c>
      <c r="AE75" s="105" t="str">
        <f ca="1">IF($D75="","",IF(G75&gt;פרמטרים!$D$22,1,IF(E75&gt;=AE$16,1,0)))</f>
        <v/>
      </c>
      <c r="AF75" s="105" t="str">
        <f t="shared" ca="1" si="12"/>
        <v/>
      </c>
      <c r="AG75" s="105" t="str">
        <f t="shared" ca="1" si="16"/>
        <v/>
      </c>
      <c r="AH75" s="105" t="str">
        <f t="shared" ca="1" si="17"/>
        <v/>
      </c>
      <c r="AI75" s="105" t="str">
        <f t="shared" ca="1" si="18"/>
        <v/>
      </c>
      <c r="AJ75" s="3" t="str">
        <f t="shared" ca="1" si="19"/>
        <v/>
      </c>
      <c r="AK75" s="3" t="str">
        <f t="shared" ca="1" si="20"/>
        <v/>
      </c>
      <c r="AL75" s="12" t="str">
        <f t="shared" ca="1" si="13"/>
        <v/>
      </c>
      <c r="AM75" s="12" t="str">
        <f t="shared" ca="1" si="14"/>
        <v/>
      </c>
      <c r="AN75" t="str">
        <f t="shared" ca="1" si="21"/>
        <v/>
      </c>
      <c r="AO75" t="str">
        <f t="shared" ca="1" si="22"/>
        <v/>
      </c>
    </row>
    <row r="76" spans="1:41" x14ac:dyDescent="0.25">
      <c r="A76" t="str">
        <f ca="1">IF(AND(LEFT(B76,11)&lt;&gt;"גיליון הזנה",INDIRECT("'"&amp;$B76&amp;"'!"&amp;'גיליון עזר'!$I$1&amp;ROW('מרכז מורשת בבל'!$I$3))=""),"חסרה הזנה","")</f>
        <v/>
      </c>
      <c r="B76" t="str">
        <f ca="1">'שרשרת הדורות'!$D$3</f>
        <v>שרשרת הדורות</v>
      </c>
      <c r="C76" s="7">
        <f>'ריכוז נתונים'!C76</f>
        <v>60</v>
      </c>
      <c r="D76" s="7" t="str">
        <f ca="1">IF(OR(LEFT(B76,11)="גיליון הזנה",INDIRECT("'"&amp;$B76&amp;"'!"&amp;'גיליון עזר'!$I$1&amp;ROW('מרכז מורשת בבל'!$I$3))=0),"",B76)</f>
        <v>שרשרת הדורות</v>
      </c>
      <c r="E76" s="106">
        <f ca="1">IF($D76="","",IFERROR(INDIRECT("'"&amp;$D76&amp;"'!"&amp;'גיליון עזר'!$H$1&amp;ROW('מרכז מורשת בבל'!$C$11))/INDIRECT("'"&amp;$D76&amp;"'!"&amp;'גיליון עזר'!$G$1&amp;ROW('מרכז מורשת בבל'!$C$11)),0))</f>
        <v>1</v>
      </c>
      <c r="F76" s="107">
        <f ca="1">IF($D76="","",INDIRECT("'"&amp;$D76&amp;"'!"&amp;'גיליון עזר'!$C$1&amp;ROW('מרכז מורשת בבל'!$C$11)))</f>
        <v>501310</v>
      </c>
      <c r="G76" s="129">
        <f ca="1">IF($D76="","",INDIRECT("'"&amp;$D76&amp;"'!"&amp;'גיליון עזר'!$E$1&amp;ROW('מרכז מורשת בבל'!$C$11)))</f>
        <v>501310</v>
      </c>
      <c r="H76" s="128">
        <f ca="1">IF($D76="","",INDIRECT("'"&amp;$D76&amp;"'!"&amp;'גיליון עזר'!$F$1&amp;ROW('מרכז מורשת בבל'!$C$11)))</f>
        <v>501310</v>
      </c>
      <c r="I76" s="108">
        <f ca="1">IF($D76="","",'ריכוז נתונים'!AP76+'ריכוז נתונים'!AQ76+'ריכוז נתונים'!AS76+'ריכוז נתונים'!AU76+'ריכוז נתונים'!AW76+'ריכוז נתונים'!AY76)</f>
        <v>36</v>
      </c>
      <c r="J76" s="108">
        <f ca="1">IF($D76="","",IF(INDIRECT("'"&amp;$D76&amp;"'!"&amp;'גיליון עזר'!$I$1&amp;ROW('מרכז מורשת בבל'!$C$11))="",0,פרמטרים!$C$3-INDIRECT("'"&amp;$D76&amp;"'!"&amp;'גיליון עזר'!$I$1&amp;ROW('מרכז מורשת בבל'!$C$11))))</f>
        <v>14</v>
      </c>
      <c r="K76" s="108" t="str">
        <f ca="1">IF($D76="","",IF(INDIRECT("'"&amp;$D76&amp;"'!"&amp;'גיליון עזר'!$K$1&amp;ROW('מרכז מורשת בבל'!$C$11))="","",INDIRECT("'"&amp;$D76&amp;"'!"&amp;'גיליון עזר'!$K$1&amp;ROW('מרכז מורשת בבל'!$C$11))))</f>
        <v>כן</v>
      </c>
      <c r="L76" s="108" t="str">
        <f t="shared" ca="1" si="8"/>
        <v>כן</v>
      </c>
      <c r="M76" s="131">
        <f ca="1">IF($D76="","",IFERROR(O76/פרמטרים!$C$5,""))</f>
        <v>7.3060740173868152E-3</v>
      </c>
      <c r="N76" s="5"/>
      <c r="O76" s="96">
        <f>'סיכום לועדה- הזנת נתונים'!N90</f>
        <v>89206.74</v>
      </c>
      <c r="P76" s="35" t="str">
        <f ca="1">IF($D76="","",INDIRECT("'"&amp;$D76&amp;"'!"&amp;'גיליון עזר'!$G$1&amp;ROW('מרכז מורשת בבל'!$J$8)))</f>
        <v>לא</v>
      </c>
      <c r="Q76" s="5"/>
      <c r="R76" s="134">
        <f ca="1">IF($D76="","",INDIRECT("'"&amp;$D76&amp;"'!"&amp;'גיליון עזר'!$I$1&amp;ROW('מרכז מורשת בבל'!$L$8)))</f>
        <v>0</v>
      </c>
      <c r="S76" s="5"/>
      <c r="T76" s="36">
        <f ca="1">IF($D76="","",IFERROR(INDIRECT("'"&amp;$D76&amp;"'!"&amp;'גיליון עזר'!$K$1&amp;ROW('מרכז מורשת בבל'!$N$8))/F76,""))</f>
        <v>0.19799126289122498</v>
      </c>
      <c r="U76" s="35"/>
      <c r="V76" s="36">
        <f ca="1">IF($D76="","",IFERROR(INDIRECT("'"&amp;$D76&amp;"'!"&amp;'גיליון עזר'!$M$1&amp;ROW('מרכז מורשת בבל'!$P$8))/F76,""))</f>
        <v>0.18153437992459756</v>
      </c>
      <c r="W76" s="103"/>
      <c r="X76" s="109" t="str">
        <f ca="1">IF($D76="","",IF(AND(AA76="כן",'תנאי סף'!AX70=1),"כן","לא"))</f>
        <v>כן</v>
      </c>
      <c r="Y76" s="1" t="str">
        <f t="shared" ca="1" si="9"/>
        <v>כן</v>
      </c>
      <c r="Z76" s="1" t="str">
        <f t="shared" ca="1" si="9"/>
        <v>לא</v>
      </c>
      <c r="AA76" s="12" t="str">
        <f t="shared" ca="1" si="10"/>
        <v>כן</v>
      </c>
      <c r="AB76" s="223">
        <f t="shared" ca="1" si="15"/>
        <v>7.3060740173868152E-3</v>
      </c>
      <c r="AC76" s="1" t="str">
        <f t="shared" ca="1" si="11"/>
        <v>כן</v>
      </c>
      <c r="AD76" s="1" t="str">
        <f t="shared" ca="1" si="11"/>
        <v>לא</v>
      </c>
      <c r="AE76" s="105">
        <f ca="1">IF($D76="","",IF(G76&gt;פרמטרים!$D$22,1,IF(E76&gt;=AE$16,1,0)))</f>
        <v>1</v>
      </c>
      <c r="AF76" s="105">
        <f t="shared" ca="1" si="12"/>
        <v>1</v>
      </c>
      <c r="AG76" s="105">
        <f t="shared" ca="1" si="16"/>
        <v>1</v>
      </c>
      <c r="AH76" s="105">
        <f t="shared" ca="1" si="17"/>
        <v>1</v>
      </c>
      <c r="AI76" s="105">
        <f t="shared" ca="1" si="18"/>
        <v>1</v>
      </c>
      <c r="AJ76" s="3">
        <f t="shared" ca="1" si="19"/>
        <v>0</v>
      </c>
      <c r="AK76" s="3">
        <f t="shared" ca="1" si="20"/>
        <v>0</v>
      </c>
      <c r="AL76" s="12">
        <f t="shared" ca="1" si="13"/>
        <v>0.19799126289122498</v>
      </c>
      <c r="AM76" s="12">
        <f t="shared" ca="1" si="14"/>
        <v>0.18153437992459756</v>
      </c>
      <c r="AN76" t="str">
        <f t="shared" ca="1" si="21"/>
        <v>כן</v>
      </c>
      <c r="AO76" t="str">
        <f t="shared" ca="1" si="22"/>
        <v>לא</v>
      </c>
    </row>
    <row r="77" spans="1:41" x14ac:dyDescent="0.25">
      <c r="A77">
        <v>3</v>
      </c>
      <c r="B77" t="str">
        <f ca="1">חיבה!$D$3</f>
        <v>חיבה</v>
      </c>
      <c r="C77" s="7">
        <f>'ריכוז נתונים'!C77</f>
        <v>61</v>
      </c>
      <c r="D77" s="7" t="str">
        <f ca="1">IF(OR(LEFT(B77,11)="גיליון הזנה",INDIRECT("'"&amp;$B77&amp;"'!"&amp;'גיליון עזר'!$I$1&amp;ROW('מרכז מורשת בבל'!$I$3))=0),"",B77)</f>
        <v>חיבה</v>
      </c>
      <c r="E77" s="106">
        <f ca="1">IF($D77="","",IFERROR(INDIRECT("'"&amp;$D77&amp;"'!"&amp;'גיליון עזר'!$H$1&amp;ROW('מרכז מורשת בבל'!$C$11))/INDIRECT("'"&amp;$D77&amp;"'!"&amp;'גיליון עזר'!$G$1&amp;ROW('מרכז מורשת בבל'!$C$11)),0))</f>
        <v>0.49962049417364984</v>
      </c>
      <c r="F77" s="107">
        <f ca="1">IF($D77="","",INDIRECT("'"&amp;$D77&amp;"'!"&amp;'גיליון עזר'!$C$1&amp;ROW('מרכז מורשת בבל'!$C$11)))</f>
        <v>3975515</v>
      </c>
      <c r="G77" s="129">
        <f ca="1">IF($D77="","",INDIRECT("'"&amp;$D77&amp;"'!"&amp;'גיליון עזר'!$E$1&amp;ROW('מרכז מורשת בבל'!$C$11)))</f>
        <v>1018248</v>
      </c>
      <c r="H77" s="128">
        <f ca="1">IF($D77="","",INDIRECT("'"&amp;$D77&amp;"'!"&amp;'גיליון עזר'!$F$1&amp;ROW('מרכז מורשת בבל'!$C$11)))</f>
        <v>1018248</v>
      </c>
      <c r="I77" s="108">
        <v>33</v>
      </c>
      <c r="J77" s="108">
        <f ca="1">IF($D77="","",IF(INDIRECT("'"&amp;$D77&amp;"'!"&amp;'גיליון עזר'!$I$1&amp;ROW('מרכז מורשת בבל'!$C$11))="",0,פרמטרים!$C$3-INDIRECT("'"&amp;$D77&amp;"'!"&amp;'גיליון עזר'!$I$1&amp;ROW('מרכז מורשת בבל'!$C$11))))</f>
        <v>43</v>
      </c>
      <c r="K77" s="108" t="str">
        <f ca="1">IF($D77="","",IF(INDIRECT("'"&amp;$D77&amp;"'!"&amp;'גיליון עזר'!$K$1&amp;ROW('מרכז מורשת בבל'!$C$11))="","",INDIRECT("'"&amp;$D77&amp;"'!"&amp;'גיליון עזר'!$K$1&amp;ROW('מרכז מורשת בבל'!$C$11))))</f>
        <v>כן</v>
      </c>
      <c r="L77" s="108" t="str">
        <f t="shared" ca="1" si="8"/>
        <v>כן</v>
      </c>
      <c r="M77" s="131">
        <f ca="1">IF($D77="","",IFERROR(O77/פרמטרים!$C$5,""))</f>
        <v>2.0360407936417715E-2</v>
      </c>
      <c r="N77" s="5"/>
      <c r="O77" s="96">
        <f>'סיכום לועדה- הזנת נתונים'!N91</f>
        <v>248599.4</v>
      </c>
      <c r="P77" s="35" t="str">
        <f ca="1">IF($D77="","",INDIRECT("'"&amp;$D77&amp;"'!"&amp;'גיליון עזר'!$G$1&amp;ROW('מרכז מורשת בבל'!$J$8)))</f>
        <v>לא</v>
      </c>
      <c r="Q77" s="5"/>
      <c r="R77" s="134">
        <f ca="1">IF($D77="","",INDIRECT("'"&amp;$D77&amp;"'!"&amp;'גיליון עזר'!$I$1&amp;ROW('מרכז מורשת בבל'!$L$8)))</f>
        <v>0</v>
      </c>
      <c r="S77" s="5"/>
      <c r="T77" s="36">
        <f ca="1">IF($D77="","",IFERROR(INDIRECT("'"&amp;$D77&amp;"'!"&amp;'גיליון עזר'!$K$1&amp;ROW('מרכז מורשת בבל'!$N$8))/F77,""))</f>
        <v>9.1446013912662882E-2</v>
      </c>
      <c r="U77" s="35"/>
      <c r="V77" s="36">
        <f ca="1">IF($D77="","",IFERROR(INDIRECT("'"&amp;$D77&amp;"'!"&amp;'גיליון עזר'!$M$1&amp;ROW('מרכז מורשת בבל'!$P$8))/F77,""))</f>
        <v>0.2613928006811696</v>
      </c>
      <c r="X77" s="109" t="str">
        <f ca="1">IF($D77="","",IF(AND(AA77="כן",'תנאי סף'!AX71=1),"כן","לא"))</f>
        <v>כן</v>
      </c>
      <c r="Y77" s="1" t="str">
        <f t="shared" ca="1" si="9"/>
        <v>כן</v>
      </c>
      <c r="Z77" s="1" t="str">
        <f t="shared" ca="1" si="9"/>
        <v>לא</v>
      </c>
      <c r="AA77" s="12" t="str">
        <f t="shared" ref="AA77:AA78" ca="1" si="23">IF(W77&lt;&gt;"",W77,IF(SUM(AE77:AI77)=COUNTA(AE$15:AI$15),$Y$16,$Z$16))</f>
        <v>כן</v>
      </c>
      <c r="AB77" s="223">
        <f t="shared" ref="AB77:AB78" ca="1" si="24">IF($D77="","",IF(M77&gt;=0,M77,$AB$15))</f>
        <v>2.0360407936417715E-2</v>
      </c>
      <c r="AC77" s="1" t="str">
        <f t="shared" ca="1" si="11"/>
        <v>כן</v>
      </c>
      <c r="AD77" s="1" t="str">
        <f t="shared" ca="1" si="11"/>
        <v>לא</v>
      </c>
      <c r="AE77" s="105">
        <f ca="1">IF($D77="","",IF(G77&gt;פרמטרים!$D$22,1,IF(E77&gt;=AE$16,1,0)))</f>
        <v>1</v>
      </c>
      <c r="AF77" s="105">
        <f t="shared" ref="AF77:AF78" ca="1" si="25">IF($D77="","",IF(H77&gt;=AF$16,1,0))</f>
        <v>1</v>
      </c>
      <c r="AG77" s="105">
        <f t="shared" ref="AG77:AG78" ca="1" si="26">IF($D77="","",IF(I77&gt;=AG$16,1,0))</f>
        <v>1</v>
      </c>
      <c r="AH77" s="105">
        <f t="shared" ref="AH77:AH78" ca="1" si="27">IF($D77="","",IF(J77&gt;=AH$16,1,0))</f>
        <v>1</v>
      </c>
      <c r="AI77" s="105">
        <f t="shared" ref="AI77:AI78" ca="1" si="28">IF($D77="","",IF(K77=AI$16,1,0))</f>
        <v>1</v>
      </c>
      <c r="AJ77" s="3">
        <f t="shared" ref="AJ77:AJ78" ca="1" si="29">IF($D77="","",IF(R77="",$AB$15,IF(ISERR(R77/3),$AB$15,R77)))</f>
        <v>0</v>
      </c>
      <c r="AK77" s="3">
        <f t="shared" ref="AK77:AK78" ca="1" si="30">IFERROR(IF(AJ77=$AB$15,AJ77,IF(P77=$AD$16,0,1)*AJ77),"")</f>
        <v>0</v>
      </c>
      <c r="AL77" s="12">
        <f t="shared" ref="AL77:AL78" ca="1" si="31">IF(OR(T77="",$D77=""),"",IF(ISNUMBER(T77),T77,$AB$15))</f>
        <v>9.1446013912662882E-2</v>
      </c>
      <c r="AM77" s="12">
        <f t="shared" ref="AM77:AM78" ca="1" si="32">IF(OR(V77="",$D77=""),"",IF(ISNUMBER(V77),V77,$AB$15))</f>
        <v>0.2613928006811696</v>
      </c>
      <c r="AN77" t="str">
        <f t="shared" ref="AN77:AN78" ca="1" si="33">IF(D77="","",AN$16)</f>
        <v>כן</v>
      </c>
      <c r="AO77" t="str">
        <f t="shared" ca="1" si="22"/>
        <v>לא</v>
      </c>
    </row>
    <row r="78" spans="1:41" x14ac:dyDescent="0.25">
      <c r="B78" t="str">
        <f ca="1">'גיליון הזנה 62'!$D$3</f>
        <v>גיליון הזנה 62</v>
      </c>
      <c r="C78" s="7">
        <f>'ריכוז נתונים'!C78</f>
        <v>62</v>
      </c>
      <c r="D78" s="7" t="str">
        <f ca="1">IF(OR(LEFT(B78,11)="גיליון הזנה",INDIRECT("'"&amp;$B78&amp;"'!"&amp;'גיליון עזר'!$I$1&amp;ROW('מרכז מורשת בבל'!$I$3))=0),"",B78)</f>
        <v/>
      </c>
      <c r="E78" s="106" t="str">
        <f ca="1">IF($D78="","",IFERROR(INDIRECT("'"&amp;$D78&amp;"'!"&amp;'גיליון עזר'!$H$1&amp;ROW('מרכז מורשת בבל'!$C$11))/INDIRECT("'"&amp;$D78&amp;"'!"&amp;'גיליון עזר'!$G$1&amp;ROW('מרכז מורשת בבל'!$C$11)),0))</f>
        <v/>
      </c>
      <c r="F78" s="107" t="str">
        <f ca="1">IF($D78="","",INDIRECT("'"&amp;$D78&amp;"'!"&amp;'גיליון עזר'!$C$1&amp;ROW('מרכז מורשת בבל'!$C$11)))</f>
        <v/>
      </c>
      <c r="G78" s="129" t="str">
        <f ca="1">IF($D78="","",INDIRECT("'"&amp;$D78&amp;"'!"&amp;'גיליון עזר'!$E$1&amp;ROW('מרכז מורשת בבל'!$C$11)))</f>
        <v/>
      </c>
      <c r="H78" s="128" t="str">
        <f ca="1">IF($D78="","",INDIRECT("'"&amp;$D78&amp;"'!"&amp;'גיליון עזר'!$F$1&amp;ROW('מרכז מורשת בבל'!$C$11)))</f>
        <v/>
      </c>
      <c r="I78" s="108" t="str">
        <f ca="1">IF($D78="","",'ריכוז נתונים'!AP78+'ריכוז נתונים'!AQ78+'ריכוז נתונים'!AS78+'ריכוז נתונים'!AU78+'ריכוז נתונים'!AW78+'ריכוז נתונים'!AY78)</f>
        <v/>
      </c>
      <c r="J78" s="108" t="str">
        <f ca="1">IF($D78="","",IF(INDIRECT("'"&amp;$D78&amp;"'!"&amp;'גיליון עזר'!$I$1&amp;ROW('מרכז מורשת בבל'!$C$11))="",0,פרמטרים!$C$3-INDIRECT("'"&amp;$D78&amp;"'!"&amp;'גיליון עזר'!$I$1&amp;ROW('מרכז מורשת בבל'!$C$11))))</f>
        <v/>
      </c>
      <c r="K78" s="108" t="str">
        <f ca="1">IF($D78="","",IF(INDIRECT("'"&amp;$D78&amp;"'!"&amp;'גיליון עזר'!$K$1&amp;ROW('מרכז מורשת בבל'!$C$11))="","",INDIRECT("'"&amp;$D78&amp;"'!"&amp;'גיליון עזר'!$K$1&amp;ROW('מרכז מורשת בבל'!$C$11))))</f>
        <v/>
      </c>
      <c r="L78" t="str">
        <f t="shared" ca="1" si="8"/>
        <v/>
      </c>
      <c r="M78" s="131" t="str">
        <f ca="1">IF($D78="","",IFERROR(O78/פרמטרים!$C$5,""))</f>
        <v/>
      </c>
      <c r="N78" s="5"/>
      <c r="O78" s="96" t="str">
        <f ca="1">IF($D78="","",IF(INDIRECT("'"&amp;$D78&amp;"'!"&amp;'גיליון עזר'!$F$1&amp;ROW('מרכז מורשת בבל'!$H$8))="","",INDIRECT("'"&amp;$D78&amp;"'!"&amp;'גיליון עזר'!$F$1&amp;ROW('מרכז מורשת בבל'!$H$8))))</f>
        <v/>
      </c>
      <c r="P78" s="35" t="str">
        <f ca="1">IF($D78="","",INDIRECT("'"&amp;$D78&amp;"'!"&amp;'גיליון עזר'!$G$1&amp;ROW('מרכז מורשת בבל'!$J$8)))</f>
        <v/>
      </c>
      <c r="Q78" s="5"/>
      <c r="R78" s="134" t="str">
        <f ca="1">IF($D78="","",INDIRECT("'"&amp;$D78&amp;"'!"&amp;'גיליון עזר'!$I$1&amp;ROW('מרכז מורשת בבל'!$L$8)))</f>
        <v/>
      </c>
      <c r="S78" s="5"/>
      <c r="T78" s="36" t="str">
        <f ca="1">IF($D78="","",IFERROR(INDIRECT("'"&amp;$D78&amp;"'!"&amp;'גיליון עזר'!$K$1&amp;ROW('מרכז מורשת בבל'!$N$8))/F78,""))</f>
        <v/>
      </c>
      <c r="U78" s="35"/>
      <c r="V78" s="36" t="str">
        <f ca="1">IF($D78="","",IFERROR(INDIRECT("'"&amp;$D78&amp;"'!"&amp;'גיליון עזר'!$M$1&amp;ROW('מרכז מורשת בבל'!$P$8))/F78,""))</f>
        <v/>
      </c>
      <c r="X78" s="109" t="str">
        <f ca="1">IF($D78="","",IF(AND(AA78="כן",'תנאי סף'!AX72=1),"כן","לא"))</f>
        <v/>
      </c>
      <c r="Y78" s="1" t="str">
        <f t="shared" ref="Y78:Z78" ca="1" si="34">IF($D78="","",Y$16)</f>
        <v/>
      </c>
      <c r="Z78" s="1" t="str">
        <f t="shared" ca="1" si="34"/>
        <v/>
      </c>
      <c r="AA78" s="12" t="str">
        <f t="shared" ca="1" si="23"/>
        <v>לא</v>
      </c>
      <c r="AB78" s="223" t="str">
        <f t="shared" ca="1" si="24"/>
        <v/>
      </c>
      <c r="AC78" s="1" t="str">
        <f t="shared" ref="AC78:AD78" ca="1" si="35">IF($D78="","",AC$16)</f>
        <v/>
      </c>
      <c r="AD78" s="1" t="str">
        <f t="shared" ca="1" si="35"/>
        <v/>
      </c>
      <c r="AE78" s="105" t="str">
        <f ca="1">IF($D78="","",IF(G78&gt;פרמטרים!$D$22,1,IF(E78&gt;=AE$16,1,0)))</f>
        <v/>
      </c>
      <c r="AF78" s="105" t="str">
        <f t="shared" ca="1" si="25"/>
        <v/>
      </c>
      <c r="AG78" s="105" t="str">
        <f t="shared" ca="1" si="26"/>
        <v/>
      </c>
      <c r="AH78" s="105" t="str">
        <f t="shared" ca="1" si="27"/>
        <v/>
      </c>
      <c r="AI78" s="105" t="str">
        <f t="shared" ca="1" si="28"/>
        <v/>
      </c>
      <c r="AJ78" s="3" t="str">
        <f t="shared" ca="1" si="29"/>
        <v/>
      </c>
      <c r="AK78" s="3" t="str">
        <f t="shared" ca="1" si="30"/>
        <v/>
      </c>
      <c r="AL78" s="12" t="str">
        <f t="shared" ca="1" si="31"/>
        <v/>
      </c>
      <c r="AM78" s="12" t="str">
        <f t="shared" ca="1" si="32"/>
        <v/>
      </c>
      <c r="AN78" t="str">
        <f t="shared" ca="1" si="33"/>
        <v/>
      </c>
      <c r="AO78" t="str">
        <f t="shared" ca="1" si="22"/>
        <v/>
      </c>
    </row>
    <row r="79" spans="1:41" x14ac:dyDescent="0.25">
      <c r="X79"/>
    </row>
  </sheetData>
  <sheetProtection algorithmName="SHA-512" hashValue="nnOHG9vR5CgYgB+JKrSoBO/fb7nwYaCpqCUSz+fN6uPj2k7+JDma7pq/dOLXha9Lir/Ewe9v49Q6wXwgsa3TeA==" saltValue="VARtmXEYOcDDJtWZVYu7aQ==" spinCount="100000" sheet="1" scenarios="1" formatColumns="0" formatRows="0" autoFilter="0"/>
  <mergeCells count="22">
    <mergeCell ref="AJ15:AP15"/>
    <mergeCell ref="X15:X16"/>
    <mergeCell ref="M15:M16"/>
    <mergeCell ref="T15:T16"/>
    <mergeCell ref="V15:V16"/>
    <mergeCell ref="W15:W16"/>
    <mergeCell ref="C14:C16"/>
    <mergeCell ref="D14:D16"/>
    <mergeCell ref="Y15:Z15"/>
    <mergeCell ref="P15:R15"/>
    <mergeCell ref="L14:W14"/>
    <mergeCell ref="E15:E16"/>
    <mergeCell ref="H15:H16"/>
    <mergeCell ref="I15:I16"/>
    <mergeCell ref="E14:I14"/>
    <mergeCell ref="F15:F16"/>
    <mergeCell ref="J15:J16"/>
    <mergeCell ref="K15:K16"/>
    <mergeCell ref="N15:N16"/>
    <mergeCell ref="O15:O16"/>
    <mergeCell ref="G15:G16"/>
    <mergeCell ref="L15:L16"/>
  </mergeCells>
  <conditionalFormatting sqref="A17:A76">
    <cfRule type="cellIs" dxfId="472" priority="1" operator="equal">
      <formula>"חסרה הזנה"</formula>
    </cfRule>
  </conditionalFormatting>
  <conditionalFormatting sqref="E17:E78">
    <cfRule type="expression" dxfId="471" priority="6">
      <formula>IF($AE17=0,1,0)</formula>
    </cfRule>
  </conditionalFormatting>
  <conditionalFormatting sqref="H17:J78">
    <cfRule type="expression" dxfId="470" priority="4">
      <formula>IF(AF17=0,1,0)</formula>
    </cfRule>
  </conditionalFormatting>
  <dataValidations count="2">
    <dataValidation type="list" allowBlank="1" showInputMessage="1" showErrorMessage="1" sqref="Q18:Q78" xr:uid="{00000000-0002-0000-0500-000000000000}">
      <formula1>AD18:AJ18</formula1>
    </dataValidation>
    <dataValidation type="list" allowBlank="1" showInputMessage="1" showErrorMessage="1" sqref="W17:W76" xr:uid="{00000000-0002-0000-0500-000001000000}">
      <formula1>AN17:AO17</formula1>
    </dataValidation>
  </dataValidations>
  <pageMargins left="0.70866141732283472" right="0.70866141732283472" top="0.74803149606299213" bottom="0.74803149606299213" header="0.31496062992125984" footer="0.31496062992125984"/>
  <pageSetup paperSize="9" orientation="portrait" r:id="rId1"/>
  <headerFooter>
    <oddFooter>&amp;C&amp;"David,מודגש"א. חפץ ושות'
ייעוץ כלכלי</oddFooter>
  </headerFooter>
  <rowBreaks count="1" manualBreakCount="1">
    <brk id="46"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27B78-2D73-4EE0-8B39-005D3D1264E2}">
  <sheetPr>
    <tabColor theme="4" tint="-0.249977111117893"/>
  </sheetPr>
  <dimension ref="A1:EI72"/>
  <sheetViews>
    <sheetView rightToLeft="1" view="pageBreakPreview" topLeftCell="B1" zoomScale="60" zoomScaleNormal="85" zoomScalePageLayoutView="85" workbookViewId="0">
      <pane xSplit="2" ySplit="9" topLeftCell="D10" activePane="bottomRight" state="frozen"/>
      <selection activeCell="B1" sqref="B1"/>
      <selection pane="topRight" activeCell="G1" sqref="G1"/>
      <selection pane="bottomLeft" activeCell="B10" sqref="B10"/>
      <selection pane="bottomRight" activeCell="D10" sqref="D10"/>
    </sheetView>
  </sheetViews>
  <sheetFormatPr defaultRowHeight="15.75" x14ac:dyDescent="0.25"/>
  <cols>
    <col min="1" max="1" width="5.5703125" hidden="1" customWidth="1"/>
    <col min="2" max="2" width="6" customWidth="1"/>
    <col min="3" max="3" width="37" style="356" customWidth="1"/>
    <col min="4" max="4" width="15.5703125" customWidth="1"/>
    <col min="5" max="5" width="33.42578125" customWidth="1"/>
    <col min="6" max="6" width="26" customWidth="1"/>
    <col min="7" max="7" width="31.28515625" customWidth="1"/>
    <col min="8" max="8" width="21.85546875" customWidth="1"/>
    <col min="9" max="9" width="15.85546875" customWidth="1"/>
    <col min="10" max="10" width="17.140625" customWidth="1"/>
    <col min="11" max="11" width="18.140625" customWidth="1"/>
    <col min="12" max="12" width="23.7109375" customWidth="1"/>
    <col min="13" max="13" width="18.140625" customWidth="1"/>
    <col min="14" max="14" width="20.28515625" customWidth="1"/>
    <col min="15" max="15" width="26" customWidth="1"/>
    <col min="16" max="16" width="14" customWidth="1"/>
    <col min="17" max="17" width="24.42578125" customWidth="1"/>
    <col min="18" max="18" width="24.140625" customWidth="1"/>
    <col min="19" max="19" width="27.5703125" customWidth="1"/>
    <col min="20" max="20" width="23.28515625" customWidth="1"/>
    <col min="21" max="21" width="25" customWidth="1"/>
    <col min="22" max="22" width="37.28515625" customWidth="1"/>
    <col min="23" max="23" width="15.7109375" style="356" hidden="1" customWidth="1"/>
    <col min="24" max="24" width="19.85546875" style="356" hidden="1" customWidth="1"/>
    <col min="25" max="25" width="20" hidden="1" customWidth="1"/>
    <col min="26" max="26" width="23.28515625" hidden="1" customWidth="1"/>
    <col min="27" max="27" width="18" hidden="1" customWidth="1"/>
    <col min="28" max="29" width="13.140625" hidden="1" customWidth="1"/>
    <col min="30" max="30" width="19.85546875" hidden="1" customWidth="1"/>
    <col min="31" max="31" width="13" hidden="1" customWidth="1"/>
    <col min="32" max="32" width="14.140625" hidden="1" customWidth="1"/>
    <col min="33" max="33" width="10.7109375" hidden="1" customWidth="1"/>
    <col min="34" max="34" width="22.7109375" hidden="1" customWidth="1"/>
    <col min="35" max="35" width="15.28515625" hidden="1" customWidth="1"/>
    <col min="36" max="36" width="20.140625" hidden="1" customWidth="1"/>
    <col min="37" max="37" width="17.140625" hidden="1" customWidth="1"/>
    <col min="38" max="38" width="19" hidden="1" customWidth="1"/>
    <col min="39" max="39" width="14.28515625" hidden="1" customWidth="1"/>
    <col min="40" max="40" width="17.42578125" hidden="1" customWidth="1"/>
    <col min="41" max="41" width="23.28515625" hidden="1" customWidth="1"/>
    <col min="42" max="42" width="22.42578125" hidden="1" customWidth="1"/>
    <col min="43" max="43" width="13.5703125" hidden="1" customWidth="1"/>
    <col min="44" max="44" width="7.28515625" hidden="1" customWidth="1"/>
    <col min="45" max="45" width="14" customWidth="1"/>
    <col min="46" max="46" width="10.85546875" customWidth="1"/>
    <col min="47" max="48" width="21.42578125" hidden="1" customWidth="1"/>
    <col min="49" max="49" width="8" hidden="1" customWidth="1"/>
    <col min="50" max="50" width="18.5703125" customWidth="1"/>
    <col min="51" max="51" width="55" style="357" customWidth="1"/>
    <col min="52" max="54" width="9.140625" hidden="1" customWidth="1"/>
    <col min="55" max="55" width="11.85546875" hidden="1" customWidth="1"/>
    <col min="56" max="57" width="9.140625" hidden="1" customWidth="1"/>
    <col min="58" max="58" width="10.140625" hidden="1" customWidth="1"/>
    <col min="59" max="59" width="16.7109375" hidden="1" customWidth="1"/>
    <col min="60" max="60" width="8.85546875" hidden="1" customWidth="1"/>
    <col min="61" max="61" width="11.85546875" hidden="1" customWidth="1"/>
    <col min="62" max="62" width="17.7109375" hidden="1" customWidth="1"/>
    <col min="63" max="68" width="9.140625" hidden="1" customWidth="1"/>
    <col min="69" max="69" width="9.7109375" hidden="1" customWidth="1"/>
    <col min="70" max="78" width="9.140625" hidden="1" customWidth="1"/>
    <col min="79" max="79" width="10.7109375" hidden="1" customWidth="1"/>
    <col min="80" max="124" width="9.140625" hidden="1" customWidth="1"/>
    <col min="125" max="125" width="16" hidden="1" customWidth="1"/>
    <col min="126" max="139" width="9.140625" hidden="1" customWidth="1"/>
    <col min="140" max="227" width="9.140625" customWidth="1"/>
    <col min="228" max="228" width="70.7109375" customWidth="1"/>
    <col min="229" max="238" width="9.140625" customWidth="1"/>
    <col min="239" max="239" width="4.140625" customWidth="1"/>
    <col min="240" max="244" width="9.140625" customWidth="1"/>
  </cols>
  <sheetData>
    <row r="1" spans="1:139" ht="25.5" customHeight="1" thickBot="1" x14ac:dyDescent="0.3">
      <c r="C1" s="361" t="str">
        <f>פרמטרים!B3</f>
        <v>שנת תקציב</v>
      </c>
      <c r="D1" s="362">
        <f>פרמטרים!C3</f>
        <v>2025</v>
      </c>
      <c r="AZ1" s="519" t="str">
        <f ca="1">MID(CELL("filename",BB2),FIND("]",CELL("filename",BB2),1)+1,99)</f>
        <v>תנאי סף</v>
      </c>
      <c r="BA1" s="520"/>
      <c r="BB1" s="520"/>
      <c r="BC1" s="520"/>
      <c r="BD1" s="520"/>
      <c r="BE1" s="520"/>
      <c r="BF1" s="520"/>
      <c r="BG1" s="520"/>
      <c r="BH1" s="520"/>
      <c r="BI1" s="520"/>
      <c r="BJ1" s="520"/>
      <c r="BK1" s="520"/>
      <c r="BL1" s="520"/>
      <c r="BM1" s="520"/>
      <c r="BN1" s="520"/>
      <c r="BO1" s="520"/>
      <c r="BP1" s="520"/>
      <c r="BQ1" s="520"/>
      <c r="BR1" s="520"/>
      <c r="BS1" s="520"/>
      <c r="BT1" s="520"/>
      <c r="BU1" s="520"/>
      <c r="BV1" s="520"/>
      <c r="BW1" s="520"/>
      <c r="BX1" s="520"/>
      <c r="BY1" s="520"/>
      <c r="BZ1" s="520"/>
      <c r="CA1" s="520"/>
      <c r="CB1" s="520"/>
      <c r="CC1" s="520"/>
      <c r="CD1" s="520"/>
      <c r="CE1" s="520"/>
      <c r="CF1" s="520"/>
      <c r="CG1" s="520"/>
      <c r="CH1" s="520"/>
      <c r="CI1" s="520"/>
      <c r="CJ1" s="520"/>
      <c r="CK1" s="520"/>
      <c r="CL1" s="520"/>
      <c r="CM1" s="520"/>
      <c r="CN1" s="520"/>
      <c r="CO1" s="520"/>
      <c r="CP1" s="520"/>
      <c r="CQ1" s="520"/>
      <c r="CR1" s="520"/>
      <c r="CS1" s="520"/>
      <c r="CT1" s="520"/>
      <c r="CU1" s="520"/>
      <c r="CV1" s="520"/>
      <c r="CW1" s="520"/>
      <c r="CX1" s="520"/>
      <c r="CY1" s="520"/>
      <c r="CZ1" s="520"/>
      <c r="DA1" s="520"/>
      <c r="DB1" s="520"/>
      <c r="DC1" s="520"/>
      <c r="DD1" s="520"/>
      <c r="DF1" t="s">
        <v>188</v>
      </c>
      <c r="DH1" s="358" t="s">
        <v>393</v>
      </c>
      <c r="DI1" s="359" t="s">
        <v>200</v>
      </c>
      <c r="DJ1" s="359" t="s">
        <v>394</v>
      </c>
      <c r="DK1" s="359" t="s">
        <v>395</v>
      </c>
      <c r="DL1" s="359" t="s">
        <v>189</v>
      </c>
      <c r="DM1" s="359" t="s">
        <v>285</v>
      </c>
      <c r="DN1" s="359" t="s">
        <v>396</v>
      </c>
      <c r="DO1" s="360" t="s">
        <v>397</v>
      </c>
      <c r="DP1" s="359" t="s">
        <v>398</v>
      </c>
      <c r="DQ1" s="360" t="s">
        <v>399</v>
      </c>
      <c r="DR1" s="359"/>
      <c r="DS1" s="359"/>
      <c r="DT1" s="359"/>
      <c r="DU1" s="359"/>
      <c r="DV1" s="359"/>
      <c r="DW1" s="359"/>
      <c r="DX1" s="359"/>
      <c r="DY1" s="359"/>
      <c r="DZ1" s="359"/>
      <c r="EA1" s="359"/>
      <c r="EB1" s="359"/>
      <c r="EC1" s="359"/>
      <c r="ED1" s="359"/>
      <c r="EE1" s="359"/>
      <c r="EF1" s="359"/>
      <c r="EG1" s="359"/>
      <c r="EH1" s="359"/>
      <c r="EI1" s="360"/>
    </row>
    <row r="2" spans="1:139" ht="20.25" customHeight="1" thickBot="1" x14ac:dyDescent="0.3">
      <c r="C2" s="363" t="str">
        <f>פרמטרים!B4</f>
        <v xml:space="preserve">גובה תמיכה </v>
      </c>
      <c r="D2" s="364">
        <f>פרמטרים!C4</f>
        <v>15000000</v>
      </c>
      <c r="BD2">
        <f>IF(ISNA(MATCH(D11,$BA$10:$BB$10,0)),0,1)</f>
        <v>1</v>
      </c>
      <c r="BE2">
        <f>IF(IFERROR(D11*1,"bad")="bad",0,1)</f>
        <v>1</v>
      </c>
      <c r="BF2">
        <f>IF(IFERROR(IF(D11=TRUNC(D11),1,"bad"),"bad")="bad",0,1)</f>
        <v>1</v>
      </c>
      <c r="BG2">
        <f>IF(AND(IF(IFERROR(D11*1,"bad")="bad",0,1)=1,D11&gt;=0),1,0)</f>
        <v>1</v>
      </c>
      <c r="BH2">
        <f>IF(AND(IF(IFERROR(IF(D11=TRUNC(D11),1,"bad"),"bad")="bad",0,1)=1,D11&gt;=0),1,0)</f>
        <v>1</v>
      </c>
      <c r="BI2">
        <f>IF(AND(IF(IFERROR(D11*1,"bad")="bad",0,1)=1,D11&gt;0),1,0)</f>
        <v>0</v>
      </c>
      <c r="BJ2">
        <f>IF(AND(IF(IFERROR(IF(D11=TRUNC(D11),1,"bad"),"bad")="bad",0,1)=1,D11&gt;0),1,0)</f>
        <v>0</v>
      </c>
      <c r="BK2">
        <v>1</v>
      </c>
      <c r="BL2">
        <f>IF(IFERROR(HLOOKUP(D11,$CY$10:$DI$10,1,0),"bad")="bad",0,1)</f>
        <v>0</v>
      </c>
    </row>
    <row r="3" spans="1:139" ht="21" customHeight="1" x14ac:dyDescent="0.25">
      <c r="F3" s="356"/>
      <c r="G3" s="356"/>
      <c r="H3" s="356"/>
      <c r="I3" s="356"/>
      <c r="J3" s="356"/>
      <c r="K3" s="356"/>
      <c r="L3" s="356"/>
      <c r="M3" s="356"/>
      <c r="N3" s="356"/>
      <c r="O3" s="356"/>
      <c r="P3" s="356"/>
      <c r="Q3" s="356"/>
      <c r="R3" s="356"/>
      <c r="S3" s="356"/>
      <c r="T3" s="356"/>
      <c r="U3" s="356"/>
      <c r="V3" s="356"/>
      <c r="Y3" s="356"/>
      <c r="Z3" s="356"/>
      <c r="AA3" s="356"/>
      <c r="AB3" s="356"/>
      <c r="AC3" s="356"/>
      <c r="AD3" s="356"/>
      <c r="AE3" s="356"/>
      <c r="AF3" s="356"/>
      <c r="AG3" s="356"/>
      <c r="AH3" s="356"/>
      <c r="AI3" s="356"/>
      <c r="AJ3" s="356"/>
      <c r="AK3" s="356"/>
      <c r="AL3" s="356"/>
      <c r="AM3" s="356"/>
      <c r="AN3" s="356"/>
      <c r="AO3" s="356"/>
      <c r="AP3" s="356"/>
      <c r="AQ3" s="356"/>
      <c r="AR3" s="356"/>
      <c r="AS3" s="356"/>
      <c r="AT3" s="356"/>
      <c r="BB3">
        <f>IF(D$10="",1,IF(D11="",0,IF(D$10=$DI$1,11,IF(D$10=$DJ$1,12,IF(D$10=$AHP1,13,IF(D$10=$DL$1,14,IF(D$10=$DM$1,15,IF(D$10=$DN$1,16,IF(D$10=$DO$1,17,IF(D$10=$DP$1,18,IF(D$10=$DQ$1,19,0)))))))))))</f>
        <v>11</v>
      </c>
      <c r="BC3" t="s">
        <v>400</v>
      </c>
      <c r="BD3">
        <v>1</v>
      </c>
      <c r="BE3">
        <v>2</v>
      </c>
      <c r="BF3">
        <v>3</v>
      </c>
      <c r="BG3">
        <v>4</v>
      </c>
      <c r="BH3">
        <v>5</v>
      </c>
      <c r="BI3">
        <v>6</v>
      </c>
      <c r="BJ3">
        <v>7</v>
      </c>
      <c r="BK3">
        <v>8</v>
      </c>
      <c r="BL3">
        <v>9</v>
      </c>
    </row>
    <row r="4" spans="1:139" s="365" customFormat="1" ht="46.5" hidden="1" customHeight="1" thickBot="1" x14ac:dyDescent="0.3">
      <c r="C4" s="366" t="s">
        <v>401</v>
      </c>
      <c r="D4" s="367">
        <v>0</v>
      </c>
      <c r="E4" s="367">
        <v>1</v>
      </c>
      <c r="F4" s="367">
        <v>1</v>
      </c>
      <c r="G4" s="367">
        <v>1</v>
      </c>
      <c r="H4" s="367">
        <v>1</v>
      </c>
      <c r="I4" s="367">
        <v>1</v>
      </c>
      <c r="J4" s="367">
        <v>1</v>
      </c>
      <c r="K4" s="367">
        <v>1</v>
      </c>
      <c r="L4" s="367">
        <v>1</v>
      </c>
      <c r="M4" s="367">
        <v>1</v>
      </c>
      <c r="N4" s="367">
        <v>0</v>
      </c>
      <c r="O4" s="367">
        <v>0</v>
      </c>
      <c r="P4" s="367">
        <v>1</v>
      </c>
      <c r="Q4" s="367">
        <v>1</v>
      </c>
      <c r="R4" s="367">
        <v>1</v>
      </c>
      <c r="S4" s="367">
        <v>1</v>
      </c>
      <c r="T4" s="367">
        <v>1</v>
      </c>
      <c r="U4" s="367">
        <v>1</v>
      </c>
      <c r="V4" s="367">
        <v>1</v>
      </c>
      <c r="W4" s="367"/>
      <c r="X4" s="367"/>
      <c r="Y4" s="367"/>
      <c r="Z4" s="367"/>
      <c r="AA4" s="367"/>
      <c r="AB4" s="367"/>
      <c r="AC4" s="367"/>
      <c r="AD4" s="367"/>
      <c r="AE4" s="367"/>
      <c r="AF4" s="367"/>
      <c r="AG4" s="367"/>
      <c r="AH4" s="367"/>
      <c r="AI4" s="367"/>
      <c r="AJ4" s="367"/>
      <c r="AK4" s="367"/>
      <c r="AL4" s="367"/>
      <c r="AM4" s="367"/>
      <c r="AN4" s="367"/>
      <c r="AO4" s="367"/>
      <c r="AP4" s="367"/>
      <c r="AQ4" s="367"/>
      <c r="AR4" s="367"/>
      <c r="AS4" s="367">
        <v>1</v>
      </c>
      <c r="AT4" s="368">
        <v>99</v>
      </c>
      <c r="AY4" s="21"/>
      <c r="BC4" s="365" t="s">
        <v>402</v>
      </c>
      <c r="BD4" s="369">
        <v>1</v>
      </c>
      <c r="BE4" s="370">
        <v>2</v>
      </c>
      <c r="BF4" s="370">
        <v>3</v>
      </c>
      <c r="BG4" s="370">
        <v>4</v>
      </c>
      <c r="BH4" s="370">
        <v>5</v>
      </c>
      <c r="BI4" s="370">
        <v>6</v>
      </c>
      <c r="BJ4" s="370">
        <v>7</v>
      </c>
      <c r="BK4" s="370">
        <v>8</v>
      </c>
      <c r="BL4" s="370">
        <v>9</v>
      </c>
      <c r="BM4" s="371">
        <v>10</v>
      </c>
      <c r="DW4" s="372"/>
    </row>
    <row r="5" spans="1:139" ht="120" hidden="1" customHeight="1" x14ac:dyDescent="0.25">
      <c r="C5" s="373"/>
      <c r="D5" s="374" t="str">
        <f>D9</f>
        <v>האם המוסד נתמך בפעם הראשונה לפי מבחנים אלו?</v>
      </c>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5"/>
      <c r="AU5">
        <v>1</v>
      </c>
      <c r="AV5">
        <v>1</v>
      </c>
      <c r="AW5">
        <v>1</v>
      </c>
      <c r="DW5" s="365"/>
    </row>
    <row r="6" spans="1:139" ht="16.5" hidden="1" thickBot="1" x14ac:dyDescent="0.3">
      <c r="C6" s="376" t="s">
        <v>403</v>
      </c>
      <c r="D6" s="377"/>
      <c r="E6" s="377">
        <v>1</v>
      </c>
      <c r="F6" s="377">
        <v>1</v>
      </c>
      <c r="G6" s="377">
        <v>1</v>
      </c>
      <c r="H6" s="377">
        <v>1</v>
      </c>
      <c r="I6" s="377">
        <v>1</v>
      </c>
      <c r="J6" s="377">
        <v>1</v>
      </c>
      <c r="K6" s="377">
        <v>1</v>
      </c>
      <c r="L6" s="377">
        <v>1</v>
      </c>
      <c r="M6" s="377">
        <v>1</v>
      </c>
      <c r="N6" s="377"/>
      <c r="O6" s="377"/>
      <c r="P6" s="377">
        <v>1</v>
      </c>
      <c r="Q6" s="377">
        <v>1</v>
      </c>
      <c r="R6" s="377">
        <v>1</v>
      </c>
      <c r="S6" s="377">
        <v>1</v>
      </c>
      <c r="T6" s="377">
        <v>1</v>
      </c>
      <c r="U6" s="377">
        <v>1</v>
      </c>
      <c r="V6" s="377">
        <v>1</v>
      </c>
      <c r="W6" s="377"/>
      <c r="X6" s="377"/>
      <c r="Y6" s="377"/>
      <c r="Z6" s="377"/>
      <c r="AA6" s="377"/>
      <c r="AB6" s="377"/>
      <c r="AC6" s="377"/>
      <c r="AD6" s="377"/>
      <c r="AE6" s="377"/>
      <c r="AF6" s="377"/>
      <c r="AG6" s="377"/>
      <c r="AH6" s="377"/>
      <c r="AI6" s="377"/>
      <c r="AJ6" s="377"/>
      <c r="AK6" s="377"/>
      <c r="AL6" s="377"/>
      <c r="AM6" s="377"/>
      <c r="AN6" s="377"/>
      <c r="AO6" s="377"/>
      <c r="AP6" s="377"/>
      <c r="AQ6" s="377"/>
      <c r="AR6" s="377"/>
      <c r="AS6" s="377">
        <v>1</v>
      </c>
      <c r="AT6" s="378"/>
    </row>
    <row r="7" spans="1:139" ht="16.5" thickBot="1" x14ac:dyDescent="0.3">
      <c r="AF7" s="356"/>
      <c r="AG7" s="356"/>
      <c r="AH7" s="356"/>
      <c r="AI7" s="356"/>
      <c r="AJ7" s="356"/>
      <c r="AK7" s="356"/>
      <c r="AL7" s="356"/>
      <c r="AM7" s="356"/>
      <c r="AN7" s="356"/>
      <c r="AO7" s="356"/>
      <c r="AP7" s="356"/>
      <c r="AQ7" s="356"/>
      <c r="AR7" s="356"/>
      <c r="AS7" s="356"/>
      <c r="AT7" s="356"/>
    </row>
    <row r="8" spans="1:139" ht="21.75" customHeight="1" thickBot="1" x14ac:dyDescent="0.3">
      <c r="E8" s="379" t="s">
        <v>415</v>
      </c>
      <c r="F8" s="379" t="s">
        <v>416</v>
      </c>
      <c r="G8" s="379" t="s">
        <v>417</v>
      </c>
      <c r="H8" s="379" t="s">
        <v>418</v>
      </c>
      <c r="I8" s="379" t="s">
        <v>420</v>
      </c>
      <c r="J8" s="379" t="s">
        <v>421</v>
      </c>
      <c r="K8" s="379" t="s">
        <v>422</v>
      </c>
      <c r="L8" s="379" t="s">
        <v>425</v>
      </c>
      <c r="M8" s="379" t="s">
        <v>427</v>
      </c>
      <c r="N8" s="521" t="s">
        <v>429</v>
      </c>
      <c r="O8" s="522"/>
      <c r="P8" s="523"/>
      <c r="Q8" s="379" t="s">
        <v>430</v>
      </c>
      <c r="R8" s="379" t="s">
        <v>432</v>
      </c>
      <c r="S8" s="379" t="s">
        <v>434</v>
      </c>
      <c r="T8" s="379" t="s">
        <v>435</v>
      </c>
      <c r="U8" s="379" t="s">
        <v>436</v>
      </c>
      <c r="V8" s="379" t="s">
        <v>441</v>
      </c>
      <c r="W8"/>
      <c r="X8"/>
    </row>
    <row r="9" spans="1:139" ht="180" customHeight="1" thickBot="1" x14ac:dyDescent="0.3">
      <c r="A9" s="380">
        <v>100</v>
      </c>
      <c r="B9" s="524" t="s">
        <v>404</v>
      </c>
      <c r="C9" s="526" t="s">
        <v>146</v>
      </c>
      <c r="D9" s="384" t="s">
        <v>405</v>
      </c>
      <c r="E9" s="385" t="s">
        <v>411</v>
      </c>
      <c r="F9" s="383" t="s">
        <v>412</v>
      </c>
      <c r="G9" s="391" t="s">
        <v>413</v>
      </c>
      <c r="H9" s="383" t="s">
        <v>414</v>
      </c>
      <c r="I9" s="414" t="s">
        <v>419</v>
      </c>
      <c r="J9" s="414" t="s">
        <v>423</v>
      </c>
      <c r="K9" s="414" t="s">
        <v>424</v>
      </c>
      <c r="L9" s="383" t="s">
        <v>426</v>
      </c>
      <c r="M9" s="383" t="s">
        <v>428</v>
      </c>
      <c r="N9" s="421" t="s">
        <v>442</v>
      </c>
      <c r="O9" s="421" t="s">
        <v>443</v>
      </c>
      <c r="P9" s="526" t="s">
        <v>444</v>
      </c>
      <c r="Q9" s="383" t="s">
        <v>431</v>
      </c>
      <c r="R9" s="383" t="s">
        <v>433</v>
      </c>
      <c r="S9" s="383" t="s">
        <v>437</v>
      </c>
      <c r="T9" s="415" t="s">
        <v>438</v>
      </c>
      <c r="U9" s="387" t="s">
        <v>439</v>
      </c>
      <c r="V9" s="388" t="s">
        <v>440</v>
      </c>
      <c r="W9" s="383"/>
      <c r="X9" s="389"/>
      <c r="Y9" s="381"/>
      <c r="Z9" s="390"/>
      <c r="AA9" s="390"/>
      <c r="AB9" s="386"/>
      <c r="AC9" s="526"/>
      <c r="AD9" s="382"/>
      <c r="AE9" s="382"/>
      <c r="AF9" s="384"/>
      <c r="AG9" s="385"/>
      <c r="AH9" s="385"/>
      <c r="AI9" s="388"/>
      <c r="AJ9" s="383"/>
      <c r="AK9" s="391"/>
      <c r="AL9" s="392"/>
      <c r="AM9" s="532"/>
      <c r="AN9" s="530"/>
      <c r="AO9" s="390"/>
      <c r="AP9" s="390"/>
      <c r="AQ9" s="530"/>
      <c r="AR9" s="390"/>
      <c r="AS9" s="390" t="s">
        <v>406</v>
      </c>
      <c r="AT9" s="390" t="s">
        <v>445</v>
      </c>
      <c r="AU9" s="528" t="s">
        <v>407</v>
      </c>
      <c r="AV9" s="528" t="s">
        <v>407</v>
      </c>
      <c r="AW9" s="528" t="s">
        <v>407</v>
      </c>
      <c r="AX9" s="530" t="s">
        <v>408</v>
      </c>
      <c r="AY9" s="393" t="s">
        <v>409</v>
      </c>
      <c r="AZ9" s="394" t="s">
        <v>410</v>
      </c>
      <c r="BA9" s="394"/>
      <c r="BB9" s="394"/>
      <c r="BC9" s="394" t="str">
        <f>"בקרת "&amp;D9</f>
        <v>בקרת האם המוסד נתמך בפעם הראשונה לפי מבחנים אלו?</v>
      </c>
      <c r="BD9" s="394" t="str">
        <f>"בקרת "&amp;E9</f>
        <v>בקרת הועדה קבעה על פי המלצת המדור שהמוסד הוא מרכז עדות, שמקיים פעילות בתחום המורשת של עדות ישראל כהגדרתו במבחנים אלה, כמסגרת נפרדת ומובחנת ובלבד שתקציבה של הפעילות האמורה נבדל מתקציבו הכולל של המוסד ויש לגביה הנהלה מקצועית נפרדת;</v>
      </c>
      <c r="BE9" s="394" t="str">
        <f t="shared" ref="BE9:BK9" si="0">"בקרת "&amp;F9</f>
        <v>בקרת הוועדה קבעה על פי המלצת המדור שהמוסד פועל כמרכז עדות כהגדרתו במבחנים אלה מיום 1 בינואר של שנת ההערכה לפחות</v>
      </c>
      <c r="BF9" s="394" t="str">
        <f t="shared" si="0"/>
        <v>בקרת המוסד פועל שלא למטרת רווח, מאוגד ורשום כעמותה לפי חוק העמותות, הקדש ציבורי הרשום אצל רשם ההקדשות לפי חוק הנאמנות , חברה לתועלת הציבור הרשומה אצל רשם ההקדשות לפי חוק החברות,או אגודה עות'מנית, לפי העניין.</v>
      </c>
      <c r="BG9" s="394" t="str">
        <f t="shared" si="0"/>
        <v>בקרת אחת ממטרותיו העיקריות הרשומות בתקנון או במסמכי היסוד של המוסד היא אחת מהפעולות בתחום מורשת של עדות ישראל</v>
      </c>
      <c r="BH9" s="394" t="str">
        <f t="shared" si="0"/>
        <v>בקרת הפעילות שבעדה מבוקשת התמיכה מתבצעת בישראל</v>
      </c>
      <c r="BI9" s="394" t="str">
        <f t="shared" si="0"/>
        <v>בקרת הפעילות שבעדה מבוקשת תמיכה אינה חלק מתכנית לימודים פורמלית או מלימודים פורמליים</v>
      </c>
      <c r="BJ9" s="394" t="str">
        <f t="shared" si="0"/>
        <v>בקרת סוג הפעילות שבעדה מבוקשת תמיכה לפי מבחנים אלה אינו מתוקצב בדרך אחרת מתקציב המדינה;</v>
      </c>
      <c r="BK9" s="394" t="str">
        <f t="shared" si="0"/>
        <v>בקרת המוסד הגיש למשרד תכנית מפורטת של הפעילות נשוא בקשת התמיכה לשנת התמיכה בהתאם לסעיף 7 במבחנים אלה, לרבות התייחסות למשתנים המפורטים במבחנים אלה</v>
      </c>
      <c r="BL9" s="394" t="str">
        <f t="shared" ref="BL9" si="1">"בקרת "&amp;M9</f>
        <v>בקרת המוסד הגיש בקשה בהתאם לנדרש לפי מבחנים אלה, להנחיות היועץ המשפטי לממשלה ולהוראות הנוהל</v>
      </c>
      <c r="BM9" s="394" t="str">
        <f t="shared" ref="BM9" si="2">"בקרת "&amp;N9</f>
        <v>בקרת עלות הפעילות הנתמכת</v>
      </c>
      <c r="BN9" s="394" t="str">
        <f t="shared" ref="BN9" si="3">"בקרת "&amp;O9</f>
        <v>בקרת עלות הפעילות שבעדה ניתנת התמיכה ושקיים המוסד בשנת הערכה</v>
      </c>
      <c r="BO9" s="394" t="str">
        <f t="shared" ref="BO9" si="4">"בקרת "&amp;P9</f>
        <v>בקרת עמידה בתנאי סף 4 (10)</v>
      </c>
      <c r="BP9" s="394" t="str">
        <f t="shared" ref="BP9" si="5">"בקרת "&amp;Q9</f>
        <v>בקרת במסגרת הבקשה לתמיכה בעד פעילות הנתמכת לפי מבחנים אלה, לא יבקש המוסד תמיכה בעד הוצאות שהוצאו בעד כל פעילות אחרת</v>
      </c>
      <c r="BQ9" s="394" t="str">
        <f t="shared" ref="BQ9:BR9" si="6">"בקרת "&amp;R9</f>
        <v>בקרת המוסד עומד בדרישות הנוהל ובכלל זה יעמיד את עצמו לביקורת המשרד, בהתאם לדינים החלים עליו, הוראות הנוהל והחלטות הממשלה, זאת להבטחת עמידותו בתנאים למתן תמיכה</v>
      </c>
      <c r="BR9" s="394" t="str">
        <f t="shared" si="6"/>
        <v>בקרת המוסד מקיים את הוראות החוק המתאימות לפעילותו, מקפיד על כללי ניהול תקין ושומר על שקיפות מלאה באורחות התנהלותו באופן ההולם את מטרותיו הציבוריות</v>
      </c>
      <c r="BS9" s="394" t="str">
        <f t="shared" ref="BS9" si="7">"בקרת "&amp;T9</f>
        <v>בקרת המוסד פועל ביעילות ובתקורה מינימלית, שמאפשרת את פעולתו התקינה והראויה, לרבות בהתאם לנוהל ולהנחיות החשב הכללי במשרד האוצר לעניין הוצאות הנהלה וכלליות;</v>
      </c>
      <c r="BT9" s="394" t="str">
        <f t="shared" ref="BT9" si="8">"בקרת "&amp;U9</f>
        <v>בקרת הוא השלים את הגשת כל הדוחות הנדרשים לצורך ניקודו על פי מבחנים אלה, כשהם מלאים ותקינים, כנדרש מאת המינהל, עד יום 1 במרס של השנה התקציבית הקודמת;</v>
      </c>
      <c r="BU9" s="394" t="str">
        <f t="shared" ref="BU9" si="9">"בקרת "&amp;V9</f>
        <v>בקרת המוסד הגיש במהלך שנת התמיכה, דוחות ביצוע שוטפים, דוחות פעילות רבעוניים שוטפים ודוחות שנתיים המעידים על עמידתו בתכנית העבודה ובתנאי הזכאות לקבלת התמיכה</v>
      </c>
      <c r="BV9" s="394" t="str">
        <f t="shared" ref="BV9" si="10">"בקרת "&amp;W9</f>
        <v xml:space="preserve">בקרת </v>
      </c>
      <c r="BW9" s="394" t="str">
        <f t="shared" ref="BW9" si="11">"בקרת "&amp;X9</f>
        <v xml:space="preserve">בקרת </v>
      </c>
      <c r="BX9" s="394" t="str">
        <f t="shared" ref="BX9:BY9" si="12">"בקרת "&amp;Y9</f>
        <v xml:space="preserve">בקרת </v>
      </c>
      <c r="BY9" s="394" t="str">
        <f t="shared" si="12"/>
        <v xml:space="preserve">בקרת </v>
      </c>
      <c r="BZ9" s="394" t="str">
        <f t="shared" ref="BZ9" si="13">"בקרת "&amp;AA9</f>
        <v xml:space="preserve">בקרת </v>
      </c>
      <c r="CA9" s="394" t="str">
        <f t="shared" ref="CA9" si="14">"בקרת "&amp;AB9</f>
        <v xml:space="preserve">בקרת </v>
      </c>
      <c r="CB9" s="394" t="str">
        <f t="shared" ref="CB9" si="15">"בקרת "&amp;AC9</f>
        <v xml:space="preserve">בקרת </v>
      </c>
      <c r="CC9" s="394" t="str">
        <f t="shared" ref="CC9" si="16">"בקרת "&amp;AD9</f>
        <v xml:space="preserve">בקרת </v>
      </c>
      <c r="CD9" s="394" t="str">
        <f t="shared" ref="CD9" si="17">"בקרת "&amp;AE9</f>
        <v xml:space="preserve">בקרת </v>
      </c>
      <c r="CE9" s="394" t="str">
        <f t="shared" ref="CE9:CF9" si="18">"בקרת "&amp;AF9</f>
        <v xml:space="preserve">בקרת </v>
      </c>
      <c r="CF9" s="394" t="str">
        <f t="shared" si="18"/>
        <v xml:space="preserve">בקרת </v>
      </c>
      <c r="CG9" s="394" t="str">
        <f t="shared" ref="CG9" si="19">"בקרת "&amp;AH9</f>
        <v xml:space="preserve">בקרת </v>
      </c>
      <c r="CH9" s="394" t="str">
        <f t="shared" ref="CH9" si="20">"בקרת "&amp;AI9</f>
        <v xml:space="preserve">בקרת </v>
      </c>
      <c r="CI9" s="394" t="str">
        <f t="shared" ref="CI9" si="21">"בקרת "&amp;AJ9</f>
        <v xml:space="preserve">בקרת </v>
      </c>
      <c r="CJ9" s="394" t="str">
        <f t="shared" ref="CJ9" si="22">"בקרת "&amp;AK9</f>
        <v xml:space="preserve">בקרת </v>
      </c>
      <c r="CK9" s="394" t="str">
        <f t="shared" ref="CK9" si="23">"בקרת "&amp;AL9</f>
        <v xml:space="preserve">בקרת </v>
      </c>
      <c r="CL9" s="394" t="str">
        <f t="shared" ref="CL9:CM9" si="24">"בקרת "&amp;AM9</f>
        <v xml:space="preserve">בקרת </v>
      </c>
      <c r="CM9" s="394" t="str">
        <f t="shared" si="24"/>
        <v xml:space="preserve">בקרת </v>
      </c>
      <c r="CN9" s="394" t="str">
        <f t="shared" ref="CN9" si="25">"בקרת "&amp;AO9</f>
        <v xml:space="preserve">בקרת </v>
      </c>
      <c r="CO9" s="394" t="str">
        <f t="shared" ref="CO9" si="26">"בקרת "&amp;AP9</f>
        <v xml:space="preserve">בקרת </v>
      </c>
      <c r="CP9" s="394" t="str">
        <f t="shared" ref="CP9" si="27">"בקרת "&amp;AQ9</f>
        <v xml:space="preserve">בקרת </v>
      </c>
      <c r="CQ9" s="394" t="str">
        <f t="shared" ref="CQ9" si="28">"בקרת "&amp;AR9</f>
        <v xml:space="preserve">בקרת </v>
      </c>
      <c r="CR9" s="394" t="str">
        <f t="shared" ref="CR9" si="29">"בקרת "&amp;AS9</f>
        <v>בקרת המוסד עומד בתנאי סף אחרים</v>
      </c>
      <c r="CS9" s="21"/>
      <c r="CT9" s="21"/>
      <c r="CU9" s="21"/>
      <c r="CV9" s="21"/>
      <c r="CW9" s="21"/>
      <c r="CY9" t="s">
        <v>402</v>
      </c>
    </row>
    <row r="10" spans="1:139" ht="22.5" customHeight="1" thickBot="1" x14ac:dyDescent="0.3">
      <c r="A10" s="395"/>
      <c r="B10" s="525"/>
      <c r="C10" s="527"/>
      <c r="D10" s="396" t="s">
        <v>200</v>
      </c>
      <c r="E10" s="397" t="s">
        <v>200</v>
      </c>
      <c r="F10" s="412" t="s">
        <v>200</v>
      </c>
      <c r="G10" s="412" t="s">
        <v>200</v>
      </c>
      <c r="H10" s="412" t="s">
        <v>200</v>
      </c>
      <c r="I10" s="413" t="s">
        <v>200</v>
      </c>
      <c r="J10" s="413" t="s">
        <v>200</v>
      </c>
      <c r="K10" s="413" t="s">
        <v>200</v>
      </c>
      <c r="L10" s="396" t="s">
        <v>200</v>
      </c>
      <c r="M10" s="396" t="s">
        <v>200</v>
      </c>
      <c r="N10" s="399" t="s">
        <v>394</v>
      </c>
      <c r="O10" s="412" t="s">
        <v>394</v>
      </c>
      <c r="P10" s="527"/>
      <c r="Q10" s="396" t="s">
        <v>200</v>
      </c>
      <c r="R10" s="398" t="s">
        <v>200</v>
      </c>
      <c r="S10" s="397" t="s">
        <v>200</v>
      </c>
      <c r="T10" s="400" t="s">
        <v>200</v>
      </c>
      <c r="U10" s="400" t="s">
        <v>200</v>
      </c>
      <c r="V10" s="400" t="s">
        <v>200</v>
      </c>
      <c r="W10" s="401"/>
      <c r="X10" s="401"/>
      <c r="Y10" s="401"/>
      <c r="Z10" s="402"/>
      <c r="AA10" s="402"/>
      <c r="AB10" s="403"/>
      <c r="AC10" s="527"/>
      <c r="AD10" s="398"/>
      <c r="AE10" s="398"/>
      <c r="AF10" s="397"/>
      <c r="AG10" s="404"/>
      <c r="AH10" s="397"/>
      <c r="AI10" s="397"/>
      <c r="AJ10" s="397"/>
      <c r="AK10" s="397"/>
      <c r="AL10" s="397"/>
      <c r="AM10" s="531"/>
      <c r="AN10" s="531"/>
      <c r="AO10" s="405"/>
      <c r="AP10" s="405"/>
      <c r="AQ10" s="531"/>
      <c r="AR10" s="405"/>
      <c r="AS10" s="405" t="s">
        <v>200</v>
      </c>
      <c r="AT10" s="405" t="s">
        <v>200</v>
      </c>
      <c r="AU10" s="529"/>
      <c r="AV10" s="529"/>
      <c r="AW10" s="529"/>
      <c r="AX10" s="531"/>
      <c r="AY10" s="406" t="s">
        <v>398</v>
      </c>
      <c r="BA10">
        <v>0</v>
      </c>
      <c r="BB10">
        <v>1</v>
      </c>
      <c r="BC10" s="21" t="str">
        <f>D10</f>
        <v>0/1</v>
      </c>
      <c r="BD10" s="21" t="str">
        <f t="shared" ref="BD10:CR10" si="30">E10</f>
        <v>0/1</v>
      </c>
      <c r="BE10" s="21" t="str">
        <f t="shared" si="30"/>
        <v>0/1</v>
      </c>
      <c r="BF10" s="21" t="str">
        <f t="shared" si="30"/>
        <v>0/1</v>
      </c>
      <c r="BG10" s="21" t="str">
        <f t="shared" si="30"/>
        <v>0/1</v>
      </c>
      <c r="BH10" s="21" t="str">
        <f t="shared" si="30"/>
        <v>0/1</v>
      </c>
      <c r="BI10" s="21" t="str">
        <f t="shared" si="30"/>
        <v>0/1</v>
      </c>
      <c r="BJ10" s="21" t="str">
        <f t="shared" si="30"/>
        <v>0/1</v>
      </c>
      <c r="BK10" s="21" t="str">
        <f t="shared" si="30"/>
        <v>0/1</v>
      </c>
      <c r="BL10" s="21" t="str">
        <f t="shared" si="30"/>
        <v>0/1</v>
      </c>
      <c r="BM10" s="21" t="str">
        <f t="shared" si="30"/>
        <v>מספר</v>
      </c>
      <c r="BN10" s="21" t="str">
        <f t="shared" si="30"/>
        <v>מספר</v>
      </c>
      <c r="BO10" s="21">
        <f t="shared" si="30"/>
        <v>0</v>
      </c>
      <c r="BP10" s="21" t="str">
        <f t="shared" si="30"/>
        <v>0/1</v>
      </c>
      <c r="BQ10" s="21" t="str">
        <f t="shared" si="30"/>
        <v>0/1</v>
      </c>
      <c r="BR10" s="21" t="str">
        <f t="shared" si="30"/>
        <v>0/1</v>
      </c>
      <c r="BS10" s="21" t="str">
        <f t="shared" si="30"/>
        <v>0/1</v>
      </c>
      <c r="BT10" s="21" t="str">
        <f t="shared" si="30"/>
        <v>0/1</v>
      </c>
      <c r="BU10" s="21" t="str">
        <f t="shared" si="30"/>
        <v>0/1</v>
      </c>
      <c r="BV10" s="21">
        <f t="shared" si="30"/>
        <v>0</v>
      </c>
      <c r="BW10" s="21">
        <f t="shared" si="30"/>
        <v>0</v>
      </c>
      <c r="BX10" s="21">
        <f t="shared" si="30"/>
        <v>0</v>
      </c>
      <c r="BY10" s="21">
        <f t="shared" si="30"/>
        <v>0</v>
      </c>
      <c r="BZ10" s="21">
        <f t="shared" si="30"/>
        <v>0</v>
      </c>
      <c r="CA10" s="21">
        <f t="shared" si="30"/>
        <v>0</v>
      </c>
      <c r="CB10" s="21">
        <f t="shared" si="30"/>
        <v>0</v>
      </c>
      <c r="CC10" s="21">
        <f t="shared" si="30"/>
        <v>0</v>
      </c>
      <c r="CD10" s="21">
        <f t="shared" si="30"/>
        <v>0</v>
      </c>
      <c r="CE10" s="21">
        <f t="shared" si="30"/>
        <v>0</v>
      </c>
      <c r="CF10" s="21">
        <f t="shared" si="30"/>
        <v>0</v>
      </c>
      <c r="CG10" s="21">
        <f t="shared" si="30"/>
        <v>0</v>
      </c>
      <c r="CH10" s="21">
        <f t="shared" si="30"/>
        <v>0</v>
      </c>
      <c r="CI10" s="21">
        <f t="shared" si="30"/>
        <v>0</v>
      </c>
      <c r="CJ10" s="21">
        <f t="shared" si="30"/>
        <v>0</v>
      </c>
      <c r="CK10" s="21">
        <f t="shared" si="30"/>
        <v>0</v>
      </c>
      <c r="CL10" s="21">
        <f t="shared" si="30"/>
        <v>0</v>
      </c>
      <c r="CM10" s="21">
        <f t="shared" si="30"/>
        <v>0</v>
      </c>
      <c r="CN10" s="21">
        <f t="shared" si="30"/>
        <v>0</v>
      </c>
      <c r="CO10" s="21">
        <f t="shared" si="30"/>
        <v>0</v>
      </c>
      <c r="CP10" s="21">
        <f t="shared" si="30"/>
        <v>0</v>
      </c>
      <c r="CQ10" s="21">
        <f t="shared" si="30"/>
        <v>0</v>
      </c>
      <c r="CR10" s="21" t="str">
        <f t="shared" si="30"/>
        <v>0/1</v>
      </c>
      <c r="CS10" s="21"/>
      <c r="CT10" s="21"/>
      <c r="CU10" s="21"/>
      <c r="CV10" s="21"/>
      <c r="CW10" s="21"/>
      <c r="CY10">
        <f t="shared" ref="CY10:DH10" si="31">BD4</f>
        <v>1</v>
      </c>
      <c r="CZ10">
        <f t="shared" si="31"/>
        <v>2</v>
      </c>
      <c r="DA10">
        <f t="shared" si="31"/>
        <v>3</v>
      </c>
      <c r="DB10">
        <f t="shared" si="31"/>
        <v>4</v>
      </c>
      <c r="DC10">
        <f t="shared" si="31"/>
        <v>5</v>
      </c>
      <c r="DD10">
        <f t="shared" si="31"/>
        <v>6</v>
      </c>
      <c r="DE10">
        <f t="shared" si="31"/>
        <v>7</v>
      </c>
      <c r="DF10">
        <f t="shared" si="31"/>
        <v>8</v>
      </c>
      <c r="DG10">
        <f t="shared" si="31"/>
        <v>9</v>
      </c>
      <c r="DH10">
        <f t="shared" si="31"/>
        <v>10</v>
      </c>
    </row>
    <row r="11" spans="1:139" ht="39" customHeight="1" x14ac:dyDescent="0.25">
      <c r="B11" s="407">
        <f t="shared" ref="B11:B42" ca="1" si="32">IF(C11="","",ROW()-10)</f>
        <v>1</v>
      </c>
      <c r="C11" s="409" t="str">
        <f ca="1">'ריכוז נתונים כללים'!D17</f>
        <v>מרכז מורשת בבל</v>
      </c>
      <c r="D11" s="410">
        <v>0</v>
      </c>
      <c r="E11" s="410">
        <v>1</v>
      </c>
      <c r="F11" s="410">
        <v>1</v>
      </c>
      <c r="G11" s="410">
        <v>1</v>
      </c>
      <c r="H11" s="410">
        <v>1</v>
      </c>
      <c r="I11" s="410">
        <v>1</v>
      </c>
      <c r="J11" s="410">
        <v>1</v>
      </c>
      <c r="K11" s="410">
        <v>1</v>
      </c>
      <c r="L11" s="410">
        <v>1</v>
      </c>
      <c r="M11" s="410">
        <v>1</v>
      </c>
      <c r="N11" s="420">
        <v>3542538</v>
      </c>
      <c r="O11" s="420">
        <v>3542538</v>
      </c>
      <c r="P11" s="407">
        <f ca="1">IF(OR(C11="",N11="",O11=""),"",IF(N11&lt;=2*O11,1,0))</f>
        <v>1</v>
      </c>
      <c r="Q11" s="410">
        <v>1</v>
      </c>
      <c r="R11" s="410">
        <v>1</v>
      </c>
      <c r="S11" s="410">
        <v>1</v>
      </c>
      <c r="T11" s="410">
        <v>1</v>
      </c>
      <c r="U11" s="410">
        <v>1</v>
      </c>
      <c r="V11" s="410">
        <v>1</v>
      </c>
      <c r="W11" s="410"/>
      <c r="X11" s="410"/>
      <c r="Y11" s="410"/>
      <c r="Z11" s="410"/>
      <c r="AA11" s="410"/>
      <c r="AB11" s="411"/>
      <c r="AC11" s="408"/>
      <c r="AD11" s="410"/>
      <c r="AE11" s="410"/>
      <c r="AF11" s="410"/>
      <c r="AG11" s="407"/>
      <c r="AH11" s="410"/>
      <c r="AI11" s="410"/>
      <c r="AJ11" s="410"/>
      <c r="AK11" s="410"/>
      <c r="AL11" s="410"/>
      <c r="AM11" s="407"/>
      <c r="AN11" s="408"/>
      <c r="AO11" s="410"/>
      <c r="AP11" s="410"/>
      <c r="AQ11" s="408"/>
      <c r="AR11" s="410"/>
      <c r="AS11" s="410">
        <v>1</v>
      </c>
      <c r="AT11" s="410"/>
      <c r="AU11" s="408"/>
      <c r="AV11" s="408"/>
      <c r="AW11" s="408"/>
      <c r="AX11" s="407" cm="1">
        <f t="array" aca="1" ref="AX11" ca="1">IF($C11="","",IF(AT11=1,1,IF(AZ11&lt;&gt;1,$DF$1,IF(SUMPRODUCT((D11:AT11&gt;=$D$6:$AT$6)*($D$6:$AT$6&lt;&gt;"")*($D$4:$AT$4=1))=COUNTIF($D$4:$AT$4,1),1,0))))</f>
        <v>1</v>
      </c>
      <c r="AY11" s="416"/>
      <c r="AZ11">
        <f>IF(SUM(BC11:CF11)=COUNT(BC11:CF11),1,0)</f>
        <v>1</v>
      </c>
      <c r="BA11">
        <f ca="1">IF($C11="","",BA$10)</f>
        <v>0</v>
      </c>
      <c r="BB11">
        <f ca="1">IF($C11="","",BB$10)</f>
        <v>1</v>
      </c>
      <c r="BC11" s="21">
        <f t="shared" ref="BC11:BC42" si="33">IF(D$10="",1,IF(D$4=99,1,IF(D11="",0,IF(D$10=$DI$1,IF(ISNA(MATCH(D11,$BA$10:$BB$10,0)),0,1),IF(D$10=$DJ$1,IF(IFERROR(D11*1,"bad")="bad",0,1),IF(D$10=$DK$1,IF(IFERROR(IF(D11=TRUNC(D11),1,"bad"),"bad")="bad",0,1),IF(D$10=$DL$1,IF(AND(IF(IFERROR(D11*1,"bad")="bad",0,1)=1,D11&gt;=0),1,0),IF(D$10=$DM$1,IF(AND(IF(IFERROR(IF(D11=TRUNC(D11),1,"bad"),"bad")="bad",0,1)=1,D11&gt;=0),1,0),IF(D$10=$DN$1,IF(AND(IF(IFERROR(D11*1,"bad")="bad",0,1)=1,D11&gt;0),1,0),IF(D$10=$DO$1,IF(AND(IF(IFERROR(IF(D11=TRUNC(D11),1,"bad"),"bad")="bad",0,1)=1,D11&gt;0),1,0),IF(D$10=$DP$1,1,IF(D$10=$DQ$1,IF(IFERROR(HLOOKUP(D11,$BD$4:$BM$4,1,0),"bad")="bad",0,1),0))))))))))))</f>
        <v>1</v>
      </c>
      <c r="BD11" s="21">
        <f t="shared" ref="BD11:BD72" si="34">IF(E$10="",1,IF(E$4=99,1,IF(E11="",0,IF(E$10=$DI$1,IF(ISNA(MATCH(E11,$BA$10:$BB$10,0)),0,1),IF(E$10=$DJ$1,IF(IFERROR(E11*1,"bad")="bad",0,1),IF(E$10=$DK$1,IF(IFERROR(IF(E11=TRUNC(E11),1,"bad"),"bad")="bad",0,1),IF(E$10=$DL$1,IF(AND(IF(IFERROR(E11*1,"bad")="bad",0,1)=1,E11&gt;=0),1,0),IF(E$10=$DM$1,IF(AND(IF(IFERROR(IF(E11=TRUNC(E11),1,"bad"),"bad")="bad",0,1)=1,E11&gt;=0),1,0),IF(E$10=$DN$1,IF(AND(IF(IFERROR(E11*1,"bad")="bad",0,1)=1,E11&gt;0),1,0),IF(E$10=$DO$1,IF(AND(IF(IFERROR(IF(E11=TRUNC(E11),1,"bad"),"bad")="bad",0,1)=1,E11&gt;0),1,0),IF(E$10=$DP$1,1,IF(E$10=$DQ$1,IF(IFERROR(HLOOKUP(E11,$BD$4:$BM$4,1,0),"bad")="bad",0,1),0))))))))))))</f>
        <v>1</v>
      </c>
      <c r="BE11" s="21">
        <f t="shared" ref="BE11:BE72" si="35">IF(F$10="",1,IF(F$4=99,1,IF(F11="",0,IF(F$10=$DI$1,IF(ISNA(MATCH(F11,$BA$10:$BB$10,0)),0,1),IF(F$10=$DJ$1,IF(IFERROR(F11*1,"bad")="bad",0,1),IF(F$10=$DK$1,IF(IFERROR(IF(F11=TRUNC(F11),1,"bad"),"bad")="bad",0,1),IF(F$10=$DL$1,IF(AND(IF(IFERROR(F11*1,"bad")="bad",0,1)=1,F11&gt;=0),1,0),IF(F$10=$DM$1,IF(AND(IF(IFERROR(IF(F11=TRUNC(F11),1,"bad"),"bad")="bad",0,1)=1,F11&gt;=0),1,0),IF(F$10=$DN$1,IF(AND(IF(IFERROR(F11*1,"bad")="bad",0,1)=1,F11&gt;0),1,0),IF(F$10=$DO$1,IF(AND(IF(IFERROR(IF(F11=TRUNC(F11),1,"bad"),"bad")="bad",0,1)=1,F11&gt;0),1,0),IF(F$10=$DP$1,1,IF(F$10=$DQ$1,IF(IFERROR(HLOOKUP(F11,$BD$4:$BM$4,1,0),"bad")="bad",0,1),0))))))))))))</f>
        <v>1</v>
      </c>
      <c r="BF11" s="21">
        <f t="shared" ref="BF11:BF72" si="36">IF(G$10="",1,IF(G$4=99,1,IF(G11="",0,IF(G$10=$DI$1,IF(ISNA(MATCH(G11,$BA$10:$BB$10,0)),0,1),IF(G$10=$DJ$1,IF(IFERROR(G11*1,"bad")="bad",0,1),IF(G$10=$DK$1,IF(IFERROR(IF(G11=TRUNC(G11),1,"bad"),"bad")="bad",0,1),IF(G$10=$DL$1,IF(AND(IF(IFERROR(G11*1,"bad")="bad",0,1)=1,G11&gt;=0),1,0),IF(G$10=$DM$1,IF(AND(IF(IFERROR(IF(G11=TRUNC(G11),1,"bad"),"bad")="bad",0,1)=1,G11&gt;=0),1,0),IF(G$10=$DN$1,IF(AND(IF(IFERROR(G11*1,"bad")="bad",0,1)=1,G11&gt;0),1,0),IF(G$10=$DO$1,IF(AND(IF(IFERROR(IF(G11=TRUNC(G11),1,"bad"),"bad")="bad",0,1)=1,G11&gt;0),1,0),IF(G$10=$DP$1,1,IF(G$10=$DQ$1,IF(IFERROR(HLOOKUP(G11,$BD$4:$BM$4,1,0),"bad")="bad",0,1),0))))))))))))</f>
        <v>1</v>
      </c>
      <c r="BG11" s="21">
        <f t="shared" ref="BG11:BG72" si="37">IF(H$10="",1,IF(H$4=99,1,IF(H11="",0,IF(H$10=$DI$1,IF(ISNA(MATCH(H11,$BA$10:$BB$10,0)),0,1),IF(H$10=$DJ$1,IF(IFERROR(H11*1,"bad")="bad",0,1),IF(H$10=$DK$1,IF(IFERROR(IF(H11=TRUNC(H11),1,"bad"),"bad")="bad",0,1),IF(H$10=$DL$1,IF(AND(IF(IFERROR(H11*1,"bad")="bad",0,1)=1,H11&gt;=0),1,0),IF(H$10=$DM$1,IF(AND(IF(IFERROR(IF(H11=TRUNC(H11),1,"bad"),"bad")="bad",0,1)=1,H11&gt;=0),1,0),IF(H$10=$DN$1,IF(AND(IF(IFERROR(H11*1,"bad")="bad",0,1)=1,H11&gt;0),1,0),IF(H$10=$DO$1,IF(AND(IF(IFERROR(IF(H11=TRUNC(H11),1,"bad"),"bad")="bad",0,1)=1,H11&gt;0),1,0),IF(H$10=$DP$1,1,IF(H$10=$DQ$1,IF(IFERROR(HLOOKUP(H11,$BD$4:$BM$4,1,0),"bad")="bad",0,1),0))))))))))))</f>
        <v>1</v>
      </c>
      <c r="BH11" s="21">
        <f t="shared" ref="BH11:BH72" si="38">IF(I$10="",1,IF(I$4=99,1,IF(I11="",0,IF(I$10=$DI$1,IF(ISNA(MATCH(I11,$BA$10:$BB$10,0)),0,1),IF(I$10=$DJ$1,IF(IFERROR(I11*1,"bad")="bad",0,1),IF(I$10=$DK$1,IF(IFERROR(IF(I11=TRUNC(I11),1,"bad"),"bad")="bad",0,1),IF(I$10=$DL$1,IF(AND(IF(IFERROR(I11*1,"bad")="bad",0,1)=1,I11&gt;=0),1,0),IF(I$10=$DM$1,IF(AND(IF(IFERROR(IF(I11=TRUNC(I11),1,"bad"),"bad")="bad",0,1)=1,I11&gt;=0),1,0),IF(I$10=$DN$1,IF(AND(IF(IFERROR(I11*1,"bad")="bad",0,1)=1,I11&gt;0),1,0),IF(I$10=$DO$1,IF(AND(IF(IFERROR(IF(I11=TRUNC(I11),1,"bad"),"bad")="bad",0,1)=1,I11&gt;0),1,0),IF(I$10=$DP$1,1,IF(I$10=$DQ$1,IF(IFERROR(HLOOKUP(I11,$BD$4:$BM$4,1,0),"bad")="bad",0,1),0))))))))))))</f>
        <v>1</v>
      </c>
      <c r="BI11" s="21">
        <f t="shared" ref="BI11:BI72" si="39">IF(J$10="",1,IF(J$4=99,1,IF(J11="",0,IF(J$10=$DI$1,IF(ISNA(MATCH(J11,$BA$10:$BB$10,0)),0,1),IF(J$10=$DJ$1,IF(IFERROR(J11*1,"bad")="bad",0,1),IF(J$10=$DK$1,IF(IFERROR(IF(J11=TRUNC(J11),1,"bad"),"bad")="bad",0,1),IF(J$10=$DL$1,IF(AND(IF(IFERROR(J11*1,"bad")="bad",0,1)=1,J11&gt;=0),1,0),IF(J$10=$DM$1,IF(AND(IF(IFERROR(IF(J11=TRUNC(J11),1,"bad"),"bad")="bad",0,1)=1,J11&gt;=0),1,0),IF(J$10=$DN$1,IF(AND(IF(IFERROR(J11*1,"bad")="bad",0,1)=1,J11&gt;0),1,0),IF(J$10=$DO$1,IF(AND(IF(IFERROR(IF(J11=TRUNC(J11),1,"bad"),"bad")="bad",0,1)=1,J11&gt;0),1,0),IF(J$10=$DP$1,1,IF(J$10=$DQ$1,IF(IFERROR(HLOOKUP(J11,$BD$4:$BM$4,1,0),"bad")="bad",0,1),0))))))))))))</f>
        <v>1</v>
      </c>
      <c r="BJ11" s="21">
        <f t="shared" ref="BJ11:BJ72" si="40">IF(K$10="",1,IF(K$4=99,1,IF(K11="",0,IF(K$10=$DI$1,IF(ISNA(MATCH(K11,$BA$10:$BB$10,0)),0,1),IF(K$10=$DJ$1,IF(IFERROR(K11*1,"bad")="bad",0,1),IF(K$10=$DK$1,IF(IFERROR(IF(K11=TRUNC(K11),1,"bad"),"bad")="bad",0,1),IF(K$10=$DL$1,IF(AND(IF(IFERROR(K11*1,"bad")="bad",0,1)=1,K11&gt;=0),1,0),IF(K$10=$DM$1,IF(AND(IF(IFERROR(IF(K11=TRUNC(K11),1,"bad"),"bad")="bad",0,1)=1,K11&gt;=0),1,0),IF(K$10=$DN$1,IF(AND(IF(IFERROR(K11*1,"bad")="bad",0,1)=1,K11&gt;0),1,0),IF(K$10=$DO$1,IF(AND(IF(IFERROR(IF(K11=TRUNC(K11),1,"bad"),"bad")="bad",0,1)=1,K11&gt;0),1,0),IF(K$10=$DP$1,1,IF(K$10=$DQ$1,IF(IFERROR(HLOOKUP(K11,$BD$4:$BM$4,1,0),"bad")="bad",0,1),0))))))))))))</f>
        <v>1</v>
      </c>
      <c r="BK11" s="21">
        <f t="shared" ref="BK11:BK72" si="41">IF(L$10="",1,IF(L$4=99,1,IF(L11="",0,IF(L$10=$DI$1,IF(ISNA(MATCH(L11,$BA$10:$BB$10,0)),0,1),IF(L$10=$DJ$1,IF(IFERROR(L11*1,"bad")="bad",0,1),IF(L$10=$DK$1,IF(IFERROR(IF(L11=TRUNC(L11),1,"bad"),"bad")="bad",0,1),IF(L$10=$DL$1,IF(AND(IF(IFERROR(L11*1,"bad")="bad",0,1)=1,L11&gt;=0),1,0),IF(L$10=$DM$1,IF(AND(IF(IFERROR(IF(L11=TRUNC(L11),1,"bad"),"bad")="bad",0,1)=1,L11&gt;=0),1,0),IF(L$10=$DN$1,IF(AND(IF(IFERROR(L11*1,"bad")="bad",0,1)=1,L11&gt;0),1,0),IF(L$10=$DO$1,IF(AND(IF(IFERROR(IF(L11=TRUNC(L11),1,"bad"),"bad")="bad",0,1)=1,L11&gt;0),1,0),IF(L$10=$DP$1,1,IF(L$10=$DQ$1,IF(IFERROR(HLOOKUP(L11,$BD$4:$BM$4,1,0),"bad")="bad",0,1),0))))))))))))</f>
        <v>1</v>
      </c>
      <c r="BL11" s="21">
        <f t="shared" ref="BL11:BL72" si="42">IF(M$10="",1,IF(M$4=99,1,IF(M11="",0,IF(M$10=$DI$1,IF(ISNA(MATCH(M11,$BA$10:$BB$10,0)),0,1),IF(M$10=$DJ$1,IF(IFERROR(M11*1,"bad")="bad",0,1),IF(M$10=$DK$1,IF(IFERROR(IF(M11=TRUNC(M11),1,"bad"),"bad")="bad",0,1),IF(M$10=$DL$1,IF(AND(IF(IFERROR(M11*1,"bad")="bad",0,1)=1,M11&gt;=0),1,0),IF(M$10=$DM$1,IF(AND(IF(IFERROR(IF(M11=TRUNC(M11),1,"bad"),"bad")="bad",0,1)=1,M11&gt;=0),1,0),IF(M$10=$DN$1,IF(AND(IF(IFERROR(M11*1,"bad")="bad",0,1)=1,M11&gt;0),1,0),IF(M$10=$DO$1,IF(AND(IF(IFERROR(IF(M11=TRUNC(M11),1,"bad"),"bad")="bad",0,1)=1,M11&gt;0),1,0),IF(M$10=$DP$1,1,IF(M$10=$DQ$1,IF(IFERROR(HLOOKUP(M11,$BD$4:$BM$4,1,0),"bad")="bad",0,1),0))))))))))))</f>
        <v>1</v>
      </c>
      <c r="BM11" s="21">
        <f t="shared" ref="BM11:BM72" si="43">IF(N$10="",1,IF(N$4=99,1,IF(N11="",0,IF(N$10=$DI$1,IF(ISNA(MATCH(N11,$BA$10:$BB$10,0)),0,1),IF(N$10=$DJ$1,IF(IFERROR(N11*1,"bad")="bad",0,1),IF(N$10=$DK$1,IF(IFERROR(IF(N11=TRUNC(N11),1,"bad"),"bad")="bad",0,1),IF(N$10=$DL$1,IF(AND(IF(IFERROR(N11*1,"bad")="bad",0,1)=1,N11&gt;=0),1,0),IF(N$10=$DM$1,IF(AND(IF(IFERROR(IF(N11=TRUNC(N11),1,"bad"),"bad")="bad",0,1)=1,N11&gt;=0),1,0),IF(N$10=$DN$1,IF(AND(IF(IFERROR(N11*1,"bad")="bad",0,1)=1,N11&gt;0),1,0),IF(N$10=$DO$1,IF(AND(IF(IFERROR(IF(N11=TRUNC(N11),1,"bad"),"bad")="bad",0,1)=1,N11&gt;0),1,0),IF(N$10=$DP$1,1,IF(N$10=$DQ$1,IF(IFERROR(HLOOKUP(N11,$BD$4:$BM$4,1,0),"bad")="bad",0,1),0))))))))))))</f>
        <v>1</v>
      </c>
      <c r="BN11" s="21">
        <f t="shared" ref="BN11:BN72" si="44">IF(O$10="",1,IF(O$4=99,1,IF(O11="",0,IF(O$10=$DI$1,IF(ISNA(MATCH(O11,$BA$10:$BB$10,0)),0,1),IF(O$10=$DJ$1,IF(IFERROR(O11*1,"bad")="bad",0,1),IF(O$10=$DK$1,IF(IFERROR(IF(O11=TRUNC(O11),1,"bad"),"bad")="bad",0,1),IF(O$10=$DL$1,IF(AND(IF(IFERROR(O11*1,"bad")="bad",0,1)=1,O11&gt;=0),1,0),IF(O$10=$DM$1,IF(AND(IF(IFERROR(IF(O11=TRUNC(O11),1,"bad"),"bad")="bad",0,1)=1,O11&gt;=0),1,0),IF(O$10=$DN$1,IF(AND(IF(IFERROR(O11*1,"bad")="bad",0,1)=1,O11&gt;0),1,0),IF(O$10=$DO$1,IF(AND(IF(IFERROR(IF(O11=TRUNC(O11),1,"bad"),"bad")="bad",0,1)=1,O11&gt;0),1,0),IF(O$10=$DP$1,1,IF(O$10=$DQ$1,IF(IFERROR(HLOOKUP(O11,$BD$4:$BM$4,1,0),"bad")="bad",0,1),0))))))))))))</f>
        <v>1</v>
      </c>
      <c r="BO11" s="21">
        <f t="shared" ref="BO11:BO72" si="45">IF(P$10="",1,IF(P$4=99,1,IF(P11="",0,IF(P$10=$DI$1,IF(ISNA(MATCH(P11,$BA$10:$BB$10,0)),0,1),IF(P$10=$DJ$1,IF(IFERROR(P11*1,"bad")="bad",0,1),IF(P$10=$DK$1,IF(IFERROR(IF(P11=TRUNC(P11),1,"bad"),"bad")="bad",0,1),IF(P$10=$DL$1,IF(AND(IF(IFERROR(P11*1,"bad")="bad",0,1)=1,P11&gt;=0),1,0),IF(P$10=$DM$1,IF(AND(IF(IFERROR(IF(P11=TRUNC(P11),1,"bad"),"bad")="bad",0,1)=1,P11&gt;=0),1,0),IF(P$10=$DN$1,IF(AND(IF(IFERROR(P11*1,"bad")="bad",0,1)=1,P11&gt;0),1,0),IF(P$10=$DO$1,IF(AND(IF(IFERROR(IF(P11=TRUNC(P11),1,"bad"),"bad")="bad",0,1)=1,P11&gt;0),1,0),IF(P$10=$DP$1,1,IF(P$10=$DQ$1,IF(IFERROR(HLOOKUP(P11,$BD$4:$BM$4,1,0),"bad")="bad",0,1),0))))))))))))</f>
        <v>1</v>
      </c>
      <c r="BP11" s="21">
        <f t="shared" ref="BP11:BP72" si="46">IF(Q$10="",1,IF(Q$4=99,1,IF(Q11="",0,IF(Q$10=$DI$1,IF(ISNA(MATCH(Q11,$BA$10:$BB$10,0)),0,1),IF(Q$10=$DJ$1,IF(IFERROR(Q11*1,"bad")="bad",0,1),IF(Q$10=$DK$1,IF(IFERROR(IF(Q11=TRUNC(Q11),1,"bad"),"bad")="bad",0,1),IF(Q$10=$DL$1,IF(AND(IF(IFERROR(Q11*1,"bad")="bad",0,1)=1,Q11&gt;=0),1,0),IF(Q$10=$DM$1,IF(AND(IF(IFERROR(IF(Q11=TRUNC(Q11),1,"bad"),"bad")="bad",0,1)=1,Q11&gt;=0),1,0),IF(Q$10=$DN$1,IF(AND(IF(IFERROR(Q11*1,"bad")="bad",0,1)=1,Q11&gt;0),1,0),IF(Q$10=$DO$1,IF(AND(IF(IFERROR(IF(Q11=TRUNC(Q11),1,"bad"),"bad")="bad",0,1)=1,Q11&gt;0),1,0),IF(Q$10=$DP$1,1,IF(Q$10=$DQ$1,IF(IFERROR(HLOOKUP(Q11,$BD$4:$BM$4,1,0),"bad")="bad",0,1),0))))))))))))</f>
        <v>1</v>
      </c>
      <c r="BQ11" s="21">
        <f t="shared" ref="BQ11:BQ72" si="47">IF(R$10="",1,IF(R$4=99,1,IF(R11="",0,IF(R$10=$DI$1,IF(ISNA(MATCH(R11,$BA$10:$BB$10,0)),0,1),IF(R$10=$DJ$1,IF(IFERROR(R11*1,"bad")="bad",0,1),IF(R$10=$DK$1,IF(IFERROR(IF(R11=TRUNC(R11),1,"bad"),"bad")="bad",0,1),IF(R$10=$DL$1,IF(AND(IF(IFERROR(R11*1,"bad")="bad",0,1)=1,R11&gt;=0),1,0),IF(R$10=$DM$1,IF(AND(IF(IFERROR(IF(R11=TRUNC(R11),1,"bad"),"bad")="bad",0,1)=1,R11&gt;=0),1,0),IF(R$10=$DN$1,IF(AND(IF(IFERROR(R11*1,"bad")="bad",0,1)=1,R11&gt;0),1,0),IF(R$10=$DO$1,IF(AND(IF(IFERROR(IF(R11=TRUNC(R11),1,"bad"),"bad")="bad",0,1)=1,R11&gt;0),1,0),IF(R$10=$DP$1,1,IF(R$10=$DQ$1,IF(IFERROR(HLOOKUP(R11,$BD$4:$BM$4,1,0),"bad")="bad",0,1),0))))))))))))</f>
        <v>1</v>
      </c>
      <c r="BR11" s="21">
        <f t="shared" ref="BR11:BR72" si="48">IF(S$10="",1,IF(S$4=99,1,IF(S11="",0,IF(S$10=$DI$1,IF(ISNA(MATCH(S11,$BA$10:$BB$10,0)),0,1),IF(S$10=$DJ$1,IF(IFERROR(S11*1,"bad")="bad",0,1),IF(S$10=$DK$1,IF(IFERROR(IF(S11=TRUNC(S11),1,"bad"),"bad")="bad",0,1),IF(S$10=$DL$1,IF(AND(IF(IFERROR(S11*1,"bad")="bad",0,1)=1,S11&gt;=0),1,0),IF(S$10=$DM$1,IF(AND(IF(IFERROR(IF(S11=TRUNC(S11),1,"bad"),"bad")="bad",0,1)=1,S11&gt;=0),1,0),IF(S$10=$DN$1,IF(AND(IF(IFERROR(S11*1,"bad")="bad",0,1)=1,S11&gt;0),1,0),IF(S$10=$DO$1,IF(AND(IF(IFERROR(IF(S11=TRUNC(S11),1,"bad"),"bad")="bad",0,1)=1,S11&gt;0),1,0),IF(S$10=$DP$1,1,IF(S$10=$DQ$1,IF(IFERROR(HLOOKUP(S11,$BD$4:$BM$4,1,0),"bad")="bad",0,1),0))))))))))))</f>
        <v>1</v>
      </c>
      <c r="BS11" s="21">
        <f t="shared" ref="BS11:BS72" si="49">IF(T$10="",1,IF(T$4=99,1,IF(T11="",0,IF(T$10=$DI$1,IF(ISNA(MATCH(T11,$BA$10:$BB$10,0)),0,1),IF(T$10=$DJ$1,IF(IFERROR(T11*1,"bad")="bad",0,1),IF(T$10=$DK$1,IF(IFERROR(IF(T11=TRUNC(T11),1,"bad"),"bad")="bad",0,1),IF(T$10=$DL$1,IF(AND(IF(IFERROR(T11*1,"bad")="bad",0,1)=1,T11&gt;=0),1,0),IF(T$10=$DM$1,IF(AND(IF(IFERROR(IF(T11=TRUNC(T11),1,"bad"),"bad")="bad",0,1)=1,T11&gt;=0),1,0),IF(T$10=$DN$1,IF(AND(IF(IFERROR(T11*1,"bad")="bad",0,1)=1,T11&gt;0),1,0),IF(T$10=$DO$1,IF(AND(IF(IFERROR(IF(T11=TRUNC(T11),1,"bad"),"bad")="bad",0,1)=1,T11&gt;0),1,0),IF(T$10=$DP$1,1,IF(T$10=$DQ$1,IF(IFERROR(HLOOKUP(T11,$BD$4:$BM$4,1,0),"bad")="bad",0,1),0))))))))))))</f>
        <v>1</v>
      </c>
      <c r="BT11" s="21">
        <f t="shared" ref="BT11:BT72" si="50">IF(U$10="",1,IF(U$4=99,1,IF(U11="",0,IF(U$10=$DI$1,IF(ISNA(MATCH(U11,$BA$10:$BB$10,0)),0,1),IF(U$10=$DJ$1,IF(IFERROR(U11*1,"bad")="bad",0,1),IF(U$10=$DK$1,IF(IFERROR(IF(U11=TRUNC(U11),1,"bad"),"bad")="bad",0,1),IF(U$10=$DL$1,IF(AND(IF(IFERROR(U11*1,"bad")="bad",0,1)=1,U11&gt;=0),1,0),IF(U$10=$DM$1,IF(AND(IF(IFERROR(IF(U11=TRUNC(U11),1,"bad"),"bad")="bad",0,1)=1,U11&gt;=0),1,0),IF(U$10=$DN$1,IF(AND(IF(IFERROR(U11*1,"bad")="bad",0,1)=1,U11&gt;0),1,0),IF(U$10=$DO$1,IF(AND(IF(IFERROR(IF(U11=TRUNC(U11),1,"bad"),"bad")="bad",0,1)=1,U11&gt;0),1,0),IF(U$10=$DP$1,1,IF(U$10=$DQ$1,IF(IFERROR(HLOOKUP(U11,$BD$4:$BM$4,1,0),"bad")="bad",0,1),0))))))))))))</f>
        <v>1</v>
      </c>
      <c r="BU11" s="21">
        <f t="shared" ref="BU11:BU72" si="51">IF(V$10="",1,IF(V$4=99,1,IF(V11="",0,IF(V$10=$DI$1,IF(ISNA(MATCH(V11,$BA$10:$BB$10,0)),0,1),IF(V$10=$DJ$1,IF(IFERROR(V11*1,"bad")="bad",0,1),IF(V$10=$DK$1,IF(IFERROR(IF(V11=TRUNC(V11),1,"bad"),"bad")="bad",0,1),IF(V$10=$DL$1,IF(AND(IF(IFERROR(V11*1,"bad")="bad",0,1)=1,V11&gt;=0),1,0),IF(V$10=$DM$1,IF(AND(IF(IFERROR(IF(V11=TRUNC(V11),1,"bad"),"bad")="bad",0,1)=1,V11&gt;=0),1,0),IF(V$10=$DN$1,IF(AND(IF(IFERROR(V11*1,"bad")="bad",0,1)=1,V11&gt;0),1,0),IF(V$10=$DO$1,IF(AND(IF(IFERROR(IF(V11=TRUNC(V11),1,"bad"),"bad")="bad",0,1)=1,V11&gt;0),1,0),IF(V$10=$DP$1,1,IF(V$10=$DQ$1,IF(IFERROR(HLOOKUP(V11,$BD$4:$BM$4,1,0),"bad")="bad",0,1),0))))))))))))</f>
        <v>1</v>
      </c>
      <c r="BV11" s="21">
        <f t="shared" ref="BV11:BV72" si="52">IF(W$10="",1,IF(W$4=99,1,IF(W11="",0,IF(W$10=$DI$1,IF(ISNA(MATCH(W11,$BA$10:$BB$10,0)),0,1),IF(W$10=$DJ$1,IF(IFERROR(W11*1,"bad")="bad",0,1),IF(W$10=$DK$1,IF(IFERROR(IF(W11=TRUNC(W11),1,"bad"),"bad")="bad",0,1),IF(W$10=$DL$1,IF(AND(IF(IFERROR(W11*1,"bad")="bad",0,1)=1,W11&gt;=0),1,0),IF(W$10=$DM$1,IF(AND(IF(IFERROR(IF(W11=TRUNC(W11),1,"bad"),"bad")="bad",0,1)=1,W11&gt;=0),1,0),IF(W$10=$DN$1,IF(AND(IF(IFERROR(W11*1,"bad")="bad",0,1)=1,W11&gt;0),1,0),IF(W$10=$DO$1,IF(AND(IF(IFERROR(IF(W11=TRUNC(W11),1,"bad"),"bad")="bad",0,1)=1,W11&gt;0),1,0),IF(W$10=$DP$1,1,IF(W$10=$DQ$1,IF(IFERROR(HLOOKUP(W11,$BD$4:$BM$4,1,0),"bad")="bad",0,1),0))))))))))))</f>
        <v>1</v>
      </c>
      <c r="BW11" s="21">
        <f t="shared" ref="BW11:BW72" si="53">IF(X$10="",1,IF(X$4=99,1,IF(X11="",0,IF(X$10=$DI$1,IF(ISNA(MATCH(X11,$BA$10:$BB$10,0)),0,1),IF(X$10=$DJ$1,IF(IFERROR(X11*1,"bad")="bad",0,1),IF(X$10=$DK$1,IF(IFERROR(IF(X11=TRUNC(X11),1,"bad"),"bad")="bad",0,1),IF(X$10=$DL$1,IF(AND(IF(IFERROR(X11*1,"bad")="bad",0,1)=1,X11&gt;=0),1,0),IF(X$10=$DM$1,IF(AND(IF(IFERROR(IF(X11=TRUNC(X11),1,"bad"),"bad")="bad",0,1)=1,X11&gt;=0),1,0),IF(X$10=$DN$1,IF(AND(IF(IFERROR(X11*1,"bad")="bad",0,1)=1,X11&gt;0),1,0),IF(X$10=$DO$1,IF(AND(IF(IFERROR(IF(X11=TRUNC(X11),1,"bad"),"bad")="bad",0,1)=1,X11&gt;0),1,0),IF(X$10=$DP$1,1,IF(X$10=$DQ$1,IF(IFERROR(HLOOKUP(X11,$BD$4:$BM$4,1,0),"bad")="bad",0,1),0))))))))))))</f>
        <v>1</v>
      </c>
      <c r="BX11" s="21">
        <f t="shared" ref="BX11:BX72" si="54">IF(Y$10="",1,IF(Y$4=99,1,IF(Y11="",0,IF(Y$10=$DI$1,IF(ISNA(MATCH(Y11,$BA$10:$BB$10,0)),0,1),IF(Y$10=$DJ$1,IF(IFERROR(Y11*1,"bad")="bad",0,1),IF(Y$10=$DK$1,IF(IFERROR(IF(Y11=TRUNC(Y11),1,"bad"),"bad")="bad",0,1),IF(Y$10=$DL$1,IF(AND(IF(IFERROR(Y11*1,"bad")="bad",0,1)=1,Y11&gt;=0),1,0),IF(Y$10=$DM$1,IF(AND(IF(IFERROR(IF(Y11=TRUNC(Y11),1,"bad"),"bad")="bad",0,1)=1,Y11&gt;=0),1,0),IF(Y$10=$DN$1,IF(AND(IF(IFERROR(Y11*1,"bad")="bad",0,1)=1,Y11&gt;0),1,0),IF(Y$10=$DO$1,IF(AND(IF(IFERROR(IF(Y11=TRUNC(Y11),1,"bad"),"bad")="bad",0,1)=1,Y11&gt;0),1,0),IF(Y$10=$DP$1,1,IF(Y$10=$DQ$1,IF(IFERROR(HLOOKUP(Y11,$BD$4:$BM$4,1,0),"bad")="bad",0,1),0))))))))))))</f>
        <v>1</v>
      </c>
      <c r="BY11" s="21">
        <f t="shared" ref="BY11:BY72" si="55">IF(Z$10="",1,IF(Z$4=99,1,IF(Z11="",0,IF(Z$10=$DI$1,IF(ISNA(MATCH(Z11,$BA$10:$BB$10,0)),0,1),IF(Z$10=$DJ$1,IF(IFERROR(Z11*1,"bad")="bad",0,1),IF(Z$10=$DK$1,IF(IFERROR(IF(Z11=TRUNC(Z11),1,"bad"),"bad")="bad",0,1),IF(Z$10=$DL$1,IF(AND(IF(IFERROR(Z11*1,"bad")="bad",0,1)=1,Z11&gt;=0),1,0),IF(Z$10=$DM$1,IF(AND(IF(IFERROR(IF(Z11=TRUNC(Z11),1,"bad"),"bad")="bad",0,1)=1,Z11&gt;=0),1,0),IF(Z$10=$DN$1,IF(AND(IF(IFERROR(Z11*1,"bad")="bad",0,1)=1,Z11&gt;0),1,0),IF(Z$10=$DO$1,IF(AND(IF(IFERROR(IF(Z11=TRUNC(Z11),1,"bad"),"bad")="bad",0,1)=1,Z11&gt;0),1,0),IF(Z$10=$DP$1,1,IF(Z$10=$DQ$1,IF(IFERROR(HLOOKUP(Z11,$BD$4:$BM$4,1,0),"bad")="bad",0,1),0))))))))))))</f>
        <v>1</v>
      </c>
      <c r="BZ11" s="21">
        <f t="shared" ref="BZ11:BZ72" si="56">IF(AA$10="",1,IF(AA$4=99,1,IF(AA11="",0,IF(AA$10=$DI$1,IF(ISNA(MATCH(AA11,$BA$10:$BB$10,0)),0,1),IF(AA$10=$DJ$1,IF(IFERROR(AA11*1,"bad")="bad",0,1),IF(AA$10=$DK$1,IF(IFERROR(IF(AA11=TRUNC(AA11),1,"bad"),"bad")="bad",0,1),IF(AA$10=$DL$1,IF(AND(IF(IFERROR(AA11*1,"bad")="bad",0,1)=1,AA11&gt;=0),1,0),IF(AA$10=$DM$1,IF(AND(IF(IFERROR(IF(AA11=TRUNC(AA11),1,"bad"),"bad")="bad",0,1)=1,AA11&gt;=0),1,0),IF(AA$10=$DN$1,IF(AND(IF(IFERROR(AA11*1,"bad")="bad",0,1)=1,AA11&gt;0),1,0),IF(AA$10=$DO$1,IF(AND(IF(IFERROR(IF(AA11=TRUNC(AA11),1,"bad"),"bad")="bad",0,1)=1,AA11&gt;0),1,0),IF(AA$10=$DP$1,1,IF(AA$10=$DQ$1,IF(IFERROR(HLOOKUP(AA11,$BD$4:$BM$4,1,0),"bad")="bad",0,1),0))))))))))))</f>
        <v>1</v>
      </c>
      <c r="CA11" s="21">
        <f t="shared" ref="CA11:CA72" si="57">IF(AB$10="",1,IF(AB$4=99,1,IF(AB11="",0,IF(AB$10=$DI$1,IF(ISNA(MATCH(AB11,$BA$10:$BB$10,0)),0,1),IF(AB$10=$DJ$1,IF(IFERROR(AB11*1,"bad")="bad",0,1),IF(AB$10=$DK$1,IF(IFERROR(IF(AB11=TRUNC(AB11),1,"bad"),"bad")="bad",0,1),IF(AB$10=$DL$1,IF(AND(IF(IFERROR(AB11*1,"bad")="bad",0,1)=1,AB11&gt;=0),1,0),IF(AB$10=$DM$1,IF(AND(IF(IFERROR(IF(AB11=TRUNC(AB11),1,"bad"),"bad")="bad",0,1)=1,AB11&gt;=0),1,0),IF(AB$10=$DN$1,IF(AND(IF(IFERROR(AB11*1,"bad")="bad",0,1)=1,AB11&gt;0),1,0),IF(AB$10=$DO$1,IF(AND(IF(IFERROR(IF(AB11=TRUNC(AB11),1,"bad"),"bad")="bad",0,1)=1,AB11&gt;0),1,0),IF(AB$10=$DP$1,1,IF(AB$10=$DQ$1,IF(IFERROR(HLOOKUP(AB11,$BD$4:$BM$4,1,0),"bad")="bad",0,1),0))))))))))))</f>
        <v>1</v>
      </c>
      <c r="CB11" s="21">
        <f t="shared" ref="CB11:CB72" si="58">IF(AC$10="",1,IF(AC$4=99,1,IF(AC11="",0,IF(AC$10=$DI$1,IF(ISNA(MATCH(AC11,$BA$10:$BB$10,0)),0,1),IF(AC$10=$DJ$1,IF(IFERROR(AC11*1,"bad")="bad",0,1),IF(AC$10=$DK$1,IF(IFERROR(IF(AC11=TRUNC(AC11),1,"bad"),"bad")="bad",0,1),IF(AC$10=$DL$1,IF(AND(IF(IFERROR(AC11*1,"bad")="bad",0,1)=1,AC11&gt;=0),1,0),IF(AC$10=$DM$1,IF(AND(IF(IFERROR(IF(AC11=TRUNC(AC11),1,"bad"),"bad")="bad",0,1)=1,AC11&gt;=0),1,0),IF(AC$10=$DN$1,IF(AND(IF(IFERROR(AC11*1,"bad")="bad",0,1)=1,AC11&gt;0),1,0),IF(AC$10=$DO$1,IF(AND(IF(IFERROR(IF(AC11=TRUNC(AC11),1,"bad"),"bad")="bad",0,1)=1,AC11&gt;0),1,0),IF(AC$10=$DP$1,1,IF(AC$10=$DQ$1,IF(IFERROR(HLOOKUP(AC11,$BD$4:$BM$4,1,0),"bad")="bad",0,1),0))))))))))))</f>
        <v>1</v>
      </c>
      <c r="CC11" s="21">
        <f t="shared" ref="CC11:CC72" si="59">IF(AD$10="",1,IF(AD$4=99,1,IF(AD11="",0,IF(AD$10=$DI$1,IF(ISNA(MATCH(AD11,$BA$10:$BB$10,0)),0,1),IF(AD$10=$DJ$1,IF(IFERROR(AD11*1,"bad")="bad",0,1),IF(AD$10=$DK$1,IF(IFERROR(IF(AD11=TRUNC(AD11),1,"bad"),"bad")="bad",0,1),IF(AD$10=$DL$1,IF(AND(IF(IFERROR(AD11*1,"bad")="bad",0,1)=1,AD11&gt;=0),1,0),IF(AD$10=$DM$1,IF(AND(IF(IFERROR(IF(AD11=TRUNC(AD11),1,"bad"),"bad")="bad",0,1)=1,AD11&gt;=0),1,0),IF(AD$10=$DN$1,IF(AND(IF(IFERROR(AD11*1,"bad")="bad",0,1)=1,AD11&gt;0),1,0),IF(AD$10=$DO$1,IF(AND(IF(IFERROR(IF(AD11=TRUNC(AD11),1,"bad"),"bad")="bad",0,1)=1,AD11&gt;0),1,0),IF(AD$10=$DP$1,1,IF(AD$10=$DQ$1,IF(IFERROR(HLOOKUP(AD11,$BD$4:$BM$4,1,0),"bad")="bad",0,1),0))))))))))))</f>
        <v>1</v>
      </c>
      <c r="CD11" s="21">
        <f t="shared" ref="CD11:CD72" si="60">IF(AE$10="",1,IF(AE$4=99,1,IF(AE11="",0,IF(AE$10=$DI$1,IF(ISNA(MATCH(AE11,$BA$10:$BB$10,0)),0,1),IF(AE$10=$DJ$1,IF(IFERROR(AE11*1,"bad")="bad",0,1),IF(AE$10=$DK$1,IF(IFERROR(IF(AE11=TRUNC(AE11),1,"bad"),"bad")="bad",0,1),IF(AE$10=$DL$1,IF(AND(IF(IFERROR(AE11*1,"bad")="bad",0,1)=1,AE11&gt;=0),1,0),IF(AE$10=$DM$1,IF(AND(IF(IFERROR(IF(AE11=TRUNC(AE11),1,"bad"),"bad")="bad",0,1)=1,AE11&gt;=0),1,0),IF(AE$10=$DN$1,IF(AND(IF(IFERROR(AE11*1,"bad")="bad",0,1)=1,AE11&gt;0),1,0),IF(AE$10=$DO$1,IF(AND(IF(IFERROR(IF(AE11=TRUNC(AE11),1,"bad"),"bad")="bad",0,1)=1,AE11&gt;0),1,0),IF(AE$10=$DP$1,1,IF(AE$10=$DQ$1,IF(IFERROR(HLOOKUP(AE11,$BD$4:$BM$4,1,0),"bad")="bad",0,1),0))))))))))))</f>
        <v>1</v>
      </c>
      <c r="CE11" s="21">
        <f t="shared" ref="CE11:CE72" si="61">IF(AF$10="",1,IF(AF$4=99,1,IF(AF11="",0,IF(AF$10=$DI$1,IF(ISNA(MATCH(AF11,$BA$10:$BB$10,0)),0,1),IF(AF$10=$DJ$1,IF(IFERROR(AF11*1,"bad")="bad",0,1),IF(AF$10=$DK$1,IF(IFERROR(IF(AF11=TRUNC(AF11),1,"bad"),"bad")="bad",0,1),IF(AF$10=$DL$1,IF(AND(IF(IFERROR(AF11*1,"bad")="bad",0,1)=1,AF11&gt;=0),1,0),IF(AF$10=$DM$1,IF(AND(IF(IFERROR(IF(AF11=TRUNC(AF11),1,"bad"),"bad")="bad",0,1)=1,AF11&gt;=0),1,0),IF(AF$10=$DN$1,IF(AND(IF(IFERROR(AF11*1,"bad")="bad",0,1)=1,AF11&gt;0),1,0),IF(AF$10=$DO$1,IF(AND(IF(IFERROR(IF(AF11=TRUNC(AF11),1,"bad"),"bad")="bad",0,1)=1,AF11&gt;0),1,0),IF(AF$10=$DP$1,1,IF(AF$10=$DQ$1,IF(IFERROR(HLOOKUP(AF11,$BD$4:$BM$4,1,0),"bad")="bad",0,1),0))))))))))))</f>
        <v>1</v>
      </c>
      <c r="CF11" s="21">
        <f t="shared" ref="CF11:CF72" si="62">IF(AG$10="",1,IF(AG$4=99,1,IF(AG11="",0,IF(AG$10=$DI$1,IF(ISNA(MATCH(AG11,$BA$10:$BB$10,0)),0,1),IF(AG$10=$DJ$1,IF(IFERROR(AG11*1,"bad")="bad",0,1),IF(AG$10=$DK$1,IF(IFERROR(IF(AG11=TRUNC(AG11),1,"bad"),"bad")="bad",0,1),IF(AG$10=$DL$1,IF(AND(IF(IFERROR(AG11*1,"bad")="bad",0,1)=1,AG11&gt;=0),1,0),IF(AG$10=$DM$1,IF(AND(IF(IFERROR(IF(AG11=TRUNC(AG11),1,"bad"),"bad")="bad",0,1)=1,AG11&gt;=0),1,0),IF(AG$10=$DN$1,IF(AND(IF(IFERROR(AG11*1,"bad")="bad",0,1)=1,AG11&gt;0),1,0),IF(AG$10=$DO$1,IF(AND(IF(IFERROR(IF(AG11=TRUNC(AG11),1,"bad"),"bad")="bad",0,1)=1,AG11&gt;0),1,0),IF(AG$10=$DP$1,1,IF(AG$10=$DQ$1,IF(IFERROR(HLOOKUP(AG11,$BD$4:$BM$4,1,0),"bad")="bad",0,1),0))))))))))))</f>
        <v>1</v>
      </c>
      <c r="CG11" s="21">
        <f t="shared" ref="CG11:CG72" si="63">IF(AH$10="",1,IF(AH$4=99,1,IF(AH11="",0,IF(AH$10=$DI$1,IF(ISNA(MATCH(AH11,$BA$10:$BB$10,0)),0,1),IF(AH$10=$DJ$1,IF(IFERROR(AH11*1,"bad")="bad",0,1),IF(AH$10=$DK$1,IF(IFERROR(IF(AH11=TRUNC(AH11),1,"bad"),"bad")="bad",0,1),IF(AH$10=$DL$1,IF(AND(IF(IFERROR(AH11*1,"bad")="bad",0,1)=1,AH11&gt;=0),1,0),IF(AH$10=$DM$1,IF(AND(IF(IFERROR(IF(AH11=TRUNC(AH11),1,"bad"),"bad")="bad",0,1)=1,AH11&gt;=0),1,0),IF(AH$10=$DN$1,IF(AND(IF(IFERROR(AH11*1,"bad")="bad",0,1)=1,AH11&gt;0),1,0),IF(AH$10=$DO$1,IF(AND(IF(IFERROR(IF(AH11=TRUNC(AH11),1,"bad"),"bad")="bad",0,1)=1,AH11&gt;0),1,0),IF(AH$10=$DP$1,1,IF(AH$10=$DQ$1,IF(IFERROR(HLOOKUP(AH11,$BD$4:$BM$4,1,0),"bad")="bad",0,1),0))))))))))))</f>
        <v>1</v>
      </c>
      <c r="CH11" s="21">
        <f t="shared" ref="CH11:CH72" si="64">IF(AI$10="",1,IF(AI$4=99,1,IF(AI11="",0,IF(AI$10=$DI$1,IF(ISNA(MATCH(AI11,$BA$10:$BB$10,0)),0,1),IF(AI$10=$DJ$1,IF(IFERROR(AI11*1,"bad")="bad",0,1),IF(AI$10=$DK$1,IF(IFERROR(IF(AI11=TRUNC(AI11),1,"bad"),"bad")="bad",0,1),IF(AI$10=$DL$1,IF(AND(IF(IFERROR(AI11*1,"bad")="bad",0,1)=1,AI11&gt;=0),1,0),IF(AI$10=$DM$1,IF(AND(IF(IFERROR(IF(AI11=TRUNC(AI11),1,"bad"),"bad")="bad",0,1)=1,AI11&gt;=0),1,0),IF(AI$10=$DN$1,IF(AND(IF(IFERROR(AI11*1,"bad")="bad",0,1)=1,AI11&gt;0),1,0),IF(AI$10=$DO$1,IF(AND(IF(IFERROR(IF(AI11=TRUNC(AI11),1,"bad"),"bad")="bad",0,1)=1,AI11&gt;0),1,0),IF(AI$10=$DP$1,1,IF(AI$10=$DQ$1,IF(IFERROR(HLOOKUP(AI11,$BD$4:$BM$4,1,0),"bad")="bad",0,1),0))))))))))))</f>
        <v>1</v>
      </c>
      <c r="CI11" s="21">
        <f t="shared" ref="CI11:CI72" si="65">IF(AJ$10="",1,IF(AJ$4=99,1,IF(AJ11="",0,IF(AJ$10=$DI$1,IF(ISNA(MATCH(AJ11,$BA$10:$BB$10,0)),0,1),IF(AJ$10=$DJ$1,IF(IFERROR(AJ11*1,"bad")="bad",0,1),IF(AJ$10=$DK$1,IF(IFERROR(IF(AJ11=TRUNC(AJ11),1,"bad"),"bad")="bad",0,1),IF(AJ$10=$DL$1,IF(AND(IF(IFERROR(AJ11*1,"bad")="bad",0,1)=1,AJ11&gt;=0),1,0),IF(AJ$10=$DM$1,IF(AND(IF(IFERROR(IF(AJ11=TRUNC(AJ11),1,"bad"),"bad")="bad",0,1)=1,AJ11&gt;=0),1,0),IF(AJ$10=$DN$1,IF(AND(IF(IFERROR(AJ11*1,"bad")="bad",0,1)=1,AJ11&gt;0),1,0),IF(AJ$10=$DO$1,IF(AND(IF(IFERROR(IF(AJ11=TRUNC(AJ11),1,"bad"),"bad")="bad",0,1)=1,AJ11&gt;0),1,0),IF(AJ$10=$DP$1,1,IF(AJ$10=$DQ$1,IF(IFERROR(HLOOKUP(AJ11,$BD$4:$BM$4,1,0),"bad")="bad",0,1),0))))))))))))</f>
        <v>1</v>
      </c>
      <c r="CJ11" s="21">
        <f t="shared" ref="CJ11:CJ72" si="66">IF(AK$10="",1,IF(AK$4=99,1,IF(AK11="",0,IF(AK$10=$DI$1,IF(ISNA(MATCH(AK11,$BA$10:$BB$10,0)),0,1),IF(AK$10=$DJ$1,IF(IFERROR(AK11*1,"bad")="bad",0,1),IF(AK$10=$DK$1,IF(IFERROR(IF(AK11=TRUNC(AK11),1,"bad"),"bad")="bad",0,1),IF(AK$10=$DL$1,IF(AND(IF(IFERROR(AK11*1,"bad")="bad",0,1)=1,AK11&gt;=0),1,0),IF(AK$10=$DM$1,IF(AND(IF(IFERROR(IF(AK11=TRUNC(AK11),1,"bad"),"bad")="bad",0,1)=1,AK11&gt;=0),1,0),IF(AK$10=$DN$1,IF(AND(IF(IFERROR(AK11*1,"bad")="bad",0,1)=1,AK11&gt;0),1,0),IF(AK$10=$DO$1,IF(AND(IF(IFERROR(IF(AK11=TRUNC(AK11),1,"bad"),"bad")="bad",0,1)=1,AK11&gt;0),1,0),IF(AK$10=$DP$1,1,IF(AK$10=$DQ$1,IF(IFERROR(HLOOKUP(AK11,$BD$4:$BM$4,1,0),"bad")="bad",0,1),0))))))))))))</f>
        <v>1</v>
      </c>
      <c r="CK11" s="21">
        <f t="shared" ref="CK11:CK72" si="67">IF(AL$10="",1,IF(AL$4=99,1,IF(AL11="",0,IF(AL$10=$DI$1,IF(ISNA(MATCH(AL11,$BA$10:$BB$10,0)),0,1),IF(AL$10=$DJ$1,IF(IFERROR(AL11*1,"bad")="bad",0,1),IF(AL$10=$DK$1,IF(IFERROR(IF(AL11=TRUNC(AL11),1,"bad"),"bad")="bad",0,1),IF(AL$10=$DL$1,IF(AND(IF(IFERROR(AL11*1,"bad")="bad",0,1)=1,AL11&gt;=0),1,0),IF(AL$10=$DM$1,IF(AND(IF(IFERROR(IF(AL11=TRUNC(AL11),1,"bad"),"bad")="bad",0,1)=1,AL11&gt;=0),1,0),IF(AL$10=$DN$1,IF(AND(IF(IFERROR(AL11*1,"bad")="bad",0,1)=1,AL11&gt;0),1,0),IF(AL$10=$DO$1,IF(AND(IF(IFERROR(IF(AL11=TRUNC(AL11),1,"bad"),"bad")="bad",0,1)=1,AL11&gt;0),1,0),IF(AL$10=$DP$1,1,IF(AL$10=$DQ$1,IF(IFERROR(HLOOKUP(AL11,$BD$4:$BM$4,1,0),"bad")="bad",0,1),0))))))))))))</f>
        <v>1</v>
      </c>
      <c r="CL11" s="21">
        <f t="shared" ref="CL11:CL72" si="68">IF(AM$10="",1,IF(AM$4=99,1,IF(AM11="",0,IF(AM$10=$DI$1,IF(ISNA(MATCH(AM11,$BA$10:$BB$10,0)),0,1),IF(AM$10=$DJ$1,IF(IFERROR(AM11*1,"bad")="bad",0,1),IF(AM$10=$DK$1,IF(IFERROR(IF(AM11=TRUNC(AM11),1,"bad"),"bad")="bad",0,1),IF(AM$10=$DL$1,IF(AND(IF(IFERROR(AM11*1,"bad")="bad",0,1)=1,AM11&gt;=0),1,0),IF(AM$10=$DM$1,IF(AND(IF(IFERROR(IF(AM11=TRUNC(AM11),1,"bad"),"bad")="bad",0,1)=1,AM11&gt;=0),1,0),IF(AM$10=$DN$1,IF(AND(IF(IFERROR(AM11*1,"bad")="bad",0,1)=1,AM11&gt;0),1,0),IF(AM$10=$DO$1,IF(AND(IF(IFERROR(IF(AM11=TRUNC(AM11),1,"bad"),"bad")="bad",0,1)=1,AM11&gt;0),1,0),IF(AM$10=$DP$1,1,IF(AM$10=$DQ$1,IF(IFERROR(HLOOKUP(AM11,$BD$4:$BM$4,1,0),"bad")="bad",0,1),0))))))))))))</f>
        <v>1</v>
      </c>
      <c r="CM11" s="21">
        <f t="shared" ref="CM11:CM72" si="69">IF(AN$10="",1,IF(AN$4=99,1,IF(AN11="",0,IF(AN$10=$DI$1,IF(ISNA(MATCH(AN11,$BA$10:$BB$10,0)),0,1),IF(AN$10=$DJ$1,IF(IFERROR(AN11*1,"bad")="bad",0,1),IF(AN$10=$DK$1,IF(IFERROR(IF(AN11=TRUNC(AN11),1,"bad"),"bad")="bad",0,1),IF(AN$10=$DL$1,IF(AND(IF(IFERROR(AN11*1,"bad")="bad",0,1)=1,AN11&gt;=0),1,0),IF(AN$10=$DM$1,IF(AND(IF(IFERROR(IF(AN11=TRUNC(AN11),1,"bad"),"bad")="bad",0,1)=1,AN11&gt;=0),1,0),IF(AN$10=$DN$1,IF(AND(IF(IFERROR(AN11*1,"bad")="bad",0,1)=1,AN11&gt;0),1,0),IF(AN$10=$DO$1,IF(AND(IF(IFERROR(IF(AN11=TRUNC(AN11),1,"bad"),"bad")="bad",0,1)=1,AN11&gt;0),1,0),IF(AN$10=$DP$1,1,IF(AN$10=$DQ$1,IF(IFERROR(HLOOKUP(AN11,$BD$4:$BM$4,1,0),"bad")="bad",0,1),0))))))))))))</f>
        <v>1</v>
      </c>
      <c r="CN11" s="21">
        <f t="shared" ref="CN11:CN72" si="70">IF(AO$10="",1,IF(AO$4=99,1,IF(AO11="",0,IF(AO$10=$DI$1,IF(ISNA(MATCH(AO11,$BA$10:$BB$10,0)),0,1),IF(AO$10=$DJ$1,IF(IFERROR(AO11*1,"bad")="bad",0,1),IF(AO$10=$DK$1,IF(IFERROR(IF(AO11=TRUNC(AO11),1,"bad"),"bad")="bad",0,1),IF(AO$10=$DL$1,IF(AND(IF(IFERROR(AO11*1,"bad")="bad",0,1)=1,AO11&gt;=0),1,0),IF(AO$10=$DM$1,IF(AND(IF(IFERROR(IF(AO11=TRUNC(AO11),1,"bad"),"bad")="bad",0,1)=1,AO11&gt;=0),1,0),IF(AO$10=$DN$1,IF(AND(IF(IFERROR(AO11*1,"bad")="bad",0,1)=1,AO11&gt;0),1,0),IF(AO$10=$DO$1,IF(AND(IF(IFERROR(IF(AO11=TRUNC(AO11),1,"bad"),"bad")="bad",0,1)=1,AO11&gt;0),1,0),IF(AO$10=$DP$1,1,IF(AO$10=$DQ$1,IF(IFERROR(HLOOKUP(AO11,$BD$4:$BM$4,1,0),"bad")="bad",0,1),0))))))))))))</f>
        <v>1</v>
      </c>
      <c r="CO11" s="21">
        <f t="shared" ref="CO11:CO72" si="71">IF(AP$10="",1,IF(AP$4=99,1,IF(AP11="",0,IF(AP$10=$DI$1,IF(ISNA(MATCH(AP11,$BA$10:$BB$10,0)),0,1),IF(AP$10=$DJ$1,IF(IFERROR(AP11*1,"bad")="bad",0,1),IF(AP$10=$DK$1,IF(IFERROR(IF(AP11=TRUNC(AP11),1,"bad"),"bad")="bad",0,1),IF(AP$10=$DL$1,IF(AND(IF(IFERROR(AP11*1,"bad")="bad",0,1)=1,AP11&gt;=0),1,0),IF(AP$10=$DM$1,IF(AND(IF(IFERROR(IF(AP11=TRUNC(AP11),1,"bad"),"bad")="bad",0,1)=1,AP11&gt;=0),1,0),IF(AP$10=$DN$1,IF(AND(IF(IFERROR(AP11*1,"bad")="bad",0,1)=1,AP11&gt;0),1,0),IF(AP$10=$DO$1,IF(AND(IF(IFERROR(IF(AP11=TRUNC(AP11),1,"bad"),"bad")="bad",0,1)=1,AP11&gt;0),1,0),IF(AP$10=$DP$1,1,IF(AP$10=$DQ$1,IF(IFERROR(HLOOKUP(AP11,$BD$4:$BM$4,1,0),"bad")="bad",0,1),0))))))))))))</f>
        <v>1</v>
      </c>
      <c r="CP11" s="21">
        <f t="shared" ref="CP11:CP72" si="72">IF(AQ$10="",1,IF(AQ$4=99,1,IF(AQ11="",0,IF(AQ$10=$DI$1,IF(ISNA(MATCH(AQ11,$BA$10:$BB$10,0)),0,1),IF(AQ$10=$DJ$1,IF(IFERROR(AQ11*1,"bad")="bad",0,1),IF(AQ$10=$DK$1,IF(IFERROR(IF(AQ11=TRUNC(AQ11),1,"bad"),"bad")="bad",0,1),IF(AQ$10=$DL$1,IF(AND(IF(IFERROR(AQ11*1,"bad")="bad",0,1)=1,AQ11&gt;=0),1,0),IF(AQ$10=$DM$1,IF(AND(IF(IFERROR(IF(AQ11=TRUNC(AQ11),1,"bad"),"bad")="bad",0,1)=1,AQ11&gt;=0),1,0),IF(AQ$10=$DN$1,IF(AND(IF(IFERROR(AQ11*1,"bad")="bad",0,1)=1,AQ11&gt;0),1,0),IF(AQ$10=$DO$1,IF(AND(IF(IFERROR(IF(AQ11=TRUNC(AQ11),1,"bad"),"bad")="bad",0,1)=1,AQ11&gt;0),1,0),IF(AQ$10=$DP$1,1,IF(AQ$10=$DQ$1,IF(IFERROR(HLOOKUP(AQ11,$BD$4:$BM$4,1,0),"bad")="bad",0,1),0))))))))))))</f>
        <v>1</v>
      </c>
      <c r="CQ11" s="21">
        <f t="shared" ref="CQ11:CQ72" si="73">IF(AR$10="",1,IF(AR$4=99,1,IF(AR11="",0,IF(AR$10=$DI$1,IF(ISNA(MATCH(AR11,$BA$10:$BB$10,0)),0,1),IF(AR$10=$DJ$1,IF(IFERROR(AR11*1,"bad")="bad",0,1),IF(AR$10=$DK$1,IF(IFERROR(IF(AR11=TRUNC(AR11),1,"bad"),"bad")="bad",0,1),IF(AR$10=$DL$1,IF(AND(IF(IFERROR(AR11*1,"bad")="bad",0,1)=1,AR11&gt;=0),1,0),IF(AR$10=$DM$1,IF(AND(IF(IFERROR(IF(AR11=TRUNC(AR11),1,"bad"),"bad")="bad",0,1)=1,AR11&gt;=0),1,0),IF(AR$10=$DN$1,IF(AND(IF(IFERROR(AR11*1,"bad")="bad",0,1)=1,AR11&gt;0),1,0),IF(AR$10=$DO$1,IF(AND(IF(IFERROR(IF(AR11=TRUNC(AR11),1,"bad"),"bad")="bad",0,1)=1,AR11&gt;0),1,0),IF(AR$10=$DP$1,1,IF(AR$10=$DQ$1,IF(IFERROR(HLOOKUP(AR11,$BD$4:$BM$4,1,0),"bad")="bad",0,1),0))))))))))))</f>
        <v>1</v>
      </c>
      <c r="CR11" s="21">
        <f t="shared" ref="CR11:CR72" si="74">IF(AS$10="",1,IF(AS$4=99,1,IF(AS11="",0,IF(AS$10=$DI$1,IF(ISNA(MATCH(AS11,$BA$10:$BB$10,0)),0,1),IF(AS$10=$DJ$1,IF(IFERROR(AS11*1,"bad")="bad",0,1),IF(AS$10=$DK$1,IF(IFERROR(IF(AS11=TRUNC(AS11),1,"bad"),"bad")="bad",0,1),IF(AS$10=$DL$1,IF(AND(IF(IFERROR(AS11*1,"bad")="bad",0,1)=1,AS11&gt;=0),1,0),IF(AS$10=$DM$1,IF(AND(IF(IFERROR(IF(AS11=TRUNC(AS11),1,"bad"),"bad")="bad",0,1)=1,AS11&gt;=0),1,0),IF(AS$10=$DN$1,IF(AND(IF(IFERROR(AS11*1,"bad")="bad",0,1)=1,AS11&gt;0),1,0),IF(AS$10=$DO$1,IF(AND(IF(IFERROR(IF(AS11=TRUNC(AS11),1,"bad"),"bad")="bad",0,1)=1,AS11&gt;0),1,0),IF(AS$10=$DP$1,1,IF(AS$10=$DQ$1,IF(IFERROR(HLOOKUP(AS11,$BD$4:$BM$4,1,0),"bad")="bad",0,1),0))))))))))))</f>
        <v>1</v>
      </c>
      <c r="CS11" s="21"/>
      <c r="CT11" s="21"/>
      <c r="CU11" s="21"/>
      <c r="CV11" s="21"/>
      <c r="CW11" s="21"/>
      <c r="CY11">
        <f ca="1">IF($C11="","",CY$10)</f>
        <v>1</v>
      </c>
      <c r="CZ11">
        <f t="shared" ref="CZ11:DH26" ca="1" si="75">IF($C11="","",CZ$10)</f>
        <v>2</v>
      </c>
      <c r="DA11">
        <f t="shared" ca="1" si="75"/>
        <v>3</v>
      </c>
      <c r="DB11">
        <f t="shared" ca="1" si="75"/>
        <v>4</v>
      </c>
      <c r="DC11">
        <f t="shared" ca="1" si="75"/>
        <v>5</v>
      </c>
      <c r="DD11">
        <f t="shared" ca="1" si="75"/>
        <v>6</v>
      </c>
      <c r="DE11">
        <f t="shared" ca="1" si="75"/>
        <v>7</v>
      </c>
      <c r="DF11">
        <f t="shared" ca="1" si="75"/>
        <v>8</v>
      </c>
      <c r="DG11">
        <f t="shared" ca="1" si="75"/>
        <v>9</v>
      </c>
      <c r="DH11">
        <f t="shared" ca="1" si="75"/>
        <v>10</v>
      </c>
    </row>
    <row r="12" spans="1:139" ht="46.5" customHeight="1" x14ac:dyDescent="0.25">
      <c r="A12">
        <f>ROW()-30</f>
        <v>-18</v>
      </c>
      <c r="B12" s="407">
        <f t="shared" ca="1" si="32"/>
        <v>2</v>
      </c>
      <c r="C12" s="409" t="str">
        <f ca="1">'ריכוז נתונים כללים'!D18</f>
        <v>מורשת יהודי צפון  אפריקה</v>
      </c>
      <c r="D12" s="410">
        <v>0</v>
      </c>
      <c r="E12" s="410">
        <v>1</v>
      </c>
      <c r="F12" s="410">
        <v>1</v>
      </c>
      <c r="G12" s="410">
        <v>1</v>
      </c>
      <c r="H12" s="410">
        <v>1</v>
      </c>
      <c r="I12" s="410">
        <v>1</v>
      </c>
      <c r="J12" s="410">
        <v>1</v>
      </c>
      <c r="K12" s="410">
        <v>1</v>
      </c>
      <c r="L12" s="410">
        <v>1</v>
      </c>
      <c r="M12" s="410">
        <v>1</v>
      </c>
      <c r="N12" s="420">
        <v>389997</v>
      </c>
      <c r="O12" s="420">
        <v>389997</v>
      </c>
      <c r="P12" s="407">
        <f t="shared" ref="P12:P72" ca="1" si="76">IF(OR(C12="",N12="",O12=""),"",IF(N12&lt;=2*O12,1,0))</f>
        <v>1</v>
      </c>
      <c r="Q12" s="410">
        <v>1</v>
      </c>
      <c r="R12" s="410">
        <v>1</v>
      </c>
      <c r="S12" s="410">
        <v>1</v>
      </c>
      <c r="T12" s="410">
        <v>1</v>
      </c>
      <c r="U12" s="410">
        <v>1</v>
      </c>
      <c r="V12" s="410">
        <v>1</v>
      </c>
      <c r="W12" s="410"/>
      <c r="X12" s="410"/>
      <c r="Y12" s="410"/>
      <c r="Z12" s="410"/>
      <c r="AA12" s="410"/>
      <c r="AB12" s="411"/>
      <c r="AC12" s="408"/>
      <c r="AD12" s="410"/>
      <c r="AE12" s="410"/>
      <c r="AF12" s="410"/>
      <c r="AG12" s="407"/>
      <c r="AH12" s="410"/>
      <c r="AI12" s="410"/>
      <c r="AJ12" s="410"/>
      <c r="AK12" s="410"/>
      <c r="AL12" s="410"/>
      <c r="AM12" s="407"/>
      <c r="AN12" s="408"/>
      <c r="AO12" s="410"/>
      <c r="AP12" s="410"/>
      <c r="AQ12" s="408"/>
      <c r="AR12" s="410"/>
      <c r="AS12" s="410">
        <v>1</v>
      </c>
      <c r="AT12" s="410"/>
      <c r="AU12" s="408"/>
      <c r="AV12" s="408"/>
      <c r="AW12" s="408"/>
      <c r="AX12" s="407" cm="1">
        <f t="array" aca="1" ref="AX12" ca="1">IF($C12="","",IF(AT12=1,1,IF(AZ12&lt;&gt;1,$DF$1,IF(SUMPRODUCT((D12:AT12&gt;=$D$6:$AT$6)*($D$6:$AT$6&lt;&gt;"")*($D$4:$AT$4=1))=COUNTIF($D$4:$AT$4,1),1,0))))</f>
        <v>1</v>
      </c>
      <c r="AY12" s="416"/>
      <c r="AZ12">
        <f t="shared" ref="AZ12:AZ72" si="77">IF(SUM(BC12:CF12)=COUNT(BC12:CF12),1,0)</f>
        <v>1</v>
      </c>
      <c r="BA12">
        <f ca="1">IF($C12="","",BA$10)</f>
        <v>0</v>
      </c>
      <c r="BB12">
        <f t="shared" ref="BB12" ca="1" si="78">IF($C12="","",BB$10)</f>
        <v>1</v>
      </c>
      <c r="BC12" s="21">
        <f t="shared" si="33"/>
        <v>1</v>
      </c>
      <c r="BD12" s="21">
        <f t="shared" si="34"/>
        <v>1</v>
      </c>
      <c r="BE12" s="21">
        <f t="shared" si="35"/>
        <v>1</v>
      </c>
      <c r="BF12" s="21">
        <f t="shared" si="36"/>
        <v>1</v>
      </c>
      <c r="BG12" s="21">
        <f t="shared" si="37"/>
        <v>1</v>
      </c>
      <c r="BH12" s="21">
        <f t="shared" si="38"/>
        <v>1</v>
      </c>
      <c r="BI12" s="21">
        <f t="shared" si="39"/>
        <v>1</v>
      </c>
      <c r="BJ12" s="21">
        <f t="shared" si="40"/>
        <v>1</v>
      </c>
      <c r="BK12" s="21">
        <f t="shared" si="41"/>
        <v>1</v>
      </c>
      <c r="BL12" s="21">
        <f t="shared" si="42"/>
        <v>1</v>
      </c>
      <c r="BM12" s="21">
        <f t="shared" si="43"/>
        <v>1</v>
      </c>
      <c r="BN12" s="21">
        <f t="shared" si="44"/>
        <v>1</v>
      </c>
      <c r="BO12" s="21">
        <f t="shared" si="45"/>
        <v>1</v>
      </c>
      <c r="BP12" s="21">
        <f t="shared" si="46"/>
        <v>1</v>
      </c>
      <c r="BQ12" s="21">
        <f t="shared" si="47"/>
        <v>1</v>
      </c>
      <c r="BR12" s="21">
        <f t="shared" si="48"/>
        <v>1</v>
      </c>
      <c r="BS12" s="21">
        <f t="shared" si="49"/>
        <v>1</v>
      </c>
      <c r="BT12" s="21">
        <f t="shared" si="50"/>
        <v>1</v>
      </c>
      <c r="BU12" s="21">
        <f t="shared" si="51"/>
        <v>1</v>
      </c>
      <c r="BV12" s="21">
        <f t="shared" si="52"/>
        <v>1</v>
      </c>
      <c r="BW12" s="21">
        <f t="shared" si="53"/>
        <v>1</v>
      </c>
      <c r="BX12" s="21">
        <f t="shared" si="54"/>
        <v>1</v>
      </c>
      <c r="BY12" s="21">
        <f t="shared" si="55"/>
        <v>1</v>
      </c>
      <c r="BZ12" s="21">
        <f t="shared" si="56"/>
        <v>1</v>
      </c>
      <c r="CA12" s="21">
        <f t="shared" si="57"/>
        <v>1</v>
      </c>
      <c r="CB12" s="21">
        <f t="shared" si="58"/>
        <v>1</v>
      </c>
      <c r="CC12" s="21">
        <f t="shared" si="59"/>
        <v>1</v>
      </c>
      <c r="CD12" s="21">
        <f t="shared" si="60"/>
        <v>1</v>
      </c>
      <c r="CE12" s="21">
        <f t="shared" si="61"/>
        <v>1</v>
      </c>
      <c r="CF12" s="21">
        <f t="shared" si="62"/>
        <v>1</v>
      </c>
      <c r="CG12" s="21">
        <f t="shared" si="63"/>
        <v>1</v>
      </c>
      <c r="CH12" s="21">
        <f t="shared" si="64"/>
        <v>1</v>
      </c>
      <c r="CI12" s="21">
        <f t="shared" si="65"/>
        <v>1</v>
      </c>
      <c r="CJ12" s="21">
        <f t="shared" si="66"/>
        <v>1</v>
      </c>
      <c r="CK12" s="21">
        <f t="shared" si="67"/>
        <v>1</v>
      </c>
      <c r="CL12" s="21">
        <f t="shared" si="68"/>
        <v>1</v>
      </c>
      <c r="CM12" s="21">
        <f t="shared" si="69"/>
        <v>1</v>
      </c>
      <c r="CN12" s="21">
        <f t="shared" si="70"/>
        <v>1</v>
      </c>
      <c r="CO12" s="21">
        <f t="shared" si="71"/>
        <v>1</v>
      </c>
      <c r="CP12" s="21">
        <f t="shared" si="72"/>
        <v>1</v>
      </c>
      <c r="CQ12" s="21">
        <f t="shared" si="73"/>
        <v>1</v>
      </c>
      <c r="CR12" s="21">
        <f t="shared" si="74"/>
        <v>1</v>
      </c>
      <c r="CS12" s="21"/>
      <c r="CT12" s="21"/>
      <c r="CU12" s="21"/>
      <c r="CV12" s="21"/>
      <c r="CW12" s="21"/>
      <c r="CY12">
        <f t="shared" ref="CY12:DH43" ca="1" si="79">IF($C12="","",CY$10)</f>
        <v>1</v>
      </c>
      <c r="CZ12">
        <f t="shared" ca="1" si="75"/>
        <v>2</v>
      </c>
      <c r="DA12">
        <f t="shared" ca="1" si="75"/>
        <v>3</v>
      </c>
      <c r="DB12">
        <f t="shared" ca="1" si="75"/>
        <v>4</v>
      </c>
      <c r="DC12">
        <f t="shared" ca="1" si="75"/>
        <v>5</v>
      </c>
      <c r="DD12">
        <f t="shared" ca="1" si="75"/>
        <v>6</v>
      </c>
      <c r="DE12">
        <f t="shared" ca="1" si="75"/>
        <v>7</v>
      </c>
      <c r="DF12">
        <f t="shared" ca="1" si="75"/>
        <v>8</v>
      </c>
      <c r="DG12">
        <f t="shared" ca="1" si="75"/>
        <v>9</v>
      </c>
      <c r="DH12">
        <f t="shared" ca="1" si="75"/>
        <v>10</v>
      </c>
    </row>
    <row r="13" spans="1:139" ht="39" customHeight="1" x14ac:dyDescent="0.25">
      <c r="A13">
        <f t="shared" ref="A13:A72" si="80">ROW()-30</f>
        <v>-17</v>
      </c>
      <c r="B13" s="407">
        <f t="shared" ca="1" si="32"/>
        <v>3</v>
      </c>
      <c r="C13" s="409" t="str">
        <f ca="1">'ריכוז נתונים כללים'!D19</f>
        <v>מורשת יהדות קוצין</v>
      </c>
      <c r="D13" s="410">
        <v>0</v>
      </c>
      <c r="E13" s="410">
        <v>1</v>
      </c>
      <c r="F13" s="410">
        <v>1</v>
      </c>
      <c r="G13" s="410">
        <v>1</v>
      </c>
      <c r="H13" s="410">
        <v>1</v>
      </c>
      <c r="I13" s="410">
        <v>1</v>
      </c>
      <c r="J13" s="410">
        <v>1</v>
      </c>
      <c r="K13" s="410">
        <v>1</v>
      </c>
      <c r="L13" s="410">
        <v>1</v>
      </c>
      <c r="M13" s="410">
        <v>1</v>
      </c>
      <c r="N13" s="420">
        <v>335893</v>
      </c>
      <c r="O13" s="420">
        <v>335893</v>
      </c>
      <c r="P13" s="407">
        <f t="shared" ca="1" si="76"/>
        <v>1</v>
      </c>
      <c r="Q13" s="410">
        <v>1</v>
      </c>
      <c r="R13" s="410">
        <v>1</v>
      </c>
      <c r="S13" s="410">
        <v>1</v>
      </c>
      <c r="T13" s="410">
        <v>1</v>
      </c>
      <c r="U13" s="410">
        <v>1</v>
      </c>
      <c r="V13" s="410">
        <v>1</v>
      </c>
      <c r="W13" s="410"/>
      <c r="X13" s="410"/>
      <c r="Y13" s="410"/>
      <c r="Z13" s="410"/>
      <c r="AA13" s="410"/>
      <c r="AB13" s="411"/>
      <c r="AC13" s="408"/>
      <c r="AD13" s="410"/>
      <c r="AE13" s="410"/>
      <c r="AF13" s="410"/>
      <c r="AG13" s="407"/>
      <c r="AH13" s="410"/>
      <c r="AI13" s="410"/>
      <c r="AJ13" s="410"/>
      <c r="AK13" s="410"/>
      <c r="AL13" s="410"/>
      <c r="AM13" s="407"/>
      <c r="AN13" s="408"/>
      <c r="AO13" s="410"/>
      <c r="AP13" s="410"/>
      <c r="AQ13" s="408"/>
      <c r="AR13" s="410"/>
      <c r="AS13" s="410">
        <v>1</v>
      </c>
      <c r="AT13" s="410"/>
      <c r="AU13" s="408"/>
      <c r="AV13" s="408"/>
      <c r="AW13" s="408"/>
      <c r="AX13" s="407" cm="1">
        <f t="array" aca="1" ref="AX13" ca="1">IF($C13="","",IF(AT13=1,1,IF(AZ13&lt;&gt;1,$DF$1,IF(SUMPRODUCT((D13:AT13&gt;=$D$6:$AT$6)*($D$6:$AT$6&lt;&gt;"")*($D$4:$AT$4=1))=COUNTIF($D$4:$AT$4,1),1,0))))</f>
        <v>1</v>
      </c>
      <c r="AY13" s="417"/>
      <c r="AZ13">
        <f t="shared" si="77"/>
        <v>1</v>
      </c>
      <c r="BA13">
        <f t="shared" ref="BA13:BB44" ca="1" si="81">IF($C13="","",BA$10)</f>
        <v>0</v>
      </c>
      <c r="BB13">
        <f t="shared" ca="1" si="81"/>
        <v>1</v>
      </c>
      <c r="BC13" s="21">
        <f t="shared" si="33"/>
        <v>1</v>
      </c>
      <c r="BD13" s="21">
        <f t="shared" si="34"/>
        <v>1</v>
      </c>
      <c r="BE13" s="21">
        <f t="shared" si="35"/>
        <v>1</v>
      </c>
      <c r="BF13" s="21">
        <f t="shared" si="36"/>
        <v>1</v>
      </c>
      <c r="BG13" s="21">
        <f t="shared" si="37"/>
        <v>1</v>
      </c>
      <c r="BH13" s="21">
        <f t="shared" si="38"/>
        <v>1</v>
      </c>
      <c r="BI13" s="21">
        <f t="shared" si="39"/>
        <v>1</v>
      </c>
      <c r="BJ13" s="21">
        <f t="shared" si="40"/>
        <v>1</v>
      </c>
      <c r="BK13" s="21">
        <f t="shared" si="41"/>
        <v>1</v>
      </c>
      <c r="BL13" s="21">
        <f t="shared" si="42"/>
        <v>1</v>
      </c>
      <c r="BM13" s="21">
        <f t="shared" si="43"/>
        <v>1</v>
      </c>
      <c r="BN13" s="21">
        <f t="shared" si="44"/>
        <v>1</v>
      </c>
      <c r="BO13" s="21">
        <f t="shared" si="45"/>
        <v>1</v>
      </c>
      <c r="BP13" s="21">
        <f t="shared" si="46"/>
        <v>1</v>
      </c>
      <c r="BQ13" s="21">
        <f t="shared" si="47"/>
        <v>1</v>
      </c>
      <c r="BR13" s="21">
        <f t="shared" si="48"/>
        <v>1</v>
      </c>
      <c r="BS13" s="21">
        <f t="shared" si="49"/>
        <v>1</v>
      </c>
      <c r="BT13" s="21">
        <f t="shared" si="50"/>
        <v>1</v>
      </c>
      <c r="BU13" s="21">
        <f t="shared" si="51"/>
        <v>1</v>
      </c>
      <c r="BV13" s="21">
        <f t="shared" si="52"/>
        <v>1</v>
      </c>
      <c r="BW13" s="21">
        <f t="shared" si="53"/>
        <v>1</v>
      </c>
      <c r="BX13" s="21">
        <f t="shared" si="54"/>
        <v>1</v>
      </c>
      <c r="BY13" s="21">
        <f t="shared" si="55"/>
        <v>1</v>
      </c>
      <c r="BZ13" s="21">
        <f t="shared" si="56"/>
        <v>1</v>
      </c>
      <c r="CA13" s="21">
        <f t="shared" si="57"/>
        <v>1</v>
      </c>
      <c r="CB13" s="21">
        <f t="shared" si="58"/>
        <v>1</v>
      </c>
      <c r="CC13" s="21">
        <f t="shared" si="59"/>
        <v>1</v>
      </c>
      <c r="CD13" s="21">
        <f t="shared" si="60"/>
        <v>1</v>
      </c>
      <c r="CE13" s="21">
        <f t="shared" si="61"/>
        <v>1</v>
      </c>
      <c r="CF13" s="21">
        <f t="shared" si="62"/>
        <v>1</v>
      </c>
      <c r="CG13" s="21">
        <f t="shared" si="63"/>
        <v>1</v>
      </c>
      <c r="CH13" s="21">
        <f t="shared" si="64"/>
        <v>1</v>
      </c>
      <c r="CI13" s="21">
        <f t="shared" si="65"/>
        <v>1</v>
      </c>
      <c r="CJ13" s="21">
        <f t="shared" si="66"/>
        <v>1</v>
      </c>
      <c r="CK13" s="21">
        <f t="shared" si="67"/>
        <v>1</v>
      </c>
      <c r="CL13" s="21">
        <f t="shared" si="68"/>
        <v>1</v>
      </c>
      <c r="CM13" s="21">
        <f t="shared" si="69"/>
        <v>1</v>
      </c>
      <c r="CN13" s="21">
        <f t="shared" si="70"/>
        <v>1</v>
      </c>
      <c r="CO13" s="21">
        <f t="shared" si="71"/>
        <v>1</v>
      </c>
      <c r="CP13" s="21">
        <f t="shared" si="72"/>
        <v>1</v>
      </c>
      <c r="CQ13" s="21">
        <f t="shared" si="73"/>
        <v>1</v>
      </c>
      <c r="CR13" s="21">
        <f t="shared" si="74"/>
        <v>1</v>
      </c>
      <c r="CS13" s="21"/>
      <c r="CT13" s="21"/>
      <c r="CU13" s="21"/>
      <c r="CV13" s="21"/>
      <c r="CW13" s="21"/>
      <c r="CY13">
        <f t="shared" ca="1" si="79"/>
        <v>1</v>
      </c>
      <c r="CZ13">
        <f t="shared" ca="1" si="75"/>
        <v>2</v>
      </c>
      <c r="DA13">
        <f t="shared" ca="1" si="75"/>
        <v>3</v>
      </c>
      <c r="DB13">
        <f t="shared" ca="1" si="75"/>
        <v>4</v>
      </c>
      <c r="DC13">
        <f t="shared" ca="1" si="75"/>
        <v>5</v>
      </c>
      <c r="DD13">
        <f t="shared" ca="1" si="75"/>
        <v>6</v>
      </c>
      <c r="DE13">
        <f t="shared" ca="1" si="75"/>
        <v>7</v>
      </c>
      <c r="DF13">
        <f t="shared" ca="1" si="75"/>
        <v>8</v>
      </c>
      <c r="DG13">
        <f t="shared" ca="1" si="75"/>
        <v>9</v>
      </c>
      <c r="DH13">
        <f t="shared" ca="1" si="75"/>
        <v>10</v>
      </c>
    </row>
    <row r="14" spans="1:139" x14ac:dyDescent="0.25">
      <c r="A14">
        <f t="shared" si="80"/>
        <v>-16</v>
      </c>
      <c r="B14" s="407">
        <f t="shared" ca="1" si="32"/>
        <v>4</v>
      </c>
      <c r="C14" s="409" t="str">
        <f ca="1">'ריכוז נתונים כללים'!D20</f>
        <v>הפדרציה העולמית של יהדות תוניס</v>
      </c>
      <c r="D14" s="410">
        <v>0</v>
      </c>
      <c r="E14" s="410"/>
      <c r="F14" s="410"/>
      <c r="G14" s="410"/>
      <c r="H14" s="410"/>
      <c r="I14" s="410"/>
      <c r="J14" s="410"/>
      <c r="K14" s="410"/>
      <c r="L14" s="410"/>
      <c r="M14" s="410"/>
      <c r="N14" s="420"/>
      <c r="O14" s="420"/>
      <c r="P14" s="407" t="str">
        <f t="shared" ca="1" si="76"/>
        <v/>
      </c>
      <c r="Q14" s="410"/>
      <c r="R14" s="410"/>
      <c r="S14" s="410"/>
      <c r="T14" s="410"/>
      <c r="U14" s="410"/>
      <c r="V14" s="410"/>
      <c r="W14" s="410"/>
      <c r="X14" s="410"/>
      <c r="Y14" s="410"/>
      <c r="Z14" s="410"/>
      <c r="AA14" s="410"/>
      <c r="AB14" s="411"/>
      <c r="AC14" s="408"/>
      <c r="AD14" s="410"/>
      <c r="AE14" s="410"/>
      <c r="AF14" s="410"/>
      <c r="AG14" s="407"/>
      <c r="AH14" s="410"/>
      <c r="AI14" s="410"/>
      <c r="AJ14" s="410"/>
      <c r="AK14" s="410"/>
      <c r="AL14" s="410"/>
      <c r="AM14" s="407"/>
      <c r="AN14" s="408"/>
      <c r="AO14" s="410"/>
      <c r="AP14" s="410"/>
      <c r="AQ14" s="408"/>
      <c r="AR14" s="410"/>
      <c r="AS14" s="410">
        <v>1</v>
      </c>
      <c r="AT14" s="410">
        <v>1</v>
      </c>
      <c r="AU14" s="408"/>
      <c r="AV14" s="408"/>
      <c r="AW14" s="408"/>
      <c r="AX14" s="407" cm="1">
        <f t="array" aca="1" ref="AX14" ca="1">IF($C14="","",IF(AT14=1,1,IF(AZ14&lt;&gt;1,$DF$1,IF(SUMPRODUCT((D14:AT14&gt;=$D$6:$AT$6)*($D$6:$AT$6&lt;&gt;"")*($D$4:$AT$4=1))=COUNTIF($D$4:$AT$4,1),1,0))))</f>
        <v>1</v>
      </c>
      <c r="AY14" s="417"/>
      <c r="AZ14">
        <f t="shared" si="77"/>
        <v>0</v>
      </c>
      <c r="BA14">
        <f t="shared" ca="1" si="81"/>
        <v>0</v>
      </c>
      <c r="BB14">
        <f t="shared" ca="1" si="81"/>
        <v>1</v>
      </c>
      <c r="BC14" s="21">
        <f t="shared" si="33"/>
        <v>1</v>
      </c>
      <c r="BD14" s="21">
        <f t="shared" si="34"/>
        <v>0</v>
      </c>
      <c r="BE14" s="21">
        <f t="shared" si="35"/>
        <v>0</v>
      </c>
      <c r="BF14" s="21">
        <f t="shared" si="36"/>
        <v>0</v>
      </c>
      <c r="BG14" s="21">
        <f t="shared" si="37"/>
        <v>0</v>
      </c>
      <c r="BH14" s="21">
        <f t="shared" si="38"/>
        <v>0</v>
      </c>
      <c r="BI14" s="21">
        <f t="shared" si="39"/>
        <v>0</v>
      </c>
      <c r="BJ14" s="21">
        <f t="shared" si="40"/>
        <v>0</v>
      </c>
      <c r="BK14" s="21">
        <f t="shared" si="41"/>
        <v>0</v>
      </c>
      <c r="BL14" s="21">
        <f t="shared" si="42"/>
        <v>0</v>
      </c>
      <c r="BM14" s="21">
        <f t="shared" si="43"/>
        <v>0</v>
      </c>
      <c r="BN14" s="21">
        <f t="shared" si="44"/>
        <v>0</v>
      </c>
      <c r="BO14" s="21">
        <f t="shared" si="45"/>
        <v>1</v>
      </c>
      <c r="BP14" s="21">
        <f t="shared" si="46"/>
        <v>0</v>
      </c>
      <c r="BQ14" s="21">
        <f t="shared" si="47"/>
        <v>0</v>
      </c>
      <c r="BR14" s="21">
        <f t="shared" si="48"/>
        <v>0</v>
      </c>
      <c r="BS14" s="21">
        <f t="shared" si="49"/>
        <v>0</v>
      </c>
      <c r="BT14" s="21">
        <f t="shared" si="50"/>
        <v>0</v>
      </c>
      <c r="BU14" s="21">
        <f t="shared" si="51"/>
        <v>0</v>
      </c>
      <c r="BV14" s="21">
        <f t="shared" si="52"/>
        <v>1</v>
      </c>
      <c r="BW14" s="21">
        <f t="shared" si="53"/>
        <v>1</v>
      </c>
      <c r="BX14" s="21">
        <f t="shared" si="54"/>
        <v>1</v>
      </c>
      <c r="BY14" s="21">
        <f t="shared" si="55"/>
        <v>1</v>
      </c>
      <c r="BZ14" s="21">
        <f t="shared" si="56"/>
        <v>1</v>
      </c>
      <c r="CA14" s="21">
        <f t="shared" si="57"/>
        <v>1</v>
      </c>
      <c r="CB14" s="21">
        <f t="shared" si="58"/>
        <v>1</v>
      </c>
      <c r="CC14" s="21">
        <f t="shared" si="59"/>
        <v>1</v>
      </c>
      <c r="CD14" s="21">
        <f t="shared" si="60"/>
        <v>1</v>
      </c>
      <c r="CE14" s="21">
        <f t="shared" si="61"/>
        <v>1</v>
      </c>
      <c r="CF14" s="21">
        <f t="shared" si="62"/>
        <v>1</v>
      </c>
      <c r="CG14" s="21">
        <f t="shared" si="63"/>
        <v>1</v>
      </c>
      <c r="CH14" s="21">
        <f t="shared" si="64"/>
        <v>1</v>
      </c>
      <c r="CI14" s="21">
        <f t="shared" si="65"/>
        <v>1</v>
      </c>
      <c r="CJ14" s="21">
        <f t="shared" si="66"/>
        <v>1</v>
      </c>
      <c r="CK14" s="21">
        <f t="shared" si="67"/>
        <v>1</v>
      </c>
      <c r="CL14" s="21">
        <f t="shared" si="68"/>
        <v>1</v>
      </c>
      <c r="CM14" s="21">
        <f t="shared" si="69"/>
        <v>1</v>
      </c>
      <c r="CN14" s="21">
        <f t="shared" si="70"/>
        <v>1</v>
      </c>
      <c r="CO14" s="21">
        <f t="shared" si="71"/>
        <v>1</v>
      </c>
      <c r="CP14" s="21">
        <f t="shared" si="72"/>
        <v>1</v>
      </c>
      <c r="CQ14" s="21">
        <f t="shared" si="73"/>
        <v>1</v>
      </c>
      <c r="CR14" s="21">
        <f t="shared" si="74"/>
        <v>1</v>
      </c>
      <c r="CS14" s="21"/>
      <c r="CT14" s="21"/>
      <c r="CU14" s="21"/>
      <c r="CV14" s="21"/>
      <c r="CW14" s="21"/>
      <c r="CY14">
        <f t="shared" ca="1" si="79"/>
        <v>1</v>
      </c>
      <c r="CZ14">
        <f t="shared" ca="1" si="75"/>
        <v>2</v>
      </c>
      <c r="DA14">
        <f t="shared" ca="1" si="75"/>
        <v>3</v>
      </c>
      <c r="DB14">
        <f t="shared" ca="1" si="75"/>
        <v>4</v>
      </c>
      <c r="DC14">
        <f t="shared" ca="1" si="75"/>
        <v>5</v>
      </c>
      <c r="DD14">
        <f t="shared" ca="1" si="75"/>
        <v>6</v>
      </c>
      <c r="DE14">
        <f t="shared" ca="1" si="75"/>
        <v>7</v>
      </c>
      <c r="DF14">
        <f t="shared" ca="1" si="75"/>
        <v>8</v>
      </c>
      <c r="DG14">
        <f t="shared" ca="1" si="75"/>
        <v>9</v>
      </c>
      <c r="DH14">
        <f t="shared" ca="1" si="75"/>
        <v>10</v>
      </c>
    </row>
    <row r="15" spans="1:139" ht="31.5" customHeight="1" x14ac:dyDescent="0.25">
      <c r="A15">
        <f t="shared" si="80"/>
        <v>-15</v>
      </c>
      <c r="B15" s="407">
        <f t="shared" ca="1" si="32"/>
        <v>5</v>
      </c>
      <c r="C15" s="409" t="str">
        <f ca="1">'ריכוז נתונים כללים'!D21</f>
        <v>התאחדות עולי מצרים</v>
      </c>
      <c r="D15" s="410">
        <v>0</v>
      </c>
      <c r="E15" s="410">
        <v>1</v>
      </c>
      <c r="F15" s="410">
        <v>1</v>
      </c>
      <c r="G15" s="410">
        <v>1</v>
      </c>
      <c r="H15" s="410">
        <v>1</v>
      </c>
      <c r="I15" s="410">
        <v>1</v>
      </c>
      <c r="J15" s="410">
        <v>1</v>
      </c>
      <c r="K15" s="410">
        <v>1</v>
      </c>
      <c r="L15" s="410">
        <v>1</v>
      </c>
      <c r="M15" s="410">
        <v>1</v>
      </c>
      <c r="N15" s="420">
        <v>345905</v>
      </c>
      <c r="O15" s="420">
        <v>345905</v>
      </c>
      <c r="P15" s="407">
        <f t="shared" ca="1" si="76"/>
        <v>1</v>
      </c>
      <c r="Q15" s="410">
        <v>1</v>
      </c>
      <c r="R15" s="410">
        <v>1</v>
      </c>
      <c r="S15" s="410">
        <v>1</v>
      </c>
      <c r="T15" s="410">
        <v>1</v>
      </c>
      <c r="U15" s="410">
        <v>1</v>
      </c>
      <c r="V15" s="410">
        <v>1</v>
      </c>
      <c r="W15" s="410"/>
      <c r="X15" s="410"/>
      <c r="Y15" s="410"/>
      <c r="Z15" s="410"/>
      <c r="AA15" s="410"/>
      <c r="AB15" s="411"/>
      <c r="AC15" s="408"/>
      <c r="AD15" s="410"/>
      <c r="AE15" s="410"/>
      <c r="AF15" s="410"/>
      <c r="AG15" s="407"/>
      <c r="AH15" s="410"/>
      <c r="AI15" s="410"/>
      <c r="AJ15" s="410"/>
      <c r="AK15" s="410"/>
      <c r="AL15" s="410"/>
      <c r="AM15" s="407"/>
      <c r="AN15" s="408"/>
      <c r="AO15" s="410"/>
      <c r="AP15" s="410"/>
      <c r="AQ15" s="408"/>
      <c r="AR15" s="410"/>
      <c r="AS15" s="410">
        <v>1</v>
      </c>
      <c r="AT15" s="410"/>
      <c r="AU15" s="408"/>
      <c r="AV15" s="408"/>
      <c r="AW15" s="408"/>
      <c r="AX15" s="407" cm="1">
        <f t="array" aca="1" ref="AX15" ca="1">IF($C15="","",IF(AT15=1,1,IF(AZ15&lt;&gt;1,$DF$1,IF(SUMPRODUCT((D15:AT15&gt;=$D$6:$AT$6)*($D$6:$AT$6&lt;&gt;"")*($D$4:$AT$4=1))=COUNTIF($D$4:$AT$4,1),1,0))))</f>
        <v>1</v>
      </c>
      <c r="AY15" s="416"/>
      <c r="AZ15">
        <f t="shared" si="77"/>
        <v>1</v>
      </c>
      <c r="BA15">
        <f t="shared" ca="1" si="81"/>
        <v>0</v>
      </c>
      <c r="BB15">
        <f t="shared" ca="1" si="81"/>
        <v>1</v>
      </c>
      <c r="BC15" s="21">
        <f t="shared" si="33"/>
        <v>1</v>
      </c>
      <c r="BD15" s="21">
        <f t="shared" si="34"/>
        <v>1</v>
      </c>
      <c r="BE15" s="21">
        <f t="shared" si="35"/>
        <v>1</v>
      </c>
      <c r="BF15" s="21">
        <f t="shared" si="36"/>
        <v>1</v>
      </c>
      <c r="BG15" s="21">
        <f t="shared" si="37"/>
        <v>1</v>
      </c>
      <c r="BH15" s="21">
        <f t="shared" si="38"/>
        <v>1</v>
      </c>
      <c r="BI15" s="21">
        <f t="shared" si="39"/>
        <v>1</v>
      </c>
      <c r="BJ15" s="21">
        <f t="shared" si="40"/>
        <v>1</v>
      </c>
      <c r="BK15" s="21">
        <f t="shared" si="41"/>
        <v>1</v>
      </c>
      <c r="BL15" s="21">
        <f t="shared" si="42"/>
        <v>1</v>
      </c>
      <c r="BM15" s="21">
        <f t="shared" si="43"/>
        <v>1</v>
      </c>
      <c r="BN15" s="21">
        <f t="shared" si="44"/>
        <v>1</v>
      </c>
      <c r="BO15" s="21">
        <f t="shared" si="45"/>
        <v>1</v>
      </c>
      <c r="BP15" s="21">
        <f t="shared" si="46"/>
        <v>1</v>
      </c>
      <c r="BQ15" s="21">
        <f t="shared" si="47"/>
        <v>1</v>
      </c>
      <c r="BR15" s="21">
        <f t="shared" si="48"/>
        <v>1</v>
      </c>
      <c r="BS15" s="21">
        <f t="shared" si="49"/>
        <v>1</v>
      </c>
      <c r="BT15" s="21">
        <f t="shared" si="50"/>
        <v>1</v>
      </c>
      <c r="BU15" s="21">
        <f t="shared" si="51"/>
        <v>1</v>
      </c>
      <c r="BV15" s="21">
        <f t="shared" si="52"/>
        <v>1</v>
      </c>
      <c r="BW15" s="21">
        <f t="shared" si="53"/>
        <v>1</v>
      </c>
      <c r="BX15" s="21">
        <f t="shared" si="54"/>
        <v>1</v>
      </c>
      <c r="BY15" s="21">
        <f t="shared" si="55"/>
        <v>1</v>
      </c>
      <c r="BZ15" s="21">
        <f t="shared" si="56"/>
        <v>1</v>
      </c>
      <c r="CA15" s="21">
        <f t="shared" si="57"/>
        <v>1</v>
      </c>
      <c r="CB15" s="21">
        <f t="shared" si="58"/>
        <v>1</v>
      </c>
      <c r="CC15" s="21">
        <f t="shared" si="59"/>
        <v>1</v>
      </c>
      <c r="CD15" s="21">
        <f t="shared" si="60"/>
        <v>1</v>
      </c>
      <c r="CE15" s="21">
        <f t="shared" si="61"/>
        <v>1</v>
      </c>
      <c r="CF15" s="21">
        <f t="shared" si="62"/>
        <v>1</v>
      </c>
      <c r="CG15" s="21">
        <f t="shared" si="63"/>
        <v>1</v>
      </c>
      <c r="CH15" s="21">
        <f t="shared" si="64"/>
        <v>1</v>
      </c>
      <c r="CI15" s="21">
        <f t="shared" si="65"/>
        <v>1</v>
      </c>
      <c r="CJ15" s="21">
        <f t="shared" si="66"/>
        <v>1</v>
      </c>
      <c r="CK15" s="21">
        <f t="shared" si="67"/>
        <v>1</v>
      </c>
      <c r="CL15" s="21">
        <f t="shared" si="68"/>
        <v>1</v>
      </c>
      <c r="CM15" s="21">
        <f t="shared" si="69"/>
        <v>1</v>
      </c>
      <c r="CN15" s="21">
        <f t="shared" si="70"/>
        <v>1</v>
      </c>
      <c r="CO15" s="21">
        <f t="shared" si="71"/>
        <v>1</v>
      </c>
      <c r="CP15" s="21">
        <f t="shared" si="72"/>
        <v>1</v>
      </c>
      <c r="CQ15" s="21">
        <f t="shared" si="73"/>
        <v>1</v>
      </c>
      <c r="CR15" s="21">
        <f t="shared" si="74"/>
        <v>1</v>
      </c>
      <c r="CS15" s="21"/>
      <c r="CT15" s="21"/>
      <c r="CU15" s="21"/>
      <c r="CV15" s="21"/>
      <c r="CW15" s="21"/>
      <c r="CY15">
        <f t="shared" ca="1" si="79"/>
        <v>1</v>
      </c>
      <c r="CZ15">
        <f t="shared" ca="1" si="75"/>
        <v>2</v>
      </c>
      <c r="DA15">
        <f t="shared" ca="1" si="75"/>
        <v>3</v>
      </c>
      <c r="DB15">
        <f t="shared" ca="1" si="75"/>
        <v>4</v>
      </c>
      <c r="DC15">
        <f t="shared" ca="1" si="75"/>
        <v>5</v>
      </c>
      <c r="DD15">
        <f t="shared" ca="1" si="75"/>
        <v>6</v>
      </c>
      <c r="DE15">
        <f t="shared" ca="1" si="75"/>
        <v>7</v>
      </c>
      <c r="DF15">
        <f t="shared" ca="1" si="75"/>
        <v>8</v>
      </c>
      <c r="DG15">
        <f t="shared" ca="1" si="75"/>
        <v>9</v>
      </c>
      <c r="DH15">
        <f t="shared" ca="1" si="75"/>
        <v>10</v>
      </c>
    </row>
    <row r="16" spans="1:139" ht="28.5" customHeight="1" x14ac:dyDescent="0.25">
      <c r="A16">
        <f t="shared" si="80"/>
        <v>-14</v>
      </c>
      <c r="B16" s="407">
        <f t="shared" ca="1" si="32"/>
        <v>6</v>
      </c>
      <c r="C16" s="409" t="str">
        <f ca="1">'ריכוז נתונים כללים'!D22</f>
        <v>יהודים יוצאי לוב</v>
      </c>
      <c r="D16" s="410">
        <v>0</v>
      </c>
      <c r="E16" s="410">
        <v>1</v>
      </c>
      <c r="F16" s="410">
        <v>1</v>
      </c>
      <c r="G16" s="410">
        <v>1</v>
      </c>
      <c r="H16" s="410">
        <v>1</v>
      </c>
      <c r="I16" s="410">
        <v>1</v>
      </c>
      <c r="J16" s="410">
        <v>1</v>
      </c>
      <c r="K16" s="410">
        <v>1</v>
      </c>
      <c r="L16" s="410">
        <v>1</v>
      </c>
      <c r="M16" s="410">
        <v>1</v>
      </c>
      <c r="N16" s="420">
        <v>1175766</v>
      </c>
      <c r="O16" s="420">
        <v>1175766</v>
      </c>
      <c r="P16" s="407">
        <f t="shared" ca="1" si="76"/>
        <v>1</v>
      </c>
      <c r="Q16" s="410">
        <v>1</v>
      </c>
      <c r="R16" s="410">
        <v>1</v>
      </c>
      <c r="S16" s="410">
        <v>1</v>
      </c>
      <c r="T16" s="410">
        <v>1</v>
      </c>
      <c r="U16" s="410">
        <v>1</v>
      </c>
      <c r="V16" s="410">
        <v>1</v>
      </c>
      <c r="W16" s="410"/>
      <c r="X16" s="410"/>
      <c r="Y16" s="410"/>
      <c r="Z16" s="410"/>
      <c r="AA16" s="410"/>
      <c r="AB16" s="411"/>
      <c r="AC16" s="408"/>
      <c r="AD16" s="410"/>
      <c r="AE16" s="410"/>
      <c r="AF16" s="410"/>
      <c r="AG16" s="407"/>
      <c r="AH16" s="410"/>
      <c r="AI16" s="410"/>
      <c r="AJ16" s="410"/>
      <c r="AK16" s="410"/>
      <c r="AL16" s="410"/>
      <c r="AM16" s="407"/>
      <c r="AN16" s="408"/>
      <c r="AO16" s="410"/>
      <c r="AP16" s="410"/>
      <c r="AQ16" s="408"/>
      <c r="AR16" s="410"/>
      <c r="AS16" s="410">
        <v>1</v>
      </c>
      <c r="AT16" s="410"/>
      <c r="AU16" s="408"/>
      <c r="AV16" s="408"/>
      <c r="AW16" s="408"/>
      <c r="AX16" s="407" cm="1">
        <f t="array" aca="1" ref="AX16" ca="1">IF($C16="","",IF(AT16=1,1,IF(AZ16&lt;&gt;1,$DF$1,IF(SUMPRODUCT((D16:AT16&gt;=$D$6:$AT$6)*($D$6:$AT$6&lt;&gt;"")*($D$4:$AT$4=1))=COUNTIF($D$4:$AT$4,1),1,0))))</f>
        <v>1</v>
      </c>
      <c r="AY16" s="417"/>
      <c r="AZ16">
        <f t="shared" si="77"/>
        <v>1</v>
      </c>
      <c r="BA16">
        <f t="shared" ca="1" si="81"/>
        <v>0</v>
      </c>
      <c r="BB16">
        <f t="shared" ca="1" si="81"/>
        <v>1</v>
      </c>
      <c r="BC16" s="21">
        <f t="shared" si="33"/>
        <v>1</v>
      </c>
      <c r="BD16" s="21">
        <f t="shared" si="34"/>
        <v>1</v>
      </c>
      <c r="BE16" s="21">
        <f t="shared" si="35"/>
        <v>1</v>
      </c>
      <c r="BF16" s="21">
        <f t="shared" si="36"/>
        <v>1</v>
      </c>
      <c r="BG16" s="21">
        <f t="shared" si="37"/>
        <v>1</v>
      </c>
      <c r="BH16" s="21">
        <f t="shared" si="38"/>
        <v>1</v>
      </c>
      <c r="BI16" s="21">
        <f t="shared" si="39"/>
        <v>1</v>
      </c>
      <c r="BJ16" s="21">
        <f t="shared" si="40"/>
        <v>1</v>
      </c>
      <c r="BK16" s="21">
        <f t="shared" si="41"/>
        <v>1</v>
      </c>
      <c r="BL16" s="21">
        <f t="shared" si="42"/>
        <v>1</v>
      </c>
      <c r="BM16" s="21">
        <f t="shared" si="43"/>
        <v>1</v>
      </c>
      <c r="BN16" s="21">
        <f t="shared" si="44"/>
        <v>1</v>
      </c>
      <c r="BO16" s="21">
        <f t="shared" si="45"/>
        <v>1</v>
      </c>
      <c r="BP16" s="21">
        <f t="shared" si="46"/>
        <v>1</v>
      </c>
      <c r="BQ16" s="21">
        <f t="shared" si="47"/>
        <v>1</v>
      </c>
      <c r="BR16" s="21">
        <f t="shared" si="48"/>
        <v>1</v>
      </c>
      <c r="BS16" s="21">
        <f t="shared" si="49"/>
        <v>1</v>
      </c>
      <c r="BT16" s="21">
        <f t="shared" si="50"/>
        <v>1</v>
      </c>
      <c r="BU16" s="21">
        <f t="shared" si="51"/>
        <v>1</v>
      </c>
      <c r="BV16" s="21">
        <f t="shared" si="52"/>
        <v>1</v>
      </c>
      <c r="BW16" s="21">
        <f t="shared" si="53"/>
        <v>1</v>
      </c>
      <c r="BX16" s="21">
        <f t="shared" si="54"/>
        <v>1</v>
      </c>
      <c r="BY16" s="21">
        <f t="shared" si="55"/>
        <v>1</v>
      </c>
      <c r="BZ16" s="21">
        <f t="shared" si="56"/>
        <v>1</v>
      </c>
      <c r="CA16" s="21">
        <f t="shared" si="57"/>
        <v>1</v>
      </c>
      <c r="CB16" s="21">
        <f t="shared" si="58"/>
        <v>1</v>
      </c>
      <c r="CC16" s="21">
        <f t="shared" si="59"/>
        <v>1</v>
      </c>
      <c r="CD16" s="21">
        <f t="shared" si="60"/>
        <v>1</v>
      </c>
      <c r="CE16" s="21">
        <f t="shared" si="61"/>
        <v>1</v>
      </c>
      <c r="CF16" s="21">
        <f t="shared" si="62"/>
        <v>1</v>
      </c>
      <c r="CG16" s="21">
        <f t="shared" si="63"/>
        <v>1</v>
      </c>
      <c r="CH16" s="21">
        <f t="shared" si="64"/>
        <v>1</v>
      </c>
      <c r="CI16" s="21">
        <f t="shared" si="65"/>
        <v>1</v>
      </c>
      <c r="CJ16" s="21">
        <f t="shared" si="66"/>
        <v>1</v>
      </c>
      <c r="CK16" s="21">
        <f t="shared" si="67"/>
        <v>1</v>
      </c>
      <c r="CL16" s="21">
        <f t="shared" si="68"/>
        <v>1</v>
      </c>
      <c r="CM16" s="21">
        <f t="shared" si="69"/>
        <v>1</v>
      </c>
      <c r="CN16" s="21">
        <f t="shared" si="70"/>
        <v>1</v>
      </c>
      <c r="CO16" s="21">
        <f t="shared" si="71"/>
        <v>1</v>
      </c>
      <c r="CP16" s="21">
        <f t="shared" si="72"/>
        <v>1</v>
      </c>
      <c r="CQ16" s="21">
        <f t="shared" si="73"/>
        <v>1</v>
      </c>
      <c r="CR16" s="21">
        <f t="shared" si="74"/>
        <v>1</v>
      </c>
      <c r="CS16" s="21"/>
      <c r="CT16" s="21"/>
      <c r="CU16" s="21"/>
      <c r="CV16" s="21"/>
      <c r="CW16" s="21"/>
      <c r="CY16">
        <f t="shared" ca="1" si="79"/>
        <v>1</v>
      </c>
      <c r="CZ16">
        <f t="shared" ca="1" si="75"/>
        <v>2</v>
      </c>
      <c r="DA16">
        <f t="shared" ca="1" si="75"/>
        <v>3</v>
      </c>
      <c r="DB16">
        <f t="shared" ca="1" si="75"/>
        <v>4</v>
      </c>
      <c r="DC16">
        <f t="shared" ca="1" si="75"/>
        <v>5</v>
      </c>
      <c r="DD16">
        <f t="shared" ca="1" si="75"/>
        <v>6</v>
      </c>
      <c r="DE16">
        <f t="shared" ca="1" si="75"/>
        <v>7</v>
      </c>
      <c r="DF16">
        <f t="shared" ca="1" si="75"/>
        <v>8</v>
      </c>
      <c r="DG16">
        <f t="shared" ca="1" si="75"/>
        <v>9</v>
      </c>
      <c r="DH16">
        <f t="shared" ca="1" si="75"/>
        <v>10</v>
      </c>
    </row>
    <row r="17" spans="1:112" ht="39" customHeight="1" x14ac:dyDescent="0.25">
      <c r="A17">
        <f t="shared" si="80"/>
        <v>-13</v>
      </c>
      <c r="B17" s="407">
        <f t="shared" ca="1" si="32"/>
        <v>7</v>
      </c>
      <c r="C17" s="409" t="str">
        <f ca="1">'ריכוז נתונים כללים'!D23</f>
        <v>הפדרציה העולמית של יהדות מרוקו</v>
      </c>
      <c r="D17" s="410">
        <v>0</v>
      </c>
      <c r="E17" s="410">
        <v>1</v>
      </c>
      <c r="F17" s="410">
        <v>1</v>
      </c>
      <c r="G17" s="410">
        <v>1</v>
      </c>
      <c r="H17" s="410">
        <v>1</v>
      </c>
      <c r="I17" s="410">
        <v>1</v>
      </c>
      <c r="J17" s="410">
        <v>1</v>
      </c>
      <c r="K17" s="410">
        <v>1</v>
      </c>
      <c r="L17" s="410">
        <v>1</v>
      </c>
      <c r="M17" s="410">
        <v>1</v>
      </c>
      <c r="N17" s="420">
        <v>757947</v>
      </c>
      <c r="O17" s="420">
        <v>757947</v>
      </c>
      <c r="P17" s="407">
        <f t="shared" ca="1" si="76"/>
        <v>1</v>
      </c>
      <c r="Q17" s="410">
        <v>1</v>
      </c>
      <c r="R17" s="410">
        <v>1</v>
      </c>
      <c r="S17" s="410">
        <v>1</v>
      </c>
      <c r="T17" s="410">
        <v>1</v>
      </c>
      <c r="U17" s="410">
        <v>1</v>
      </c>
      <c r="V17" s="410">
        <v>1</v>
      </c>
      <c r="W17" s="410"/>
      <c r="X17" s="410"/>
      <c r="Y17" s="410"/>
      <c r="Z17" s="410"/>
      <c r="AA17" s="410"/>
      <c r="AB17" s="411"/>
      <c r="AC17" s="408"/>
      <c r="AD17" s="410"/>
      <c r="AE17" s="410"/>
      <c r="AF17" s="410"/>
      <c r="AG17" s="407"/>
      <c r="AH17" s="410"/>
      <c r="AI17" s="410"/>
      <c r="AJ17" s="410"/>
      <c r="AK17" s="410"/>
      <c r="AL17" s="410"/>
      <c r="AM17" s="407"/>
      <c r="AN17" s="408"/>
      <c r="AO17" s="410"/>
      <c r="AP17" s="410"/>
      <c r="AQ17" s="408"/>
      <c r="AR17" s="410"/>
      <c r="AS17" s="410">
        <v>1</v>
      </c>
      <c r="AT17" s="410"/>
      <c r="AU17" s="408"/>
      <c r="AV17" s="408"/>
      <c r="AW17" s="408"/>
      <c r="AX17" s="407" cm="1">
        <f t="array" aca="1" ref="AX17" ca="1">IF($C17="","",IF(AT17=1,1,IF(AZ17&lt;&gt;1,$DF$1,IF(SUMPRODUCT((D17:AT17&gt;=$D$6:$AT$6)*($D$6:$AT$6&lt;&gt;"")*($D$4:$AT$4=1))=COUNTIF($D$4:$AT$4,1),1,0))))</f>
        <v>1</v>
      </c>
      <c r="AY17" s="416"/>
      <c r="AZ17">
        <f t="shared" si="77"/>
        <v>1</v>
      </c>
      <c r="BA17">
        <f t="shared" ca="1" si="81"/>
        <v>0</v>
      </c>
      <c r="BB17">
        <f t="shared" ca="1" si="81"/>
        <v>1</v>
      </c>
      <c r="BC17" s="21">
        <f t="shared" si="33"/>
        <v>1</v>
      </c>
      <c r="BD17" s="21">
        <f t="shared" si="34"/>
        <v>1</v>
      </c>
      <c r="BE17" s="21">
        <f t="shared" si="35"/>
        <v>1</v>
      </c>
      <c r="BF17" s="21">
        <f t="shared" si="36"/>
        <v>1</v>
      </c>
      <c r="BG17" s="21">
        <f t="shared" si="37"/>
        <v>1</v>
      </c>
      <c r="BH17" s="21">
        <f t="shared" si="38"/>
        <v>1</v>
      </c>
      <c r="BI17" s="21">
        <f t="shared" si="39"/>
        <v>1</v>
      </c>
      <c r="BJ17" s="21">
        <f t="shared" si="40"/>
        <v>1</v>
      </c>
      <c r="BK17" s="21">
        <f t="shared" si="41"/>
        <v>1</v>
      </c>
      <c r="BL17" s="21">
        <f t="shared" si="42"/>
        <v>1</v>
      </c>
      <c r="BM17" s="21">
        <f t="shared" si="43"/>
        <v>1</v>
      </c>
      <c r="BN17" s="21">
        <f t="shared" si="44"/>
        <v>1</v>
      </c>
      <c r="BO17" s="21">
        <f t="shared" si="45"/>
        <v>1</v>
      </c>
      <c r="BP17" s="21">
        <f t="shared" si="46"/>
        <v>1</v>
      </c>
      <c r="BQ17" s="21">
        <f t="shared" si="47"/>
        <v>1</v>
      </c>
      <c r="BR17" s="21">
        <f t="shared" si="48"/>
        <v>1</v>
      </c>
      <c r="BS17" s="21">
        <f t="shared" si="49"/>
        <v>1</v>
      </c>
      <c r="BT17" s="21">
        <f t="shared" si="50"/>
        <v>1</v>
      </c>
      <c r="BU17" s="21">
        <f t="shared" si="51"/>
        <v>1</v>
      </c>
      <c r="BV17" s="21">
        <f t="shared" si="52"/>
        <v>1</v>
      </c>
      <c r="BW17" s="21">
        <f t="shared" si="53"/>
        <v>1</v>
      </c>
      <c r="BX17" s="21">
        <f t="shared" si="54"/>
        <v>1</v>
      </c>
      <c r="BY17" s="21">
        <f t="shared" si="55"/>
        <v>1</v>
      </c>
      <c r="BZ17" s="21">
        <f t="shared" si="56"/>
        <v>1</v>
      </c>
      <c r="CA17" s="21">
        <f t="shared" si="57"/>
        <v>1</v>
      </c>
      <c r="CB17" s="21">
        <f t="shared" si="58"/>
        <v>1</v>
      </c>
      <c r="CC17" s="21">
        <f t="shared" si="59"/>
        <v>1</v>
      </c>
      <c r="CD17" s="21">
        <f t="shared" si="60"/>
        <v>1</v>
      </c>
      <c r="CE17" s="21">
        <f t="shared" si="61"/>
        <v>1</v>
      </c>
      <c r="CF17" s="21">
        <f t="shared" si="62"/>
        <v>1</v>
      </c>
      <c r="CG17" s="21">
        <f t="shared" si="63"/>
        <v>1</v>
      </c>
      <c r="CH17" s="21">
        <f t="shared" si="64"/>
        <v>1</v>
      </c>
      <c r="CI17" s="21">
        <f t="shared" si="65"/>
        <v>1</v>
      </c>
      <c r="CJ17" s="21">
        <f t="shared" si="66"/>
        <v>1</v>
      </c>
      <c r="CK17" s="21">
        <f t="shared" si="67"/>
        <v>1</v>
      </c>
      <c r="CL17" s="21">
        <f t="shared" si="68"/>
        <v>1</v>
      </c>
      <c r="CM17" s="21">
        <f t="shared" si="69"/>
        <v>1</v>
      </c>
      <c r="CN17" s="21">
        <f t="shared" si="70"/>
        <v>1</v>
      </c>
      <c r="CO17" s="21">
        <f t="shared" si="71"/>
        <v>1</v>
      </c>
      <c r="CP17" s="21">
        <f t="shared" si="72"/>
        <v>1</v>
      </c>
      <c r="CQ17" s="21">
        <f t="shared" si="73"/>
        <v>1</v>
      </c>
      <c r="CR17" s="21">
        <f t="shared" si="74"/>
        <v>1</v>
      </c>
      <c r="CS17" s="21"/>
      <c r="CT17" s="21"/>
      <c r="CU17" s="21"/>
      <c r="CV17" s="21"/>
      <c r="CW17" s="21"/>
      <c r="CY17">
        <f t="shared" ca="1" si="79"/>
        <v>1</v>
      </c>
      <c r="CZ17">
        <f t="shared" ca="1" si="75"/>
        <v>2</v>
      </c>
      <c r="DA17">
        <f t="shared" ca="1" si="75"/>
        <v>3</v>
      </c>
      <c r="DB17">
        <f t="shared" ca="1" si="75"/>
        <v>4</v>
      </c>
      <c r="DC17">
        <f t="shared" ca="1" si="75"/>
        <v>5</v>
      </c>
      <c r="DD17">
        <f t="shared" ca="1" si="75"/>
        <v>6</v>
      </c>
      <c r="DE17">
        <f t="shared" ca="1" si="75"/>
        <v>7</v>
      </c>
      <c r="DF17">
        <f t="shared" ca="1" si="75"/>
        <v>8</v>
      </c>
      <c r="DG17">
        <f t="shared" ca="1" si="75"/>
        <v>9</v>
      </c>
      <c r="DH17">
        <f t="shared" ca="1" si="75"/>
        <v>10</v>
      </c>
    </row>
    <row r="18" spans="1:112" ht="39" customHeight="1" x14ac:dyDescent="0.25">
      <c r="A18">
        <f t="shared" si="80"/>
        <v>-12</v>
      </c>
      <c r="B18" s="407">
        <f t="shared" ca="1" si="32"/>
        <v>8</v>
      </c>
      <c r="C18" s="409" t="str">
        <f ca="1">'ריכוז נתונים כללים'!D24</f>
        <v>אורות הגליל</v>
      </c>
      <c r="D18" s="410">
        <v>0</v>
      </c>
      <c r="E18" s="410">
        <v>1</v>
      </c>
      <c r="F18" s="410">
        <v>1</v>
      </c>
      <c r="G18" s="410">
        <v>1</v>
      </c>
      <c r="H18" s="410">
        <v>1</v>
      </c>
      <c r="I18" s="410">
        <v>1</v>
      </c>
      <c r="J18" s="410">
        <v>1</v>
      </c>
      <c r="K18" s="410">
        <v>1</v>
      </c>
      <c r="L18" s="410">
        <v>1</v>
      </c>
      <c r="M18" s="410">
        <v>1</v>
      </c>
      <c r="N18" s="420">
        <v>640193</v>
      </c>
      <c r="O18" s="420">
        <v>640193</v>
      </c>
      <c r="P18" s="407">
        <f t="shared" ca="1" si="76"/>
        <v>1</v>
      </c>
      <c r="Q18" s="410">
        <v>1</v>
      </c>
      <c r="R18" s="410">
        <v>1</v>
      </c>
      <c r="S18" s="410">
        <v>1</v>
      </c>
      <c r="T18" s="410">
        <v>1</v>
      </c>
      <c r="U18" s="410">
        <v>1</v>
      </c>
      <c r="V18" s="410">
        <v>1</v>
      </c>
      <c r="W18" s="410"/>
      <c r="X18" s="410"/>
      <c r="Y18" s="410"/>
      <c r="Z18" s="410"/>
      <c r="AA18" s="410"/>
      <c r="AB18" s="411"/>
      <c r="AC18" s="408"/>
      <c r="AD18" s="410"/>
      <c r="AE18" s="410"/>
      <c r="AF18" s="410"/>
      <c r="AG18" s="407"/>
      <c r="AH18" s="410"/>
      <c r="AI18" s="410"/>
      <c r="AJ18" s="410"/>
      <c r="AK18" s="410"/>
      <c r="AL18" s="410"/>
      <c r="AM18" s="407"/>
      <c r="AN18" s="408"/>
      <c r="AO18" s="410"/>
      <c r="AP18" s="410"/>
      <c r="AQ18" s="408"/>
      <c r="AR18" s="410"/>
      <c r="AS18" s="410">
        <v>1</v>
      </c>
      <c r="AT18" s="410"/>
      <c r="AU18" s="408"/>
      <c r="AV18" s="408"/>
      <c r="AW18" s="408"/>
      <c r="AX18" s="407" cm="1">
        <f t="array" aca="1" ref="AX18" ca="1">IF($C18="","",IF(AT18=1,1,IF(AZ18&lt;&gt;1,$DF$1,IF(SUMPRODUCT((D18:AT18&gt;=$D$6:$AT$6)*($D$6:$AT$6&lt;&gt;"")*($D$4:$AT$4=1))=COUNTIF($D$4:$AT$4,1),1,0))))</f>
        <v>1</v>
      </c>
      <c r="AY18" s="416"/>
      <c r="AZ18">
        <f t="shared" si="77"/>
        <v>1</v>
      </c>
      <c r="BA18">
        <f t="shared" ca="1" si="81"/>
        <v>0</v>
      </c>
      <c r="BB18">
        <f t="shared" ca="1" si="81"/>
        <v>1</v>
      </c>
      <c r="BC18" s="21">
        <f t="shared" si="33"/>
        <v>1</v>
      </c>
      <c r="BD18" s="21">
        <f t="shared" si="34"/>
        <v>1</v>
      </c>
      <c r="BE18" s="21">
        <f t="shared" si="35"/>
        <v>1</v>
      </c>
      <c r="BF18" s="21">
        <f t="shared" si="36"/>
        <v>1</v>
      </c>
      <c r="BG18" s="21">
        <f t="shared" si="37"/>
        <v>1</v>
      </c>
      <c r="BH18" s="21">
        <f t="shared" si="38"/>
        <v>1</v>
      </c>
      <c r="BI18" s="21">
        <f t="shared" si="39"/>
        <v>1</v>
      </c>
      <c r="BJ18" s="21">
        <f t="shared" si="40"/>
        <v>1</v>
      </c>
      <c r="BK18" s="21">
        <f t="shared" si="41"/>
        <v>1</v>
      </c>
      <c r="BL18" s="21">
        <f t="shared" si="42"/>
        <v>1</v>
      </c>
      <c r="BM18" s="21">
        <f t="shared" si="43"/>
        <v>1</v>
      </c>
      <c r="BN18" s="21">
        <f t="shared" si="44"/>
        <v>1</v>
      </c>
      <c r="BO18" s="21">
        <f t="shared" si="45"/>
        <v>1</v>
      </c>
      <c r="BP18" s="21">
        <f t="shared" si="46"/>
        <v>1</v>
      </c>
      <c r="BQ18" s="21">
        <f t="shared" si="47"/>
        <v>1</v>
      </c>
      <c r="BR18" s="21">
        <f t="shared" si="48"/>
        <v>1</v>
      </c>
      <c r="BS18" s="21">
        <f t="shared" si="49"/>
        <v>1</v>
      </c>
      <c r="BT18" s="21">
        <f t="shared" si="50"/>
        <v>1</v>
      </c>
      <c r="BU18" s="21">
        <f t="shared" si="51"/>
        <v>1</v>
      </c>
      <c r="BV18" s="21">
        <f t="shared" si="52"/>
        <v>1</v>
      </c>
      <c r="BW18" s="21">
        <f t="shared" si="53"/>
        <v>1</v>
      </c>
      <c r="BX18" s="21">
        <f t="shared" si="54"/>
        <v>1</v>
      </c>
      <c r="BY18" s="21">
        <f t="shared" si="55"/>
        <v>1</v>
      </c>
      <c r="BZ18" s="21">
        <f t="shared" si="56"/>
        <v>1</v>
      </c>
      <c r="CA18" s="21">
        <f t="shared" si="57"/>
        <v>1</v>
      </c>
      <c r="CB18" s="21">
        <f t="shared" si="58"/>
        <v>1</v>
      </c>
      <c r="CC18" s="21">
        <f t="shared" si="59"/>
        <v>1</v>
      </c>
      <c r="CD18" s="21">
        <f t="shared" si="60"/>
        <v>1</v>
      </c>
      <c r="CE18" s="21">
        <f t="shared" si="61"/>
        <v>1</v>
      </c>
      <c r="CF18" s="21">
        <f t="shared" si="62"/>
        <v>1</v>
      </c>
      <c r="CG18" s="21">
        <f t="shared" si="63"/>
        <v>1</v>
      </c>
      <c r="CH18" s="21">
        <f t="shared" si="64"/>
        <v>1</v>
      </c>
      <c r="CI18" s="21">
        <f t="shared" si="65"/>
        <v>1</v>
      </c>
      <c r="CJ18" s="21">
        <f t="shared" si="66"/>
        <v>1</v>
      </c>
      <c r="CK18" s="21">
        <f t="shared" si="67"/>
        <v>1</v>
      </c>
      <c r="CL18" s="21">
        <f t="shared" si="68"/>
        <v>1</v>
      </c>
      <c r="CM18" s="21">
        <f t="shared" si="69"/>
        <v>1</v>
      </c>
      <c r="CN18" s="21">
        <f t="shared" si="70"/>
        <v>1</v>
      </c>
      <c r="CO18" s="21">
        <f t="shared" si="71"/>
        <v>1</v>
      </c>
      <c r="CP18" s="21">
        <f t="shared" si="72"/>
        <v>1</v>
      </c>
      <c r="CQ18" s="21">
        <f t="shared" si="73"/>
        <v>1</v>
      </c>
      <c r="CR18" s="21">
        <f t="shared" si="74"/>
        <v>1</v>
      </c>
      <c r="CS18" s="21"/>
      <c r="CT18" s="21"/>
      <c r="CU18" s="21"/>
      <c r="CV18" s="21"/>
      <c r="CW18" s="21"/>
      <c r="CY18">
        <f t="shared" ca="1" si="79"/>
        <v>1</v>
      </c>
      <c r="CZ18">
        <f t="shared" ca="1" si="75"/>
        <v>2</v>
      </c>
      <c r="DA18">
        <f t="shared" ca="1" si="75"/>
        <v>3</v>
      </c>
      <c r="DB18">
        <f t="shared" ca="1" si="75"/>
        <v>4</v>
      </c>
      <c r="DC18">
        <f t="shared" ca="1" si="75"/>
        <v>5</v>
      </c>
      <c r="DD18">
        <f t="shared" ca="1" si="75"/>
        <v>6</v>
      </c>
      <c r="DE18">
        <f t="shared" ca="1" si="75"/>
        <v>7</v>
      </c>
      <c r="DF18">
        <f t="shared" ca="1" si="75"/>
        <v>8</v>
      </c>
      <c r="DG18">
        <f t="shared" ca="1" si="75"/>
        <v>9</v>
      </c>
      <c r="DH18">
        <f t="shared" ca="1" si="75"/>
        <v>10</v>
      </c>
    </row>
    <row r="19" spans="1:112" ht="39" customHeight="1" x14ac:dyDescent="0.25">
      <c r="A19">
        <f t="shared" si="80"/>
        <v>-11</v>
      </c>
      <c r="B19" s="407">
        <f t="shared" ca="1" si="32"/>
        <v>9</v>
      </c>
      <c r="C19" s="409" t="str">
        <f ca="1">'ריכוז נתונים כללים'!D25</f>
        <v>אלמז</v>
      </c>
      <c r="D19" s="410">
        <v>0</v>
      </c>
      <c r="E19" s="410">
        <v>1</v>
      </c>
      <c r="F19" s="410">
        <v>1</v>
      </c>
      <c r="G19" s="410">
        <v>1</v>
      </c>
      <c r="H19" s="410">
        <v>1</v>
      </c>
      <c r="I19" s="410">
        <v>1</v>
      </c>
      <c r="J19" s="410">
        <v>1</v>
      </c>
      <c r="K19" s="410">
        <v>1</v>
      </c>
      <c r="L19" s="410">
        <v>1</v>
      </c>
      <c r="M19" s="410">
        <v>1</v>
      </c>
      <c r="N19" s="420">
        <v>215793</v>
      </c>
      <c r="O19" s="420">
        <v>215793</v>
      </c>
      <c r="P19" s="407">
        <f t="shared" ca="1" si="76"/>
        <v>1</v>
      </c>
      <c r="Q19" s="410">
        <v>1</v>
      </c>
      <c r="R19" s="410">
        <v>1</v>
      </c>
      <c r="S19" s="410">
        <v>1</v>
      </c>
      <c r="T19" s="410">
        <v>1</v>
      </c>
      <c r="U19" s="410">
        <v>1</v>
      </c>
      <c r="V19" s="410">
        <v>1</v>
      </c>
      <c r="W19" s="410"/>
      <c r="X19" s="410"/>
      <c r="Y19" s="410"/>
      <c r="Z19" s="410"/>
      <c r="AA19" s="410"/>
      <c r="AB19" s="411"/>
      <c r="AC19" s="408"/>
      <c r="AD19" s="410"/>
      <c r="AE19" s="410"/>
      <c r="AF19" s="410"/>
      <c r="AG19" s="407"/>
      <c r="AH19" s="410"/>
      <c r="AI19" s="410"/>
      <c r="AJ19" s="410"/>
      <c r="AK19" s="410"/>
      <c r="AL19" s="410"/>
      <c r="AM19" s="407"/>
      <c r="AN19" s="408"/>
      <c r="AO19" s="410"/>
      <c r="AP19" s="410"/>
      <c r="AQ19" s="408"/>
      <c r="AR19" s="410"/>
      <c r="AS19" s="410">
        <v>1</v>
      </c>
      <c r="AT19" s="410"/>
      <c r="AU19" s="408"/>
      <c r="AV19" s="408"/>
      <c r="AW19" s="408"/>
      <c r="AX19" s="407" cm="1">
        <f t="array" aca="1" ref="AX19" ca="1">IF($C19="","",IF(AT19=1,1,IF(AZ19&lt;&gt;1,$DF$1,IF(SUMPRODUCT((D19:AT19&gt;=$D$6:$AT$6)*($D$6:$AT$6&lt;&gt;"")*($D$4:$AT$4=1))=COUNTIF($D$4:$AT$4,1),1,0))))</f>
        <v>1</v>
      </c>
      <c r="AY19" s="417"/>
      <c r="AZ19">
        <f t="shared" si="77"/>
        <v>1</v>
      </c>
      <c r="BA19">
        <f t="shared" ca="1" si="81"/>
        <v>0</v>
      </c>
      <c r="BB19">
        <f t="shared" ca="1" si="81"/>
        <v>1</v>
      </c>
      <c r="BC19" s="21">
        <f t="shared" si="33"/>
        <v>1</v>
      </c>
      <c r="BD19" s="21">
        <f t="shared" si="34"/>
        <v>1</v>
      </c>
      <c r="BE19" s="21">
        <f t="shared" si="35"/>
        <v>1</v>
      </c>
      <c r="BF19" s="21">
        <f t="shared" si="36"/>
        <v>1</v>
      </c>
      <c r="BG19" s="21">
        <f t="shared" si="37"/>
        <v>1</v>
      </c>
      <c r="BH19" s="21">
        <f t="shared" si="38"/>
        <v>1</v>
      </c>
      <c r="BI19" s="21">
        <f t="shared" si="39"/>
        <v>1</v>
      </c>
      <c r="BJ19" s="21">
        <f t="shared" si="40"/>
        <v>1</v>
      </c>
      <c r="BK19" s="21">
        <f t="shared" si="41"/>
        <v>1</v>
      </c>
      <c r="BL19" s="21">
        <f t="shared" si="42"/>
        <v>1</v>
      </c>
      <c r="BM19" s="21">
        <f t="shared" si="43"/>
        <v>1</v>
      </c>
      <c r="BN19" s="21">
        <f t="shared" si="44"/>
        <v>1</v>
      </c>
      <c r="BO19" s="21">
        <f t="shared" si="45"/>
        <v>1</v>
      </c>
      <c r="BP19" s="21">
        <f t="shared" si="46"/>
        <v>1</v>
      </c>
      <c r="BQ19" s="21">
        <f t="shared" si="47"/>
        <v>1</v>
      </c>
      <c r="BR19" s="21">
        <f t="shared" si="48"/>
        <v>1</v>
      </c>
      <c r="BS19" s="21">
        <f t="shared" si="49"/>
        <v>1</v>
      </c>
      <c r="BT19" s="21">
        <f t="shared" si="50"/>
        <v>1</v>
      </c>
      <c r="BU19" s="21">
        <f t="shared" si="51"/>
        <v>1</v>
      </c>
      <c r="BV19" s="21">
        <f t="shared" si="52"/>
        <v>1</v>
      </c>
      <c r="BW19" s="21">
        <f t="shared" si="53"/>
        <v>1</v>
      </c>
      <c r="BX19" s="21">
        <f t="shared" si="54"/>
        <v>1</v>
      </c>
      <c r="BY19" s="21">
        <f t="shared" si="55"/>
        <v>1</v>
      </c>
      <c r="BZ19" s="21">
        <f t="shared" si="56"/>
        <v>1</v>
      </c>
      <c r="CA19" s="21">
        <f t="shared" si="57"/>
        <v>1</v>
      </c>
      <c r="CB19" s="21">
        <f t="shared" si="58"/>
        <v>1</v>
      </c>
      <c r="CC19" s="21">
        <f t="shared" si="59"/>
        <v>1</v>
      </c>
      <c r="CD19" s="21">
        <f t="shared" si="60"/>
        <v>1</v>
      </c>
      <c r="CE19" s="21">
        <f t="shared" si="61"/>
        <v>1</v>
      </c>
      <c r="CF19" s="21">
        <f t="shared" si="62"/>
        <v>1</v>
      </c>
      <c r="CG19" s="21">
        <f t="shared" si="63"/>
        <v>1</v>
      </c>
      <c r="CH19" s="21">
        <f t="shared" si="64"/>
        <v>1</v>
      </c>
      <c r="CI19" s="21">
        <f t="shared" si="65"/>
        <v>1</v>
      </c>
      <c r="CJ19" s="21">
        <f t="shared" si="66"/>
        <v>1</v>
      </c>
      <c r="CK19" s="21">
        <f t="shared" si="67"/>
        <v>1</v>
      </c>
      <c r="CL19" s="21">
        <f t="shared" si="68"/>
        <v>1</v>
      </c>
      <c r="CM19" s="21">
        <f t="shared" si="69"/>
        <v>1</v>
      </c>
      <c r="CN19" s="21">
        <f t="shared" si="70"/>
        <v>1</v>
      </c>
      <c r="CO19" s="21">
        <f t="shared" si="71"/>
        <v>1</v>
      </c>
      <c r="CP19" s="21">
        <f t="shared" si="72"/>
        <v>1</v>
      </c>
      <c r="CQ19" s="21">
        <f t="shared" si="73"/>
        <v>1</v>
      </c>
      <c r="CR19" s="21">
        <f t="shared" si="74"/>
        <v>1</v>
      </c>
      <c r="CS19" s="21"/>
      <c r="CT19" s="21"/>
      <c r="CU19" s="21"/>
      <c r="CV19" s="21"/>
      <c r="CW19" s="21"/>
      <c r="CY19">
        <f t="shared" ca="1" si="79"/>
        <v>1</v>
      </c>
      <c r="CZ19">
        <f t="shared" ca="1" si="75"/>
        <v>2</v>
      </c>
      <c r="DA19">
        <f t="shared" ca="1" si="75"/>
        <v>3</v>
      </c>
      <c r="DB19">
        <f t="shared" ca="1" si="75"/>
        <v>4</v>
      </c>
      <c r="DC19">
        <f t="shared" ca="1" si="75"/>
        <v>5</v>
      </c>
      <c r="DD19">
        <f t="shared" ca="1" si="75"/>
        <v>6</v>
      </c>
      <c r="DE19">
        <f t="shared" ca="1" si="75"/>
        <v>7</v>
      </c>
      <c r="DF19">
        <f t="shared" ca="1" si="75"/>
        <v>8</v>
      </c>
      <c r="DG19">
        <f t="shared" ca="1" si="75"/>
        <v>9</v>
      </c>
      <c r="DH19">
        <f t="shared" ca="1" si="75"/>
        <v>10</v>
      </c>
    </row>
    <row r="20" spans="1:112" ht="39" customHeight="1" x14ac:dyDescent="0.25">
      <c r="A20">
        <f t="shared" si="80"/>
        <v>-10</v>
      </c>
      <c r="B20" s="407">
        <f t="shared" ca="1" si="32"/>
        <v>10</v>
      </c>
      <c r="C20" s="409" t="str">
        <f ca="1">'ריכוז נתונים כללים'!D26</f>
        <v>קונגרס יהודי בוכרה</v>
      </c>
      <c r="D20" s="410">
        <v>0</v>
      </c>
      <c r="E20" s="410">
        <v>1</v>
      </c>
      <c r="F20" s="410">
        <v>1</v>
      </c>
      <c r="G20" s="410">
        <v>1</v>
      </c>
      <c r="H20" s="410">
        <v>1</v>
      </c>
      <c r="I20" s="410">
        <v>1</v>
      </c>
      <c r="J20" s="410">
        <v>1</v>
      </c>
      <c r="K20" s="410">
        <v>1</v>
      </c>
      <c r="L20" s="410">
        <v>1</v>
      </c>
      <c r="M20" s="410">
        <v>1</v>
      </c>
      <c r="N20" s="420">
        <v>3331514</v>
      </c>
      <c r="O20" s="420">
        <v>3331514</v>
      </c>
      <c r="P20" s="407">
        <f t="shared" ca="1" si="76"/>
        <v>1</v>
      </c>
      <c r="Q20" s="410">
        <v>1</v>
      </c>
      <c r="R20" s="410">
        <v>1</v>
      </c>
      <c r="S20" s="410">
        <v>1</v>
      </c>
      <c r="T20" s="410">
        <v>1</v>
      </c>
      <c r="U20" s="410">
        <v>1</v>
      </c>
      <c r="V20" s="410">
        <v>1</v>
      </c>
      <c r="W20" s="410"/>
      <c r="X20" s="410"/>
      <c r="Y20" s="410"/>
      <c r="Z20" s="410"/>
      <c r="AA20" s="410"/>
      <c r="AB20" s="411"/>
      <c r="AC20" s="408"/>
      <c r="AD20" s="410"/>
      <c r="AE20" s="410"/>
      <c r="AF20" s="410"/>
      <c r="AG20" s="407"/>
      <c r="AH20" s="410"/>
      <c r="AI20" s="410"/>
      <c r="AJ20" s="410"/>
      <c r="AK20" s="410"/>
      <c r="AL20" s="410"/>
      <c r="AM20" s="407"/>
      <c r="AN20" s="408"/>
      <c r="AO20" s="410"/>
      <c r="AP20" s="410"/>
      <c r="AQ20" s="408"/>
      <c r="AR20" s="410"/>
      <c r="AS20" s="410">
        <v>1</v>
      </c>
      <c r="AT20" s="410"/>
      <c r="AU20" s="408"/>
      <c r="AV20" s="408"/>
      <c r="AW20" s="408"/>
      <c r="AX20" s="407" cm="1">
        <f t="array" aca="1" ref="AX20" ca="1">IF($C20="","",IF(AT20=1,1,IF(AZ20&lt;&gt;1,$DF$1,IF(SUMPRODUCT((D20:AT20&gt;=$D$6:$AT$6)*($D$6:$AT$6&lt;&gt;"")*($D$4:$AT$4=1))=COUNTIF($D$4:$AT$4,1),1,0))))</f>
        <v>1</v>
      </c>
      <c r="AY20" s="418"/>
      <c r="AZ20">
        <f t="shared" si="77"/>
        <v>1</v>
      </c>
      <c r="BA20">
        <f t="shared" ca="1" si="81"/>
        <v>0</v>
      </c>
      <c r="BB20">
        <f t="shared" ca="1" si="81"/>
        <v>1</v>
      </c>
      <c r="BC20" s="21">
        <f t="shared" si="33"/>
        <v>1</v>
      </c>
      <c r="BD20" s="21">
        <f t="shared" si="34"/>
        <v>1</v>
      </c>
      <c r="BE20" s="21">
        <f t="shared" si="35"/>
        <v>1</v>
      </c>
      <c r="BF20" s="21">
        <f t="shared" si="36"/>
        <v>1</v>
      </c>
      <c r="BG20" s="21">
        <f t="shared" si="37"/>
        <v>1</v>
      </c>
      <c r="BH20" s="21">
        <f t="shared" si="38"/>
        <v>1</v>
      </c>
      <c r="BI20" s="21">
        <f t="shared" si="39"/>
        <v>1</v>
      </c>
      <c r="BJ20" s="21">
        <f t="shared" si="40"/>
        <v>1</v>
      </c>
      <c r="BK20" s="21">
        <f t="shared" si="41"/>
        <v>1</v>
      </c>
      <c r="BL20" s="21">
        <f t="shared" si="42"/>
        <v>1</v>
      </c>
      <c r="BM20" s="21">
        <f t="shared" si="43"/>
        <v>1</v>
      </c>
      <c r="BN20" s="21">
        <f t="shared" si="44"/>
        <v>1</v>
      </c>
      <c r="BO20" s="21">
        <f t="shared" si="45"/>
        <v>1</v>
      </c>
      <c r="BP20" s="21">
        <f t="shared" si="46"/>
        <v>1</v>
      </c>
      <c r="BQ20" s="21">
        <f t="shared" si="47"/>
        <v>1</v>
      </c>
      <c r="BR20" s="21">
        <f t="shared" si="48"/>
        <v>1</v>
      </c>
      <c r="BS20" s="21">
        <f t="shared" si="49"/>
        <v>1</v>
      </c>
      <c r="BT20" s="21">
        <f t="shared" si="50"/>
        <v>1</v>
      </c>
      <c r="BU20" s="21">
        <f t="shared" si="51"/>
        <v>1</v>
      </c>
      <c r="BV20" s="21">
        <f t="shared" si="52"/>
        <v>1</v>
      </c>
      <c r="BW20" s="21">
        <f t="shared" si="53"/>
        <v>1</v>
      </c>
      <c r="BX20" s="21">
        <f t="shared" si="54"/>
        <v>1</v>
      </c>
      <c r="BY20" s="21">
        <f t="shared" si="55"/>
        <v>1</v>
      </c>
      <c r="BZ20" s="21">
        <f t="shared" si="56"/>
        <v>1</v>
      </c>
      <c r="CA20" s="21">
        <f t="shared" si="57"/>
        <v>1</v>
      </c>
      <c r="CB20" s="21">
        <f t="shared" si="58"/>
        <v>1</v>
      </c>
      <c r="CC20" s="21">
        <f t="shared" si="59"/>
        <v>1</v>
      </c>
      <c r="CD20" s="21">
        <f t="shared" si="60"/>
        <v>1</v>
      </c>
      <c r="CE20" s="21">
        <f t="shared" si="61"/>
        <v>1</v>
      </c>
      <c r="CF20" s="21">
        <f t="shared" si="62"/>
        <v>1</v>
      </c>
      <c r="CG20" s="21">
        <f t="shared" si="63"/>
        <v>1</v>
      </c>
      <c r="CH20" s="21">
        <f t="shared" si="64"/>
        <v>1</v>
      </c>
      <c r="CI20" s="21">
        <f t="shared" si="65"/>
        <v>1</v>
      </c>
      <c r="CJ20" s="21">
        <f t="shared" si="66"/>
        <v>1</v>
      </c>
      <c r="CK20" s="21">
        <f t="shared" si="67"/>
        <v>1</v>
      </c>
      <c r="CL20" s="21">
        <f t="shared" si="68"/>
        <v>1</v>
      </c>
      <c r="CM20" s="21">
        <f t="shared" si="69"/>
        <v>1</v>
      </c>
      <c r="CN20" s="21">
        <f t="shared" si="70"/>
        <v>1</v>
      </c>
      <c r="CO20" s="21">
        <f t="shared" si="71"/>
        <v>1</v>
      </c>
      <c r="CP20" s="21">
        <f t="shared" si="72"/>
        <v>1</v>
      </c>
      <c r="CQ20" s="21">
        <f t="shared" si="73"/>
        <v>1</v>
      </c>
      <c r="CR20" s="21">
        <f t="shared" si="74"/>
        <v>1</v>
      </c>
      <c r="CS20" s="21"/>
      <c r="CT20" s="21"/>
      <c r="CU20" s="21"/>
      <c r="CV20" s="21"/>
      <c r="CW20" s="21"/>
      <c r="CY20">
        <f t="shared" ca="1" si="79"/>
        <v>1</v>
      </c>
      <c r="CZ20">
        <f t="shared" ca="1" si="75"/>
        <v>2</v>
      </c>
      <c r="DA20">
        <f t="shared" ca="1" si="75"/>
        <v>3</v>
      </c>
      <c r="DB20">
        <f t="shared" ca="1" si="75"/>
        <v>4</v>
      </c>
      <c r="DC20">
        <f t="shared" ca="1" si="75"/>
        <v>5</v>
      </c>
      <c r="DD20">
        <f t="shared" ca="1" si="75"/>
        <v>6</v>
      </c>
      <c r="DE20">
        <f t="shared" ca="1" si="75"/>
        <v>7</v>
      </c>
      <c r="DF20">
        <f t="shared" ca="1" si="75"/>
        <v>8</v>
      </c>
      <c r="DG20">
        <f t="shared" ca="1" si="75"/>
        <v>9</v>
      </c>
      <c r="DH20">
        <f t="shared" ca="1" si="75"/>
        <v>10</v>
      </c>
    </row>
    <row r="21" spans="1:112" ht="39" customHeight="1" x14ac:dyDescent="0.25">
      <c r="A21">
        <f t="shared" si="80"/>
        <v>-9</v>
      </c>
      <c r="B21" s="407">
        <f t="shared" ca="1" si="32"/>
        <v>11</v>
      </c>
      <c r="C21" s="409" t="str">
        <f ca="1">'ריכוז נתונים כללים'!D27</f>
        <v>יהדות שאלוניקי יוון</v>
      </c>
      <c r="D21" s="410">
        <v>0</v>
      </c>
      <c r="E21" s="410">
        <v>1</v>
      </c>
      <c r="F21" s="410">
        <v>1</v>
      </c>
      <c r="G21" s="410">
        <v>1</v>
      </c>
      <c r="H21" s="410">
        <v>1</v>
      </c>
      <c r="I21" s="410">
        <v>1</v>
      </c>
      <c r="J21" s="410">
        <v>1</v>
      </c>
      <c r="K21" s="410">
        <v>1</v>
      </c>
      <c r="L21" s="410">
        <v>1</v>
      </c>
      <c r="M21" s="410">
        <v>1</v>
      </c>
      <c r="N21" s="420">
        <v>1847782</v>
      </c>
      <c r="O21" s="420">
        <v>1847782</v>
      </c>
      <c r="P21" s="407">
        <f t="shared" ca="1" si="76"/>
        <v>1</v>
      </c>
      <c r="Q21" s="410">
        <v>1</v>
      </c>
      <c r="R21" s="410">
        <v>1</v>
      </c>
      <c r="S21" s="410">
        <v>1</v>
      </c>
      <c r="T21" s="410">
        <v>1</v>
      </c>
      <c r="U21" s="410">
        <v>1</v>
      </c>
      <c r="V21" s="410">
        <v>1</v>
      </c>
      <c r="W21" s="410"/>
      <c r="X21" s="410"/>
      <c r="Y21" s="410"/>
      <c r="Z21" s="410"/>
      <c r="AA21" s="410"/>
      <c r="AB21" s="411"/>
      <c r="AC21" s="408"/>
      <c r="AD21" s="410"/>
      <c r="AE21" s="410"/>
      <c r="AF21" s="410"/>
      <c r="AG21" s="407"/>
      <c r="AH21" s="410"/>
      <c r="AI21" s="410"/>
      <c r="AJ21" s="410"/>
      <c r="AK21" s="410"/>
      <c r="AL21" s="410"/>
      <c r="AM21" s="407"/>
      <c r="AN21" s="408"/>
      <c r="AO21" s="410"/>
      <c r="AP21" s="410"/>
      <c r="AQ21" s="408"/>
      <c r="AR21" s="410"/>
      <c r="AS21" s="410">
        <v>1</v>
      </c>
      <c r="AT21" s="410"/>
      <c r="AU21" s="408"/>
      <c r="AV21" s="408"/>
      <c r="AW21" s="408"/>
      <c r="AX21" s="407" cm="1">
        <f t="array" aca="1" ref="AX21" ca="1">IF($C21="","",IF(AT21=1,1,IF(AZ21&lt;&gt;1,$DF$1,IF(SUMPRODUCT((D21:AT21&gt;=$D$6:$AT$6)*($D$6:$AT$6&lt;&gt;"")*($D$4:$AT$4=1))=COUNTIF($D$4:$AT$4,1),1,0))))</f>
        <v>1</v>
      </c>
      <c r="AY21" s="417"/>
      <c r="AZ21">
        <f t="shared" si="77"/>
        <v>1</v>
      </c>
      <c r="BA21">
        <f t="shared" ca="1" si="81"/>
        <v>0</v>
      </c>
      <c r="BB21">
        <f t="shared" ca="1" si="81"/>
        <v>1</v>
      </c>
      <c r="BC21" s="21">
        <f t="shared" si="33"/>
        <v>1</v>
      </c>
      <c r="BD21" s="21">
        <f t="shared" si="34"/>
        <v>1</v>
      </c>
      <c r="BE21" s="21">
        <f t="shared" si="35"/>
        <v>1</v>
      </c>
      <c r="BF21" s="21">
        <f t="shared" si="36"/>
        <v>1</v>
      </c>
      <c r="BG21" s="21">
        <f t="shared" si="37"/>
        <v>1</v>
      </c>
      <c r="BH21" s="21">
        <f t="shared" si="38"/>
        <v>1</v>
      </c>
      <c r="BI21" s="21">
        <f t="shared" si="39"/>
        <v>1</v>
      </c>
      <c r="BJ21" s="21">
        <f t="shared" si="40"/>
        <v>1</v>
      </c>
      <c r="BK21" s="21">
        <f t="shared" si="41"/>
        <v>1</v>
      </c>
      <c r="BL21" s="21">
        <f t="shared" si="42"/>
        <v>1</v>
      </c>
      <c r="BM21" s="21">
        <f t="shared" si="43"/>
        <v>1</v>
      </c>
      <c r="BN21" s="21">
        <f t="shared" si="44"/>
        <v>1</v>
      </c>
      <c r="BO21" s="21">
        <f t="shared" si="45"/>
        <v>1</v>
      </c>
      <c r="BP21" s="21">
        <f t="shared" si="46"/>
        <v>1</v>
      </c>
      <c r="BQ21" s="21">
        <f t="shared" si="47"/>
        <v>1</v>
      </c>
      <c r="BR21" s="21">
        <f t="shared" si="48"/>
        <v>1</v>
      </c>
      <c r="BS21" s="21">
        <f t="shared" si="49"/>
        <v>1</v>
      </c>
      <c r="BT21" s="21">
        <f t="shared" si="50"/>
        <v>1</v>
      </c>
      <c r="BU21" s="21">
        <f t="shared" si="51"/>
        <v>1</v>
      </c>
      <c r="BV21" s="21">
        <f t="shared" si="52"/>
        <v>1</v>
      </c>
      <c r="BW21" s="21">
        <f t="shared" si="53"/>
        <v>1</v>
      </c>
      <c r="BX21" s="21">
        <f t="shared" si="54"/>
        <v>1</v>
      </c>
      <c r="BY21" s="21">
        <f t="shared" si="55"/>
        <v>1</v>
      </c>
      <c r="BZ21" s="21">
        <f t="shared" si="56"/>
        <v>1</v>
      </c>
      <c r="CA21" s="21">
        <f t="shared" si="57"/>
        <v>1</v>
      </c>
      <c r="CB21" s="21">
        <f t="shared" si="58"/>
        <v>1</v>
      </c>
      <c r="CC21" s="21">
        <f t="shared" si="59"/>
        <v>1</v>
      </c>
      <c r="CD21" s="21">
        <f t="shared" si="60"/>
        <v>1</v>
      </c>
      <c r="CE21" s="21">
        <f t="shared" si="61"/>
        <v>1</v>
      </c>
      <c r="CF21" s="21">
        <f t="shared" si="62"/>
        <v>1</v>
      </c>
      <c r="CG21" s="21">
        <f t="shared" si="63"/>
        <v>1</v>
      </c>
      <c r="CH21" s="21">
        <f t="shared" si="64"/>
        <v>1</v>
      </c>
      <c r="CI21" s="21">
        <f t="shared" si="65"/>
        <v>1</v>
      </c>
      <c r="CJ21" s="21">
        <f t="shared" si="66"/>
        <v>1</v>
      </c>
      <c r="CK21" s="21">
        <f t="shared" si="67"/>
        <v>1</v>
      </c>
      <c r="CL21" s="21">
        <f t="shared" si="68"/>
        <v>1</v>
      </c>
      <c r="CM21" s="21">
        <f t="shared" si="69"/>
        <v>1</v>
      </c>
      <c r="CN21" s="21">
        <f t="shared" si="70"/>
        <v>1</v>
      </c>
      <c r="CO21" s="21">
        <f t="shared" si="71"/>
        <v>1</v>
      </c>
      <c r="CP21" s="21">
        <f t="shared" si="72"/>
        <v>1</v>
      </c>
      <c r="CQ21" s="21">
        <f t="shared" si="73"/>
        <v>1</v>
      </c>
      <c r="CR21" s="21">
        <f t="shared" si="74"/>
        <v>1</v>
      </c>
      <c r="CS21" s="21"/>
      <c r="CT21" s="21"/>
      <c r="CU21" s="21"/>
      <c r="CV21" s="21"/>
      <c r="CW21" s="21"/>
      <c r="CY21">
        <f t="shared" ca="1" si="79"/>
        <v>1</v>
      </c>
      <c r="CZ21">
        <f t="shared" ca="1" si="75"/>
        <v>2</v>
      </c>
      <c r="DA21">
        <f t="shared" ca="1" si="75"/>
        <v>3</v>
      </c>
      <c r="DB21">
        <f t="shared" ca="1" si="75"/>
        <v>4</v>
      </c>
      <c r="DC21">
        <f t="shared" ca="1" si="75"/>
        <v>5</v>
      </c>
      <c r="DD21">
        <f t="shared" ca="1" si="75"/>
        <v>6</v>
      </c>
      <c r="DE21">
        <f t="shared" ca="1" si="75"/>
        <v>7</v>
      </c>
      <c r="DF21">
        <f t="shared" ca="1" si="75"/>
        <v>8</v>
      </c>
      <c r="DG21">
        <f t="shared" ca="1" si="75"/>
        <v>9</v>
      </c>
      <c r="DH21">
        <f t="shared" ca="1" si="75"/>
        <v>10</v>
      </c>
    </row>
    <row r="22" spans="1:112" ht="39" hidden="1" customHeight="1" x14ac:dyDescent="0.25">
      <c r="A22">
        <f t="shared" si="80"/>
        <v>-8</v>
      </c>
      <c r="B22" s="407" t="str">
        <f t="shared" ca="1" si="32"/>
        <v/>
      </c>
      <c r="C22" s="409" t="str">
        <f ca="1">'ריכוז נתונים כללים'!D28</f>
        <v/>
      </c>
      <c r="D22" s="410"/>
      <c r="E22" s="410"/>
      <c r="F22" s="410"/>
      <c r="G22" s="410"/>
      <c r="H22" s="410"/>
      <c r="I22" s="410"/>
      <c r="J22" s="410"/>
      <c r="K22" s="410"/>
      <c r="L22" s="410"/>
      <c r="M22" s="410"/>
      <c r="N22" s="420"/>
      <c r="O22" s="420"/>
      <c r="P22" s="407" t="str">
        <f t="shared" ca="1" si="76"/>
        <v/>
      </c>
      <c r="Q22" s="410"/>
      <c r="R22" s="410"/>
      <c r="S22" s="410"/>
      <c r="T22" s="410"/>
      <c r="U22" s="410"/>
      <c r="V22" s="410"/>
      <c r="W22" s="410"/>
      <c r="X22" s="410"/>
      <c r="Y22" s="410"/>
      <c r="Z22" s="410"/>
      <c r="AA22" s="410"/>
      <c r="AB22" s="411"/>
      <c r="AC22" s="408"/>
      <c r="AD22" s="410"/>
      <c r="AE22" s="410"/>
      <c r="AF22" s="410"/>
      <c r="AG22" s="407"/>
      <c r="AH22" s="410"/>
      <c r="AI22" s="410"/>
      <c r="AJ22" s="410"/>
      <c r="AK22" s="410"/>
      <c r="AL22" s="410"/>
      <c r="AM22" s="407"/>
      <c r="AN22" s="408"/>
      <c r="AO22" s="410"/>
      <c r="AP22" s="410"/>
      <c r="AQ22" s="408"/>
      <c r="AR22" s="410"/>
      <c r="AS22" s="410"/>
      <c r="AT22" s="410"/>
      <c r="AU22" s="408"/>
      <c r="AV22" s="408"/>
      <c r="AW22" s="408"/>
      <c r="AX22" s="407" t="str" cm="1">
        <f t="array" aca="1" ref="AX22" ca="1">IF($C22="","",IF(AT22=1,1,IF(AZ22&lt;&gt;1,$DF$1,IF(SUMPRODUCT((D22:AT22&gt;=$D$6:$AT$6)*($D$6:$AT$6&lt;&gt;"")*($D$4:$AT$4=1))=COUNTIF($D$4:$AT$4,1),1,0))))</f>
        <v/>
      </c>
      <c r="AY22" s="417"/>
      <c r="AZ22">
        <f t="shared" si="77"/>
        <v>0</v>
      </c>
      <c r="BA22" t="str">
        <f t="shared" ca="1" si="81"/>
        <v/>
      </c>
      <c r="BB22" t="str">
        <f t="shared" ca="1" si="81"/>
        <v/>
      </c>
      <c r="BC22" s="21">
        <f t="shared" si="33"/>
        <v>0</v>
      </c>
      <c r="BD22" s="21">
        <f t="shared" si="34"/>
        <v>0</v>
      </c>
      <c r="BE22" s="21">
        <f t="shared" si="35"/>
        <v>0</v>
      </c>
      <c r="BF22" s="21">
        <f t="shared" si="36"/>
        <v>0</v>
      </c>
      <c r="BG22" s="21">
        <f t="shared" si="37"/>
        <v>0</v>
      </c>
      <c r="BH22" s="21">
        <f t="shared" si="38"/>
        <v>0</v>
      </c>
      <c r="BI22" s="21">
        <f t="shared" si="39"/>
        <v>0</v>
      </c>
      <c r="BJ22" s="21">
        <f t="shared" si="40"/>
        <v>0</v>
      </c>
      <c r="BK22" s="21">
        <f t="shared" si="41"/>
        <v>0</v>
      </c>
      <c r="BL22" s="21">
        <f t="shared" si="42"/>
        <v>0</v>
      </c>
      <c r="BM22" s="21">
        <f t="shared" si="43"/>
        <v>0</v>
      </c>
      <c r="BN22" s="21">
        <f t="shared" si="44"/>
        <v>0</v>
      </c>
      <c r="BO22" s="21">
        <f t="shared" si="45"/>
        <v>1</v>
      </c>
      <c r="BP22" s="21">
        <f t="shared" si="46"/>
        <v>0</v>
      </c>
      <c r="BQ22" s="21">
        <f t="shared" si="47"/>
        <v>0</v>
      </c>
      <c r="BR22" s="21">
        <f t="shared" si="48"/>
        <v>0</v>
      </c>
      <c r="BS22" s="21">
        <f t="shared" si="49"/>
        <v>0</v>
      </c>
      <c r="BT22" s="21">
        <f t="shared" si="50"/>
        <v>0</v>
      </c>
      <c r="BU22" s="21">
        <f t="shared" si="51"/>
        <v>0</v>
      </c>
      <c r="BV22" s="21">
        <f t="shared" si="52"/>
        <v>1</v>
      </c>
      <c r="BW22" s="21">
        <f t="shared" si="53"/>
        <v>1</v>
      </c>
      <c r="BX22" s="21">
        <f t="shared" si="54"/>
        <v>1</v>
      </c>
      <c r="BY22" s="21">
        <f t="shared" si="55"/>
        <v>1</v>
      </c>
      <c r="BZ22" s="21">
        <f t="shared" si="56"/>
        <v>1</v>
      </c>
      <c r="CA22" s="21">
        <f t="shared" si="57"/>
        <v>1</v>
      </c>
      <c r="CB22" s="21">
        <f t="shared" si="58"/>
        <v>1</v>
      </c>
      <c r="CC22" s="21">
        <f t="shared" si="59"/>
        <v>1</v>
      </c>
      <c r="CD22" s="21">
        <f t="shared" si="60"/>
        <v>1</v>
      </c>
      <c r="CE22" s="21">
        <f t="shared" si="61"/>
        <v>1</v>
      </c>
      <c r="CF22" s="21">
        <f t="shared" si="62"/>
        <v>1</v>
      </c>
      <c r="CG22" s="21">
        <f t="shared" si="63"/>
        <v>1</v>
      </c>
      <c r="CH22" s="21">
        <f t="shared" si="64"/>
        <v>1</v>
      </c>
      <c r="CI22" s="21">
        <f t="shared" si="65"/>
        <v>1</v>
      </c>
      <c r="CJ22" s="21">
        <f t="shared" si="66"/>
        <v>1</v>
      </c>
      <c r="CK22" s="21">
        <f t="shared" si="67"/>
        <v>1</v>
      </c>
      <c r="CL22" s="21">
        <f t="shared" si="68"/>
        <v>1</v>
      </c>
      <c r="CM22" s="21">
        <f t="shared" si="69"/>
        <v>1</v>
      </c>
      <c r="CN22" s="21">
        <f t="shared" si="70"/>
        <v>1</v>
      </c>
      <c r="CO22" s="21">
        <f t="shared" si="71"/>
        <v>1</v>
      </c>
      <c r="CP22" s="21">
        <f t="shared" si="72"/>
        <v>1</v>
      </c>
      <c r="CQ22" s="21">
        <f t="shared" si="73"/>
        <v>1</v>
      </c>
      <c r="CR22" s="21">
        <f t="shared" si="74"/>
        <v>0</v>
      </c>
      <c r="CS22" s="21"/>
      <c r="CT22" s="21"/>
      <c r="CU22" s="21"/>
      <c r="CV22" s="21"/>
      <c r="CW22" s="21"/>
      <c r="CY22" t="str">
        <f t="shared" ca="1" si="79"/>
        <v/>
      </c>
      <c r="CZ22" t="str">
        <f t="shared" ca="1" si="75"/>
        <v/>
      </c>
      <c r="DA22" t="str">
        <f t="shared" ca="1" si="75"/>
        <v/>
      </c>
      <c r="DB22" t="str">
        <f t="shared" ca="1" si="75"/>
        <v/>
      </c>
      <c r="DC22" t="str">
        <f t="shared" ca="1" si="75"/>
        <v/>
      </c>
      <c r="DD22" t="str">
        <f t="shared" ca="1" si="75"/>
        <v/>
      </c>
      <c r="DE22" t="str">
        <f t="shared" ca="1" si="75"/>
        <v/>
      </c>
      <c r="DF22" t="str">
        <f t="shared" ca="1" si="75"/>
        <v/>
      </c>
      <c r="DG22" t="str">
        <f t="shared" ca="1" si="75"/>
        <v/>
      </c>
      <c r="DH22" t="str">
        <f t="shared" ca="1" si="75"/>
        <v/>
      </c>
    </row>
    <row r="23" spans="1:112" ht="39" hidden="1" customHeight="1" x14ac:dyDescent="0.25">
      <c r="A23">
        <f t="shared" si="80"/>
        <v>-7</v>
      </c>
      <c r="B23" s="407" t="str">
        <f t="shared" ca="1" si="32"/>
        <v/>
      </c>
      <c r="C23" s="409" t="str">
        <f ca="1">'ריכוז נתונים כללים'!D29</f>
        <v/>
      </c>
      <c r="D23" s="410"/>
      <c r="E23" s="410"/>
      <c r="F23" s="410"/>
      <c r="G23" s="410"/>
      <c r="H23" s="410"/>
      <c r="I23" s="410"/>
      <c r="J23" s="410"/>
      <c r="K23" s="410"/>
      <c r="L23" s="410"/>
      <c r="M23" s="410"/>
      <c r="N23" s="420"/>
      <c r="O23" s="420"/>
      <c r="P23" s="407" t="str">
        <f t="shared" ca="1" si="76"/>
        <v/>
      </c>
      <c r="Q23" s="410"/>
      <c r="R23" s="410"/>
      <c r="S23" s="410"/>
      <c r="T23" s="410"/>
      <c r="U23" s="410"/>
      <c r="V23" s="410"/>
      <c r="W23" s="410"/>
      <c r="X23" s="410"/>
      <c r="Y23" s="410"/>
      <c r="Z23" s="410"/>
      <c r="AA23" s="410"/>
      <c r="AB23" s="411"/>
      <c r="AC23" s="408"/>
      <c r="AD23" s="410"/>
      <c r="AE23" s="410"/>
      <c r="AF23" s="410"/>
      <c r="AG23" s="407"/>
      <c r="AH23" s="410"/>
      <c r="AI23" s="410"/>
      <c r="AJ23" s="410"/>
      <c r="AK23" s="410"/>
      <c r="AL23" s="410"/>
      <c r="AM23" s="407"/>
      <c r="AN23" s="408"/>
      <c r="AO23" s="410"/>
      <c r="AP23" s="410"/>
      <c r="AQ23" s="408"/>
      <c r="AR23" s="410"/>
      <c r="AS23" s="410"/>
      <c r="AT23" s="410"/>
      <c r="AU23" s="408"/>
      <c r="AV23" s="408"/>
      <c r="AW23" s="408"/>
      <c r="AX23" s="407" t="str" cm="1">
        <f t="array" aca="1" ref="AX23" ca="1">IF($C23="","",IF(AT23=1,1,IF(AZ23&lt;&gt;1,$DF$1,IF(SUMPRODUCT((D23:AT23&gt;=$D$6:$AT$6)*($D$6:$AT$6&lt;&gt;"")*($D$4:$AT$4=1))=COUNTIF($D$4:$AT$4,1),1,0))))</f>
        <v/>
      </c>
      <c r="AY23" s="417"/>
      <c r="AZ23">
        <f t="shared" si="77"/>
        <v>0</v>
      </c>
      <c r="BA23" t="str">
        <f t="shared" ca="1" si="81"/>
        <v/>
      </c>
      <c r="BB23" t="str">
        <f t="shared" ca="1" si="81"/>
        <v/>
      </c>
      <c r="BC23" s="21">
        <f t="shared" si="33"/>
        <v>0</v>
      </c>
      <c r="BD23" s="21">
        <f t="shared" si="34"/>
        <v>0</v>
      </c>
      <c r="BE23" s="21">
        <f t="shared" si="35"/>
        <v>0</v>
      </c>
      <c r="BF23" s="21">
        <f t="shared" si="36"/>
        <v>0</v>
      </c>
      <c r="BG23" s="21">
        <f t="shared" si="37"/>
        <v>0</v>
      </c>
      <c r="BH23" s="21">
        <f t="shared" si="38"/>
        <v>0</v>
      </c>
      <c r="BI23" s="21">
        <f t="shared" si="39"/>
        <v>0</v>
      </c>
      <c r="BJ23" s="21">
        <f t="shared" si="40"/>
        <v>0</v>
      </c>
      <c r="BK23" s="21">
        <f t="shared" si="41"/>
        <v>0</v>
      </c>
      <c r="BL23" s="21">
        <f t="shared" si="42"/>
        <v>0</v>
      </c>
      <c r="BM23" s="21">
        <f t="shared" si="43"/>
        <v>0</v>
      </c>
      <c r="BN23" s="21">
        <f t="shared" si="44"/>
        <v>0</v>
      </c>
      <c r="BO23" s="21">
        <f t="shared" si="45"/>
        <v>1</v>
      </c>
      <c r="BP23" s="21">
        <f t="shared" si="46"/>
        <v>0</v>
      </c>
      <c r="BQ23" s="21">
        <f t="shared" si="47"/>
        <v>0</v>
      </c>
      <c r="BR23" s="21">
        <f t="shared" si="48"/>
        <v>0</v>
      </c>
      <c r="BS23" s="21">
        <f t="shared" si="49"/>
        <v>0</v>
      </c>
      <c r="BT23" s="21">
        <f t="shared" si="50"/>
        <v>0</v>
      </c>
      <c r="BU23" s="21">
        <f t="shared" si="51"/>
        <v>0</v>
      </c>
      <c r="BV23" s="21">
        <f t="shared" si="52"/>
        <v>1</v>
      </c>
      <c r="BW23" s="21">
        <f t="shared" si="53"/>
        <v>1</v>
      </c>
      <c r="BX23" s="21">
        <f t="shared" si="54"/>
        <v>1</v>
      </c>
      <c r="BY23" s="21">
        <f t="shared" si="55"/>
        <v>1</v>
      </c>
      <c r="BZ23" s="21">
        <f t="shared" si="56"/>
        <v>1</v>
      </c>
      <c r="CA23" s="21">
        <f t="shared" si="57"/>
        <v>1</v>
      </c>
      <c r="CB23" s="21">
        <f t="shared" si="58"/>
        <v>1</v>
      </c>
      <c r="CC23" s="21">
        <f t="shared" si="59"/>
        <v>1</v>
      </c>
      <c r="CD23" s="21">
        <f t="shared" si="60"/>
        <v>1</v>
      </c>
      <c r="CE23" s="21">
        <f t="shared" si="61"/>
        <v>1</v>
      </c>
      <c r="CF23" s="21">
        <f t="shared" si="62"/>
        <v>1</v>
      </c>
      <c r="CG23" s="21">
        <f t="shared" si="63"/>
        <v>1</v>
      </c>
      <c r="CH23" s="21">
        <f t="shared" si="64"/>
        <v>1</v>
      </c>
      <c r="CI23" s="21">
        <f t="shared" si="65"/>
        <v>1</v>
      </c>
      <c r="CJ23" s="21">
        <f t="shared" si="66"/>
        <v>1</v>
      </c>
      <c r="CK23" s="21">
        <f t="shared" si="67"/>
        <v>1</v>
      </c>
      <c r="CL23" s="21">
        <f t="shared" si="68"/>
        <v>1</v>
      </c>
      <c r="CM23" s="21">
        <f t="shared" si="69"/>
        <v>1</v>
      </c>
      <c r="CN23" s="21">
        <f t="shared" si="70"/>
        <v>1</v>
      </c>
      <c r="CO23" s="21">
        <f t="shared" si="71"/>
        <v>1</v>
      </c>
      <c r="CP23" s="21">
        <f t="shared" si="72"/>
        <v>1</v>
      </c>
      <c r="CQ23" s="21">
        <f t="shared" si="73"/>
        <v>1</v>
      </c>
      <c r="CR23" s="21">
        <f t="shared" si="74"/>
        <v>0</v>
      </c>
      <c r="CS23" s="21"/>
      <c r="CT23" s="21"/>
      <c r="CU23" s="21"/>
      <c r="CV23" s="21"/>
      <c r="CW23" s="21"/>
      <c r="CY23" t="str">
        <f t="shared" ca="1" si="79"/>
        <v/>
      </c>
      <c r="CZ23" t="str">
        <f t="shared" ca="1" si="75"/>
        <v/>
      </c>
      <c r="DA23" t="str">
        <f t="shared" ca="1" si="75"/>
        <v/>
      </c>
      <c r="DB23" t="str">
        <f t="shared" ca="1" si="75"/>
        <v/>
      </c>
      <c r="DC23" t="str">
        <f t="shared" ca="1" si="75"/>
        <v/>
      </c>
      <c r="DD23" t="str">
        <f t="shared" ca="1" si="75"/>
        <v/>
      </c>
      <c r="DE23" t="str">
        <f t="shared" ca="1" si="75"/>
        <v/>
      </c>
      <c r="DF23" t="str">
        <f t="shared" ca="1" si="75"/>
        <v/>
      </c>
      <c r="DG23" t="str">
        <f t="shared" ca="1" si="75"/>
        <v/>
      </c>
      <c r="DH23" t="str">
        <f t="shared" ca="1" si="75"/>
        <v/>
      </c>
    </row>
    <row r="24" spans="1:112" ht="15.75" hidden="1" customHeight="1" x14ac:dyDescent="0.25">
      <c r="A24">
        <f t="shared" si="80"/>
        <v>-6</v>
      </c>
      <c r="B24" s="407" t="str">
        <f t="shared" ca="1" si="32"/>
        <v/>
      </c>
      <c r="C24" s="409" t="str">
        <f ca="1">'ריכוז נתונים כללים'!D30</f>
        <v/>
      </c>
      <c r="D24" s="410"/>
      <c r="E24" s="410"/>
      <c r="F24" s="410"/>
      <c r="G24" s="410"/>
      <c r="H24" s="410"/>
      <c r="I24" s="410"/>
      <c r="J24" s="410"/>
      <c r="K24" s="410"/>
      <c r="L24" s="410"/>
      <c r="M24" s="410"/>
      <c r="N24" s="420"/>
      <c r="O24" s="420"/>
      <c r="P24" s="407" t="str">
        <f t="shared" ca="1" si="76"/>
        <v/>
      </c>
      <c r="Q24" s="410"/>
      <c r="R24" s="410"/>
      <c r="S24" s="410"/>
      <c r="T24" s="410"/>
      <c r="U24" s="410"/>
      <c r="V24" s="410"/>
      <c r="W24" s="410"/>
      <c r="X24" s="410"/>
      <c r="Y24" s="410"/>
      <c r="Z24" s="410"/>
      <c r="AA24" s="410"/>
      <c r="AB24" s="411"/>
      <c r="AC24" s="408"/>
      <c r="AD24" s="410"/>
      <c r="AE24" s="410"/>
      <c r="AF24" s="410"/>
      <c r="AG24" s="407"/>
      <c r="AH24" s="410"/>
      <c r="AI24" s="410"/>
      <c r="AJ24" s="410"/>
      <c r="AK24" s="410"/>
      <c r="AL24" s="410"/>
      <c r="AM24" s="407"/>
      <c r="AN24" s="408"/>
      <c r="AO24" s="410"/>
      <c r="AP24" s="410"/>
      <c r="AQ24" s="408"/>
      <c r="AR24" s="410"/>
      <c r="AS24" s="410"/>
      <c r="AT24" s="410"/>
      <c r="AU24" s="408"/>
      <c r="AV24" s="408"/>
      <c r="AW24" s="408"/>
      <c r="AX24" s="407" t="str" cm="1">
        <f t="array" aca="1" ref="AX24" ca="1">IF($C24="","",IF(AT24=1,1,IF(AZ24&lt;&gt;1,$DF$1,IF(SUMPRODUCT((D24:AT24&gt;=$D$6:$AT$6)*($D$6:$AT$6&lt;&gt;"")*($D$4:$AT$4=1))=COUNTIF($D$4:$AT$4,1),1,0))))</f>
        <v/>
      </c>
      <c r="AY24" s="417"/>
      <c r="AZ24">
        <f t="shared" si="77"/>
        <v>0</v>
      </c>
      <c r="BA24" t="str">
        <f t="shared" ca="1" si="81"/>
        <v/>
      </c>
      <c r="BB24" t="str">
        <f t="shared" ca="1" si="81"/>
        <v/>
      </c>
      <c r="BC24" s="21">
        <f t="shared" si="33"/>
        <v>0</v>
      </c>
      <c r="BD24" s="21">
        <f t="shared" si="34"/>
        <v>0</v>
      </c>
      <c r="BE24" s="21">
        <f t="shared" si="35"/>
        <v>0</v>
      </c>
      <c r="BF24" s="21">
        <f t="shared" si="36"/>
        <v>0</v>
      </c>
      <c r="BG24" s="21">
        <f t="shared" si="37"/>
        <v>0</v>
      </c>
      <c r="BH24" s="21">
        <f t="shared" si="38"/>
        <v>0</v>
      </c>
      <c r="BI24" s="21">
        <f t="shared" si="39"/>
        <v>0</v>
      </c>
      <c r="BJ24" s="21">
        <f t="shared" si="40"/>
        <v>0</v>
      </c>
      <c r="BK24" s="21">
        <f t="shared" si="41"/>
        <v>0</v>
      </c>
      <c r="BL24" s="21">
        <f t="shared" si="42"/>
        <v>0</v>
      </c>
      <c r="BM24" s="21">
        <f t="shared" si="43"/>
        <v>0</v>
      </c>
      <c r="BN24" s="21">
        <f t="shared" si="44"/>
        <v>0</v>
      </c>
      <c r="BO24" s="21">
        <f t="shared" si="45"/>
        <v>1</v>
      </c>
      <c r="BP24" s="21">
        <f t="shared" si="46"/>
        <v>0</v>
      </c>
      <c r="BQ24" s="21">
        <f t="shared" si="47"/>
        <v>0</v>
      </c>
      <c r="BR24" s="21">
        <f t="shared" si="48"/>
        <v>0</v>
      </c>
      <c r="BS24" s="21">
        <f t="shared" si="49"/>
        <v>0</v>
      </c>
      <c r="BT24" s="21">
        <f t="shared" si="50"/>
        <v>0</v>
      </c>
      <c r="BU24" s="21">
        <f t="shared" si="51"/>
        <v>0</v>
      </c>
      <c r="BV24" s="21">
        <f t="shared" si="52"/>
        <v>1</v>
      </c>
      <c r="BW24" s="21">
        <f t="shared" si="53"/>
        <v>1</v>
      </c>
      <c r="BX24" s="21">
        <f t="shared" si="54"/>
        <v>1</v>
      </c>
      <c r="BY24" s="21">
        <f t="shared" si="55"/>
        <v>1</v>
      </c>
      <c r="BZ24" s="21">
        <f t="shared" si="56"/>
        <v>1</v>
      </c>
      <c r="CA24" s="21">
        <f t="shared" si="57"/>
        <v>1</v>
      </c>
      <c r="CB24" s="21">
        <f t="shared" si="58"/>
        <v>1</v>
      </c>
      <c r="CC24" s="21">
        <f t="shared" si="59"/>
        <v>1</v>
      </c>
      <c r="CD24" s="21">
        <f t="shared" si="60"/>
        <v>1</v>
      </c>
      <c r="CE24" s="21">
        <f t="shared" si="61"/>
        <v>1</v>
      </c>
      <c r="CF24" s="21">
        <f t="shared" si="62"/>
        <v>1</v>
      </c>
      <c r="CG24" s="21">
        <f t="shared" si="63"/>
        <v>1</v>
      </c>
      <c r="CH24" s="21">
        <f t="shared" si="64"/>
        <v>1</v>
      </c>
      <c r="CI24" s="21">
        <f t="shared" si="65"/>
        <v>1</v>
      </c>
      <c r="CJ24" s="21">
        <f t="shared" si="66"/>
        <v>1</v>
      </c>
      <c r="CK24" s="21">
        <f t="shared" si="67"/>
        <v>1</v>
      </c>
      <c r="CL24" s="21">
        <f t="shared" si="68"/>
        <v>1</v>
      </c>
      <c r="CM24" s="21">
        <f t="shared" si="69"/>
        <v>1</v>
      </c>
      <c r="CN24" s="21">
        <f t="shared" si="70"/>
        <v>1</v>
      </c>
      <c r="CO24" s="21">
        <f t="shared" si="71"/>
        <v>1</v>
      </c>
      <c r="CP24" s="21">
        <f t="shared" si="72"/>
        <v>1</v>
      </c>
      <c r="CQ24" s="21">
        <f t="shared" si="73"/>
        <v>1</v>
      </c>
      <c r="CR24" s="21">
        <f t="shared" si="74"/>
        <v>0</v>
      </c>
      <c r="CS24" s="21"/>
      <c r="CT24" s="21"/>
      <c r="CU24" s="21"/>
      <c r="CV24" s="21"/>
      <c r="CW24" s="21"/>
      <c r="CY24" t="str">
        <f t="shared" ca="1" si="79"/>
        <v/>
      </c>
      <c r="CZ24" t="str">
        <f t="shared" ca="1" si="75"/>
        <v/>
      </c>
      <c r="DA24" t="str">
        <f t="shared" ca="1" si="75"/>
        <v/>
      </c>
      <c r="DB24" t="str">
        <f t="shared" ca="1" si="75"/>
        <v/>
      </c>
      <c r="DC24" t="str">
        <f t="shared" ca="1" si="75"/>
        <v/>
      </c>
      <c r="DD24" t="str">
        <f t="shared" ca="1" si="75"/>
        <v/>
      </c>
      <c r="DE24" t="str">
        <f t="shared" ca="1" si="75"/>
        <v/>
      </c>
      <c r="DF24" t="str">
        <f t="shared" ca="1" si="75"/>
        <v/>
      </c>
      <c r="DG24" t="str">
        <f t="shared" ca="1" si="75"/>
        <v/>
      </c>
      <c r="DH24" t="str">
        <f t="shared" ca="1" si="75"/>
        <v/>
      </c>
    </row>
    <row r="25" spans="1:112" ht="39" customHeight="1" x14ac:dyDescent="0.25">
      <c r="A25">
        <f t="shared" si="80"/>
        <v>-5</v>
      </c>
      <c r="B25" s="407">
        <f t="shared" ca="1" si="32"/>
        <v>15</v>
      </c>
      <c r="C25" s="409" t="str">
        <f ca="1">'ריכוז נתונים כללים'!D31</f>
        <v xml:space="preserve">החברה לטיפוח חברה תרבות תיעוד </v>
      </c>
      <c r="D25" s="410">
        <v>0</v>
      </c>
      <c r="E25" s="410">
        <v>1</v>
      </c>
      <c r="F25" s="410">
        <v>1</v>
      </c>
      <c r="G25" s="410">
        <v>1</v>
      </c>
      <c r="H25" s="410">
        <v>1</v>
      </c>
      <c r="I25" s="410">
        <v>1</v>
      </c>
      <c r="J25" s="410">
        <v>1</v>
      </c>
      <c r="K25" s="410">
        <v>1</v>
      </c>
      <c r="L25" s="410">
        <v>1</v>
      </c>
      <c r="M25" s="410">
        <v>1</v>
      </c>
      <c r="N25" s="420">
        <v>4589232</v>
      </c>
      <c r="O25" s="420">
        <v>4589232</v>
      </c>
      <c r="P25" s="407">
        <f t="shared" ca="1" si="76"/>
        <v>1</v>
      </c>
      <c r="Q25" s="410">
        <v>1</v>
      </c>
      <c r="R25" s="410">
        <v>1</v>
      </c>
      <c r="S25" s="410">
        <v>1</v>
      </c>
      <c r="T25" s="410">
        <v>1</v>
      </c>
      <c r="U25" s="410">
        <v>1</v>
      </c>
      <c r="V25" s="410">
        <v>1</v>
      </c>
      <c r="W25" s="410"/>
      <c r="X25" s="410"/>
      <c r="Y25" s="410"/>
      <c r="Z25" s="410"/>
      <c r="AA25" s="410"/>
      <c r="AB25" s="411"/>
      <c r="AC25" s="408"/>
      <c r="AD25" s="410"/>
      <c r="AE25" s="410"/>
      <c r="AF25" s="410"/>
      <c r="AG25" s="407"/>
      <c r="AH25" s="410"/>
      <c r="AI25" s="410"/>
      <c r="AJ25" s="410"/>
      <c r="AK25" s="410"/>
      <c r="AL25" s="410"/>
      <c r="AM25" s="407"/>
      <c r="AN25" s="408"/>
      <c r="AO25" s="410"/>
      <c r="AP25" s="410"/>
      <c r="AQ25" s="408"/>
      <c r="AR25" s="410"/>
      <c r="AS25" s="410">
        <v>1</v>
      </c>
      <c r="AT25" s="410"/>
      <c r="AU25" s="408"/>
      <c r="AV25" s="408"/>
      <c r="AW25" s="408"/>
      <c r="AX25" s="407" cm="1">
        <f t="array" aca="1" ref="AX25" ca="1">IF($C25="","",IF(AT25=1,1,IF(AZ25&lt;&gt;1,$DF$1,IF(SUMPRODUCT((D25:AT25&gt;=$D$6:$AT$6)*($D$6:$AT$6&lt;&gt;"")*($D$4:$AT$4=1))=COUNTIF($D$4:$AT$4,1),1,0))))</f>
        <v>1</v>
      </c>
      <c r="AY25" s="417"/>
      <c r="AZ25">
        <f t="shared" si="77"/>
        <v>1</v>
      </c>
      <c r="BA25">
        <f t="shared" ca="1" si="81"/>
        <v>0</v>
      </c>
      <c r="BB25">
        <f t="shared" ca="1" si="81"/>
        <v>1</v>
      </c>
      <c r="BC25" s="21">
        <f t="shared" si="33"/>
        <v>1</v>
      </c>
      <c r="BD25" s="21">
        <f t="shared" si="34"/>
        <v>1</v>
      </c>
      <c r="BE25" s="21">
        <f t="shared" si="35"/>
        <v>1</v>
      </c>
      <c r="BF25" s="21">
        <f t="shared" si="36"/>
        <v>1</v>
      </c>
      <c r="BG25" s="21">
        <f t="shared" si="37"/>
        <v>1</v>
      </c>
      <c r="BH25" s="21">
        <f t="shared" si="38"/>
        <v>1</v>
      </c>
      <c r="BI25" s="21">
        <f t="shared" si="39"/>
        <v>1</v>
      </c>
      <c r="BJ25" s="21">
        <f t="shared" si="40"/>
        <v>1</v>
      </c>
      <c r="BK25" s="21">
        <f t="shared" si="41"/>
        <v>1</v>
      </c>
      <c r="BL25" s="21">
        <f t="shared" si="42"/>
        <v>1</v>
      </c>
      <c r="BM25" s="21">
        <f t="shared" si="43"/>
        <v>1</v>
      </c>
      <c r="BN25" s="21">
        <f t="shared" si="44"/>
        <v>1</v>
      </c>
      <c r="BO25" s="21">
        <f t="shared" si="45"/>
        <v>1</v>
      </c>
      <c r="BP25" s="21">
        <f t="shared" si="46"/>
        <v>1</v>
      </c>
      <c r="BQ25" s="21">
        <f t="shared" si="47"/>
        <v>1</v>
      </c>
      <c r="BR25" s="21">
        <f t="shared" si="48"/>
        <v>1</v>
      </c>
      <c r="BS25" s="21">
        <f t="shared" si="49"/>
        <v>1</v>
      </c>
      <c r="BT25" s="21">
        <f t="shared" si="50"/>
        <v>1</v>
      </c>
      <c r="BU25" s="21">
        <f t="shared" si="51"/>
        <v>1</v>
      </c>
      <c r="BV25" s="21">
        <f t="shared" si="52"/>
        <v>1</v>
      </c>
      <c r="BW25" s="21">
        <f t="shared" si="53"/>
        <v>1</v>
      </c>
      <c r="BX25" s="21">
        <f t="shared" si="54"/>
        <v>1</v>
      </c>
      <c r="BY25" s="21">
        <f t="shared" si="55"/>
        <v>1</v>
      </c>
      <c r="BZ25" s="21">
        <f t="shared" si="56"/>
        <v>1</v>
      </c>
      <c r="CA25" s="21">
        <f t="shared" si="57"/>
        <v>1</v>
      </c>
      <c r="CB25" s="21">
        <f t="shared" si="58"/>
        <v>1</v>
      </c>
      <c r="CC25" s="21">
        <f t="shared" si="59"/>
        <v>1</v>
      </c>
      <c r="CD25" s="21">
        <f t="shared" si="60"/>
        <v>1</v>
      </c>
      <c r="CE25" s="21">
        <f t="shared" si="61"/>
        <v>1</v>
      </c>
      <c r="CF25" s="21">
        <f t="shared" si="62"/>
        <v>1</v>
      </c>
      <c r="CG25" s="21">
        <f t="shared" si="63"/>
        <v>1</v>
      </c>
      <c r="CH25" s="21">
        <f t="shared" si="64"/>
        <v>1</v>
      </c>
      <c r="CI25" s="21">
        <f t="shared" si="65"/>
        <v>1</v>
      </c>
      <c r="CJ25" s="21">
        <f t="shared" si="66"/>
        <v>1</v>
      </c>
      <c r="CK25" s="21">
        <f t="shared" si="67"/>
        <v>1</v>
      </c>
      <c r="CL25" s="21">
        <f t="shared" si="68"/>
        <v>1</v>
      </c>
      <c r="CM25" s="21">
        <f t="shared" si="69"/>
        <v>1</v>
      </c>
      <c r="CN25" s="21">
        <f t="shared" si="70"/>
        <v>1</v>
      </c>
      <c r="CO25" s="21">
        <f t="shared" si="71"/>
        <v>1</v>
      </c>
      <c r="CP25" s="21">
        <f t="shared" si="72"/>
        <v>1</v>
      </c>
      <c r="CQ25" s="21">
        <f t="shared" si="73"/>
        <v>1</v>
      </c>
      <c r="CR25" s="21">
        <f t="shared" si="74"/>
        <v>1</v>
      </c>
      <c r="CS25" s="21"/>
      <c r="CT25" s="21"/>
      <c r="CU25" s="21"/>
      <c r="CV25" s="21"/>
      <c r="CW25" s="21"/>
      <c r="CY25">
        <f t="shared" ca="1" si="79"/>
        <v>1</v>
      </c>
      <c r="CZ25">
        <f t="shared" ca="1" si="75"/>
        <v>2</v>
      </c>
      <c r="DA25">
        <f t="shared" ca="1" si="75"/>
        <v>3</v>
      </c>
      <c r="DB25">
        <f t="shared" ca="1" si="75"/>
        <v>4</v>
      </c>
      <c r="DC25">
        <f t="shared" ca="1" si="75"/>
        <v>5</v>
      </c>
      <c r="DD25">
        <f t="shared" ca="1" si="75"/>
        <v>6</v>
      </c>
      <c r="DE25">
        <f t="shared" ca="1" si="75"/>
        <v>7</v>
      </c>
      <c r="DF25">
        <f t="shared" ca="1" si="75"/>
        <v>8</v>
      </c>
      <c r="DG25">
        <f t="shared" ca="1" si="75"/>
        <v>9</v>
      </c>
      <c r="DH25">
        <f t="shared" ca="1" si="75"/>
        <v>10</v>
      </c>
    </row>
    <row r="26" spans="1:112" ht="39" customHeight="1" x14ac:dyDescent="0.25">
      <c r="A26">
        <f t="shared" si="80"/>
        <v>-4</v>
      </c>
      <c r="B26" s="407">
        <f t="shared" ca="1" si="32"/>
        <v>16</v>
      </c>
      <c r="C26" s="409" t="str">
        <f ca="1">'ריכוז נתונים כללים'!D32</f>
        <v>עמותת אור שלום</v>
      </c>
      <c r="D26" s="410">
        <v>0</v>
      </c>
      <c r="E26" s="410">
        <v>1</v>
      </c>
      <c r="F26" s="410">
        <v>1</v>
      </c>
      <c r="G26" s="410">
        <v>1</v>
      </c>
      <c r="H26" s="410">
        <v>1</v>
      </c>
      <c r="I26" s="410">
        <v>1</v>
      </c>
      <c r="J26" s="410">
        <v>1</v>
      </c>
      <c r="K26" s="410">
        <v>1</v>
      </c>
      <c r="L26" s="410">
        <v>1</v>
      </c>
      <c r="M26" s="410">
        <v>1</v>
      </c>
      <c r="N26" s="420">
        <v>733544</v>
      </c>
      <c r="O26" s="420">
        <v>733544</v>
      </c>
      <c r="P26" s="407">
        <f t="shared" ca="1" si="76"/>
        <v>1</v>
      </c>
      <c r="Q26" s="410">
        <v>1</v>
      </c>
      <c r="R26" s="410">
        <v>1</v>
      </c>
      <c r="S26" s="410">
        <v>1</v>
      </c>
      <c r="T26" s="410">
        <v>1</v>
      </c>
      <c r="U26" s="410">
        <v>1</v>
      </c>
      <c r="V26" s="410">
        <v>1</v>
      </c>
      <c r="W26" s="410"/>
      <c r="X26" s="410"/>
      <c r="Y26" s="410"/>
      <c r="Z26" s="410"/>
      <c r="AA26" s="410"/>
      <c r="AB26" s="411"/>
      <c r="AC26" s="408"/>
      <c r="AD26" s="410"/>
      <c r="AE26" s="410"/>
      <c r="AF26" s="410"/>
      <c r="AG26" s="407"/>
      <c r="AH26" s="410"/>
      <c r="AI26" s="410"/>
      <c r="AJ26" s="410"/>
      <c r="AK26" s="410"/>
      <c r="AL26" s="410"/>
      <c r="AM26" s="407"/>
      <c r="AN26" s="408"/>
      <c r="AO26" s="410"/>
      <c r="AP26" s="410"/>
      <c r="AQ26" s="408"/>
      <c r="AR26" s="410"/>
      <c r="AS26" s="410">
        <v>1</v>
      </c>
      <c r="AT26" s="410"/>
      <c r="AU26" s="408"/>
      <c r="AV26" s="408"/>
      <c r="AW26" s="408"/>
      <c r="AX26" s="407" cm="1">
        <f t="array" aca="1" ref="AX26" ca="1">IF($C26="","",IF(AT26=1,1,IF(AZ26&lt;&gt;1,$DF$1,IF(SUMPRODUCT((D26:AT26&gt;=$D$6:$AT$6)*($D$6:$AT$6&lt;&gt;"")*($D$4:$AT$4=1))=COUNTIF($D$4:$AT$4,1),1,0))))</f>
        <v>1</v>
      </c>
      <c r="AY26" s="416"/>
      <c r="AZ26">
        <f t="shared" si="77"/>
        <v>1</v>
      </c>
      <c r="BA26">
        <f t="shared" ca="1" si="81"/>
        <v>0</v>
      </c>
      <c r="BB26">
        <f t="shared" ca="1" si="81"/>
        <v>1</v>
      </c>
      <c r="BC26" s="21">
        <f t="shared" si="33"/>
        <v>1</v>
      </c>
      <c r="BD26" s="21">
        <f t="shared" si="34"/>
        <v>1</v>
      </c>
      <c r="BE26" s="21">
        <f t="shared" si="35"/>
        <v>1</v>
      </c>
      <c r="BF26" s="21">
        <f t="shared" si="36"/>
        <v>1</v>
      </c>
      <c r="BG26" s="21">
        <f t="shared" si="37"/>
        <v>1</v>
      </c>
      <c r="BH26" s="21">
        <f t="shared" si="38"/>
        <v>1</v>
      </c>
      <c r="BI26" s="21">
        <f t="shared" si="39"/>
        <v>1</v>
      </c>
      <c r="BJ26" s="21">
        <f t="shared" si="40"/>
        <v>1</v>
      </c>
      <c r="BK26" s="21">
        <f t="shared" si="41"/>
        <v>1</v>
      </c>
      <c r="BL26" s="21">
        <f t="shared" si="42"/>
        <v>1</v>
      </c>
      <c r="BM26" s="21">
        <f t="shared" si="43"/>
        <v>1</v>
      </c>
      <c r="BN26" s="21">
        <f t="shared" si="44"/>
        <v>1</v>
      </c>
      <c r="BO26" s="21">
        <f t="shared" si="45"/>
        <v>1</v>
      </c>
      <c r="BP26" s="21">
        <f t="shared" si="46"/>
        <v>1</v>
      </c>
      <c r="BQ26" s="21">
        <f t="shared" si="47"/>
        <v>1</v>
      </c>
      <c r="BR26" s="21">
        <f t="shared" si="48"/>
        <v>1</v>
      </c>
      <c r="BS26" s="21">
        <f t="shared" si="49"/>
        <v>1</v>
      </c>
      <c r="BT26" s="21">
        <f t="shared" si="50"/>
        <v>1</v>
      </c>
      <c r="BU26" s="21">
        <f t="shared" si="51"/>
        <v>1</v>
      </c>
      <c r="BV26" s="21">
        <f t="shared" si="52"/>
        <v>1</v>
      </c>
      <c r="BW26" s="21">
        <f t="shared" si="53"/>
        <v>1</v>
      </c>
      <c r="BX26" s="21">
        <f t="shared" si="54"/>
        <v>1</v>
      </c>
      <c r="BY26" s="21">
        <f t="shared" si="55"/>
        <v>1</v>
      </c>
      <c r="BZ26" s="21">
        <f t="shared" si="56"/>
        <v>1</v>
      </c>
      <c r="CA26" s="21">
        <f t="shared" si="57"/>
        <v>1</v>
      </c>
      <c r="CB26" s="21">
        <f t="shared" si="58"/>
        <v>1</v>
      </c>
      <c r="CC26" s="21">
        <f t="shared" si="59"/>
        <v>1</v>
      </c>
      <c r="CD26" s="21">
        <f t="shared" si="60"/>
        <v>1</v>
      </c>
      <c r="CE26" s="21">
        <f t="shared" si="61"/>
        <v>1</v>
      </c>
      <c r="CF26" s="21">
        <f t="shared" si="62"/>
        <v>1</v>
      </c>
      <c r="CG26" s="21">
        <f t="shared" si="63"/>
        <v>1</v>
      </c>
      <c r="CH26" s="21">
        <f t="shared" si="64"/>
        <v>1</v>
      </c>
      <c r="CI26" s="21">
        <f t="shared" si="65"/>
        <v>1</v>
      </c>
      <c r="CJ26" s="21">
        <f t="shared" si="66"/>
        <v>1</v>
      </c>
      <c r="CK26" s="21">
        <f t="shared" si="67"/>
        <v>1</v>
      </c>
      <c r="CL26" s="21">
        <f t="shared" si="68"/>
        <v>1</v>
      </c>
      <c r="CM26" s="21">
        <f t="shared" si="69"/>
        <v>1</v>
      </c>
      <c r="CN26" s="21">
        <f t="shared" si="70"/>
        <v>1</v>
      </c>
      <c r="CO26" s="21">
        <f t="shared" si="71"/>
        <v>1</v>
      </c>
      <c r="CP26" s="21">
        <f t="shared" si="72"/>
        <v>1</v>
      </c>
      <c r="CQ26" s="21">
        <f t="shared" si="73"/>
        <v>1</v>
      </c>
      <c r="CR26" s="21">
        <f t="shared" si="74"/>
        <v>1</v>
      </c>
      <c r="CS26" s="21"/>
      <c r="CT26" s="21"/>
      <c r="CU26" s="21"/>
      <c r="CV26" s="21"/>
      <c r="CW26" s="21"/>
      <c r="CY26">
        <f t="shared" ca="1" si="79"/>
        <v>1</v>
      </c>
      <c r="CZ26">
        <f t="shared" ca="1" si="75"/>
        <v>2</v>
      </c>
      <c r="DA26">
        <f t="shared" ca="1" si="75"/>
        <v>3</v>
      </c>
      <c r="DB26">
        <f t="shared" ca="1" si="75"/>
        <v>4</v>
      </c>
      <c r="DC26">
        <f t="shared" ca="1" si="75"/>
        <v>5</v>
      </c>
      <c r="DD26">
        <f t="shared" ca="1" si="75"/>
        <v>6</v>
      </c>
      <c r="DE26">
        <f t="shared" ca="1" si="75"/>
        <v>7</v>
      </c>
      <c r="DF26">
        <f t="shared" ca="1" si="75"/>
        <v>8</v>
      </c>
      <c r="DG26">
        <f t="shared" ca="1" si="75"/>
        <v>9</v>
      </c>
      <c r="DH26">
        <f t="shared" ca="1" si="75"/>
        <v>10</v>
      </c>
    </row>
    <row r="27" spans="1:112" ht="33" hidden="1" customHeight="1" x14ac:dyDescent="0.25">
      <c r="A27">
        <f t="shared" si="80"/>
        <v>-3</v>
      </c>
      <c r="B27" s="407" t="str">
        <f t="shared" ca="1" si="32"/>
        <v/>
      </c>
      <c r="C27" s="409" t="str">
        <f ca="1">'ריכוז נתונים כללים'!D33</f>
        <v/>
      </c>
      <c r="D27" s="410"/>
      <c r="E27" s="410"/>
      <c r="F27" s="410"/>
      <c r="G27" s="410"/>
      <c r="H27" s="410"/>
      <c r="I27" s="410"/>
      <c r="J27" s="410"/>
      <c r="K27" s="410"/>
      <c r="L27" s="410"/>
      <c r="M27" s="410"/>
      <c r="N27" s="420"/>
      <c r="O27" s="420"/>
      <c r="P27" s="407" t="str">
        <f t="shared" ca="1" si="76"/>
        <v/>
      </c>
      <c r="Q27" s="410"/>
      <c r="R27" s="410"/>
      <c r="S27" s="410"/>
      <c r="T27" s="410"/>
      <c r="U27" s="410"/>
      <c r="V27" s="410"/>
      <c r="W27" s="410"/>
      <c r="X27" s="410"/>
      <c r="Y27" s="410"/>
      <c r="Z27" s="410"/>
      <c r="AA27" s="410"/>
      <c r="AB27" s="411"/>
      <c r="AC27" s="408"/>
      <c r="AD27" s="410"/>
      <c r="AE27" s="410"/>
      <c r="AF27" s="410"/>
      <c r="AG27" s="407"/>
      <c r="AH27" s="410"/>
      <c r="AI27" s="410"/>
      <c r="AJ27" s="410"/>
      <c r="AK27" s="410"/>
      <c r="AL27" s="410"/>
      <c r="AM27" s="407"/>
      <c r="AN27" s="408"/>
      <c r="AO27" s="410"/>
      <c r="AP27" s="410"/>
      <c r="AQ27" s="408"/>
      <c r="AR27" s="410"/>
      <c r="AS27" s="410"/>
      <c r="AT27" s="410"/>
      <c r="AU27" s="408"/>
      <c r="AV27" s="408"/>
      <c r="AW27" s="408"/>
      <c r="AX27" s="407" t="str" cm="1">
        <f t="array" aca="1" ref="AX27" ca="1">IF($C27="","",IF(AT27=1,1,IF(AZ27&lt;&gt;1,$DF$1,IF(SUMPRODUCT((D27:AT27&gt;=$D$6:$AT$6)*($D$6:$AT$6&lt;&gt;"")*($D$4:$AT$4=1))=COUNTIF($D$4:$AT$4,1),1,0))))</f>
        <v/>
      </c>
      <c r="AY27" s="417"/>
      <c r="AZ27">
        <f t="shared" si="77"/>
        <v>0</v>
      </c>
      <c r="BA27" t="str">
        <f t="shared" ca="1" si="81"/>
        <v/>
      </c>
      <c r="BB27" t="str">
        <f t="shared" ca="1" si="81"/>
        <v/>
      </c>
      <c r="BC27" s="21">
        <f t="shared" si="33"/>
        <v>0</v>
      </c>
      <c r="BD27" s="21">
        <f t="shared" si="34"/>
        <v>0</v>
      </c>
      <c r="BE27" s="21">
        <f t="shared" si="35"/>
        <v>0</v>
      </c>
      <c r="BF27" s="21">
        <f t="shared" si="36"/>
        <v>0</v>
      </c>
      <c r="BG27" s="21">
        <f t="shared" si="37"/>
        <v>0</v>
      </c>
      <c r="BH27" s="21">
        <f t="shared" si="38"/>
        <v>0</v>
      </c>
      <c r="BI27" s="21">
        <f t="shared" si="39"/>
        <v>0</v>
      </c>
      <c r="BJ27" s="21">
        <f t="shared" si="40"/>
        <v>0</v>
      </c>
      <c r="BK27" s="21">
        <f t="shared" si="41"/>
        <v>0</v>
      </c>
      <c r="BL27" s="21">
        <f t="shared" si="42"/>
        <v>0</v>
      </c>
      <c r="BM27" s="21">
        <f t="shared" si="43"/>
        <v>0</v>
      </c>
      <c r="BN27" s="21">
        <f t="shared" si="44"/>
        <v>0</v>
      </c>
      <c r="BO27" s="21">
        <f t="shared" si="45"/>
        <v>1</v>
      </c>
      <c r="BP27" s="21">
        <f t="shared" si="46"/>
        <v>0</v>
      </c>
      <c r="BQ27" s="21">
        <f t="shared" si="47"/>
        <v>0</v>
      </c>
      <c r="BR27" s="21">
        <f t="shared" si="48"/>
        <v>0</v>
      </c>
      <c r="BS27" s="21">
        <f t="shared" si="49"/>
        <v>0</v>
      </c>
      <c r="BT27" s="21">
        <f t="shared" si="50"/>
        <v>0</v>
      </c>
      <c r="BU27" s="21">
        <f t="shared" si="51"/>
        <v>0</v>
      </c>
      <c r="BV27" s="21">
        <f t="shared" si="52"/>
        <v>1</v>
      </c>
      <c r="BW27" s="21">
        <f t="shared" si="53"/>
        <v>1</v>
      </c>
      <c r="BX27" s="21">
        <f t="shared" si="54"/>
        <v>1</v>
      </c>
      <c r="BY27" s="21">
        <f t="shared" si="55"/>
        <v>1</v>
      </c>
      <c r="BZ27" s="21">
        <f t="shared" si="56"/>
        <v>1</v>
      </c>
      <c r="CA27" s="21">
        <f t="shared" si="57"/>
        <v>1</v>
      </c>
      <c r="CB27" s="21">
        <f t="shared" si="58"/>
        <v>1</v>
      </c>
      <c r="CC27" s="21">
        <f t="shared" si="59"/>
        <v>1</v>
      </c>
      <c r="CD27" s="21">
        <f t="shared" si="60"/>
        <v>1</v>
      </c>
      <c r="CE27" s="21">
        <f t="shared" si="61"/>
        <v>1</v>
      </c>
      <c r="CF27" s="21">
        <f t="shared" si="62"/>
        <v>1</v>
      </c>
      <c r="CG27" s="21">
        <f t="shared" si="63"/>
        <v>1</v>
      </c>
      <c r="CH27" s="21">
        <f t="shared" si="64"/>
        <v>1</v>
      </c>
      <c r="CI27" s="21">
        <f t="shared" si="65"/>
        <v>1</v>
      </c>
      <c r="CJ27" s="21">
        <f t="shared" si="66"/>
        <v>1</v>
      </c>
      <c r="CK27" s="21">
        <f t="shared" si="67"/>
        <v>1</v>
      </c>
      <c r="CL27" s="21">
        <f t="shared" si="68"/>
        <v>1</v>
      </c>
      <c r="CM27" s="21">
        <f t="shared" si="69"/>
        <v>1</v>
      </c>
      <c r="CN27" s="21">
        <f t="shared" si="70"/>
        <v>1</v>
      </c>
      <c r="CO27" s="21">
        <f t="shared" si="71"/>
        <v>1</v>
      </c>
      <c r="CP27" s="21">
        <f t="shared" si="72"/>
        <v>1</v>
      </c>
      <c r="CQ27" s="21">
        <f t="shared" si="73"/>
        <v>1</v>
      </c>
      <c r="CR27" s="21">
        <f t="shared" si="74"/>
        <v>0</v>
      </c>
      <c r="CS27" s="21"/>
      <c r="CT27" s="21"/>
      <c r="CU27" s="21"/>
      <c r="CV27" s="21"/>
      <c r="CW27" s="21"/>
      <c r="CY27" t="str">
        <f t="shared" ca="1" si="79"/>
        <v/>
      </c>
      <c r="CZ27" t="str">
        <f t="shared" ca="1" si="79"/>
        <v/>
      </c>
      <c r="DA27" t="str">
        <f t="shared" ca="1" si="79"/>
        <v/>
      </c>
      <c r="DB27" t="str">
        <f t="shared" ca="1" si="79"/>
        <v/>
      </c>
      <c r="DC27" t="str">
        <f t="shared" ca="1" si="79"/>
        <v/>
      </c>
      <c r="DD27" t="str">
        <f t="shared" ca="1" si="79"/>
        <v/>
      </c>
      <c r="DE27" t="str">
        <f t="shared" ca="1" si="79"/>
        <v/>
      </c>
      <c r="DF27" t="str">
        <f t="shared" ca="1" si="79"/>
        <v/>
      </c>
      <c r="DG27" t="str">
        <f t="shared" ca="1" si="79"/>
        <v/>
      </c>
      <c r="DH27" t="str">
        <f t="shared" ca="1" si="79"/>
        <v/>
      </c>
    </row>
    <row r="28" spans="1:112" ht="39" customHeight="1" x14ac:dyDescent="0.25">
      <c r="A28">
        <f t="shared" si="80"/>
        <v>-2</v>
      </c>
      <c r="B28" s="407">
        <f t="shared" ca="1" si="32"/>
        <v>18</v>
      </c>
      <c r="C28" s="409" t="str">
        <f ca="1">'ריכוז נתונים כללים'!D34</f>
        <v>ישיבת קרלין סטולין</v>
      </c>
      <c r="D28" s="410">
        <v>0</v>
      </c>
      <c r="E28" s="410">
        <v>1</v>
      </c>
      <c r="F28" s="410">
        <v>1</v>
      </c>
      <c r="G28" s="410">
        <v>1</v>
      </c>
      <c r="H28" s="410">
        <v>1</v>
      </c>
      <c r="I28" s="410">
        <v>1</v>
      </c>
      <c r="J28" s="410">
        <v>1</v>
      </c>
      <c r="K28" s="410">
        <v>1</v>
      </c>
      <c r="L28" s="410">
        <v>1</v>
      </c>
      <c r="M28" s="410">
        <v>1</v>
      </c>
      <c r="N28" s="420">
        <v>1000676</v>
      </c>
      <c r="O28" s="420">
        <v>1000676</v>
      </c>
      <c r="P28" s="407">
        <f t="shared" ca="1" si="76"/>
        <v>1</v>
      </c>
      <c r="Q28" s="410">
        <v>1</v>
      </c>
      <c r="R28" s="410">
        <v>1</v>
      </c>
      <c r="S28" s="410">
        <v>1</v>
      </c>
      <c r="T28" s="410">
        <v>1</v>
      </c>
      <c r="U28" s="410">
        <v>1</v>
      </c>
      <c r="V28" s="410">
        <v>1</v>
      </c>
      <c r="W28" s="410"/>
      <c r="X28" s="410"/>
      <c r="Y28" s="410"/>
      <c r="Z28" s="410"/>
      <c r="AA28" s="410"/>
      <c r="AB28" s="411"/>
      <c r="AC28" s="408"/>
      <c r="AD28" s="410"/>
      <c r="AE28" s="410"/>
      <c r="AF28" s="410"/>
      <c r="AG28" s="407"/>
      <c r="AH28" s="410"/>
      <c r="AI28" s="410"/>
      <c r="AJ28" s="410"/>
      <c r="AK28" s="410"/>
      <c r="AL28" s="410"/>
      <c r="AM28" s="407"/>
      <c r="AN28" s="408"/>
      <c r="AO28" s="410"/>
      <c r="AP28" s="410"/>
      <c r="AQ28" s="408"/>
      <c r="AR28" s="410"/>
      <c r="AS28" s="410">
        <v>1</v>
      </c>
      <c r="AT28" s="410"/>
      <c r="AU28" s="408"/>
      <c r="AV28" s="408"/>
      <c r="AW28" s="408"/>
      <c r="AX28" s="407" cm="1">
        <f t="array" aca="1" ref="AX28" ca="1">IF($C28="","",IF(AT28=1,1,IF(AZ28&lt;&gt;1,$DF$1,IF(SUMPRODUCT((D28:AT28&gt;=$D$6:$AT$6)*($D$6:$AT$6&lt;&gt;"")*($D$4:$AT$4=1))=COUNTIF($D$4:$AT$4,1),1,0))))</f>
        <v>1</v>
      </c>
      <c r="AY28" s="416"/>
      <c r="AZ28">
        <f t="shared" si="77"/>
        <v>1</v>
      </c>
      <c r="BA28">
        <f t="shared" ca="1" si="81"/>
        <v>0</v>
      </c>
      <c r="BB28">
        <f t="shared" ca="1" si="81"/>
        <v>1</v>
      </c>
      <c r="BC28" s="21">
        <f t="shared" si="33"/>
        <v>1</v>
      </c>
      <c r="BD28" s="21">
        <f t="shared" si="34"/>
        <v>1</v>
      </c>
      <c r="BE28" s="21">
        <f t="shared" si="35"/>
        <v>1</v>
      </c>
      <c r="BF28" s="21">
        <f t="shared" si="36"/>
        <v>1</v>
      </c>
      <c r="BG28" s="21">
        <f t="shared" si="37"/>
        <v>1</v>
      </c>
      <c r="BH28" s="21">
        <f t="shared" si="38"/>
        <v>1</v>
      </c>
      <c r="BI28" s="21">
        <f t="shared" si="39"/>
        <v>1</v>
      </c>
      <c r="BJ28" s="21">
        <f t="shared" si="40"/>
        <v>1</v>
      </c>
      <c r="BK28" s="21">
        <f t="shared" si="41"/>
        <v>1</v>
      </c>
      <c r="BL28" s="21">
        <f t="shared" si="42"/>
        <v>1</v>
      </c>
      <c r="BM28" s="21">
        <f t="shared" si="43"/>
        <v>1</v>
      </c>
      <c r="BN28" s="21">
        <f t="shared" si="44"/>
        <v>1</v>
      </c>
      <c r="BO28" s="21">
        <f t="shared" si="45"/>
        <v>1</v>
      </c>
      <c r="BP28" s="21">
        <f t="shared" si="46"/>
        <v>1</v>
      </c>
      <c r="BQ28" s="21">
        <f t="shared" si="47"/>
        <v>1</v>
      </c>
      <c r="BR28" s="21">
        <f t="shared" si="48"/>
        <v>1</v>
      </c>
      <c r="BS28" s="21">
        <f t="shared" si="49"/>
        <v>1</v>
      </c>
      <c r="BT28" s="21">
        <f t="shared" si="50"/>
        <v>1</v>
      </c>
      <c r="BU28" s="21">
        <f t="shared" si="51"/>
        <v>1</v>
      </c>
      <c r="BV28" s="21">
        <f t="shared" si="52"/>
        <v>1</v>
      </c>
      <c r="BW28" s="21">
        <f t="shared" si="53"/>
        <v>1</v>
      </c>
      <c r="BX28" s="21">
        <f t="shared" si="54"/>
        <v>1</v>
      </c>
      <c r="BY28" s="21">
        <f t="shared" si="55"/>
        <v>1</v>
      </c>
      <c r="BZ28" s="21">
        <f t="shared" si="56"/>
        <v>1</v>
      </c>
      <c r="CA28" s="21">
        <f t="shared" si="57"/>
        <v>1</v>
      </c>
      <c r="CB28" s="21">
        <f t="shared" si="58"/>
        <v>1</v>
      </c>
      <c r="CC28" s="21">
        <f t="shared" si="59"/>
        <v>1</v>
      </c>
      <c r="CD28" s="21">
        <f t="shared" si="60"/>
        <v>1</v>
      </c>
      <c r="CE28" s="21">
        <f t="shared" si="61"/>
        <v>1</v>
      </c>
      <c r="CF28" s="21">
        <f t="shared" si="62"/>
        <v>1</v>
      </c>
      <c r="CG28" s="21">
        <f t="shared" si="63"/>
        <v>1</v>
      </c>
      <c r="CH28" s="21">
        <f t="shared" si="64"/>
        <v>1</v>
      </c>
      <c r="CI28" s="21">
        <f t="shared" si="65"/>
        <v>1</v>
      </c>
      <c r="CJ28" s="21">
        <f t="shared" si="66"/>
        <v>1</v>
      </c>
      <c r="CK28" s="21">
        <f t="shared" si="67"/>
        <v>1</v>
      </c>
      <c r="CL28" s="21">
        <f t="shared" si="68"/>
        <v>1</v>
      </c>
      <c r="CM28" s="21">
        <f t="shared" si="69"/>
        <v>1</v>
      </c>
      <c r="CN28" s="21">
        <f t="shared" si="70"/>
        <v>1</v>
      </c>
      <c r="CO28" s="21">
        <f t="shared" si="71"/>
        <v>1</v>
      </c>
      <c r="CP28" s="21">
        <f t="shared" si="72"/>
        <v>1</v>
      </c>
      <c r="CQ28" s="21">
        <f t="shared" si="73"/>
        <v>1</v>
      </c>
      <c r="CR28" s="21">
        <f t="shared" si="74"/>
        <v>1</v>
      </c>
      <c r="CS28" s="21"/>
      <c r="CT28" s="21"/>
      <c r="CU28" s="21"/>
      <c r="CV28" s="21"/>
      <c r="CW28" s="21"/>
      <c r="CY28">
        <f t="shared" ca="1" si="79"/>
        <v>1</v>
      </c>
      <c r="CZ28">
        <f t="shared" ca="1" si="79"/>
        <v>2</v>
      </c>
      <c r="DA28">
        <f t="shared" ca="1" si="79"/>
        <v>3</v>
      </c>
      <c r="DB28">
        <f t="shared" ca="1" si="79"/>
        <v>4</v>
      </c>
      <c r="DC28">
        <f t="shared" ca="1" si="79"/>
        <v>5</v>
      </c>
      <c r="DD28">
        <f t="shared" ca="1" si="79"/>
        <v>6</v>
      </c>
      <c r="DE28">
        <f t="shared" ca="1" si="79"/>
        <v>7</v>
      </c>
      <c r="DF28">
        <f t="shared" ca="1" si="79"/>
        <v>8</v>
      </c>
      <c r="DG28">
        <f t="shared" ca="1" si="79"/>
        <v>9</v>
      </c>
      <c r="DH28">
        <f t="shared" ca="1" si="79"/>
        <v>10</v>
      </c>
    </row>
    <row r="29" spans="1:112" ht="39" hidden="1" customHeight="1" x14ac:dyDescent="0.25">
      <c r="A29">
        <f t="shared" si="80"/>
        <v>-1</v>
      </c>
      <c r="B29" s="407" t="str">
        <f t="shared" ca="1" si="32"/>
        <v/>
      </c>
      <c r="C29" s="409" t="str">
        <f ca="1">'ריכוז נתונים כללים'!D35</f>
        <v/>
      </c>
      <c r="D29" s="410"/>
      <c r="E29" s="410"/>
      <c r="F29" s="410"/>
      <c r="G29" s="410"/>
      <c r="H29" s="410"/>
      <c r="I29" s="410"/>
      <c r="J29" s="410"/>
      <c r="K29" s="410"/>
      <c r="L29" s="410"/>
      <c r="M29" s="410"/>
      <c r="N29" s="420"/>
      <c r="O29" s="420"/>
      <c r="P29" s="407" t="str">
        <f t="shared" ca="1" si="76"/>
        <v/>
      </c>
      <c r="Q29" s="410"/>
      <c r="R29" s="410"/>
      <c r="S29" s="410"/>
      <c r="T29" s="410"/>
      <c r="U29" s="410"/>
      <c r="V29" s="410"/>
      <c r="W29" s="410"/>
      <c r="X29" s="410"/>
      <c r="Y29" s="410"/>
      <c r="Z29" s="410"/>
      <c r="AA29" s="410"/>
      <c r="AB29" s="411"/>
      <c r="AC29" s="408"/>
      <c r="AD29" s="410"/>
      <c r="AE29" s="410"/>
      <c r="AF29" s="410"/>
      <c r="AG29" s="407"/>
      <c r="AH29" s="410"/>
      <c r="AI29" s="410"/>
      <c r="AJ29" s="410"/>
      <c r="AK29" s="410"/>
      <c r="AL29" s="410"/>
      <c r="AM29" s="407"/>
      <c r="AN29" s="408"/>
      <c r="AO29" s="410"/>
      <c r="AP29" s="410"/>
      <c r="AQ29" s="408"/>
      <c r="AR29" s="410"/>
      <c r="AS29" s="410"/>
      <c r="AT29" s="410"/>
      <c r="AU29" s="408"/>
      <c r="AV29" s="408"/>
      <c r="AW29" s="408"/>
      <c r="AX29" s="407" t="str" cm="1">
        <f t="array" aca="1" ref="AX29" ca="1">IF($C29="","",IF(AT29=1,1,IF(AZ29&lt;&gt;1,$DF$1,IF(SUMPRODUCT((D29:AT29&gt;=$D$6:$AT$6)*($D$6:$AT$6&lt;&gt;"")*($D$4:$AT$4=1))=COUNTIF($D$4:$AT$4,1),1,0))))</f>
        <v/>
      </c>
      <c r="AY29" s="416"/>
      <c r="AZ29">
        <f t="shared" si="77"/>
        <v>0</v>
      </c>
      <c r="BA29" t="str">
        <f t="shared" ca="1" si="81"/>
        <v/>
      </c>
      <c r="BB29" t="str">
        <f t="shared" ca="1" si="81"/>
        <v/>
      </c>
      <c r="BC29" s="21">
        <f t="shared" si="33"/>
        <v>0</v>
      </c>
      <c r="BD29" s="21">
        <f t="shared" si="34"/>
        <v>0</v>
      </c>
      <c r="BE29" s="21">
        <f t="shared" si="35"/>
        <v>0</v>
      </c>
      <c r="BF29" s="21">
        <f t="shared" si="36"/>
        <v>0</v>
      </c>
      <c r="BG29" s="21">
        <f t="shared" si="37"/>
        <v>0</v>
      </c>
      <c r="BH29" s="21">
        <f t="shared" si="38"/>
        <v>0</v>
      </c>
      <c r="BI29" s="21">
        <f t="shared" si="39"/>
        <v>0</v>
      </c>
      <c r="BJ29" s="21">
        <f t="shared" si="40"/>
        <v>0</v>
      </c>
      <c r="BK29" s="21">
        <f t="shared" si="41"/>
        <v>0</v>
      </c>
      <c r="BL29" s="21">
        <f t="shared" si="42"/>
        <v>0</v>
      </c>
      <c r="BM29" s="21">
        <f t="shared" si="43"/>
        <v>0</v>
      </c>
      <c r="BN29" s="21">
        <f t="shared" si="44"/>
        <v>0</v>
      </c>
      <c r="BO29" s="21">
        <f t="shared" si="45"/>
        <v>1</v>
      </c>
      <c r="BP29" s="21">
        <f t="shared" si="46"/>
        <v>0</v>
      </c>
      <c r="BQ29" s="21">
        <f t="shared" si="47"/>
        <v>0</v>
      </c>
      <c r="BR29" s="21">
        <f t="shared" si="48"/>
        <v>0</v>
      </c>
      <c r="BS29" s="21">
        <f t="shared" si="49"/>
        <v>0</v>
      </c>
      <c r="BT29" s="21">
        <f t="shared" si="50"/>
        <v>0</v>
      </c>
      <c r="BU29" s="21">
        <f t="shared" si="51"/>
        <v>0</v>
      </c>
      <c r="BV29" s="21">
        <f t="shared" si="52"/>
        <v>1</v>
      </c>
      <c r="BW29" s="21">
        <f t="shared" si="53"/>
        <v>1</v>
      </c>
      <c r="BX29" s="21">
        <f t="shared" si="54"/>
        <v>1</v>
      </c>
      <c r="BY29" s="21">
        <f t="shared" si="55"/>
        <v>1</v>
      </c>
      <c r="BZ29" s="21">
        <f t="shared" si="56"/>
        <v>1</v>
      </c>
      <c r="CA29" s="21">
        <f t="shared" si="57"/>
        <v>1</v>
      </c>
      <c r="CB29" s="21">
        <f t="shared" si="58"/>
        <v>1</v>
      </c>
      <c r="CC29" s="21">
        <f t="shared" si="59"/>
        <v>1</v>
      </c>
      <c r="CD29" s="21">
        <f t="shared" si="60"/>
        <v>1</v>
      </c>
      <c r="CE29" s="21">
        <f t="shared" si="61"/>
        <v>1</v>
      </c>
      <c r="CF29" s="21">
        <f t="shared" si="62"/>
        <v>1</v>
      </c>
      <c r="CG29" s="21">
        <f t="shared" si="63"/>
        <v>1</v>
      </c>
      <c r="CH29" s="21">
        <f t="shared" si="64"/>
        <v>1</v>
      </c>
      <c r="CI29" s="21">
        <f t="shared" si="65"/>
        <v>1</v>
      </c>
      <c r="CJ29" s="21">
        <f t="shared" si="66"/>
        <v>1</v>
      </c>
      <c r="CK29" s="21">
        <f t="shared" si="67"/>
        <v>1</v>
      </c>
      <c r="CL29" s="21">
        <f t="shared" si="68"/>
        <v>1</v>
      </c>
      <c r="CM29" s="21">
        <f t="shared" si="69"/>
        <v>1</v>
      </c>
      <c r="CN29" s="21">
        <f t="shared" si="70"/>
        <v>1</v>
      </c>
      <c r="CO29" s="21">
        <f t="shared" si="71"/>
        <v>1</v>
      </c>
      <c r="CP29" s="21">
        <f t="shared" si="72"/>
        <v>1</v>
      </c>
      <c r="CQ29" s="21">
        <f t="shared" si="73"/>
        <v>1</v>
      </c>
      <c r="CR29" s="21">
        <f t="shared" si="74"/>
        <v>0</v>
      </c>
      <c r="CS29" s="21"/>
      <c r="CT29" s="21"/>
      <c r="CU29" s="21"/>
      <c r="CV29" s="21"/>
      <c r="CW29" s="21"/>
      <c r="CY29" t="str">
        <f t="shared" ca="1" si="79"/>
        <v/>
      </c>
      <c r="CZ29" t="str">
        <f t="shared" ca="1" si="79"/>
        <v/>
      </c>
      <c r="DA29" t="str">
        <f t="shared" ca="1" si="79"/>
        <v/>
      </c>
      <c r="DB29" t="str">
        <f t="shared" ca="1" si="79"/>
        <v/>
      </c>
      <c r="DC29" t="str">
        <f t="shared" ca="1" si="79"/>
        <v/>
      </c>
      <c r="DD29" t="str">
        <f t="shared" ca="1" si="79"/>
        <v/>
      </c>
      <c r="DE29" t="str">
        <f t="shared" ca="1" si="79"/>
        <v/>
      </c>
      <c r="DF29" t="str">
        <f t="shared" ca="1" si="79"/>
        <v/>
      </c>
      <c r="DG29" t="str">
        <f t="shared" ca="1" si="79"/>
        <v/>
      </c>
      <c r="DH29" t="str">
        <f t="shared" ca="1" si="79"/>
        <v/>
      </c>
    </row>
    <row r="30" spans="1:112" ht="39" hidden="1" customHeight="1" x14ac:dyDescent="0.25">
      <c r="A30">
        <f t="shared" si="80"/>
        <v>0</v>
      </c>
      <c r="B30" s="407" t="str">
        <f t="shared" ca="1" si="32"/>
        <v/>
      </c>
      <c r="C30" s="409" t="str">
        <f ca="1">'ריכוז נתונים כללים'!D36</f>
        <v/>
      </c>
      <c r="D30" s="410"/>
      <c r="E30" s="410"/>
      <c r="F30" s="410"/>
      <c r="G30" s="410"/>
      <c r="H30" s="410"/>
      <c r="I30" s="410"/>
      <c r="J30" s="410"/>
      <c r="K30" s="410"/>
      <c r="L30" s="410"/>
      <c r="M30" s="410"/>
      <c r="N30" s="420"/>
      <c r="O30" s="420"/>
      <c r="P30" s="407" t="str">
        <f t="shared" ca="1" si="76"/>
        <v/>
      </c>
      <c r="Q30" s="410"/>
      <c r="R30" s="410"/>
      <c r="S30" s="410"/>
      <c r="T30" s="410"/>
      <c r="U30" s="410"/>
      <c r="V30" s="410"/>
      <c r="W30" s="410"/>
      <c r="X30" s="410"/>
      <c r="Y30" s="410"/>
      <c r="Z30" s="410"/>
      <c r="AA30" s="410"/>
      <c r="AB30" s="411"/>
      <c r="AC30" s="408"/>
      <c r="AD30" s="410"/>
      <c r="AE30" s="410"/>
      <c r="AF30" s="410"/>
      <c r="AG30" s="407"/>
      <c r="AH30" s="410"/>
      <c r="AI30" s="410"/>
      <c r="AJ30" s="410"/>
      <c r="AK30" s="410"/>
      <c r="AL30" s="410"/>
      <c r="AM30" s="407"/>
      <c r="AN30" s="408"/>
      <c r="AO30" s="410"/>
      <c r="AP30" s="410"/>
      <c r="AQ30" s="408"/>
      <c r="AR30" s="410"/>
      <c r="AS30" s="410"/>
      <c r="AT30" s="410"/>
      <c r="AU30" s="408"/>
      <c r="AV30" s="408"/>
      <c r="AW30" s="408"/>
      <c r="AX30" s="407" t="str" cm="1">
        <f t="array" aca="1" ref="AX30" ca="1">IF($C30="","",IF(AT30=1,1,IF(AZ30&lt;&gt;1,$DF$1,IF(SUMPRODUCT((D30:AT30&gt;=$D$6:$AT$6)*($D$6:$AT$6&lt;&gt;"")*($D$4:$AT$4=1))=COUNTIF($D$4:$AT$4,1),1,0))))</f>
        <v/>
      </c>
      <c r="AY30" s="416"/>
      <c r="AZ30">
        <f t="shared" si="77"/>
        <v>0</v>
      </c>
      <c r="BA30" t="str">
        <f t="shared" ca="1" si="81"/>
        <v/>
      </c>
      <c r="BB30" t="str">
        <f t="shared" ca="1" si="81"/>
        <v/>
      </c>
      <c r="BC30" s="21">
        <f t="shared" si="33"/>
        <v>0</v>
      </c>
      <c r="BD30" s="21">
        <f t="shared" si="34"/>
        <v>0</v>
      </c>
      <c r="BE30" s="21">
        <f t="shared" si="35"/>
        <v>0</v>
      </c>
      <c r="BF30" s="21">
        <f t="shared" si="36"/>
        <v>0</v>
      </c>
      <c r="BG30" s="21">
        <f t="shared" si="37"/>
        <v>0</v>
      </c>
      <c r="BH30" s="21">
        <f t="shared" si="38"/>
        <v>0</v>
      </c>
      <c r="BI30" s="21">
        <f t="shared" si="39"/>
        <v>0</v>
      </c>
      <c r="BJ30" s="21">
        <f t="shared" si="40"/>
        <v>0</v>
      </c>
      <c r="BK30" s="21">
        <f t="shared" si="41"/>
        <v>0</v>
      </c>
      <c r="BL30" s="21">
        <f t="shared" si="42"/>
        <v>0</v>
      </c>
      <c r="BM30" s="21">
        <f t="shared" si="43"/>
        <v>0</v>
      </c>
      <c r="BN30" s="21">
        <f t="shared" si="44"/>
        <v>0</v>
      </c>
      <c r="BO30" s="21">
        <f t="shared" si="45"/>
        <v>1</v>
      </c>
      <c r="BP30" s="21">
        <f t="shared" si="46"/>
        <v>0</v>
      </c>
      <c r="BQ30" s="21">
        <f t="shared" si="47"/>
        <v>0</v>
      </c>
      <c r="BR30" s="21">
        <f t="shared" si="48"/>
        <v>0</v>
      </c>
      <c r="BS30" s="21">
        <f t="shared" si="49"/>
        <v>0</v>
      </c>
      <c r="BT30" s="21">
        <f t="shared" si="50"/>
        <v>0</v>
      </c>
      <c r="BU30" s="21">
        <f t="shared" si="51"/>
        <v>0</v>
      </c>
      <c r="BV30" s="21">
        <f t="shared" si="52"/>
        <v>1</v>
      </c>
      <c r="BW30" s="21">
        <f t="shared" si="53"/>
        <v>1</v>
      </c>
      <c r="BX30" s="21">
        <f t="shared" si="54"/>
        <v>1</v>
      </c>
      <c r="BY30" s="21">
        <f t="shared" si="55"/>
        <v>1</v>
      </c>
      <c r="BZ30" s="21">
        <f t="shared" si="56"/>
        <v>1</v>
      </c>
      <c r="CA30" s="21">
        <f t="shared" si="57"/>
        <v>1</v>
      </c>
      <c r="CB30" s="21">
        <f t="shared" si="58"/>
        <v>1</v>
      </c>
      <c r="CC30" s="21">
        <f t="shared" si="59"/>
        <v>1</v>
      </c>
      <c r="CD30" s="21">
        <f t="shared" si="60"/>
        <v>1</v>
      </c>
      <c r="CE30" s="21">
        <f t="shared" si="61"/>
        <v>1</v>
      </c>
      <c r="CF30" s="21">
        <f t="shared" si="62"/>
        <v>1</v>
      </c>
      <c r="CG30" s="21">
        <f t="shared" si="63"/>
        <v>1</v>
      </c>
      <c r="CH30" s="21">
        <f t="shared" si="64"/>
        <v>1</v>
      </c>
      <c r="CI30" s="21">
        <f t="shared" si="65"/>
        <v>1</v>
      </c>
      <c r="CJ30" s="21">
        <f t="shared" si="66"/>
        <v>1</v>
      </c>
      <c r="CK30" s="21">
        <f t="shared" si="67"/>
        <v>1</v>
      </c>
      <c r="CL30" s="21">
        <f t="shared" si="68"/>
        <v>1</v>
      </c>
      <c r="CM30" s="21">
        <f t="shared" si="69"/>
        <v>1</v>
      </c>
      <c r="CN30" s="21">
        <f t="shared" si="70"/>
        <v>1</v>
      </c>
      <c r="CO30" s="21">
        <f t="shared" si="71"/>
        <v>1</v>
      </c>
      <c r="CP30" s="21">
        <f t="shared" si="72"/>
        <v>1</v>
      </c>
      <c r="CQ30" s="21">
        <f t="shared" si="73"/>
        <v>1</v>
      </c>
      <c r="CR30" s="21">
        <f t="shared" si="74"/>
        <v>0</v>
      </c>
      <c r="CS30" s="21"/>
      <c r="CT30" s="21"/>
      <c r="CU30" s="21"/>
      <c r="CV30" s="21"/>
      <c r="CW30" s="21"/>
      <c r="CY30" t="str">
        <f t="shared" ca="1" si="79"/>
        <v/>
      </c>
      <c r="CZ30" t="str">
        <f t="shared" ca="1" si="79"/>
        <v/>
      </c>
      <c r="DA30" t="str">
        <f t="shared" ca="1" si="79"/>
        <v/>
      </c>
      <c r="DB30" t="str">
        <f t="shared" ca="1" si="79"/>
        <v/>
      </c>
      <c r="DC30" t="str">
        <f t="shared" ca="1" si="79"/>
        <v/>
      </c>
      <c r="DD30" t="str">
        <f t="shared" ca="1" si="79"/>
        <v/>
      </c>
      <c r="DE30" t="str">
        <f t="shared" ca="1" si="79"/>
        <v/>
      </c>
      <c r="DF30" t="str">
        <f t="shared" ca="1" si="79"/>
        <v/>
      </c>
      <c r="DG30" t="str">
        <f t="shared" ca="1" si="79"/>
        <v/>
      </c>
      <c r="DH30" t="str">
        <f t="shared" ca="1" si="79"/>
        <v/>
      </c>
    </row>
    <row r="31" spans="1:112" ht="39" customHeight="1" x14ac:dyDescent="0.25">
      <c r="A31">
        <f t="shared" si="80"/>
        <v>1</v>
      </c>
      <c r="B31" s="407">
        <f t="shared" ca="1" si="32"/>
        <v>21</v>
      </c>
      <c r="C31" s="409" t="str">
        <f ca="1">'ריכוז נתונים כללים'!D37</f>
        <v>ברית יוצאי מרוקו</v>
      </c>
      <c r="D31" s="410">
        <v>0</v>
      </c>
      <c r="E31" s="410">
        <v>1</v>
      </c>
      <c r="F31" s="410">
        <v>1</v>
      </c>
      <c r="G31" s="410">
        <v>1</v>
      </c>
      <c r="H31" s="410">
        <v>1</v>
      </c>
      <c r="I31" s="410">
        <v>1</v>
      </c>
      <c r="J31" s="410">
        <v>1</v>
      </c>
      <c r="K31" s="410">
        <v>1</v>
      </c>
      <c r="L31" s="410">
        <v>1</v>
      </c>
      <c r="M31" s="410">
        <v>1</v>
      </c>
      <c r="N31" s="420">
        <v>1342993</v>
      </c>
      <c r="O31" s="420">
        <v>1342993</v>
      </c>
      <c r="P31" s="407">
        <f t="shared" ca="1" si="76"/>
        <v>1</v>
      </c>
      <c r="Q31" s="410">
        <v>1</v>
      </c>
      <c r="R31" s="410">
        <v>1</v>
      </c>
      <c r="S31" s="410">
        <v>1</v>
      </c>
      <c r="T31" s="410">
        <v>1</v>
      </c>
      <c r="U31" s="410">
        <v>1</v>
      </c>
      <c r="V31" s="410">
        <v>1</v>
      </c>
      <c r="W31" s="410"/>
      <c r="X31" s="410"/>
      <c r="Y31" s="410"/>
      <c r="Z31" s="410"/>
      <c r="AA31" s="410"/>
      <c r="AB31" s="411"/>
      <c r="AC31" s="408"/>
      <c r="AD31" s="410"/>
      <c r="AE31" s="410"/>
      <c r="AF31" s="410"/>
      <c r="AG31" s="407"/>
      <c r="AH31" s="410"/>
      <c r="AI31" s="410"/>
      <c r="AJ31" s="410"/>
      <c r="AK31" s="410"/>
      <c r="AL31" s="410"/>
      <c r="AM31" s="407"/>
      <c r="AN31" s="408"/>
      <c r="AO31" s="410"/>
      <c r="AP31" s="410"/>
      <c r="AQ31" s="408"/>
      <c r="AR31" s="410"/>
      <c r="AS31" s="410">
        <v>1</v>
      </c>
      <c r="AT31" s="410"/>
      <c r="AU31" s="408"/>
      <c r="AV31" s="408"/>
      <c r="AW31" s="408"/>
      <c r="AX31" s="407" cm="1">
        <f t="array" aca="1" ref="AX31" ca="1">IF($C31="","",IF(AT31=1,1,IF(AZ31&lt;&gt;1,$DF$1,IF(SUMPRODUCT((D31:AT31&gt;=$D$6:$AT$6)*($D$6:$AT$6&lt;&gt;"")*($D$4:$AT$4=1))=COUNTIF($D$4:$AT$4,1),1,0))))</f>
        <v>1</v>
      </c>
      <c r="AY31" s="416"/>
      <c r="AZ31">
        <f t="shared" si="77"/>
        <v>1</v>
      </c>
      <c r="BA31">
        <f t="shared" ca="1" si="81"/>
        <v>0</v>
      </c>
      <c r="BB31">
        <f t="shared" ca="1" si="81"/>
        <v>1</v>
      </c>
      <c r="BC31" s="21">
        <f t="shared" si="33"/>
        <v>1</v>
      </c>
      <c r="BD31" s="21">
        <f t="shared" si="34"/>
        <v>1</v>
      </c>
      <c r="BE31" s="21">
        <f t="shared" si="35"/>
        <v>1</v>
      </c>
      <c r="BF31" s="21">
        <f t="shared" si="36"/>
        <v>1</v>
      </c>
      <c r="BG31" s="21">
        <f t="shared" si="37"/>
        <v>1</v>
      </c>
      <c r="BH31" s="21">
        <f t="shared" si="38"/>
        <v>1</v>
      </c>
      <c r="BI31" s="21">
        <f t="shared" si="39"/>
        <v>1</v>
      </c>
      <c r="BJ31" s="21">
        <f t="shared" si="40"/>
        <v>1</v>
      </c>
      <c r="BK31" s="21">
        <f t="shared" si="41"/>
        <v>1</v>
      </c>
      <c r="BL31" s="21">
        <f t="shared" si="42"/>
        <v>1</v>
      </c>
      <c r="BM31" s="21">
        <f t="shared" si="43"/>
        <v>1</v>
      </c>
      <c r="BN31" s="21">
        <f t="shared" si="44"/>
        <v>1</v>
      </c>
      <c r="BO31" s="21">
        <f t="shared" si="45"/>
        <v>1</v>
      </c>
      <c r="BP31" s="21">
        <f t="shared" si="46"/>
        <v>1</v>
      </c>
      <c r="BQ31" s="21">
        <f t="shared" si="47"/>
        <v>1</v>
      </c>
      <c r="BR31" s="21">
        <f t="shared" si="48"/>
        <v>1</v>
      </c>
      <c r="BS31" s="21">
        <f t="shared" si="49"/>
        <v>1</v>
      </c>
      <c r="BT31" s="21">
        <f t="shared" si="50"/>
        <v>1</v>
      </c>
      <c r="BU31" s="21">
        <f t="shared" si="51"/>
        <v>1</v>
      </c>
      <c r="BV31" s="21">
        <f t="shared" si="52"/>
        <v>1</v>
      </c>
      <c r="BW31" s="21">
        <f t="shared" si="53"/>
        <v>1</v>
      </c>
      <c r="BX31" s="21">
        <f t="shared" si="54"/>
        <v>1</v>
      </c>
      <c r="BY31" s="21">
        <f t="shared" si="55"/>
        <v>1</v>
      </c>
      <c r="BZ31" s="21">
        <f t="shared" si="56"/>
        <v>1</v>
      </c>
      <c r="CA31" s="21">
        <f t="shared" si="57"/>
        <v>1</v>
      </c>
      <c r="CB31" s="21">
        <f t="shared" si="58"/>
        <v>1</v>
      </c>
      <c r="CC31" s="21">
        <f t="shared" si="59"/>
        <v>1</v>
      </c>
      <c r="CD31" s="21">
        <f t="shared" si="60"/>
        <v>1</v>
      </c>
      <c r="CE31" s="21">
        <f t="shared" si="61"/>
        <v>1</v>
      </c>
      <c r="CF31" s="21">
        <f t="shared" si="62"/>
        <v>1</v>
      </c>
      <c r="CG31" s="21">
        <f t="shared" si="63"/>
        <v>1</v>
      </c>
      <c r="CH31" s="21">
        <f t="shared" si="64"/>
        <v>1</v>
      </c>
      <c r="CI31" s="21">
        <f t="shared" si="65"/>
        <v>1</v>
      </c>
      <c r="CJ31" s="21">
        <f t="shared" si="66"/>
        <v>1</v>
      </c>
      <c r="CK31" s="21">
        <f t="shared" si="67"/>
        <v>1</v>
      </c>
      <c r="CL31" s="21">
        <f t="shared" si="68"/>
        <v>1</v>
      </c>
      <c r="CM31" s="21">
        <f t="shared" si="69"/>
        <v>1</v>
      </c>
      <c r="CN31" s="21">
        <f t="shared" si="70"/>
        <v>1</v>
      </c>
      <c r="CO31" s="21">
        <f t="shared" si="71"/>
        <v>1</v>
      </c>
      <c r="CP31" s="21">
        <f t="shared" si="72"/>
        <v>1</v>
      </c>
      <c r="CQ31" s="21">
        <f t="shared" si="73"/>
        <v>1</v>
      </c>
      <c r="CR31" s="21">
        <f t="shared" si="74"/>
        <v>1</v>
      </c>
      <c r="CS31" s="21"/>
      <c r="CT31" s="21"/>
      <c r="CU31" s="21"/>
      <c r="CV31" s="21"/>
      <c r="CW31" s="21"/>
      <c r="CY31">
        <f t="shared" ca="1" si="79"/>
        <v>1</v>
      </c>
      <c r="CZ31">
        <f t="shared" ca="1" si="79"/>
        <v>2</v>
      </c>
      <c r="DA31">
        <f t="shared" ca="1" si="79"/>
        <v>3</v>
      </c>
      <c r="DB31">
        <f t="shared" ca="1" si="79"/>
        <v>4</v>
      </c>
      <c r="DC31">
        <f t="shared" ca="1" si="79"/>
        <v>5</v>
      </c>
      <c r="DD31">
        <f t="shared" ca="1" si="79"/>
        <v>6</v>
      </c>
      <c r="DE31">
        <f t="shared" ca="1" si="79"/>
        <v>7</v>
      </c>
      <c r="DF31">
        <f t="shared" ca="1" si="79"/>
        <v>8</v>
      </c>
      <c r="DG31">
        <f t="shared" ca="1" si="79"/>
        <v>9</v>
      </c>
      <c r="DH31">
        <f t="shared" ca="1" si="79"/>
        <v>10</v>
      </c>
    </row>
    <row r="32" spans="1:112" ht="39.75" customHeight="1" x14ac:dyDescent="0.25">
      <c r="A32">
        <f t="shared" si="80"/>
        <v>2</v>
      </c>
      <c r="B32" s="407">
        <f t="shared" ca="1" si="32"/>
        <v>22</v>
      </c>
      <c r="C32" s="409" t="str">
        <f ca="1">'ריכוז נתונים כללים'!D38</f>
        <v>הקם - בית הקונפדרציה</v>
      </c>
      <c r="D32" s="410">
        <v>0</v>
      </c>
      <c r="E32" s="410">
        <v>1</v>
      </c>
      <c r="F32" s="410">
        <v>1</v>
      </c>
      <c r="G32" s="410">
        <v>1</v>
      </c>
      <c r="H32" s="410">
        <v>1</v>
      </c>
      <c r="I32" s="410">
        <v>1</v>
      </c>
      <c r="J32" s="410">
        <v>1</v>
      </c>
      <c r="K32" s="410">
        <v>1</v>
      </c>
      <c r="L32" s="410">
        <v>1</v>
      </c>
      <c r="M32" s="410">
        <v>1</v>
      </c>
      <c r="N32" s="420">
        <v>1263007</v>
      </c>
      <c r="O32" s="420">
        <v>1263007</v>
      </c>
      <c r="P32" s="407">
        <f t="shared" ca="1" si="76"/>
        <v>1</v>
      </c>
      <c r="Q32" s="410">
        <v>1</v>
      </c>
      <c r="R32" s="410">
        <v>1</v>
      </c>
      <c r="S32" s="410">
        <v>1</v>
      </c>
      <c r="T32" s="410">
        <v>1</v>
      </c>
      <c r="U32" s="410">
        <v>1</v>
      </c>
      <c r="V32" s="410">
        <v>1</v>
      </c>
      <c r="W32" s="410"/>
      <c r="X32" s="410"/>
      <c r="Y32" s="410"/>
      <c r="Z32" s="410"/>
      <c r="AA32" s="410"/>
      <c r="AB32" s="411"/>
      <c r="AC32" s="408"/>
      <c r="AD32" s="410"/>
      <c r="AE32" s="410"/>
      <c r="AF32" s="410"/>
      <c r="AG32" s="407"/>
      <c r="AH32" s="410"/>
      <c r="AI32" s="410"/>
      <c r="AJ32" s="410"/>
      <c r="AK32" s="410"/>
      <c r="AL32" s="410"/>
      <c r="AM32" s="407"/>
      <c r="AN32" s="408"/>
      <c r="AO32" s="410"/>
      <c r="AP32" s="410"/>
      <c r="AQ32" s="408"/>
      <c r="AR32" s="410"/>
      <c r="AS32" s="410">
        <v>1</v>
      </c>
      <c r="AT32" s="410"/>
      <c r="AU32" s="408"/>
      <c r="AV32" s="408"/>
      <c r="AW32" s="408"/>
      <c r="AX32" s="407" cm="1">
        <f t="array" aca="1" ref="AX32" ca="1">IF($C32="","",IF(AT32=1,1,IF(AZ32&lt;&gt;1,$DF$1,IF(SUMPRODUCT((D32:AT32&gt;=$D$6:$AT$6)*($D$6:$AT$6&lt;&gt;"")*($D$4:$AT$4=1))=COUNTIF($D$4:$AT$4,1),1,0))))</f>
        <v>1</v>
      </c>
      <c r="AY32" s="419"/>
      <c r="AZ32">
        <f t="shared" si="77"/>
        <v>1</v>
      </c>
      <c r="BA32">
        <f t="shared" ca="1" si="81"/>
        <v>0</v>
      </c>
      <c r="BB32">
        <f t="shared" ca="1" si="81"/>
        <v>1</v>
      </c>
      <c r="BC32" s="21">
        <f t="shared" si="33"/>
        <v>1</v>
      </c>
      <c r="BD32" s="21">
        <f t="shared" si="34"/>
        <v>1</v>
      </c>
      <c r="BE32" s="21">
        <f t="shared" si="35"/>
        <v>1</v>
      </c>
      <c r="BF32" s="21">
        <f t="shared" si="36"/>
        <v>1</v>
      </c>
      <c r="BG32" s="21">
        <f t="shared" si="37"/>
        <v>1</v>
      </c>
      <c r="BH32" s="21">
        <f t="shared" si="38"/>
        <v>1</v>
      </c>
      <c r="BI32" s="21">
        <f t="shared" si="39"/>
        <v>1</v>
      </c>
      <c r="BJ32" s="21">
        <f t="shared" si="40"/>
        <v>1</v>
      </c>
      <c r="BK32" s="21">
        <f t="shared" si="41"/>
        <v>1</v>
      </c>
      <c r="BL32" s="21">
        <f t="shared" si="42"/>
        <v>1</v>
      </c>
      <c r="BM32" s="21">
        <f t="shared" si="43"/>
        <v>1</v>
      </c>
      <c r="BN32" s="21">
        <f t="shared" si="44"/>
        <v>1</v>
      </c>
      <c r="BO32" s="21">
        <f t="shared" si="45"/>
        <v>1</v>
      </c>
      <c r="BP32" s="21">
        <f t="shared" si="46"/>
        <v>1</v>
      </c>
      <c r="BQ32" s="21">
        <f t="shared" si="47"/>
        <v>1</v>
      </c>
      <c r="BR32" s="21">
        <f t="shared" si="48"/>
        <v>1</v>
      </c>
      <c r="BS32" s="21">
        <f t="shared" si="49"/>
        <v>1</v>
      </c>
      <c r="BT32" s="21">
        <f t="shared" si="50"/>
        <v>1</v>
      </c>
      <c r="BU32" s="21">
        <f t="shared" si="51"/>
        <v>1</v>
      </c>
      <c r="BV32" s="21">
        <f t="shared" si="52"/>
        <v>1</v>
      </c>
      <c r="BW32" s="21">
        <f t="shared" si="53"/>
        <v>1</v>
      </c>
      <c r="BX32" s="21">
        <f t="shared" si="54"/>
        <v>1</v>
      </c>
      <c r="BY32" s="21">
        <f t="shared" si="55"/>
        <v>1</v>
      </c>
      <c r="BZ32" s="21">
        <f t="shared" si="56"/>
        <v>1</v>
      </c>
      <c r="CA32" s="21">
        <f t="shared" si="57"/>
        <v>1</v>
      </c>
      <c r="CB32" s="21">
        <f t="shared" si="58"/>
        <v>1</v>
      </c>
      <c r="CC32" s="21">
        <f t="shared" si="59"/>
        <v>1</v>
      </c>
      <c r="CD32" s="21">
        <f t="shared" si="60"/>
        <v>1</v>
      </c>
      <c r="CE32" s="21">
        <f t="shared" si="61"/>
        <v>1</v>
      </c>
      <c r="CF32" s="21">
        <f t="shared" si="62"/>
        <v>1</v>
      </c>
      <c r="CG32" s="21">
        <f t="shared" si="63"/>
        <v>1</v>
      </c>
      <c r="CH32" s="21">
        <f t="shared" si="64"/>
        <v>1</v>
      </c>
      <c r="CI32" s="21">
        <f t="shared" si="65"/>
        <v>1</v>
      </c>
      <c r="CJ32" s="21">
        <f t="shared" si="66"/>
        <v>1</v>
      </c>
      <c r="CK32" s="21">
        <f t="shared" si="67"/>
        <v>1</v>
      </c>
      <c r="CL32" s="21">
        <f t="shared" si="68"/>
        <v>1</v>
      </c>
      <c r="CM32" s="21">
        <f t="shared" si="69"/>
        <v>1</v>
      </c>
      <c r="CN32" s="21">
        <f t="shared" si="70"/>
        <v>1</v>
      </c>
      <c r="CO32" s="21">
        <f t="shared" si="71"/>
        <v>1</v>
      </c>
      <c r="CP32" s="21">
        <f t="shared" si="72"/>
        <v>1</v>
      </c>
      <c r="CQ32" s="21">
        <f t="shared" si="73"/>
        <v>1</v>
      </c>
      <c r="CR32" s="21">
        <f t="shared" si="74"/>
        <v>1</v>
      </c>
      <c r="CS32" s="21"/>
      <c r="CT32" s="21"/>
      <c r="CU32" s="21"/>
      <c r="CV32" s="21"/>
      <c r="CW32" s="21"/>
      <c r="CY32">
        <f t="shared" ca="1" si="79"/>
        <v>1</v>
      </c>
      <c r="CZ32">
        <f t="shared" ca="1" si="79"/>
        <v>2</v>
      </c>
      <c r="DA32">
        <f t="shared" ca="1" si="79"/>
        <v>3</v>
      </c>
      <c r="DB32">
        <f t="shared" ca="1" si="79"/>
        <v>4</v>
      </c>
      <c r="DC32">
        <f t="shared" ca="1" si="79"/>
        <v>5</v>
      </c>
      <c r="DD32">
        <f t="shared" ca="1" si="79"/>
        <v>6</v>
      </c>
      <c r="DE32">
        <f t="shared" ca="1" si="79"/>
        <v>7</v>
      </c>
      <c r="DF32">
        <f t="shared" ca="1" si="79"/>
        <v>8</v>
      </c>
      <c r="DG32">
        <f t="shared" ca="1" si="79"/>
        <v>9</v>
      </c>
      <c r="DH32">
        <f t="shared" ca="1" si="79"/>
        <v>10</v>
      </c>
    </row>
    <row r="33" spans="1:112" ht="39.75" customHeight="1" x14ac:dyDescent="0.25">
      <c r="A33">
        <f t="shared" si="80"/>
        <v>3</v>
      </c>
      <c r="B33" s="407">
        <f t="shared" ca="1" si="32"/>
        <v>23</v>
      </c>
      <c r="C33" s="409" t="str">
        <f ca="1">'ריכוז נתונים כללים'!D39</f>
        <v>מוסיקה מזרח מערב</v>
      </c>
      <c r="D33" s="410">
        <v>0</v>
      </c>
      <c r="E33" s="410">
        <v>1</v>
      </c>
      <c r="F33" s="410">
        <v>1</v>
      </c>
      <c r="G33" s="410">
        <v>1</v>
      </c>
      <c r="H33" s="410">
        <v>1</v>
      </c>
      <c r="I33" s="410">
        <v>1</v>
      </c>
      <c r="J33" s="410">
        <v>1</v>
      </c>
      <c r="K33" s="410">
        <v>1</v>
      </c>
      <c r="L33" s="410">
        <v>1</v>
      </c>
      <c r="M33" s="410">
        <v>1</v>
      </c>
      <c r="N33" s="420">
        <v>1146006</v>
      </c>
      <c r="O33" s="420">
        <v>1146006</v>
      </c>
      <c r="P33" s="407">
        <f t="shared" ca="1" si="76"/>
        <v>1</v>
      </c>
      <c r="Q33" s="410">
        <v>1</v>
      </c>
      <c r="R33" s="410">
        <v>1</v>
      </c>
      <c r="S33" s="410">
        <v>1</v>
      </c>
      <c r="T33" s="410">
        <v>1</v>
      </c>
      <c r="U33" s="410">
        <v>1</v>
      </c>
      <c r="V33" s="410">
        <v>1</v>
      </c>
      <c r="W33" s="410"/>
      <c r="X33" s="410"/>
      <c r="Y33" s="410"/>
      <c r="Z33" s="410"/>
      <c r="AA33" s="410"/>
      <c r="AB33" s="411"/>
      <c r="AC33" s="408"/>
      <c r="AD33" s="410"/>
      <c r="AE33" s="410"/>
      <c r="AF33" s="410"/>
      <c r="AG33" s="407"/>
      <c r="AH33" s="410"/>
      <c r="AI33" s="410"/>
      <c r="AJ33" s="410"/>
      <c r="AK33" s="410"/>
      <c r="AL33" s="410"/>
      <c r="AM33" s="407"/>
      <c r="AN33" s="408"/>
      <c r="AO33" s="410"/>
      <c r="AP33" s="410"/>
      <c r="AQ33" s="408"/>
      <c r="AR33" s="410"/>
      <c r="AS33" s="410">
        <v>1</v>
      </c>
      <c r="AT33" s="410"/>
      <c r="AU33" s="408"/>
      <c r="AV33" s="408"/>
      <c r="AW33" s="408"/>
      <c r="AX33" s="407" cm="1">
        <f t="array" aca="1" ref="AX33" ca="1">IF($C33="","",IF(AT33=1,1,IF(AZ33&lt;&gt;1,$DF$1,IF(SUMPRODUCT((D33:AT33&gt;=$D$6:$AT$6)*($D$6:$AT$6&lt;&gt;"")*($D$4:$AT$4=1))=COUNTIF($D$4:$AT$4,1),1,0))))</f>
        <v>1</v>
      </c>
      <c r="AY33" s="419"/>
      <c r="AZ33">
        <f t="shared" si="77"/>
        <v>1</v>
      </c>
      <c r="BA33">
        <f t="shared" ca="1" si="81"/>
        <v>0</v>
      </c>
      <c r="BB33">
        <f t="shared" ca="1" si="81"/>
        <v>1</v>
      </c>
      <c r="BC33" s="21">
        <f t="shared" si="33"/>
        <v>1</v>
      </c>
      <c r="BD33" s="21">
        <f t="shared" si="34"/>
        <v>1</v>
      </c>
      <c r="BE33" s="21">
        <f t="shared" si="35"/>
        <v>1</v>
      </c>
      <c r="BF33" s="21">
        <f t="shared" si="36"/>
        <v>1</v>
      </c>
      <c r="BG33" s="21">
        <f t="shared" si="37"/>
        <v>1</v>
      </c>
      <c r="BH33" s="21">
        <f t="shared" si="38"/>
        <v>1</v>
      </c>
      <c r="BI33" s="21">
        <f t="shared" si="39"/>
        <v>1</v>
      </c>
      <c r="BJ33" s="21">
        <f t="shared" si="40"/>
        <v>1</v>
      </c>
      <c r="BK33" s="21">
        <f t="shared" si="41"/>
        <v>1</v>
      </c>
      <c r="BL33" s="21">
        <f t="shared" si="42"/>
        <v>1</v>
      </c>
      <c r="BM33" s="21">
        <f t="shared" si="43"/>
        <v>1</v>
      </c>
      <c r="BN33" s="21">
        <f t="shared" si="44"/>
        <v>1</v>
      </c>
      <c r="BO33" s="21">
        <f t="shared" si="45"/>
        <v>1</v>
      </c>
      <c r="BP33" s="21">
        <f t="shared" si="46"/>
        <v>1</v>
      </c>
      <c r="BQ33" s="21">
        <f t="shared" si="47"/>
        <v>1</v>
      </c>
      <c r="BR33" s="21">
        <f t="shared" si="48"/>
        <v>1</v>
      </c>
      <c r="BS33" s="21">
        <f t="shared" si="49"/>
        <v>1</v>
      </c>
      <c r="BT33" s="21">
        <f t="shared" si="50"/>
        <v>1</v>
      </c>
      <c r="BU33" s="21">
        <f t="shared" si="51"/>
        <v>1</v>
      </c>
      <c r="BV33" s="21">
        <f t="shared" si="52"/>
        <v>1</v>
      </c>
      <c r="BW33" s="21">
        <f t="shared" si="53"/>
        <v>1</v>
      </c>
      <c r="BX33" s="21">
        <f t="shared" si="54"/>
        <v>1</v>
      </c>
      <c r="BY33" s="21">
        <f t="shared" si="55"/>
        <v>1</v>
      </c>
      <c r="BZ33" s="21">
        <f t="shared" si="56"/>
        <v>1</v>
      </c>
      <c r="CA33" s="21">
        <f t="shared" si="57"/>
        <v>1</v>
      </c>
      <c r="CB33" s="21">
        <f t="shared" si="58"/>
        <v>1</v>
      </c>
      <c r="CC33" s="21">
        <f t="shared" si="59"/>
        <v>1</v>
      </c>
      <c r="CD33" s="21">
        <f t="shared" si="60"/>
        <v>1</v>
      </c>
      <c r="CE33" s="21">
        <f t="shared" si="61"/>
        <v>1</v>
      </c>
      <c r="CF33" s="21">
        <f t="shared" si="62"/>
        <v>1</v>
      </c>
      <c r="CG33" s="21">
        <f t="shared" si="63"/>
        <v>1</v>
      </c>
      <c r="CH33" s="21">
        <f t="shared" si="64"/>
        <v>1</v>
      </c>
      <c r="CI33" s="21">
        <f t="shared" si="65"/>
        <v>1</v>
      </c>
      <c r="CJ33" s="21">
        <f t="shared" si="66"/>
        <v>1</v>
      </c>
      <c r="CK33" s="21">
        <f t="shared" si="67"/>
        <v>1</v>
      </c>
      <c r="CL33" s="21">
        <f t="shared" si="68"/>
        <v>1</v>
      </c>
      <c r="CM33" s="21">
        <f t="shared" si="69"/>
        <v>1</v>
      </c>
      <c r="CN33" s="21">
        <f t="shared" si="70"/>
        <v>1</v>
      </c>
      <c r="CO33" s="21">
        <f t="shared" si="71"/>
        <v>1</v>
      </c>
      <c r="CP33" s="21">
        <f t="shared" si="72"/>
        <v>1</v>
      </c>
      <c r="CQ33" s="21">
        <f t="shared" si="73"/>
        <v>1</v>
      </c>
      <c r="CR33" s="21">
        <f t="shared" si="74"/>
        <v>1</v>
      </c>
      <c r="CS33" s="21"/>
      <c r="CT33" s="21"/>
      <c r="CU33" s="21"/>
      <c r="CV33" s="21"/>
      <c r="CW33" s="21"/>
      <c r="CY33">
        <f t="shared" ca="1" si="79"/>
        <v>1</v>
      </c>
      <c r="CZ33">
        <f t="shared" ca="1" si="79"/>
        <v>2</v>
      </c>
      <c r="DA33">
        <f t="shared" ca="1" si="79"/>
        <v>3</v>
      </c>
      <c r="DB33">
        <f t="shared" ca="1" si="79"/>
        <v>4</v>
      </c>
      <c r="DC33">
        <f t="shared" ca="1" si="79"/>
        <v>5</v>
      </c>
      <c r="DD33">
        <f t="shared" ca="1" si="79"/>
        <v>6</v>
      </c>
      <c r="DE33">
        <f t="shared" ca="1" si="79"/>
        <v>7</v>
      </c>
      <c r="DF33">
        <f t="shared" ca="1" si="79"/>
        <v>8</v>
      </c>
      <c r="DG33">
        <f t="shared" ca="1" si="79"/>
        <v>9</v>
      </c>
      <c r="DH33">
        <f t="shared" ca="1" si="79"/>
        <v>10</v>
      </c>
    </row>
    <row r="34" spans="1:112" ht="39" customHeight="1" x14ac:dyDescent="0.25">
      <c r="A34">
        <f t="shared" si="80"/>
        <v>4</v>
      </c>
      <c r="B34" s="407">
        <f t="shared" ca="1" si="32"/>
        <v>24</v>
      </c>
      <c r="C34" s="409" t="str">
        <f ca="1">'ריכוז נתונים כללים'!D40</f>
        <v>אעלה בתמר</v>
      </c>
      <c r="D34" s="410">
        <v>0</v>
      </c>
      <c r="E34" s="410">
        <v>1</v>
      </c>
      <c r="F34" s="410">
        <v>1</v>
      </c>
      <c r="G34" s="410">
        <v>1</v>
      </c>
      <c r="H34" s="410">
        <v>1</v>
      </c>
      <c r="I34" s="410">
        <v>1</v>
      </c>
      <c r="J34" s="410">
        <v>1</v>
      </c>
      <c r="K34" s="410">
        <v>1</v>
      </c>
      <c r="L34" s="410">
        <v>1</v>
      </c>
      <c r="M34" s="410">
        <v>1</v>
      </c>
      <c r="N34" s="420">
        <v>2375853</v>
      </c>
      <c r="O34" s="420">
        <v>2375853</v>
      </c>
      <c r="P34" s="407">
        <f t="shared" ca="1" si="76"/>
        <v>1</v>
      </c>
      <c r="Q34" s="410">
        <v>1</v>
      </c>
      <c r="R34" s="410">
        <v>1</v>
      </c>
      <c r="S34" s="410">
        <v>1</v>
      </c>
      <c r="T34" s="410">
        <v>1</v>
      </c>
      <c r="U34" s="410">
        <v>1</v>
      </c>
      <c r="V34" s="410">
        <v>1</v>
      </c>
      <c r="W34" s="410"/>
      <c r="X34" s="410"/>
      <c r="Y34" s="410"/>
      <c r="Z34" s="410"/>
      <c r="AA34" s="410"/>
      <c r="AB34" s="411"/>
      <c r="AC34" s="408"/>
      <c r="AD34" s="410"/>
      <c r="AE34" s="410"/>
      <c r="AF34" s="410"/>
      <c r="AG34" s="407"/>
      <c r="AH34" s="410"/>
      <c r="AI34" s="410"/>
      <c r="AJ34" s="410"/>
      <c r="AK34" s="410"/>
      <c r="AL34" s="410"/>
      <c r="AM34" s="407"/>
      <c r="AN34" s="408"/>
      <c r="AO34" s="410"/>
      <c r="AP34" s="410"/>
      <c r="AQ34" s="408"/>
      <c r="AR34" s="410"/>
      <c r="AS34" s="410">
        <v>1</v>
      </c>
      <c r="AT34" s="410"/>
      <c r="AU34" s="408"/>
      <c r="AV34" s="408"/>
      <c r="AW34" s="408"/>
      <c r="AX34" s="407" cm="1">
        <f t="array" aca="1" ref="AX34" ca="1">IF($C34="","",IF(AT34=1,1,IF(AZ34&lt;&gt;1,$DF$1,IF(SUMPRODUCT((D34:AT34&gt;=$D$6:$AT$6)*($D$6:$AT$6&lt;&gt;"")*($D$4:$AT$4=1))=COUNTIF($D$4:$AT$4,1),1,0))))</f>
        <v>1</v>
      </c>
      <c r="AY34" s="416"/>
      <c r="AZ34">
        <f t="shared" si="77"/>
        <v>1</v>
      </c>
      <c r="BA34">
        <f t="shared" ca="1" si="81"/>
        <v>0</v>
      </c>
      <c r="BB34">
        <f t="shared" ca="1" si="81"/>
        <v>1</v>
      </c>
      <c r="BC34" s="21">
        <f t="shared" si="33"/>
        <v>1</v>
      </c>
      <c r="BD34" s="21">
        <f t="shared" si="34"/>
        <v>1</v>
      </c>
      <c r="BE34" s="21">
        <f t="shared" si="35"/>
        <v>1</v>
      </c>
      <c r="BF34" s="21">
        <f t="shared" si="36"/>
        <v>1</v>
      </c>
      <c r="BG34" s="21">
        <f t="shared" si="37"/>
        <v>1</v>
      </c>
      <c r="BH34" s="21">
        <f t="shared" si="38"/>
        <v>1</v>
      </c>
      <c r="BI34" s="21">
        <f t="shared" si="39"/>
        <v>1</v>
      </c>
      <c r="BJ34" s="21">
        <f t="shared" si="40"/>
        <v>1</v>
      </c>
      <c r="BK34" s="21">
        <f t="shared" si="41"/>
        <v>1</v>
      </c>
      <c r="BL34" s="21">
        <f t="shared" si="42"/>
        <v>1</v>
      </c>
      <c r="BM34" s="21">
        <f t="shared" si="43"/>
        <v>1</v>
      </c>
      <c r="BN34" s="21">
        <f t="shared" si="44"/>
        <v>1</v>
      </c>
      <c r="BO34" s="21">
        <f t="shared" si="45"/>
        <v>1</v>
      </c>
      <c r="BP34" s="21">
        <f t="shared" si="46"/>
        <v>1</v>
      </c>
      <c r="BQ34" s="21">
        <f t="shared" si="47"/>
        <v>1</v>
      </c>
      <c r="BR34" s="21">
        <f t="shared" si="48"/>
        <v>1</v>
      </c>
      <c r="BS34" s="21">
        <f t="shared" si="49"/>
        <v>1</v>
      </c>
      <c r="BT34" s="21">
        <f t="shared" si="50"/>
        <v>1</v>
      </c>
      <c r="BU34" s="21">
        <f t="shared" si="51"/>
        <v>1</v>
      </c>
      <c r="BV34" s="21">
        <f t="shared" si="52"/>
        <v>1</v>
      </c>
      <c r="BW34" s="21">
        <f t="shared" si="53"/>
        <v>1</v>
      </c>
      <c r="BX34" s="21">
        <f t="shared" si="54"/>
        <v>1</v>
      </c>
      <c r="BY34" s="21">
        <f t="shared" si="55"/>
        <v>1</v>
      </c>
      <c r="BZ34" s="21">
        <f t="shared" si="56"/>
        <v>1</v>
      </c>
      <c r="CA34" s="21">
        <f t="shared" si="57"/>
        <v>1</v>
      </c>
      <c r="CB34" s="21">
        <f t="shared" si="58"/>
        <v>1</v>
      </c>
      <c r="CC34" s="21">
        <f t="shared" si="59"/>
        <v>1</v>
      </c>
      <c r="CD34" s="21">
        <f t="shared" si="60"/>
        <v>1</v>
      </c>
      <c r="CE34" s="21">
        <f t="shared" si="61"/>
        <v>1</v>
      </c>
      <c r="CF34" s="21">
        <f t="shared" si="62"/>
        <v>1</v>
      </c>
      <c r="CG34" s="21">
        <f t="shared" si="63"/>
        <v>1</v>
      </c>
      <c r="CH34" s="21">
        <f t="shared" si="64"/>
        <v>1</v>
      </c>
      <c r="CI34" s="21">
        <f t="shared" si="65"/>
        <v>1</v>
      </c>
      <c r="CJ34" s="21">
        <f t="shared" si="66"/>
        <v>1</v>
      </c>
      <c r="CK34" s="21">
        <f t="shared" si="67"/>
        <v>1</v>
      </c>
      <c r="CL34" s="21">
        <f t="shared" si="68"/>
        <v>1</v>
      </c>
      <c r="CM34" s="21">
        <f t="shared" si="69"/>
        <v>1</v>
      </c>
      <c r="CN34" s="21">
        <f t="shared" si="70"/>
        <v>1</v>
      </c>
      <c r="CO34" s="21">
        <f t="shared" si="71"/>
        <v>1</v>
      </c>
      <c r="CP34" s="21">
        <f t="shared" si="72"/>
        <v>1</v>
      </c>
      <c r="CQ34" s="21">
        <f t="shared" si="73"/>
        <v>1</v>
      </c>
      <c r="CR34" s="21">
        <f t="shared" si="74"/>
        <v>1</v>
      </c>
      <c r="CS34" s="21"/>
      <c r="CT34" s="21"/>
      <c r="CU34" s="21"/>
      <c r="CV34" s="21"/>
      <c r="CW34" s="21"/>
      <c r="CY34">
        <f t="shared" ca="1" si="79"/>
        <v>1</v>
      </c>
      <c r="CZ34">
        <f t="shared" ca="1" si="79"/>
        <v>2</v>
      </c>
      <c r="DA34">
        <f t="shared" ca="1" si="79"/>
        <v>3</v>
      </c>
      <c r="DB34">
        <f t="shared" ca="1" si="79"/>
        <v>4</v>
      </c>
      <c r="DC34">
        <f t="shared" ca="1" si="79"/>
        <v>5</v>
      </c>
      <c r="DD34">
        <f t="shared" ca="1" si="79"/>
        <v>6</v>
      </c>
      <c r="DE34">
        <f t="shared" ca="1" si="79"/>
        <v>7</v>
      </c>
      <c r="DF34">
        <f t="shared" ca="1" si="79"/>
        <v>8</v>
      </c>
      <c r="DG34">
        <f t="shared" ca="1" si="79"/>
        <v>9</v>
      </c>
      <c r="DH34">
        <f t="shared" ca="1" si="79"/>
        <v>10</v>
      </c>
    </row>
    <row r="35" spans="1:112" ht="39" hidden="1" customHeight="1" x14ac:dyDescent="0.25">
      <c r="A35">
        <f t="shared" si="80"/>
        <v>5</v>
      </c>
      <c r="B35" s="407" t="str">
        <f t="shared" ca="1" si="32"/>
        <v/>
      </c>
      <c r="C35" s="409" t="str">
        <f ca="1">'ריכוז נתונים כללים'!D41</f>
        <v/>
      </c>
      <c r="D35" s="410"/>
      <c r="E35" s="410"/>
      <c r="F35" s="410"/>
      <c r="G35" s="410"/>
      <c r="H35" s="410"/>
      <c r="I35" s="410"/>
      <c r="J35" s="410"/>
      <c r="K35" s="410"/>
      <c r="L35" s="410"/>
      <c r="M35" s="410"/>
      <c r="N35" s="420"/>
      <c r="O35" s="420"/>
      <c r="P35" s="407" t="str">
        <f t="shared" ca="1" si="76"/>
        <v/>
      </c>
      <c r="Q35" s="410"/>
      <c r="R35" s="410"/>
      <c r="S35" s="410"/>
      <c r="T35" s="410"/>
      <c r="U35" s="410"/>
      <c r="V35" s="410"/>
      <c r="W35" s="410"/>
      <c r="X35" s="410"/>
      <c r="Y35" s="410"/>
      <c r="Z35" s="410"/>
      <c r="AA35" s="410"/>
      <c r="AB35" s="411"/>
      <c r="AC35" s="408"/>
      <c r="AD35" s="410"/>
      <c r="AE35" s="410"/>
      <c r="AF35" s="410"/>
      <c r="AG35" s="407"/>
      <c r="AH35" s="410"/>
      <c r="AI35" s="410"/>
      <c r="AJ35" s="410"/>
      <c r="AK35" s="410"/>
      <c r="AL35" s="410"/>
      <c r="AM35" s="407"/>
      <c r="AN35" s="408"/>
      <c r="AO35" s="410"/>
      <c r="AP35" s="410"/>
      <c r="AQ35" s="408"/>
      <c r="AR35" s="410"/>
      <c r="AS35" s="410"/>
      <c r="AT35" s="410"/>
      <c r="AU35" s="408"/>
      <c r="AV35" s="408"/>
      <c r="AW35" s="408"/>
      <c r="AX35" s="407" t="str" cm="1">
        <f t="array" aca="1" ref="AX35" ca="1">IF($C35="","",IF(AT35=1,1,IF(AZ35&lt;&gt;1,$DF$1,IF(SUMPRODUCT((D35:AT35&gt;=$D$6:$AT$6)*($D$6:$AT$6&lt;&gt;"")*($D$4:$AT$4=1))=COUNTIF($D$4:$AT$4,1),1,0))))</f>
        <v/>
      </c>
      <c r="AY35" s="417"/>
      <c r="AZ35">
        <f t="shared" si="77"/>
        <v>0</v>
      </c>
      <c r="BA35" t="str">
        <f t="shared" ca="1" si="81"/>
        <v/>
      </c>
      <c r="BB35" t="str">
        <f t="shared" ca="1" si="81"/>
        <v/>
      </c>
      <c r="BC35" s="21">
        <f t="shared" si="33"/>
        <v>0</v>
      </c>
      <c r="BD35" s="21">
        <f t="shared" si="34"/>
        <v>0</v>
      </c>
      <c r="BE35" s="21">
        <f t="shared" si="35"/>
        <v>0</v>
      </c>
      <c r="BF35" s="21">
        <f t="shared" si="36"/>
        <v>0</v>
      </c>
      <c r="BG35" s="21">
        <f t="shared" si="37"/>
        <v>0</v>
      </c>
      <c r="BH35" s="21">
        <f t="shared" si="38"/>
        <v>0</v>
      </c>
      <c r="BI35" s="21">
        <f t="shared" si="39"/>
        <v>0</v>
      </c>
      <c r="BJ35" s="21">
        <f t="shared" si="40"/>
        <v>0</v>
      </c>
      <c r="BK35" s="21">
        <f t="shared" si="41"/>
        <v>0</v>
      </c>
      <c r="BL35" s="21">
        <f t="shared" si="42"/>
        <v>0</v>
      </c>
      <c r="BM35" s="21">
        <f t="shared" si="43"/>
        <v>0</v>
      </c>
      <c r="BN35" s="21">
        <f t="shared" si="44"/>
        <v>0</v>
      </c>
      <c r="BO35" s="21">
        <f t="shared" si="45"/>
        <v>1</v>
      </c>
      <c r="BP35" s="21">
        <f t="shared" si="46"/>
        <v>0</v>
      </c>
      <c r="BQ35" s="21">
        <f t="shared" si="47"/>
        <v>0</v>
      </c>
      <c r="BR35" s="21">
        <f t="shared" si="48"/>
        <v>0</v>
      </c>
      <c r="BS35" s="21">
        <f t="shared" si="49"/>
        <v>0</v>
      </c>
      <c r="BT35" s="21">
        <f t="shared" si="50"/>
        <v>0</v>
      </c>
      <c r="BU35" s="21">
        <f t="shared" si="51"/>
        <v>0</v>
      </c>
      <c r="BV35" s="21">
        <f t="shared" si="52"/>
        <v>1</v>
      </c>
      <c r="BW35" s="21">
        <f t="shared" si="53"/>
        <v>1</v>
      </c>
      <c r="BX35" s="21">
        <f t="shared" si="54"/>
        <v>1</v>
      </c>
      <c r="BY35" s="21">
        <f t="shared" si="55"/>
        <v>1</v>
      </c>
      <c r="BZ35" s="21">
        <f t="shared" si="56"/>
        <v>1</v>
      </c>
      <c r="CA35" s="21">
        <f t="shared" si="57"/>
        <v>1</v>
      </c>
      <c r="CB35" s="21">
        <f t="shared" si="58"/>
        <v>1</v>
      </c>
      <c r="CC35" s="21">
        <f t="shared" si="59"/>
        <v>1</v>
      </c>
      <c r="CD35" s="21">
        <f t="shared" si="60"/>
        <v>1</v>
      </c>
      <c r="CE35" s="21">
        <f t="shared" si="61"/>
        <v>1</v>
      </c>
      <c r="CF35" s="21">
        <f t="shared" si="62"/>
        <v>1</v>
      </c>
      <c r="CG35" s="21">
        <f t="shared" si="63"/>
        <v>1</v>
      </c>
      <c r="CH35" s="21">
        <f t="shared" si="64"/>
        <v>1</v>
      </c>
      <c r="CI35" s="21">
        <f t="shared" si="65"/>
        <v>1</v>
      </c>
      <c r="CJ35" s="21">
        <f t="shared" si="66"/>
        <v>1</v>
      </c>
      <c r="CK35" s="21">
        <f t="shared" si="67"/>
        <v>1</v>
      </c>
      <c r="CL35" s="21">
        <f t="shared" si="68"/>
        <v>1</v>
      </c>
      <c r="CM35" s="21">
        <f t="shared" si="69"/>
        <v>1</v>
      </c>
      <c r="CN35" s="21">
        <f t="shared" si="70"/>
        <v>1</v>
      </c>
      <c r="CO35" s="21">
        <f t="shared" si="71"/>
        <v>1</v>
      </c>
      <c r="CP35" s="21">
        <f t="shared" si="72"/>
        <v>1</v>
      </c>
      <c r="CQ35" s="21">
        <f t="shared" si="73"/>
        <v>1</v>
      </c>
      <c r="CR35" s="21">
        <f t="shared" si="74"/>
        <v>0</v>
      </c>
      <c r="CS35" s="21"/>
      <c r="CT35" s="21"/>
      <c r="CU35" s="21"/>
      <c r="CV35" s="21"/>
      <c r="CW35" s="21"/>
      <c r="CY35" t="str">
        <f t="shared" ca="1" si="79"/>
        <v/>
      </c>
      <c r="CZ35" t="str">
        <f t="shared" ca="1" si="79"/>
        <v/>
      </c>
      <c r="DA35" t="str">
        <f t="shared" ca="1" si="79"/>
        <v/>
      </c>
      <c r="DB35" t="str">
        <f t="shared" ca="1" si="79"/>
        <v/>
      </c>
      <c r="DC35" t="str">
        <f t="shared" ca="1" si="79"/>
        <v/>
      </c>
      <c r="DD35" t="str">
        <f t="shared" ca="1" si="79"/>
        <v/>
      </c>
      <c r="DE35" t="str">
        <f t="shared" ca="1" si="79"/>
        <v/>
      </c>
      <c r="DF35" t="str">
        <f t="shared" ca="1" si="79"/>
        <v/>
      </c>
      <c r="DG35" t="str">
        <f t="shared" ca="1" si="79"/>
        <v/>
      </c>
      <c r="DH35" t="str">
        <f t="shared" ca="1" si="79"/>
        <v/>
      </c>
    </row>
    <row r="36" spans="1:112" ht="39.75" hidden="1" customHeight="1" x14ac:dyDescent="0.25">
      <c r="A36">
        <f t="shared" si="80"/>
        <v>6</v>
      </c>
      <c r="B36" s="407" t="str">
        <f t="shared" ca="1" si="32"/>
        <v/>
      </c>
      <c r="C36" s="409" t="str">
        <f ca="1">'ריכוז נתונים כללים'!D42</f>
        <v/>
      </c>
      <c r="D36" s="410"/>
      <c r="E36" s="410"/>
      <c r="F36" s="410"/>
      <c r="G36" s="410"/>
      <c r="H36" s="410"/>
      <c r="I36" s="410"/>
      <c r="J36" s="410"/>
      <c r="K36" s="410"/>
      <c r="L36" s="410"/>
      <c r="M36" s="410"/>
      <c r="N36" s="420"/>
      <c r="O36" s="420"/>
      <c r="P36" s="407" t="str">
        <f t="shared" ca="1" si="76"/>
        <v/>
      </c>
      <c r="Q36" s="410"/>
      <c r="R36" s="410"/>
      <c r="S36" s="410"/>
      <c r="T36" s="410"/>
      <c r="U36" s="410"/>
      <c r="V36" s="410"/>
      <c r="W36" s="410"/>
      <c r="X36" s="410"/>
      <c r="Y36" s="410"/>
      <c r="Z36" s="410"/>
      <c r="AA36" s="410"/>
      <c r="AB36" s="411"/>
      <c r="AC36" s="408"/>
      <c r="AD36" s="410"/>
      <c r="AE36" s="410"/>
      <c r="AF36" s="410"/>
      <c r="AG36" s="407"/>
      <c r="AH36" s="410"/>
      <c r="AI36" s="410"/>
      <c r="AJ36" s="410"/>
      <c r="AK36" s="410"/>
      <c r="AL36" s="410"/>
      <c r="AM36" s="407"/>
      <c r="AN36" s="408"/>
      <c r="AO36" s="410"/>
      <c r="AP36" s="410"/>
      <c r="AQ36" s="408"/>
      <c r="AR36" s="410"/>
      <c r="AS36" s="410"/>
      <c r="AT36" s="410"/>
      <c r="AU36" s="408"/>
      <c r="AV36" s="408"/>
      <c r="AW36" s="408"/>
      <c r="AX36" s="407" t="str" cm="1">
        <f t="array" aca="1" ref="AX36" ca="1">IF($C36="","",IF(AT36=1,1,IF(AZ36&lt;&gt;1,$DF$1,IF(SUMPRODUCT((D36:AT36&gt;=$D$6:$AT$6)*($D$6:$AT$6&lt;&gt;"")*($D$4:$AT$4=1))=COUNTIF($D$4:$AT$4,1),1,0))))</f>
        <v/>
      </c>
      <c r="AY36" s="416"/>
      <c r="AZ36">
        <f t="shared" si="77"/>
        <v>0</v>
      </c>
      <c r="BA36" t="str">
        <f t="shared" ca="1" si="81"/>
        <v/>
      </c>
      <c r="BB36" t="str">
        <f t="shared" ca="1" si="81"/>
        <v/>
      </c>
      <c r="BC36" s="21">
        <f t="shared" si="33"/>
        <v>0</v>
      </c>
      <c r="BD36" s="21">
        <f t="shared" si="34"/>
        <v>0</v>
      </c>
      <c r="BE36" s="21">
        <f t="shared" si="35"/>
        <v>0</v>
      </c>
      <c r="BF36" s="21">
        <f t="shared" si="36"/>
        <v>0</v>
      </c>
      <c r="BG36" s="21">
        <f t="shared" si="37"/>
        <v>0</v>
      </c>
      <c r="BH36" s="21">
        <f t="shared" si="38"/>
        <v>0</v>
      </c>
      <c r="BI36" s="21">
        <f t="shared" si="39"/>
        <v>0</v>
      </c>
      <c r="BJ36" s="21">
        <f t="shared" si="40"/>
        <v>0</v>
      </c>
      <c r="BK36" s="21">
        <f t="shared" si="41"/>
        <v>0</v>
      </c>
      <c r="BL36" s="21">
        <f t="shared" si="42"/>
        <v>0</v>
      </c>
      <c r="BM36" s="21">
        <f t="shared" si="43"/>
        <v>0</v>
      </c>
      <c r="BN36" s="21">
        <f t="shared" si="44"/>
        <v>0</v>
      </c>
      <c r="BO36" s="21">
        <f t="shared" si="45"/>
        <v>1</v>
      </c>
      <c r="BP36" s="21">
        <f t="shared" si="46"/>
        <v>0</v>
      </c>
      <c r="BQ36" s="21">
        <f t="shared" si="47"/>
        <v>0</v>
      </c>
      <c r="BR36" s="21">
        <f t="shared" si="48"/>
        <v>0</v>
      </c>
      <c r="BS36" s="21">
        <f t="shared" si="49"/>
        <v>0</v>
      </c>
      <c r="BT36" s="21">
        <f t="shared" si="50"/>
        <v>0</v>
      </c>
      <c r="BU36" s="21">
        <f t="shared" si="51"/>
        <v>0</v>
      </c>
      <c r="BV36" s="21">
        <f t="shared" si="52"/>
        <v>1</v>
      </c>
      <c r="BW36" s="21">
        <f t="shared" si="53"/>
        <v>1</v>
      </c>
      <c r="BX36" s="21">
        <f t="shared" si="54"/>
        <v>1</v>
      </c>
      <c r="BY36" s="21">
        <f t="shared" si="55"/>
        <v>1</v>
      </c>
      <c r="BZ36" s="21">
        <f t="shared" si="56"/>
        <v>1</v>
      </c>
      <c r="CA36" s="21">
        <f t="shared" si="57"/>
        <v>1</v>
      </c>
      <c r="CB36" s="21">
        <f t="shared" si="58"/>
        <v>1</v>
      </c>
      <c r="CC36" s="21">
        <f t="shared" si="59"/>
        <v>1</v>
      </c>
      <c r="CD36" s="21">
        <f t="shared" si="60"/>
        <v>1</v>
      </c>
      <c r="CE36" s="21">
        <f t="shared" si="61"/>
        <v>1</v>
      </c>
      <c r="CF36" s="21">
        <f t="shared" si="62"/>
        <v>1</v>
      </c>
      <c r="CG36" s="21">
        <f t="shared" si="63"/>
        <v>1</v>
      </c>
      <c r="CH36" s="21">
        <f t="shared" si="64"/>
        <v>1</v>
      </c>
      <c r="CI36" s="21">
        <f t="shared" si="65"/>
        <v>1</v>
      </c>
      <c r="CJ36" s="21">
        <f t="shared" si="66"/>
        <v>1</v>
      </c>
      <c r="CK36" s="21">
        <f t="shared" si="67"/>
        <v>1</v>
      </c>
      <c r="CL36" s="21">
        <f t="shared" si="68"/>
        <v>1</v>
      </c>
      <c r="CM36" s="21">
        <f t="shared" si="69"/>
        <v>1</v>
      </c>
      <c r="CN36" s="21">
        <f t="shared" si="70"/>
        <v>1</v>
      </c>
      <c r="CO36" s="21">
        <f t="shared" si="71"/>
        <v>1</v>
      </c>
      <c r="CP36" s="21">
        <f t="shared" si="72"/>
        <v>1</v>
      </c>
      <c r="CQ36" s="21">
        <f t="shared" si="73"/>
        <v>1</v>
      </c>
      <c r="CR36" s="21">
        <f t="shared" si="74"/>
        <v>0</v>
      </c>
      <c r="CS36" s="21"/>
      <c r="CT36" s="21"/>
      <c r="CU36" s="21"/>
      <c r="CV36" s="21"/>
      <c r="CW36" s="21"/>
      <c r="CY36" t="str">
        <f t="shared" ca="1" si="79"/>
        <v/>
      </c>
      <c r="CZ36" t="str">
        <f t="shared" ca="1" si="79"/>
        <v/>
      </c>
      <c r="DA36" t="str">
        <f t="shared" ca="1" si="79"/>
        <v/>
      </c>
      <c r="DB36" t="str">
        <f t="shared" ca="1" si="79"/>
        <v/>
      </c>
      <c r="DC36" t="str">
        <f t="shared" ca="1" si="79"/>
        <v/>
      </c>
      <c r="DD36" t="str">
        <f t="shared" ca="1" si="79"/>
        <v/>
      </c>
      <c r="DE36" t="str">
        <f t="shared" ca="1" si="79"/>
        <v/>
      </c>
      <c r="DF36" t="str">
        <f t="shared" ca="1" si="79"/>
        <v/>
      </c>
      <c r="DG36" t="str">
        <f t="shared" ca="1" si="79"/>
        <v/>
      </c>
      <c r="DH36" t="str">
        <f t="shared" ca="1" si="79"/>
        <v/>
      </c>
    </row>
    <row r="37" spans="1:112" ht="49.5" customHeight="1" x14ac:dyDescent="0.25">
      <c r="A37">
        <f t="shared" si="80"/>
        <v>7</v>
      </c>
      <c r="B37" s="407">
        <f t="shared" ca="1" si="32"/>
        <v>27</v>
      </c>
      <c r="C37" s="409" t="str">
        <f ca="1">'ריכוז נתונים כללים'!D43</f>
        <v>מכון הברמן</v>
      </c>
      <c r="D37" s="410">
        <v>0</v>
      </c>
      <c r="E37" s="410">
        <v>1</v>
      </c>
      <c r="F37" s="410">
        <v>1</v>
      </c>
      <c r="G37" s="410">
        <v>1</v>
      </c>
      <c r="H37" s="410">
        <v>1</v>
      </c>
      <c r="I37" s="410">
        <v>1</v>
      </c>
      <c r="J37" s="410">
        <v>1</v>
      </c>
      <c r="K37" s="410">
        <v>1</v>
      </c>
      <c r="L37" s="410">
        <v>1</v>
      </c>
      <c r="M37" s="410">
        <v>1</v>
      </c>
      <c r="N37" s="420">
        <v>438540</v>
      </c>
      <c r="O37" s="420">
        <v>438540</v>
      </c>
      <c r="P37" s="407">
        <f t="shared" ca="1" si="76"/>
        <v>1</v>
      </c>
      <c r="Q37" s="410">
        <v>1</v>
      </c>
      <c r="R37" s="410">
        <v>1</v>
      </c>
      <c r="S37" s="410">
        <v>1</v>
      </c>
      <c r="T37" s="410">
        <v>1</v>
      </c>
      <c r="U37" s="410">
        <v>1</v>
      </c>
      <c r="V37" s="410">
        <v>1</v>
      </c>
      <c r="W37" s="410"/>
      <c r="X37" s="410"/>
      <c r="Y37" s="410"/>
      <c r="Z37" s="410"/>
      <c r="AA37" s="410"/>
      <c r="AB37" s="411"/>
      <c r="AC37" s="408"/>
      <c r="AD37" s="410"/>
      <c r="AE37" s="410"/>
      <c r="AF37" s="410"/>
      <c r="AG37" s="407"/>
      <c r="AH37" s="410"/>
      <c r="AI37" s="410"/>
      <c r="AJ37" s="410"/>
      <c r="AK37" s="410"/>
      <c r="AL37" s="410"/>
      <c r="AM37" s="407"/>
      <c r="AN37" s="408"/>
      <c r="AO37" s="410"/>
      <c r="AP37" s="410"/>
      <c r="AQ37" s="408"/>
      <c r="AR37" s="410"/>
      <c r="AS37" s="410">
        <v>1</v>
      </c>
      <c r="AT37" s="410"/>
      <c r="AU37" s="408"/>
      <c r="AV37" s="408"/>
      <c r="AW37" s="408"/>
      <c r="AX37" s="407" cm="1">
        <f t="array" aca="1" ref="AX37" ca="1">IF($C37="","",IF(AT37=1,1,IF(AZ37&lt;&gt;1,$DF$1,IF(SUMPRODUCT((D37:AT37&gt;=$D$6:$AT$6)*($D$6:$AT$6&lt;&gt;"")*($D$4:$AT$4=1))=COUNTIF($D$4:$AT$4,1),1,0))))</f>
        <v>1</v>
      </c>
      <c r="AY37" s="416"/>
      <c r="AZ37">
        <f t="shared" si="77"/>
        <v>1</v>
      </c>
      <c r="BA37">
        <f t="shared" ca="1" si="81"/>
        <v>0</v>
      </c>
      <c r="BB37">
        <f t="shared" ca="1" si="81"/>
        <v>1</v>
      </c>
      <c r="BC37" s="21">
        <f t="shared" si="33"/>
        <v>1</v>
      </c>
      <c r="BD37" s="21">
        <f t="shared" si="34"/>
        <v>1</v>
      </c>
      <c r="BE37" s="21">
        <f t="shared" si="35"/>
        <v>1</v>
      </c>
      <c r="BF37" s="21">
        <f t="shared" si="36"/>
        <v>1</v>
      </c>
      <c r="BG37" s="21">
        <f t="shared" si="37"/>
        <v>1</v>
      </c>
      <c r="BH37" s="21">
        <f t="shared" si="38"/>
        <v>1</v>
      </c>
      <c r="BI37" s="21">
        <f t="shared" si="39"/>
        <v>1</v>
      </c>
      <c r="BJ37" s="21">
        <f t="shared" si="40"/>
        <v>1</v>
      </c>
      <c r="BK37" s="21">
        <f t="shared" si="41"/>
        <v>1</v>
      </c>
      <c r="BL37" s="21">
        <f t="shared" si="42"/>
        <v>1</v>
      </c>
      <c r="BM37" s="21">
        <f t="shared" si="43"/>
        <v>1</v>
      </c>
      <c r="BN37" s="21">
        <f t="shared" si="44"/>
        <v>1</v>
      </c>
      <c r="BO37" s="21">
        <f t="shared" si="45"/>
        <v>1</v>
      </c>
      <c r="BP37" s="21">
        <f t="shared" si="46"/>
        <v>1</v>
      </c>
      <c r="BQ37" s="21">
        <f t="shared" si="47"/>
        <v>1</v>
      </c>
      <c r="BR37" s="21">
        <f t="shared" si="48"/>
        <v>1</v>
      </c>
      <c r="BS37" s="21">
        <f t="shared" si="49"/>
        <v>1</v>
      </c>
      <c r="BT37" s="21">
        <f t="shared" si="50"/>
        <v>1</v>
      </c>
      <c r="BU37" s="21">
        <f t="shared" si="51"/>
        <v>1</v>
      </c>
      <c r="BV37" s="21">
        <f t="shared" si="52"/>
        <v>1</v>
      </c>
      <c r="BW37" s="21">
        <f t="shared" si="53"/>
        <v>1</v>
      </c>
      <c r="BX37" s="21">
        <f t="shared" si="54"/>
        <v>1</v>
      </c>
      <c r="BY37" s="21">
        <f t="shared" si="55"/>
        <v>1</v>
      </c>
      <c r="BZ37" s="21">
        <f t="shared" si="56"/>
        <v>1</v>
      </c>
      <c r="CA37" s="21">
        <f t="shared" si="57"/>
        <v>1</v>
      </c>
      <c r="CB37" s="21">
        <f t="shared" si="58"/>
        <v>1</v>
      </c>
      <c r="CC37" s="21">
        <f t="shared" si="59"/>
        <v>1</v>
      </c>
      <c r="CD37" s="21">
        <f t="shared" si="60"/>
        <v>1</v>
      </c>
      <c r="CE37" s="21">
        <f t="shared" si="61"/>
        <v>1</v>
      </c>
      <c r="CF37" s="21">
        <f t="shared" si="62"/>
        <v>1</v>
      </c>
      <c r="CG37" s="21">
        <f t="shared" si="63"/>
        <v>1</v>
      </c>
      <c r="CH37" s="21">
        <f t="shared" si="64"/>
        <v>1</v>
      </c>
      <c r="CI37" s="21">
        <f t="shared" si="65"/>
        <v>1</v>
      </c>
      <c r="CJ37" s="21">
        <f t="shared" si="66"/>
        <v>1</v>
      </c>
      <c r="CK37" s="21">
        <f t="shared" si="67"/>
        <v>1</v>
      </c>
      <c r="CL37" s="21">
        <f t="shared" si="68"/>
        <v>1</v>
      </c>
      <c r="CM37" s="21">
        <f t="shared" si="69"/>
        <v>1</v>
      </c>
      <c r="CN37" s="21">
        <f t="shared" si="70"/>
        <v>1</v>
      </c>
      <c r="CO37" s="21">
        <f t="shared" si="71"/>
        <v>1</v>
      </c>
      <c r="CP37" s="21">
        <f t="shared" si="72"/>
        <v>1</v>
      </c>
      <c r="CQ37" s="21">
        <f t="shared" si="73"/>
        <v>1</v>
      </c>
      <c r="CR37" s="21">
        <f t="shared" si="74"/>
        <v>1</v>
      </c>
      <c r="CS37" s="21"/>
      <c r="CT37" s="21"/>
      <c r="CU37" s="21"/>
      <c r="CV37" s="21"/>
      <c r="CW37" s="21"/>
      <c r="CY37">
        <f t="shared" ca="1" si="79"/>
        <v>1</v>
      </c>
      <c r="CZ37">
        <f t="shared" ca="1" si="79"/>
        <v>2</v>
      </c>
      <c r="DA37">
        <f t="shared" ca="1" si="79"/>
        <v>3</v>
      </c>
      <c r="DB37">
        <f t="shared" ca="1" si="79"/>
        <v>4</v>
      </c>
      <c r="DC37">
        <f t="shared" ca="1" si="79"/>
        <v>5</v>
      </c>
      <c r="DD37">
        <f t="shared" ca="1" si="79"/>
        <v>6</v>
      </c>
      <c r="DE37">
        <f t="shared" ca="1" si="79"/>
        <v>7</v>
      </c>
      <c r="DF37">
        <f t="shared" ca="1" si="79"/>
        <v>8</v>
      </c>
      <c r="DG37">
        <f t="shared" ca="1" si="79"/>
        <v>9</v>
      </c>
      <c r="DH37">
        <f t="shared" ca="1" si="79"/>
        <v>10</v>
      </c>
    </row>
    <row r="38" spans="1:112" ht="33.75" hidden="1" customHeight="1" x14ac:dyDescent="0.25">
      <c r="A38">
        <f t="shared" si="80"/>
        <v>8</v>
      </c>
      <c r="B38" s="407" t="str">
        <f t="shared" ca="1" si="32"/>
        <v/>
      </c>
      <c r="C38" s="409" t="str">
        <f ca="1">'ריכוז נתונים כללים'!D44</f>
        <v/>
      </c>
      <c r="D38" s="410"/>
      <c r="E38" s="410"/>
      <c r="F38" s="410"/>
      <c r="G38" s="410"/>
      <c r="H38" s="410"/>
      <c r="I38" s="410"/>
      <c r="J38" s="410"/>
      <c r="K38" s="410"/>
      <c r="L38" s="410"/>
      <c r="M38" s="410"/>
      <c r="N38" s="420"/>
      <c r="O38" s="420"/>
      <c r="P38" s="407" t="str">
        <f t="shared" ca="1" si="76"/>
        <v/>
      </c>
      <c r="Q38" s="410"/>
      <c r="R38" s="410"/>
      <c r="S38" s="410"/>
      <c r="T38" s="410"/>
      <c r="U38" s="410"/>
      <c r="V38" s="410"/>
      <c r="W38" s="410"/>
      <c r="X38" s="410"/>
      <c r="Y38" s="410"/>
      <c r="Z38" s="410"/>
      <c r="AA38" s="410"/>
      <c r="AB38" s="411"/>
      <c r="AC38" s="408"/>
      <c r="AD38" s="410"/>
      <c r="AE38" s="410"/>
      <c r="AF38" s="410"/>
      <c r="AG38" s="407"/>
      <c r="AH38" s="410"/>
      <c r="AI38" s="410"/>
      <c r="AJ38" s="410"/>
      <c r="AK38" s="410"/>
      <c r="AL38" s="410"/>
      <c r="AM38" s="407"/>
      <c r="AN38" s="408"/>
      <c r="AO38" s="410"/>
      <c r="AP38" s="410"/>
      <c r="AQ38" s="408"/>
      <c r="AR38" s="410"/>
      <c r="AS38" s="410"/>
      <c r="AT38" s="410"/>
      <c r="AU38" s="408"/>
      <c r="AV38" s="408"/>
      <c r="AW38" s="408"/>
      <c r="AX38" s="407" t="str" cm="1">
        <f t="array" aca="1" ref="AX38" ca="1">IF($C38="","",IF(AT38=1,1,IF(AZ38&lt;&gt;1,$DF$1,IF(SUMPRODUCT((D38:AT38&gt;=$D$6:$AT$6)*($D$6:$AT$6&lt;&gt;"")*($D$4:$AT$4=1))=COUNTIF($D$4:$AT$4,1),1,0))))</f>
        <v/>
      </c>
      <c r="AY38" s="417"/>
      <c r="AZ38">
        <f t="shared" si="77"/>
        <v>0</v>
      </c>
      <c r="BA38" t="str">
        <f t="shared" ca="1" si="81"/>
        <v/>
      </c>
      <c r="BB38" t="str">
        <f t="shared" ca="1" si="81"/>
        <v/>
      </c>
      <c r="BC38" s="21">
        <f t="shared" si="33"/>
        <v>0</v>
      </c>
      <c r="BD38" s="21">
        <f t="shared" si="34"/>
        <v>0</v>
      </c>
      <c r="BE38" s="21">
        <f t="shared" si="35"/>
        <v>0</v>
      </c>
      <c r="BF38" s="21">
        <f t="shared" si="36"/>
        <v>0</v>
      </c>
      <c r="BG38" s="21">
        <f t="shared" si="37"/>
        <v>0</v>
      </c>
      <c r="BH38" s="21">
        <f t="shared" si="38"/>
        <v>0</v>
      </c>
      <c r="BI38" s="21">
        <f t="shared" si="39"/>
        <v>0</v>
      </c>
      <c r="BJ38" s="21">
        <f t="shared" si="40"/>
        <v>0</v>
      </c>
      <c r="BK38" s="21">
        <f t="shared" si="41"/>
        <v>0</v>
      </c>
      <c r="BL38" s="21">
        <f t="shared" si="42"/>
        <v>0</v>
      </c>
      <c r="BM38" s="21">
        <f t="shared" si="43"/>
        <v>0</v>
      </c>
      <c r="BN38" s="21">
        <f t="shared" si="44"/>
        <v>0</v>
      </c>
      <c r="BO38" s="21">
        <f t="shared" si="45"/>
        <v>1</v>
      </c>
      <c r="BP38" s="21">
        <f t="shared" si="46"/>
        <v>0</v>
      </c>
      <c r="BQ38" s="21">
        <f t="shared" si="47"/>
        <v>0</v>
      </c>
      <c r="BR38" s="21">
        <f t="shared" si="48"/>
        <v>0</v>
      </c>
      <c r="BS38" s="21">
        <f t="shared" si="49"/>
        <v>0</v>
      </c>
      <c r="BT38" s="21">
        <f t="shared" si="50"/>
        <v>0</v>
      </c>
      <c r="BU38" s="21">
        <f t="shared" si="51"/>
        <v>0</v>
      </c>
      <c r="BV38" s="21">
        <f t="shared" si="52"/>
        <v>1</v>
      </c>
      <c r="BW38" s="21">
        <f t="shared" si="53"/>
        <v>1</v>
      </c>
      <c r="BX38" s="21">
        <f t="shared" si="54"/>
        <v>1</v>
      </c>
      <c r="BY38" s="21">
        <f t="shared" si="55"/>
        <v>1</v>
      </c>
      <c r="BZ38" s="21">
        <f t="shared" si="56"/>
        <v>1</v>
      </c>
      <c r="CA38" s="21">
        <f t="shared" si="57"/>
        <v>1</v>
      </c>
      <c r="CB38" s="21">
        <f t="shared" si="58"/>
        <v>1</v>
      </c>
      <c r="CC38" s="21">
        <f t="shared" si="59"/>
        <v>1</v>
      </c>
      <c r="CD38" s="21">
        <f t="shared" si="60"/>
        <v>1</v>
      </c>
      <c r="CE38" s="21">
        <f t="shared" si="61"/>
        <v>1</v>
      </c>
      <c r="CF38" s="21">
        <f t="shared" si="62"/>
        <v>1</v>
      </c>
      <c r="CG38" s="21">
        <f t="shared" si="63"/>
        <v>1</v>
      </c>
      <c r="CH38" s="21">
        <f t="shared" si="64"/>
        <v>1</v>
      </c>
      <c r="CI38" s="21">
        <f t="shared" si="65"/>
        <v>1</v>
      </c>
      <c r="CJ38" s="21">
        <f t="shared" si="66"/>
        <v>1</v>
      </c>
      <c r="CK38" s="21">
        <f t="shared" si="67"/>
        <v>1</v>
      </c>
      <c r="CL38" s="21">
        <f t="shared" si="68"/>
        <v>1</v>
      </c>
      <c r="CM38" s="21">
        <f t="shared" si="69"/>
        <v>1</v>
      </c>
      <c r="CN38" s="21">
        <f t="shared" si="70"/>
        <v>1</v>
      </c>
      <c r="CO38" s="21">
        <f t="shared" si="71"/>
        <v>1</v>
      </c>
      <c r="CP38" s="21">
        <f t="shared" si="72"/>
        <v>1</v>
      </c>
      <c r="CQ38" s="21">
        <f t="shared" si="73"/>
        <v>1</v>
      </c>
      <c r="CR38" s="21">
        <f t="shared" si="74"/>
        <v>0</v>
      </c>
      <c r="CS38" s="21"/>
      <c r="CT38" s="21"/>
      <c r="CU38" s="21"/>
      <c r="CV38" s="21"/>
      <c r="CW38" s="21"/>
      <c r="CY38" t="str">
        <f t="shared" ca="1" si="79"/>
        <v/>
      </c>
      <c r="CZ38" t="str">
        <f t="shared" ca="1" si="79"/>
        <v/>
      </c>
      <c r="DA38" t="str">
        <f t="shared" ca="1" si="79"/>
        <v/>
      </c>
      <c r="DB38" t="str">
        <f t="shared" ca="1" si="79"/>
        <v/>
      </c>
      <c r="DC38" t="str">
        <f t="shared" ca="1" si="79"/>
        <v/>
      </c>
      <c r="DD38" t="str">
        <f t="shared" ca="1" si="79"/>
        <v/>
      </c>
      <c r="DE38" t="str">
        <f t="shared" ca="1" si="79"/>
        <v/>
      </c>
      <c r="DF38" t="str">
        <f t="shared" ca="1" si="79"/>
        <v/>
      </c>
      <c r="DG38" t="str">
        <f t="shared" ca="1" si="79"/>
        <v/>
      </c>
      <c r="DH38" t="str">
        <f t="shared" ca="1" si="79"/>
        <v/>
      </c>
    </row>
    <row r="39" spans="1:112" ht="39" hidden="1" customHeight="1" x14ac:dyDescent="0.25">
      <c r="A39">
        <f t="shared" si="80"/>
        <v>9</v>
      </c>
      <c r="B39" s="407" t="str">
        <f t="shared" ca="1" si="32"/>
        <v/>
      </c>
      <c r="C39" s="409" t="str">
        <f ca="1">'ריכוז נתונים כללים'!D45</f>
        <v/>
      </c>
      <c r="D39" s="410"/>
      <c r="E39" s="410"/>
      <c r="F39" s="410"/>
      <c r="G39" s="410"/>
      <c r="H39" s="410"/>
      <c r="I39" s="410"/>
      <c r="J39" s="410"/>
      <c r="K39" s="410"/>
      <c r="L39" s="410"/>
      <c r="M39" s="410"/>
      <c r="N39" s="420"/>
      <c r="O39" s="420"/>
      <c r="P39" s="407" t="str">
        <f t="shared" ca="1" si="76"/>
        <v/>
      </c>
      <c r="Q39" s="410"/>
      <c r="R39" s="410"/>
      <c r="S39" s="410"/>
      <c r="T39" s="410"/>
      <c r="U39" s="410"/>
      <c r="V39" s="410"/>
      <c r="W39" s="410"/>
      <c r="X39" s="410"/>
      <c r="Y39" s="410"/>
      <c r="Z39" s="410"/>
      <c r="AA39" s="410"/>
      <c r="AB39" s="411"/>
      <c r="AC39" s="408"/>
      <c r="AD39" s="410"/>
      <c r="AE39" s="410"/>
      <c r="AF39" s="410"/>
      <c r="AG39" s="407"/>
      <c r="AH39" s="410"/>
      <c r="AI39" s="410"/>
      <c r="AJ39" s="410"/>
      <c r="AK39" s="410"/>
      <c r="AL39" s="410"/>
      <c r="AM39" s="407"/>
      <c r="AN39" s="408"/>
      <c r="AO39" s="410"/>
      <c r="AP39" s="410"/>
      <c r="AQ39" s="408"/>
      <c r="AR39" s="410"/>
      <c r="AS39" s="410"/>
      <c r="AT39" s="410"/>
      <c r="AU39" s="408"/>
      <c r="AV39" s="408"/>
      <c r="AW39" s="408"/>
      <c r="AX39" s="407" t="str" cm="1">
        <f t="array" aca="1" ref="AX39" ca="1">IF($C39="","",IF(AT39=1,1,IF(AZ39&lt;&gt;1,$DF$1,IF(SUMPRODUCT((D39:AT39&gt;=$D$6:$AT$6)*($D$6:$AT$6&lt;&gt;"")*($D$4:$AT$4=1))=COUNTIF($D$4:$AT$4,1),1,0))))</f>
        <v/>
      </c>
      <c r="AY39" s="417"/>
      <c r="AZ39">
        <f t="shared" si="77"/>
        <v>0</v>
      </c>
      <c r="BA39" t="str">
        <f t="shared" ca="1" si="81"/>
        <v/>
      </c>
      <c r="BB39" t="str">
        <f t="shared" ca="1" si="81"/>
        <v/>
      </c>
      <c r="BC39" s="21">
        <f t="shared" si="33"/>
        <v>0</v>
      </c>
      <c r="BD39" s="21">
        <f t="shared" si="34"/>
        <v>0</v>
      </c>
      <c r="BE39" s="21">
        <f t="shared" si="35"/>
        <v>0</v>
      </c>
      <c r="BF39" s="21">
        <f t="shared" si="36"/>
        <v>0</v>
      </c>
      <c r="BG39" s="21">
        <f t="shared" si="37"/>
        <v>0</v>
      </c>
      <c r="BH39" s="21">
        <f t="shared" si="38"/>
        <v>0</v>
      </c>
      <c r="BI39" s="21">
        <f t="shared" si="39"/>
        <v>0</v>
      </c>
      <c r="BJ39" s="21">
        <f t="shared" si="40"/>
        <v>0</v>
      </c>
      <c r="BK39" s="21">
        <f t="shared" si="41"/>
        <v>0</v>
      </c>
      <c r="BL39" s="21">
        <f t="shared" si="42"/>
        <v>0</v>
      </c>
      <c r="BM39" s="21">
        <f t="shared" si="43"/>
        <v>0</v>
      </c>
      <c r="BN39" s="21">
        <f t="shared" si="44"/>
        <v>0</v>
      </c>
      <c r="BO39" s="21">
        <f t="shared" si="45"/>
        <v>1</v>
      </c>
      <c r="BP39" s="21">
        <f t="shared" si="46"/>
        <v>0</v>
      </c>
      <c r="BQ39" s="21">
        <f t="shared" si="47"/>
        <v>0</v>
      </c>
      <c r="BR39" s="21">
        <f t="shared" si="48"/>
        <v>0</v>
      </c>
      <c r="BS39" s="21">
        <f t="shared" si="49"/>
        <v>0</v>
      </c>
      <c r="BT39" s="21">
        <f t="shared" si="50"/>
        <v>0</v>
      </c>
      <c r="BU39" s="21">
        <f t="shared" si="51"/>
        <v>0</v>
      </c>
      <c r="BV39" s="21">
        <f t="shared" si="52"/>
        <v>1</v>
      </c>
      <c r="BW39" s="21">
        <f t="shared" si="53"/>
        <v>1</v>
      </c>
      <c r="BX39" s="21">
        <f t="shared" si="54"/>
        <v>1</v>
      </c>
      <c r="BY39" s="21">
        <f t="shared" si="55"/>
        <v>1</v>
      </c>
      <c r="BZ39" s="21">
        <f t="shared" si="56"/>
        <v>1</v>
      </c>
      <c r="CA39" s="21">
        <f t="shared" si="57"/>
        <v>1</v>
      </c>
      <c r="CB39" s="21">
        <f t="shared" si="58"/>
        <v>1</v>
      </c>
      <c r="CC39" s="21">
        <f t="shared" si="59"/>
        <v>1</v>
      </c>
      <c r="CD39" s="21">
        <f t="shared" si="60"/>
        <v>1</v>
      </c>
      <c r="CE39" s="21">
        <f t="shared" si="61"/>
        <v>1</v>
      </c>
      <c r="CF39" s="21">
        <f t="shared" si="62"/>
        <v>1</v>
      </c>
      <c r="CG39" s="21">
        <f t="shared" si="63"/>
        <v>1</v>
      </c>
      <c r="CH39" s="21">
        <f t="shared" si="64"/>
        <v>1</v>
      </c>
      <c r="CI39" s="21">
        <f t="shared" si="65"/>
        <v>1</v>
      </c>
      <c r="CJ39" s="21">
        <f t="shared" si="66"/>
        <v>1</v>
      </c>
      <c r="CK39" s="21">
        <f t="shared" si="67"/>
        <v>1</v>
      </c>
      <c r="CL39" s="21">
        <f t="shared" si="68"/>
        <v>1</v>
      </c>
      <c r="CM39" s="21">
        <f t="shared" si="69"/>
        <v>1</v>
      </c>
      <c r="CN39" s="21">
        <f t="shared" si="70"/>
        <v>1</v>
      </c>
      <c r="CO39" s="21">
        <f t="shared" si="71"/>
        <v>1</v>
      </c>
      <c r="CP39" s="21">
        <f t="shared" si="72"/>
        <v>1</v>
      </c>
      <c r="CQ39" s="21">
        <f t="shared" si="73"/>
        <v>1</v>
      </c>
      <c r="CR39" s="21">
        <f t="shared" si="74"/>
        <v>0</v>
      </c>
      <c r="CS39" s="21"/>
      <c r="CT39" s="21"/>
      <c r="CU39" s="21"/>
      <c r="CV39" s="21"/>
      <c r="CW39" s="21"/>
      <c r="CY39" t="str">
        <f t="shared" ca="1" si="79"/>
        <v/>
      </c>
      <c r="CZ39" t="str">
        <f t="shared" ca="1" si="79"/>
        <v/>
      </c>
      <c r="DA39" t="str">
        <f t="shared" ca="1" si="79"/>
        <v/>
      </c>
      <c r="DB39" t="str">
        <f t="shared" ca="1" si="79"/>
        <v/>
      </c>
      <c r="DC39" t="str">
        <f t="shared" ca="1" si="79"/>
        <v/>
      </c>
      <c r="DD39" t="str">
        <f t="shared" ca="1" si="79"/>
        <v/>
      </c>
      <c r="DE39" t="str">
        <f t="shared" ca="1" si="79"/>
        <v/>
      </c>
      <c r="DF39" t="str">
        <f t="shared" ca="1" si="79"/>
        <v/>
      </c>
      <c r="DG39" t="str">
        <f t="shared" ca="1" si="79"/>
        <v/>
      </c>
      <c r="DH39" t="str">
        <f t="shared" ca="1" si="79"/>
        <v/>
      </c>
    </row>
    <row r="40" spans="1:112" ht="39" hidden="1" customHeight="1" x14ac:dyDescent="0.25">
      <c r="A40">
        <f t="shared" si="80"/>
        <v>10</v>
      </c>
      <c r="B40" s="407" t="str">
        <f t="shared" ca="1" si="32"/>
        <v/>
      </c>
      <c r="C40" s="409" t="str">
        <f ca="1">'ריכוז נתונים כללים'!D46</f>
        <v/>
      </c>
      <c r="D40" s="410">
        <v>0</v>
      </c>
      <c r="E40" s="410">
        <v>1</v>
      </c>
      <c r="F40" s="410">
        <v>1</v>
      </c>
      <c r="G40" s="410">
        <v>1</v>
      </c>
      <c r="H40" s="410">
        <v>1</v>
      </c>
      <c r="I40" s="410">
        <v>1</v>
      </c>
      <c r="J40" s="410">
        <v>1</v>
      </c>
      <c r="K40" s="410">
        <v>1</v>
      </c>
      <c r="L40" s="410">
        <v>1</v>
      </c>
      <c r="M40" s="410">
        <v>1</v>
      </c>
      <c r="N40" s="420">
        <v>278480</v>
      </c>
      <c r="O40" s="420">
        <v>278480</v>
      </c>
      <c r="P40" s="407" t="str">
        <f t="shared" ca="1" si="76"/>
        <v/>
      </c>
      <c r="Q40" s="410">
        <v>1</v>
      </c>
      <c r="R40" s="410">
        <v>1</v>
      </c>
      <c r="S40" s="410">
        <v>1</v>
      </c>
      <c r="T40" s="410">
        <v>1</v>
      </c>
      <c r="U40" s="410">
        <v>1</v>
      </c>
      <c r="V40" s="410">
        <v>1</v>
      </c>
      <c r="W40" s="410"/>
      <c r="X40" s="410"/>
      <c r="Y40" s="410"/>
      <c r="Z40" s="410"/>
      <c r="AA40" s="410"/>
      <c r="AB40" s="411"/>
      <c r="AC40" s="408"/>
      <c r="AD40" s="410"/>
      <c r="AE40" s="410"/>
      <c r="AF40" s="410"/>
      <c r="AG40" s="407"/>
      <c r="AH40" s="410"/>
      <c r="AI40" s="410"/>
      <c r="AJ40" s="410"/>
      <c r="AK40" s="410"/>
      <c r="AL40" s="410"/>
      <c r="AM40" s="407"/>
      <c r="AN40" s="408"/>
      <c r="AO40" s="410"/>
      <c r="AP40" s="410"/>
      <c r="AQ40" s="408"/>
      <c r="AR40" s="410"/>
      <c r="AS40" s="410">
        <v>0</v>
      </c>
      <c r="AT40" s="410"/>
      <c r="AU40" s="408"/>
      <c r="AV40" s="408"/>
      <c r="AW40" s="408"/>
      <c r="AX40" s="407" t="str" cm="1">
        <f t="array" aca="1" ref="AX40" ca="1">IF($C40="","",IF(AT40=1,1,IF(AZ40&lt;&gt;1,$DF$1,IF(SUMPRODUCT((D40:AT40&gt;=$D$6:$AT$6)*($D$6:$AT$6&lt;&gt;"")*($D$4:$AT$4=1))=COUNTIF($D$4:$AT$4,1),1,0))))</f>
        <v/>
      </c>
      <c r="AY40" s="417"/>
      <c r="AZ40">
        <f t="shared" si="77"/>
        <v>1</v>
      </c>
      <c r="BA40" t="str">
        <f t="shared" ca="1" si="81"/>
        <v/>
      </c>
      <c r="BB40" t="str">
        <f t="shared" ca="1" si="81"/>
        <v/>
      </c>
      <c r="BC40" s="21">
        <f t="shared" si="33"/>
        <v>1</v>
      </c>
      <c r="BD40" s="21">
        <f t="shared" si="34"/>
        <v>1</v>
      </c>
      <c r="BE40" s="21">
        <f t="shared" si="35"/>
        <v>1</v>
      </c>
      <c r="BF40" s="21">
        <f t="shared" si="36"/>
        <v>1</v>
      </c>
      <c r="BG40" s="21">
        <f t="shared" si="37"/>
        <v>1</v>
      </c>
      <c r="BH40" s="21">
        <f t="shared" si="38"/>
        <v>1</v>
      </c>
      <c r="BI40" s="21">
        <f t="shared" si="39"/>
        <v>1</v>
      </c>
      <c r="BJ40" s="21">
        <f t="shared" si="40"/>
        <v>1</v>
      </c>
      <c r="BK40" s="21">
        <f t="shared" si="41"/>
        <v>1</v>
      </c>
      <c r="BL40" s="21">
        <f t="shared" si="42"/>
        <v>1</v>
      </c>
      <c r="BM40" s="21">
        <f t="shared" si="43"/>
        <v>1</v>
      </c>
      <c r="BN40" s="21">
        <f t="shared" si="44"/>
        <v>1</v>
      </c>
      <c r="BO40" s="21">
        <f t="shared" si="45"/>
        <v>1</v>
      </c>
      <c r="BP40" s="21">
        <f t="shared" si="46"/>
        <v>1</v>
      </c>
      <c r="BQ40" s="21">
        <f t="shared" si="47"/>
        <v>1</v>
      </c>
      <c r="BR40" s="21">
        <f t="shared" si="48"/>
        <v>1</v>
      </c>
      <c r="BS40" s="21">
        <f t="shared" si="49"/>
        <v>1</v>
      </c>
      <c r="BT40" s="21">
        <f t="shared" si="50"/>
        <v>1</v>
      </c>
      <c r="BU40" s="21">
        <f t="shared" si="51"/>
        <v>1</v>
      </c>
      <c r="BV40" s="21">
        <f t="shared" si="52"/>
        <v>1</v>
      </c>
      <c r="BW40" s="21">
        <f t="shared" si="53"/>
        <v>1</v>
      </c>
      <c r="BX40" s="21">
        <f t="shared" si="54"/>
        <v>1</v>
      </c>
      <c r="BY40" s="21">
        <f t="shared" si="55"/>
        <v>1</v>
      </c>
      <c r="BZ40" s="21">
        <f t="shared" si="56"/>
        <v>1</v>
      </c>
      <c r="CA40" s="21">
        <f t="shared" si="57"/>
        <v>1</v>
      </c>
      <c r="CB40" s="21">
        <f t="shared" si="58"/>
        <v>1</v>
      </c>
      <c r="CC40" s="21">
        <f t="shared" si="59"/>
        <v>1</v>
      </c>
      <c r="CD40" s="21">
        <f t="shared" si="60"/>
        <v>1</v>
      </c>
      <c r="CE40" s="21">
        <f t="shared" si="61"/>
        <v>1</v>
      </c>
      <c r="CF40" s="21">
        <f t="shared" si="62"/>
        <v>1</v>
      </c>
      <c r="CG40" s="21">
        <f t="shared" si="63"/>
        <v>1</v>
      </c>
      <c r="CH40" s="21">
        <f t="shared" si="64"/>
        <v>1</v>
      </c>
      <c r="CI40" s="21">
        <f t="shared" si="65"/>
        <v>1</v>
      </c>
      <c r="CJ40" s="21">
        <f t="shared" si="66"/>
        <v>1</v>
      </c>
      <c r="CK40" s="21">
        <f t="shared" si="67"/>
        <v>1</v>
      </c>
      <c r="CL40" s="21">
        <f t="shared" si="68"/>
        <v>1</v>
      </c>
      <c r="CM40" s="21">
        <f t="shared" si="69"/>
        <v>1</v>
      </c>
      <c r="CN40" s="21">
        <f t="shared" si="70"/>
        <v>1</v>
      </c>
      <c r="CO40" s="21">
        <f t="shared" si="71"/>
        <v>1</v>
      </c>
      <c r="CP40" s="21">
        <f t="shared" si="72"/>
        <v>1</v>
      </c>
      <c r="CQ40" s="21">
        <f t="shared" si="73"/>
        <v>1</v>
      </c>
      <c r="CR40" s="21">
        <f t="shared" si="74"/>
        <v>1</v>
      </c>
      <c r="CS40" s="21"/>
      <c r="CT40" s="21"/>
      <c r="CU40" s="21"/>
      <c r="CV40" s="21"/>
      <c r="CW40" s="21"/>
      <c r="CY40" t="str">
        <f t="shared" ca="1" si="79"/>
        <v/>
      </c>
      <c r="CZ40" t="str">
        <f t="shared" ca="1" si="79"/>
        <v/>
      </c>
      <c r="DA40" t="str">
        <f t="shared" ca="1" si="79"/>
        <v/>
      </c>
      <c r="DB40" t="str">
        <f t="shared" ca="1" si="79"/>
        <v/>
      </c>
      <c r="DC40" t="str">
        <f t="shared" ca="1" si="79"/>
        <v/>
      </c>
      <c r="DD40" t="str">
        <f t="shared" ca="1" si="79"/>
        <v/>
      </c>
      <c r="DE40" t="str">
        <f t="shared" ca="1" si="79"/>
        <v/>
      </c>
      <c r="DF40" t="str">
        <f t="shared" ca="1" si="79"/>
        <v/>
      </c>
      <c r="DG40" t="str">
        <f t="shared" ca="1" si="79"/>
        <v/>
      </c>
      <c r="DH40" t="str">
        <f t="shared" ca="1" si="79"/>
        <v/>
      </c>
    </row>
    <row r="41" spans="1:112" ht="39" customHeight="1" x14ac:dyDescent="0.25">
      <c r="A41">
        <f t="shared" si="80"/>
        <v>11</v>
      </c>
      <c r="B41" s="407">
        <f t="shared" ca="1" si="32"/>
        <v>31</v>
      </c>
      <c r="C41" s="409" t="str">
        <f ca="1">'ריכוז נתונים כללים'!D47</f>
        <v>כולנא</v>
      </c>
      <c r="D41" s="410">
        <v>0</v>
      </c>
      <c r="E41" s="410">
        <v>1</v>
      </c>
      <c r="F41" s="410">
        <v>1</v>
      </c>
      <c r="G41" s="410">
        <v>1</v>
      </c>
      <c r="H41" s="410">
        <v>1</v>
      </c>
      <c r="I41" s="410">
        <v>1</v>
      </c>
      <c r="J41" s="410">
        <v>1</v>
      </c>
      <c r="K41" s="410">
        <v>1</v>
      </c>
      <c r="L41" s="410">
        <v>1</v>
      </c>
      <c r="M41" s="410">
        <v>1</v>
      </c>
      <c r="N41" s="420">
        <v>1844100</v>
      </c>
      <c r="O41" s="420">
        <v>1844100</v>
      </c>
      <c r="P41" s="407">
        <f t="shared" ca="1" si="76"/>
        <v>1</v>
      </c>
      <c r="Q41" s="410">
        <v>1</v>
      </c>
      <c r="R41" s="410">
        <v>1</v>
      </c>
      <c r="S41" s="410">
        <v>1</v>
      </c>
      <c r="T41" s="410">
        <v>1</v>
      </c>
      <c r="U41" s="410">
        <v>1</v>
      </c>
      <c r="V41" s="410">
        <v>1</v>
      </c>
      <c r="W41" s="410"/>
      <c r="X41" s="410"/>
      <c r="Y41" s="410"/>
      <c r="Z41" s="410"/>
      <c r="AA41" s="410"/>
      <c r="AB41" s="411"/>
      <c r="AC41" s="408"/>
      <c r="AD41" s="410"/>
      <c r="AE41" s="410"/>
      <c r="AF41" s="410"/>
      <c r="AG41" s="407"/>
      <c r="AH41" s="410"/>
      <c r="AI41" s="410"/>
      <c r="AJ41" s="410"/>
      <c r="AK41" s="410"/>
      <c r="AL41" s="410"/>
      <c r="AM41" s="407"/>
      <c r="AN41" s="408"/>
      <c r="AO41" s="410"/>
      <c r="AP41" s="410"/>
      <c r="AQ41" s="408"/>
      <c r="AR41" s="410"/>
      <c r="AS41" s="410">
        <v>1</v>
      </c>
      <c r="AT41" s="410"/>
      <c r="AU41" s="408"/>
      <c r="AV41" s="408"/>
      <c r="AW41" s="408"/>
      <c r="AX41" s="407" cm="1">
        <f t="array" aca="1" ref="AX41" ca="1">IF($C41="","",IF(AT41=1,1,IF(AZ41&lt;&gt;1,$DF$1,IF(SUMPRODUCT((D41:AT41&gt;=$D$6:$AT$6)*($D$6:$AT$6&lt;&gt;"")*($D$4:$AT$4=1))=COUNTIF($D$4:$AT$4,1),1,0))))</f>
        <v>1</v>
      </c>
      <c r="AY41" s="417"/>
      <c r="AZ41">
        <f t="shared" si="77"/>
        <v>1</v>
      </c>
      <c r="BA41">
        <f t="shared" ca="1" si="81"/>
        <v>0</v>
      </c>
      <c r="BB41">
        <f t="shared" ca="1" si="81"/>
        <v>1</v>
      </c>
      <c r="BC41" s="21">
        <f t="shared" si="33"/>
        <v>1</v>
      </c>
      <c r="BD41" s="21">
        <f t="shared" si="34"/>
        <v>1</v>
      </c>
      <c r="BE41" s="21">
        <f t="shared" si="35"/>
        <v>1</v>
      </c>
      <c r="BF41" s="21">
        <f t="shared" si="36"/>
        <v>1</v>
      </c>
      <c r="BG41" s="21">
        <f t="shared" si="37"/>
        <v>1</v>
      </c>
      <c r="BH41" s="21">
        <f t="shared" si="38"/>
        <v>1</v>
      </c>
      <c r="BI41" s="21">
        <f t="shared" si="39"/>
        <v>1</v>
      </c>
      <c r="BJ41" s="21">
        <f t="shared" si="40"/>
        <v>1</v>
      </c>
      <c r="BK41" s="21">
        <f t="shared" si="41"/>
        <v>1</v>
      </c>
      <c r="BL41" s="21">
        <f t="shared" si="42"/>
        <v>1</v>
      </c>
      <c r="BM41" s="21">
        <f t="shared" si="43"/>
        <v>1</v>
      </c>
      <c r="BN41" s="21">
        <f t="shared" si="44"/>
        <v>1</v>
      </c>
      <c r="BO41" s="21">
        <f t="shared" si="45"/>
        <v>1</v>
      </c>
      <c r="BP41" s="21">
        <f t="shared" si="46"/>
        <v>1</v>
      </c>
      <c r="BQ41" s="21">
        <f t="shared" si="47"/>
        <v>1</v>
      </c>
      <c r="BR41" s="21">
        <f t="shared" si="48"/>
        <v>1</v>
      </c>
      <c r="BS41" s="21">
        <f t="shared" si="49"/>
        <v>1</v>
      </c>
      <c r="BT41" s="21">
        <f t="shared" si="50"/>
        <v>1</v>
      </c>
      <c r="BU41" s="21">
        <f t="shared" si="51"/>
        <v>1</v>
      </c>
      <c r="BV41" s="21">
        <f t="shared" si="52"/>
        <v>1</v>
      </c>
      <c r="BW41" s="21">
        <f t="shared" si="53"/>
        <v>1</v>
      </c>
      <c r="BX41" s="21">
        <f t="shared" si="54"/>
        <v>1</v>
      </c>
      <c r="BY41" s="21">
        <f t="shared" si="55"/>
        <v>1</v>
      </c>
      <c r="BZ41" s="21">
        <f t="shared" si="56"/>
        <v>1</v>
      </c>
      <c r="CA41" s="21">
        <f t="shared" si="57"/>
        <v>1</v>
      </c>
      <c r="CB41" s="21">
        <f t="shared" si="58"/>
        <v>1</v>
      </c>
      <c r="CC41" s="21">
        <f t="shared" si="59"/>
        <v>1</v>
      </c>
      <c r="CD41" s="21">
        <f t="shared" si="60"/>
        <v>1</v>
      </c>
      <c r="CE41" s="21">
        <f t="shared" si="61"/>
        <v>1</v>
      </c>
      <c r="CF41" s="21">
        <f t="shared" si="62"/>
        <v>1</v>
      </c>
      <c r="CG41" s="21">
        <f t="shared" si="63"/>
        <v>1</v>
      </c>
      <c r="CH41" s="21">
        <f t="shared" si="64"/>
        <v>1</v>
      </c>
      <c r="CI41" s="21">
        <f t="shared" si="65"/>
        <v>1</v>
      </c>
      <c r="CJ41" s="21">
        <f t="shared" si="66"/>
        <v>1</v>
      </c>
      <c r="CK41" s="21">
        <f t="shared" si="67"/>
        <v>1</v>
      </c>
      <c r="CL41" s="21">
        <f t="shared" si="68"/>
        <v>1</v>
      </c>
      <c r="CM41" s="21">
        <f t="shared" si="69"/>
        <v>1</v>
      </c>
      <c r="CN41" s="21">
        <f t="shared" si="70"/>
        <v>1</v>
      </c>
      <c r="CO41" s="21">
        <f t="shared" si="71"/>
        <v>1</v>
      </c>
      <c r="CP41" s="21">
        <f t="shared" si="72"/>
        <v>1</v>
      </c>
      <c r="CQ41" s="21">
        <f t="shared" si="73"/>
        <v>1</v>
      </c>
      <c r="CR41" s="21">
        <f t="shared" si="74"/>
        <v>1</v>
      </c>
      <c r="CS41" s="21"/>
      <c r="CT41" s="21"/>
      <c r="CU41" s="21"/>
      <c r="CV41" s="21"/>
      <c r="CW41" s="21"/>
      <c r="CY41">
        <f t="shared" ca="1" si="79"/>
        <v>1</v>
      </c>
      <c r="CZ41">
        <f t="shared" ca="1" si="79"/>
        <v>2</v>
      </c>
      <c r="DA41">
        <f t="shared" ca="1" si="79"/>
        <v>3</v>
      </c>
      <c r="DB41">
        <f t="shared" ca="1" si="79"/>
        <v>4</v>
      </c>
      <c r="DC41">
        <f t="shared" ca="1" si="79"/>
        <v>5</v>
      </c>
      <c r="DD41">
        <f t="shared" ca="1" si="79"/>
        <v>6</v>
      </c>
      <c r="DE41">
        <f t="shared" ca="1" si="79"/>
        <v>7</v>
      </c>
      <c r="DF41">
        <f t="shared" ca="1" si="79"/>
        <v>8</v>
      </c>
      <c r="DG41">
        <f t="shared" ca="1" si="79"/>
        <v>9</v>
      </c>
      <c r="DH41">
        <f t="shared" ca="1" si="79"/>
        <v>10</v>
      </c>
    </row>
    <row r="42" spans="1:112" ht="39" hidden="1" customHeight="1" x14ac:dyDescent="0.25">
      <c r="A42">
        <f t="shared" si="80"/>
        <v>12</v>
      </c>
      <c r="B42" s="407" t="str">
        <f t="shared" ca="1" si="32"/>
        <v/>
      </c>
      <c r="C42" s="409" t="str">
        <f ca="1">'ריכוז נתונים כללים'!D48</f>
        <v/>
      </c>
      <c r="D42" s="410"/>
      <c r="E42" s="410"/>
      <c r="F42" s="410"/>
      <c r="G42" s="410"/>
      <c r="H42" s="410"/>
      <c r="I42" s="410"/>
      <c r="J42" s="410"/>
      <c r="K42" s="410"/>
      <c r="L42" s="410"/>
      <c r="M42" s="410"/>
      <c r="N42" s="420"/>
      <c r="O42" s="420"/>
      <c r="P42" s="407" t="str">
        <f t="shared" ca="1" si="76"/>
        <v/>
      </c>
      <c r="Q42" s="410"/>
      <c r="R42" s="410"/>
      <c r="S42" s="410"/>
      <c r="T42" s="410"/>
      <c r="U42" s="410"/>
      <c r="V42" s="410"/>
      <c r="W42" s="410"/>
      <c r="X42" s="410"/>
      <c r="Y42" s="410"/>
      <c r="Z42" s="410"/>
      <c r="AA42" s="410"/>
      <c r="AB42" s="411"/>
      <c r="AC42" s="408"/>
      <c r="AD42" s="410"/>
      <c r="AE42" s="410"/>
      <c r="AF42" s="410"/>
      <c r="AG42" s="407"/>
      <c r="AH42" s="410"/>
      <c r="AI42" s="410"/>
      <c r="AJ42" s="410"/>
      <c r="AK42" s="410"/>
      <c r="AL42" s="410"/>
      <c r="AM42" s="407"/>
      <c r="AN42" s="408"/>
      <c r="AO42" s="410"/>
      <c r="AP42" s="410"/>
      <c r="AQ42" s="408"/>
      <c r="AR42" s="410"/>
      <c r="AS42" s="410"/>
      <c r="AT42" s="410"/>
      <c r="AU42" s="408"/>
      <c r="AV42" s="408"/>
      <c r="AW42" s="408"/>
      <c r="AX42" s="407" t="str" cm="1">
        <f t="array" aca="1" ref="AX42" ca="1">IF($C42="","",IF(AT42=1,1,IF(AZ42&lt;&gt;1,$DF$1,IF(SUMPRODUCT((D42:AT42&gt;=$D$6:$AT$6)*($D$6:$AT$6&lt;&gt;"")*($D$4:$AT$4=1))=COUNTIF($D$4:$AT$4,1),1,0))))</f>
        <v/>
      </c>
      <c r="AY42" s="417"/>
      <c r="AZ42">
        <f t="shared" si="77"/>
        <v>0</v>
      </c>
      <c r="BA42" t="str">
        <f t="shared" ca="1" si="81"/>
        <v/>
      </c>
      <c r="BB42" t="str">
        <f t="shared" ca="1" si="81"/>
        <v/>
      </c>
      <c r="BC42" s="21">
        <f t="shared" si="33"/>
        <v>0</v>
      </c>
      <c r="BD42" s="21">
        <f t="shared" si="34"/>
        <v>0</v>
      </c>
      <c r="BE42" s="21">
        <f t="shared" si="35"/>
        <v>0</v>
      </c>
      <c r="BF42" s="21">
        <f t="shared" si="36"/>
        <v>0</v>
      </c>
      <c r="BG42" s="21">
        <f t="shared" si="37"/>
        <v>0</v>
      </c>
      <c r="BH42" s="21">
        <f t="shared" si="38"/>
        <v>0</v>
      </c>
      <c r="BI42" s="21">
        <f t="shared" si="39"/>
        <v>0</v>
      </c>
      <c r="BJ42" s="21">
        <f t="shared" si="40"/>
        <v>0</v>
      </c>
      <c r="BK42" s="21">
        <f t="shared" si="41"/>
        <v>0</v>
      </c>
      <c r="BL42" s="21">
        <f t="shared" si="42"/>
        <v>0</v>
      </c>
      <c r="BM42" s="21">
        <f t="shared" si="43"/>
        <v>0</v>
      </c>
      <c r="BN42" s="21">
        <f t="shared" si="44"/>
        <v>0</v>
      </c>
      <c r="BO42" s="21">
        <f t="shared" si="45"/>
        <v>1</v>
      </c>
      <c r="BP42" s="21">
        <f t="shared" si="46"/>
        <v>0</v>
      </c>
      <c r="BQ42" s="21">
        <f t="shared" si="47"/>
        <v>0</v>
      </c>
      <c r="BR42" s="21">
        <f t="shared" si="48"/>
        <v>0</v>
      </c>
      <c r="BS42" s="21">
        <f t="shared" si="49"/>
        <v>0</v>
      </c>
      <c r="BT42" s="21">
        <f t="shared" si="50"/>
        <v>0</v>
      </c>
      <c r="BU42" s="21">
        <f t="shared" si="51"/>
        <v>0</v>
      </c>
      <c r="BV42" s="21">
        <f t="shared" si="52"/>
        <v>1</v>
      </c>
      <c r="BW42" s="21">
        <f t="shared" si="53"/>
        <v>1</v>
      </c>
      <c r="BX42" s="21">
        <f t="shared" si="54"/>
        <v>1</v>
      </c>
      <c r="BY42" s="21">
        <f t="shared" si="55"/>
        <v>1</v>
      </c>
      <c r="BZ42" s="21">
        <f t="shared" si="56"/>
        <v>1</v>
      </c>
      <c r="CA42" s="21">
        <f t="shared" si="57"/>
        <v>1</v>
      </c>
      <c r="CB42" s="21">
        <f t="shared" si="58"/>
        <v>1</v>
      </c>
      <c r="CC42" s="21">
        <f t="shared" si="59"/>
        <v>1</v>
      </c>
      <c r="CD42" s="21">
        <f t="shared" si="60"/>
        <v>1</v>
      </c>
      <c r="CE42" s="21">
        <f t="shared" si="61"/>
        <v>1</v>
      </c>
      <c r="CF42" s="21">
        <f t="shared" si="62"/>
        <v>1</v>
      </c>
      <c r="CG42" s="21">
        <f t="shared" si="63"/>
        <v>1</v>
      </c>
      <c r="CH42" s="21">
        <f t="shared" si="64"/>
        <v>1</v>
      </c>
      <c r="CI42" s="21">
        <f t="shared" si="65"/>
        <v>1</v>
      </c>
      <c r="CJ42" s="21">
        <f t="shared" si="66"/>
        <v>1</v>
      </c>
      <c r="CK42" s="21">
        <f t="shared" si="67"/>
        <v>1</v>
      </c>
      <c r="CL42" s="21">
        <f t="shared" si="68"/>
        <v>1</v>
      </c>
      <c r="CM42" s="21">
        <f t="shared" si="69"/>
        <v>1</v>
      </c>
      <c r="CN42" s="21">
        <f t="shared" si="70"/>
        <v>1</v>
      </c>
      <c r="CO42" s="21">
        <f t="shared" si="71"/>
        <v>1</v>
      </c>
      <c r="CP42" s="21">
        <f t="shared" si="72"/>
        <v>1</v>
      </c>
      <c r="CQ42" s="21">
        <f t="shared" si="73"/>
        <v>1</v>
      </c>
      <c r="CR42" s="21">
        <f t="shared" si="74"/>
        <v>0</v>
      </c>
      <c r="CS42" s="21"/>
      <c r="CT42" s="21"/>
      <c r="CU42" s="21"/>
      <c r="CV42" s="21"/>
      <c r="CW42" s="21"/>
      <c r="CY42" t="str">
        <f t="shared" ca="1" si="79"/>
        <v/>
      </c>
      <c r="CZ42" t="str">
        <f t="shared" ca="1" si="79"/>
        <v/>
      </c>
      <c r="DA42" t="str">
        <f t="shared" ca="1" si="79"/>
        <v/>
      </c>
      <c r="DB42" t="str">
        <f t="shared" ca="1" si="79"/>
        <v/>
      </c>
      <c r="DC42" t="str">
        <f t="shared" ca="1" si="79"/>
        <v/>
      </c>
      <c r="DD42" t="str">
        <f t="shared" ca="1" si="79"/>
        <v/>
      </c>
      <c r="DE42" t="str">
        <f t="shared" ca="1" si="79"/>
        <v/>
      </c>
      <c r="DF42" t="str">
        <f t="shared" ca="1" si="79"/>
        <v/>
      </c>
      <c r="DG42" t="str">
        <f t="shared" ca="1" si="79"/>
        <v/>
      </c>
      <c r="DH42" t="str">
        <f t="shared" ca="1" si="79"/>
        <v/>
      </c>
    </row>
    <row r="43" spans="1:112" ht="39" hidden="1" customHeight="1" x14ac:dyDescent="0.25">
      <c r="A43">
        <f t="shared" si="80"/>
        <v>13</v>
      </c>
      <c r="B43" s="407" t="str">
        <f t="shared" ref="B43:B72" ca="1" si="82">IF(C43="","",ROW()-10)</f>
        <v/>
      </c>
      <c r="C43" s="409" t="str">
        <f ca="1">'ריכוז נתונים כללים'!D49</f>
        <v/>
      </c>
      <c r="D43" s="410"/>
      <c r="E43" s="410"/>
      <c r="F43" s="410"/>
      <c r="G43" s="410"/>
      <c r="H43" s="410"/>
      <c r="I43" s="410"/>
      <c r="J43" s="410"/>
      <c r="K43" s="410"/>
      <c r="L43" s="410"/>
      <c r="M43" s="410"/>
      <c r="N43" s="420"/>
      <c r="O43" s="420"/>
      <c r="P43" s="407" t="str">
        <f t="shared" ca="1" si="76"/>
        <v/>
      </c>
      <c r="Q43" s="410"/>
      <c r="R43" s="410"/>
      <c r="S43" s="410"/>
      <c r="T43" s="410"/>
      <c r="U43" s="410"/>
      <c r="V43" s="410"/>
      <c r="W43" s="410"/>
      <c r="X43" s="410"/>
      <c r="Y43" s="410"/>
      <c r="Z43" s="410"/>
      <c r="AA43" s="410"/>
      <c r="AB43" s="411"/>
      <c r="AC43" s="408"/>
      <c r="AD43" s="410"/>
      <c r="AE43" s="410"/>
      <c r="AF43" s="410"/>
      <c r="AG43" s="407"/>
      <c r="AH43" s="410"/>
      <c r="AI43" s="410"/>
      <c r="AJ43" s="410"/>
      <c r="AK43" s="410"/>
      <c r="AL43" s="410"/>
      <c r="AM43" s="407"/>
      <c r="AN43" s="408"/>
      <c r="AO43" s="410"/>
      <c r="AP43" s="410"/>
      <c r="AQ43" s="408"/>
      <c r="AR43" s="410"/>
      <c r="AS43" s="410"/>
      <c r="AT43" s="410"/>
      <c r="AU43" s="408"/>
      <c r="AV43" s="408"/>
      <c r="AW43" s="408"/>
      <c r="AX43" s="407" t="str" cm="1">
        <f t="array" aca="1" ref="AX43" ca="1">IF($C43="","",IF(AT43=1,1,IF(AZ43&lt;&gt;1,$DF$1,IF(SUMPRODUCT((D43:AT43&gt;=$D$6:$AT$6)*($D$6:$AT$6&lt;&gt;"")*($D$4:$AT$4=1))=COUNTIF($D$4:$AT$4,1),1,0))))</f>
        <v/>
      </c>
      <c r="AY43" s="417"/>
      <c r="AZ43">
        <f t="shared" si="77"/>
        <v>0</v>
      </c>
      <c r="BA43" t="str">
        <f t="shared" ca="1" si="81"/>
        <v/>
      </c>
      <c r="BB43" t="str">
        <f t="shared" ca="1" si="81"/>
        <v/>
      </c>
      <c r="BC43" s="21">
        <f t="shared" ref="BC43:BC72" si="83">IF(D$10="",1,IF(D$4=99,1,IF(D43="",0,IF(D$10=$DI$1,IF(ISNA(MATCH(D43,$BA$10:$BB$10,0)),0,1),IF(D$10=$DJ$1,IF(IFERROR(D43*1,"bad")="bad",0,1),IF(D$10=$DK$1,IF(IFERROR(IF(D43=TRUNC(D43),1,"bad"),"bad")="bad",0,1),IF(D$10=$DL$1,IF(AND(IF(IFERROR(D43*1,"bad")="bad",0,1)=1,D43&gt;=0),1,0),IF(D$10=$DM$1,IF(AND(IF(IFERROR(IF(D43=TRUNC(D43),1,"bad"),"bad")="bad",0,1)=1,D43&gt;=0),1,0),IF(D$10=$DN$1,IF(AND(IF(IFERROR(D43*1,"bad")="bad",0,1)=1,D43&gt;0),1,0),IF(D$10=$DO$1,IF(AND(IF(IFERROR(IF(D43=TRUNC(D43),1,"bad"),"bad")="bad",0,1)=1,D43&gt;0),1,0),IF(D$10=$DP$1,1,IF(D$10=$DQ$1,IF(IFERROR(HLOOKUP(D43,$BD$4:$BM$4,1,0),"bad")="bad",0,1),0))))))))))))</f>
        <v>0</v>
      </c>
      <c r="BD43" s="21">
        <f t="shared" si="34"/>
        <v>0</v>
      </c>
      <c r="BE43" s="21">
        <f t="shared" si="35"/>
        <v>0</v>
      </c>
      <c r="BF43" s="21">
        <f t="shared" si="36"/>
        <v>0</v>
      </c>
      <c r="BG43" s="21">
        <f t="shared" si="37"/>
        <v>0</v>
      </c>
      <c r="BH43" s="21">
        <f t="shared" si="38"/>
        <v>0</v>
      </c>
      <c r="BI43" s="21">
        <f t="shared" si="39"/>
        <v>0</v>
      </c>
      <c r="BJ43" s="21">
        <f t="shared" si="40"/>
        <v>0</v>
      </c>
      <c r="BK43" s="21">
        <f t="shared" si="41"/>
        <v>0</v>
      </c>
      <c r="BL43" s="21">
        <f t="shared" si="42"/>
        <v>0</v>
      </c>
      <c r="BM43" s="21">
        <f t="shared" si="43"/>
        <v>0</v>
      </c>
      <c r="BN43" s="21">
        <f t="shared" si="44"/>
        <v>0</v>
      </c>
      <c r="BO43" s="21">
        <f t="shared" si="45"/>
        <v>1</v>
      </c>
      <c r="BP43" s="21">
        <f t="shared" si="46"/>
        <v>0</v>
      </c>
      <c r="BQ43" s="21">
        <f t="shared" si="47"/>
        <v>0</v>
      </c>
      <c r="BR43" s="21">
        <f t="shared" si="48"/>
        <v>0</v>
      </c>
      <c r="BS43" s="21">
        <f t="shared" si="49"/>
        <v>0</v>
      </c>
      <c r="BT43" s="21">
        <f t="shared" si="50"/>
        <v>0</v>
      </c>
      <c r="BU43" s="21">
        <f t="shared" si="51"/>
        <v>0</v>
      </c>
      <c r="BV43" s="21">
        <f t="shared" si="52"/>
        <v>1</v>
      </c>
      <c r="BW43" s="21">
        <f t="shared" si="53"/>
        <v>1</v>
      </c>
      <c r="BX43" s="21">
        <f t="shared" si="54"/>
        <v>1</v>
      </c>
      <c r="BY43" s="21">
        <f t="shared" si="55"/>
        <v>1</v>
      </c>
      <c r="BZ43" s="21">
        <f t="shared" si="56"/>
        <v>1</v>
      </c>
      <c r="CA43" s="21">
        <f t="shared" si="57"/>
        <v>1</v>
      </c>
      <c r="CB43" s="21">
        <f t="shared" si="58"/>
        <v>1</v>
      </c>
      <c r="CC43" s="21">
        <f t="shared" si="59"/>
        <v>1</v>
      </c>
      <c r="CD43" s="21">
        <f t="shared" si="60"/>
        <v>1</v>
      </c>
      <c r="CE43" s="21">
        <f t="shared" si="61"/>
        <v>1</v>
      </c>
      <c r="CF43" s="21">
        <f t="shared" si="62"/>
        <v>1</v>
      </c>
      <c r="CG43" s="21">
        <f t="shared" si="63"/>
        <v>1</v>
      </c>
      <c r="CH43" s="21">
        <f t="shared" si="64"/>
        <v>1</v>
      </c>
      <c r="CI43" s="21">
        <f t="shared" si="65"/>
        <v>1</v>
      </c>
      <c r="CJ43" s="21">
        <f t="shared" si="66"/>
        <v>1</v>
      </c>
      <c r="CK43" s="21">
        <f t="shared" si="67"/>
        <v>1</v>
      </c>
      <c r="CL43" s="21">
        <f t="shared" si="68"/>
        <v>1</v>
      </c>
      <c r="CM43" s="21">
        <f t="shared" si="69"/>
        <v>1</v>
      </c>
      <c r="CN43" s="21">
        <f t="shared" si="70"/>
        <v>1</v>
      </c>
      <c r="CO43" s="21">
        <f t="shared" si="71"/>
        <v>1</v>
      </c>
      <c r="CP43" s="21">
        <f t="shared" si="72"/>
        <v>1</v>
      </c>
      <c r="CQ43" s="21">
        <f t="shared" si="73"/>
        <v>1</v>
      </c>
      <c r="CR43" s="21">
        <f t="shared" si="74"/>
        <v>0</v>
      </c>
      <c r="CS43" s="21"/>
      <c r="CT43" s="21"/>
      <c r="CU43" s="21"/>
      <c r="CV43" s="21"/>
      <c r="CW43" s="21"/>
      <c r="CY43" t="str">
        <f t="shared" ca="1" si="79"/>
        <v/>
      </c>
      <c r="CZ43" t="str">
        <f t="shared" ca="1" si="79"/>
        <v/>
      </c>
      <c r="DA43" t="str">
        <f t="shared" ca="1" si="79"/>
        <v/>
      </c>
      <c r="DB43" t="str">
        <f t="shared" ca="1" si="79"/>
        <v/>
      </c>
      <c r="DC43" t="str">
        <f t="shared" ca="1" si="79"/>
        <v/>
      </c>
      <c r="DD43" t="str">
        <f t="shared" ca="1" si="79"/>
        <v/>
      </c>
      <c r="DE43" t="str">
        <f t="shared" ca="1" si="79"/>
        <v/>
      </c>
      <c r="DF43" t="str">
        <f t="shared" ca="1" si="79"/>
        <v/>
      </c>
      <c r="DG43" t="str">
        <f t="shared" ca="1" si="79"/>
        <v/>
      </c>
      <c r="DH43" t="str">
        <f t="shared" ca="1" si="79"/>
        <v/>
      </c>
    </row>
    <row r="44" spans="1:112" ht="39" hidden="1" customHeight="1" x14ac:dyDescent="0.25">
      <c r="A44">
        <f t="shared" si="80"/>
        <v>14</v>
      </c>
      <c r="B44" s="407" t="str">
        <f t="shared" ca="1" si="82"/>
        <v/>
      </c>
      <c r="C44" s="409" t="str">
        <f ca="1">'ריכוז נתונים כללים'!D50</f>
        <v/>
      </c>
      <c r="D44" s="410"/>
      <c r="E44" s="410"/>
      <c r="F44" s="410"/>
      <c r="G44" s="410"/>
      <c r="H44" s="410"/>
      <c r="I44" s="410"/>
      <c r="J44" s="410"/>
      <c r="K44" s="410"/>
      <c r="L44" s="410"/>
      <c r="M44" s="410"/>
      <c r="N44" s="420"/>
      <c r="O44" s="420"/>
      <c r="P44" s="407" t="str">
        <f t="shared" ca="1" si="76"/>
        <v/>
      </c>
      <c r="Q44" s="410"/>
      <c r="R44" s="410"/>
      <c r="S44" s="410"/>
      <c r="T44" s="410"/>
      <c r="U44" s="410"/>
      <c r="V44" s="410"/>
      <c r="W44" s="410"/>
      <c r="X44" s="410"/>
      <c r="Y44" s="410"/>
      <c r="Z44" s="410"/>
      <c r="AA44" s="410"/>
      <c r="AB44" s="411"/>
      <c r="AC44" s="408"/>
      <c r="AD44" s="410"/>
      <c r="AE44" s="410"/>
      <c r="AF44" s="410"/>
      <c r="AG44" s="407"/>
      <c r="AH44" s="410"/>
      <c r="AI44" s="410"/>
      <c r="AJ44" s="410"/>
      <c r="AK44" s="410"/>
      <c r="AL44" s="410"/>
      <c r="AM44" s="407"/>
      <c r="AN44" s="408"/>
      <c r="AO44" s="410"/>
      <c r="AP44" s="410"/>
      <c r="AQ44" s="408"/>
      <c r="AR44" s="410"/>
      <c r="AS44" s="410"/>
      <c r="AT44" s="410"/>
      <c r="AU44" s="408"/>
      <c r="AV44" s="408"/>
      <c r="AW44" s="408"/>
      <c r="AX44" s="407" t="str" cm="1">
        <f t="array" aca="1" ref="AX44" ca="1">IF($C44="","",IF(AT44=1,1,IF(AZ44&lt;&gt;1,$DF$1,IF(SUMPRODUCT((D44:AT44&gt;=$D$6:$AT$6)*($D$6:$AT$6&lt;&gt;"")*($D$4:$AT$4=1))=COUNTIF($D$4:$AT$4,1),1,0))))</f>
        <v/>
      </c>
      <c r="AY44" s="417"/>
      <c r="AZ44">
        <f t="shared" si="77"/>
        <v>0</v>
      </c>
      <c r="BA44" t="str">
        <f t="shared" ca="1" si="81"/>
        <v/>
      </c>
      <c r="BB44" t="str">
        <f t="shared" ca="1" si="81"/>
        <v/>
      </c>
      <c r="BC44" s="21">
        <f t="shared" si="83"/>
        <v>0</v>
      </c>
      <c r="BD44" s="21">
        <f t="shared" si="34"/>
        <v>0</v>
      </c>
      <c r="BE44" s="21">
        <f t="shared" si="35"/>
        <v>0</v>
      </c>
      <c r="BF44" s="21">
        <f t="shared" si="36"/>
        <v>0</v>
      </c>
      <c r="BG44" s="21">
        <f t="shared" si="37"/>
        <v>0</v>
      </c>
      <c r="BH44" s="21">
        <f t="shared" si="38"/>
        <v>0</v>
      </c>
      <c r="BI44" s="21">
        <f t="shared" si="39"/>
        <v>0</v>
      </c>
      <c r="BJ44" s="21">
        <f t="shared" si="40"/>
        <v>0</v>
      </c>
      <c r="BK44" s="21">
        <f t="shared" si="41"/>
        <v>0</v>
      </c>
      <c r="BL44" s="21">
        <f t="shared" si="42"/>
        <v>0</v>
      </c>
      <c r="BM44" s="21">
        <f t="shared" si="43"/>
        <v>0</v>
      </c>
      <c r="BN44" s="21">
        <f t="shared" si="44"/>
        <v>0</v>
      </c>
      <c r="BO44" s="21">
        <f t="shared" si="45"/>
        <v>1</v>
      </c>
      <c r="BP44" s="21">
        <f t="shared" si="46"/>
        <v>0</v>
      </c>
      <c r="BQ44" s="21">
        <f t="shared" si="47"/>
        <v>0</v>
      </c>
      <c r="BR44" s="21">
        <f t="shared" si="48"/>
        <v>0</v>
      </c>
      <c r="BS44" s="21">
        <f t="shared" si="49"/>
        <v>0</v>
      </c>
      <c r="BT44" s="21">
        <f t="shared" si="50"/>
        <v>0</v>
      </c>
      <c r="BU44" s="21">
        <f t="shared" si="51"/>
        <v>0</v>
      </c>
      <c r="BV44" s="21">
        <f t="shared" si="52"/>
        <v>1</v>
      </c>
      <c r="BW44" s="21">
        <f t="shared" si="53"/>
        <v>1</v>
      </c>
      <c r="BX44" s="21">
        <f t="shared" si="54"/>
        <v>1</v>
      </c>
      <c r="BY44" s="21">
        <f t="shared" si="55"/>
        <v>1</v>
      </c>
      <c r="BZ44" s="21">
        <f t="shared" si="56"/>
        <v>1</v>
      </c>
      <c r="CA44" s="21">
        <f t="shared" si="57"/>
        <v>1</v>
      </c>
      <c r="CB44" s="21">
        <f t="shared" si="58"/>
        <v>1</v>
      </c>
      <c r="CC44" s="21">
        <f t="shared" si="59"/>
        <v>1</v>
      </c>
      <c r="CD44" s="21">
        <f t="shared" si="60"/>
        <v>1</v>
      </c>
      <c r="CE44" s="21">
        <f t="shared" si="61"/>
        <v>1</v>
      </c>
      <c r="CF44" s="21">
        <f t="shared" si="62"/>
        <v>1</v>
      </c>
      <c r="CG44" s="21">
        <f t="shared" si="63"/>
        <v>1</v>
      </c>
      <c r="CH44" s="21">
        <f t="shared" si="64"/>
        <v>1</v>
      </c>
      <c r="CI44" s="21">
        <f t="shared" si="65"/>
        <v>1</v>
      </c>
      <c r="CJ44" s="21">
        <f t="shared" si="66"/>
        <v>1</v>
      </c>
      <c r="CK44" s="21">
        <f t="shared" si="67"/>
        <v>1</v>
      </c>
      <c r="CL44" s="21">
        <f t="shared" si="68"/>
        <v>1</v>
      </c>
      <c r="CM44" s="21">
        <f t="shared" si="69"/>
        <v>1</v>
      </c>
      <c r="CN44" s="21">
        <f t="shared" si="70"/>
        <v>1</v>
      </c>
      <c r="CO44" s="21">
        <f t="shared" si="71"/>
        <v>1</v>
      </c>
      <c r="CP44" s="21">
        <f t="shared" si="72"/>
        <v>1</v>
      </c>
      <c r="CQ44" s="21">
        <f t="shared" si="73"/>
        <v>1</v>
      </c>
      <c r="CR44" s="21">
        <f t="shared" si="74"/>
        <v>0</v>
      </c>
      <c r="CS44" s="21"/>
      <c r="CT44" s="21"/>
      <c r="CU44" s="21"/>
      <c r="CV44" s="21"/>
      <c r="CW44" s="21"/>
      <c r="CY44" t="str">
        <f t="shared" ref="CY44:DH69" ca="1" si="84">IF($C44="","",CY$10)</f>
        <v/>
      </c>
      <c r="CZ44" t="str">
        <f t="shared" ca="1" si="84"/>
        <v/>
      </c>
      <c r="DA44" t="str">
        <f t="shared" ca="1" si="84"/>
        <v/>
      </c>
      <c r="DB44" t="str">
        <f t="shared" ca="1" si="84"/>
        <v/>
      </c>
      <c r="DC44" t="str">
        <f t="shared" ca="1" si="84"/>
        <v/>
      </c>
      <c r="DD44" t="str">
        <f t="shared" ca="1" si="84"/>
        <v/>
      </c>
      <c r="DE44" t="str">
        <f t="shared" ca="1" si="84"/>
        <v/>
      </c>
      <c r="DF44" t="str">
        <f t="shared" ca="1" si="84"/>
        <v/>
      </c>
      <c r="DG44" t="str">
        <f t="shared" ca="1" si="84"/>
        <v/>
      </c>
      <c r="DH44" t="str">
        <f t="shared" ca="1" si="84"/>
        <v/>
      </c>
    </row>
    <row r="45" spans="1:112" ht="29.25" hidden="1" customHeight="1" x14ac:dyDescent="0.25">
      <c r="A45">
        <f t="shared" si="80"/>
        <v>15</v>
      </c>
      <c r="B45" s="407" t="str">
        <f t="shared" ca="1" si="82"/>
        <v/>
      </c>
      <c r="C45" s="409" t="str">
        <f ca="1">'ריכוז נתונים כללים'!D51</f>
        <v/>
      </c>
      <c r="D45" s="410"/>
      <c r="E45" s="410"/>
      <c r="F45" s="410"/>
      <c r="G45" s="410"/>
      <c r="H45" s="410"/>
      <c r="I45" s="410"/>
      <c r="J45" s="410"/>
      <c r="K45" s="410"/>
      <c r="L45" s="410"/>
      <c r="M45" s="410"/>
      <c r="N45" s="420"/>
      <c r="O45" s="420"/>
      <c r="P45" s="407" t="str">
        <f t="shared" ca="1" si="76"/>
        <v/>
      </c>
      <c r="Q45" s="410"/>
      <c r="R45" s="410"/>
      <c r="S45" s="410"/>
      <c r="T45" s="410"/>
      <c r="U45" s="410"/>
      <c r="V45" s="410"/>
      <c r="W45" s="410"/>
      <c r="X45" s="410"/>
      <c r="Y45" s="410"/>
      <c r="Z45" s="410"/>
      <c r="AA45" s="410"/>
      <c r="AB45" s="411"/>
      <c r="AC45" s="408"/>
      <c r="AD45" s="410"/>
      <c r="AE45" s="410"/>
      <c r="AF45" s="410"/>
      <c r="AG45" s="407"/>
      <c r="AH45" s="410"/>
      <c r="AI45" s="410"/>
      <c r="AJ45" s="410"/>
      <c r="AK45" s="410"/>
      <c r="AL45" s="410"/>
      <c r="AM45" s="407"/>
      <c r="AN45" s="408"/>
      <c r="AO45" s="410"/>
      <c r="AP45" s="410"/>
      <c r="AQ45" s="408"/>
      <c r="AR45" s="410"/>
      <c r="AS45" s="410"/>
      <c r="AT45" s="410"/>
      <c r="AU45" s="408"/>
      <c r="AV45" s="408"/>
      <c r="AW45" s="408"/>
      <c r="AX45" s="407" t="str" cm="1">
        <f t="array" aca="1" ref="AX45" ca="1">IF($C45="","",IF(AT45=1,1,IF(AZ45&lt;&gt;1,$DF$1,IF(SUMPRODUCT((D45:AT45&gt;=$D$6:$AT$6)*($D$6:$AT$6&lt;&gt;"")*($D$4:$AT$4=1))=COUNTIF($D$4:$AT$4,1),1,0))))</f>
        <v/>
      </c>
      <c r="AY45" s="416"/>
      <c r="AZ45">
        <f t="shared" si="77"/>
        <v>0</v>
      </c>
      <c r="BA45" t="str">
        <f t="shared" ref="BA45:BB72" ca="1" si="85">IF($C45="","",BA$10)</f>
        <v/>
      </c>
      <c r="BB45" t="str">
        <f t="shared" ca="1" si="85"/>
        <v/>
      </c>
      <c r="BC45" s="21">
        <f t="shared" si="83"/>
        <v>0</v>
      </c>
      <c r="BD45" s="21">
        <f t="shared" si="34"/>
        <v>0</v>
      </c>
      <c r="BE45" s="21">
        <f t="shared" si="35"/>
        <v>0</v>
      </c>
      <c r="BF45" s="21">
        <f t="shared" si="36"/>
        <v>0</v>
      </c>
      <c r="BG45" s="21">
        <f t="shared" si="37"/>
        <v>0</v>
      </c>
      <c r="BH45" s="21">
        <f t="shared" si="38"/>
        <v>0</v>
      </c>
      <c r="BI45" s="21">
        <f t="shared" si="39"/>
        <v>0</v>
      </c>
      <c r="BJ45" s="21">
        <f t="shared" si="40"/>
        <v>0</v>
      </c>
      <c r="BK45" s="21">
        <f t="shared" si="41"/>
        <v>0</v>
      </c>
      <c r="BL45" s="21">
        <f t="shared" si="42"/>
        <v>0</v>
      </c>
      <c r="BM45" s="21">
        <f t="shared" si="43"/>
        <v>0</v>
      </c>
      <c r="BN45" s="21">
        <f t="shared" si="44"/>
        <v>0</v>
      </c>
      <c r="BO45" s="21">
        <f t="shared" si="45"/>
        <v>1</v>
      </c>
      <c r="BP45" s="21">
        <f t="shared" si="46"/>
        <v>0</v>
      </c>
      <c r="BQ45" s="21">
        <f t="shared" si="47"/>
        <v>0</v>
      </c>
      <c r="BR45" s="21">
        <f t="shared" si="48"/>
        <v>0</v>
      </c>
      <c r="BS45" s="21">
        <f t="shared" si="49"/>
        <v>0</v>
      </c>
      <c r="BT45" s="21">
        <f t="shared" si="50"/>
        <v>0</v>
      </c>
      <c r="BU45" s="21">
        <f t="shared" si="51"/>
        <v>0</v>
      </c>
      <c r="BV45" s="21">
        <f t="shared" si="52"/>
        <v>1</v>
      </c>
      <c r="BW45" s="21">
        <f t="shared" si="53"/>
        <v>1</v>
      </c>
      <c r="BX45" s="21">
        <f t="shared" si="54"/>
        <v>1</v>
      </c>
      <c r="BY45" s="21">
        <f t="shared" si="55"/>
        <v>1</v>
      </c>
      <c r="BZ45" s="21">
        <f t="shared" si="56"/>
        <v>1</v>
      </c>
      <c r="CA45" s="21">
        <f t="shared" si="57"/>
        <v>1</v>
      </c>
      <c r="CB45" s="21">
        <f t="shared" si="58"/>
        <v>1</v>
      </c>
      <c r="CC45" s="21">
        <f t="shared" si="59"/>
        <v>1</v>
      </c>
      <c r="CD45" s="21">
        <f t="shared" si="60"/>
        <v>1</v>
      </c>
      <c r="CE45" s="21">
        <f t="shared" si="61"/>
        <v>1</v>
      </c>
      <c r="CF45" s="21">
        <f t="shared" si="62"/>
        <v>1</v>
      </c>
      <c r="CG45" s="21">
        <f t="shared" si="63"/>
        <v>1</v>
      </c>
      <c r="CH45" s="21">
        <f t="shared" si="64"/>
        <v>1</v>
      </c>
      <c r="CI45" s="21">
        <f t="shared" si="65"/>
        <v>1</v>
      </c>
      <c r="CJ45" s="21">
        <f t="shared" si="66"/>
        <v>1</v>
      </c>
      <c r="CK45" s="21">
        <f t="shared" si="67"/>
        <v>1</v>
      </c>
      <c r="CL45" s="21">
        <f t="shared" si="68"/>
        <v>1</v>
      </c>
      <c r="CM45" s="21">
        <f t="shared" si="69"/>
        <v>1</v>
      </c>
      <c r="CN45" s="21">
        <f t="shared" si="70"/>
        <v>1</v>
      </c>
      <c r="CO45" s="21">
        <f t="shared" si="71"/>
        <v>1</v>
      </c>
      <c r="CP45" s="21">
        <f t="shared" si="72"/>
        <v>1</v>
      </c>
      <c r="CQ45" s="21">
        <f t="shared" si="73"/>
        <v>1</v>
      </c>
      <c r="CR45" s="21">
        <f t="shared" si="74"/>
        <v>0</v>
      </c>
      <c r="CS45" s="21"/>
      <c r="CT45" s="21"/>
      <c r="CU45" s="21"/>
      <c r="CV45" s="21"/>
      <c r="CW45" s="21"/>
      <c r="CY45" t="str">
        <f t="shared" ca="1" si="84"/>
        <v/>
      </c>
      <c r="CZ45" t="str">
        <f t="shared" ca="1" si="84"/>
        <v/>
      </c>
      <c r="DA45" t="str">
        <f t="shared" ca="1" si="84"/>
        <v/>
      </c>
      <c r="DB45" t="str">
        <f t="shared" ca="1" si="84"/>
        <v/>
      </c>
      <c r="DC45" t="str">
        <f t="shared" ca="1" si="84"/>
        <v/>
      </c>
      <c r="DD45" t="str">
        <f t="shared" ca="1" si="84"/>
        <v/>
      </c>
      <c r="DE45" t="str">
        <f t="shared" ca="1" si="84"/>
        <v/>
      </c>
      <c r="DF45" t="str">
        <f t="shared" ca="1" si="84"/>
        <v/>
      </c>
      <c r="DG45" t="str">
        <f t="shared" ca="1" si="84"/>
        <v/>
      </c>
      <c r="DH45" t="str">
        <f t="shared" ca="1" si="84"/>
        <v/>
      </c>
    </row>
    <row r="46" spans="1:112" ht="29.25" hidden="1" customHeight="1" x14ac:dyDescent="0.25">
      <c r="A46">
        <f t="shared" si="80"/>
        <v>16</v>
      </c>
      <c r="B46" s="407" t="str">
        <f t="shared" ca="1" si="82"/>
        <v/>
      </c>
      <c r="C46" s="409" t="str">
        <f ca="1">'ריכוז נתונים כללים'!D52</f>
        <v/>
      </c>
      <c r="D46" s="410"/>
      <c r="E46" s="410"/>
      <c r="F46" s="410"/>
      <c r="G46" s="410"/>
      <c r="H46" s="410"/>
      <c r="I46" s="410"/>
      <c r="J46" s="410"/>
      <c r="K46" s="410"/>
      <c r="L46" s="410"/>
      <c r="M46" s="410"/>
      <c r="N46" s="420"/>
      <c r="O46" s="420"/>
      <c r="P46" s="407" t="str">
        <f t="shared" ca="1" si="76"/>
        <v/>
      </c>
      <c r="Q46" s="410"/>
      <c r="R46" s="410"/>
      <c r="S46" s="410"/>
      <c r="T46" s="410"/>
      <c r="U46" s="410"/>
      <c r="V46" s="410"/>
      <c r="W46" s="410"/>
      <c r="X46" s="410"/>
      <c r="Y46" s="410"/>
      <c r="Z46" s="410"/>
      <c r="AA46" s="410"/>
      <c r="AB46" s="411"/>
      <c r="AC46" s="408"/>
      <c r="AD46" s="410"/>
      <c r="AE46" s="410"/>
      <c r="AF46" s="410"/>
      <c r="AG46" s="407"/>
      <c r="AH46" s="410"/>
      <c r="AI46" s="410"/>
      <c r="AJ46" s="410"/>
      <c r="AK46" s="410"/>
      <c r="AL46" s="410"/>
      <c r="AM46" s="407"/>
      <c r="AN46" s="408"/>
      <c r="AO46" s="410"/>
      <c r="AP46" s="410"/>
      <c r="AQ46" s="408"/>
      <c r="AR46" s="410"/>
      <c r="AS46" s="410"/>
      <c r="AT46" s="410"/>
      <c r="AU46" s="408"/>
      <c r="AV46" s="408"/>
      <c r="AW46" s="408"/>
      <c r="AX46" s="407" t="str" cm="1">
        <f t="array" aca="1" ref="AX46" ca="1">IF($C46="","",IF(AT46=1,1,IF(AZ46&lt;&gt;1,$DF$1,IF(SUMPRODUCT((D46:AT46&gt;=$D$6:$AT$6)*($D$6:$AT$6&lt;&gt;"")*($D$4:$AT$4=1))=COUNTIF($D$4:$AT$4,1),1,0))))</f>
        <v/>
      </c>
      <c r="AY46" s="418"/>
      <c r="AZ46">
        <f t="shared" si="77"/>
        <v>0</v>
      </c>
      <c r="BA46" t="str">
        <f t="shared" ca="1" si="85"/>
        <v/>
      </c>
      <c r="BB46" t="str">
        <f t="shared" ca="1" si="85"/>
        <v/>
      </c>
      <c r="BC46" s="21">
        <f t="shared" si="83"/>
        <v>0</v>
      </c>
      <c r="BD46" s="21">
        <f t="shared" si="34"/>
        <v>0</v>
      </c>
      <c r="BE46" s="21">
        <f t="shared" si="35"/>
        <v>0</v>
      </c>
      <c r="BF46" s="21">
        <f t="shared" si="36"/>
        <v>0</v>
      </c>
      <c r="BG46" s="21">
        <f t="shared" si="37"/>
        <v>0</v>
      </c>
      <c r="BH46" s="21">
        <f t="shared" si="38"/>
        <v>0</v>
      </c>
      <c r="BI46" s="21">
        <f t="shared" si="39"/>
        <v>0</v>
      </c>
      <c r="BJ46" s="21">
        <f t="shared" si="40"/>
        <v>0</v>
      </c>
      <c r="BK46" s="21">
        <f t="shared" si="41"/>
        <v>0</v>
      </c>
      <c r="BL46" s="21">
        <f t="shared" si="42"/>
        <v>0</v>
      </c>
      <c r="BM46" s="21">
        <f t="shared" si="43"/>
        <v>0</v>
      </c>
      <c r="BN46" s="21">
        <f t="shared" si="44"/>
        <v>0</v>
      </c>
      <c r="BO46" s="21">
        <f t="shared" si="45"/>
        <v>1</v>
      </c>
      <c r="BP46" s="21">
        <f t="shared" si="46"/>
        <v>0</v>
      </c>
      <c r="BQ46" s="21">
        <f t="shared" si="47"/>
        <v>0</v>
      </c>
      <c r="BR46" s="21">
        <f t="shared" si="48"/>
        <v>0</v>
      </c>
      <c r="BS46" s="21">
        <f t="shared" si="49"/>
        <v>0</v>
      </c>
      <c r="BT46" s="21">
        <f t="shared" si="50"/>
        <v>0</v>
      </c>
      <c r="BU46" s="21">
        <f t="shared" si="51"/>
        <v>0</v>
      </c>
      <c r="BV46" s="21">
        <f t="shared" si="52"/>
        <v>1</v>
      </c>
      <c r="BW46" s="21">
        <f t="shared" si="53"/>
        <v>1</v>
      </c>
      <c r="BX46" s="21">
        <f t="shared" si="54"/>
        <v>1</v>
      </c>
      <c r="BY46" s="21">
        <f t="shared" si="55"/>
        <v>1</v>
      </c>
      <c r="BZ46" s="21">
        <f t="shared" si="56"/>
        <v>1</v>
      </c>
      <c r="CA46" s="21">
        <f t="shared" si="57"/>
        <v>1</v>
      </c>
      <c r="CB46" s="21">
        <f t="shared" si="58"/>
        <v>1</v>
      </c>
      <c r="CC46" s="21">
        <f t="shared" si="59"/>
        <v>1</v>
      </c>
      <c r="CD46" s="21">
        <f t="shared" si="60"/>
        <v>1</v>
      </c>
      <c r="CE46" s="21">
        <f t="shared" si="61"/>
        <v>1</v>
      </c>
      <c r="CF46" s="21">
        <f t="shared" si="62"/>
        <v>1</v>
      </c>
      <c r="CG46" s="21">
        <f t="shared" si="63"/>
        <v>1</v>
      </c>
      <c r="CH46" s="21">
        <f t="shared" si="64"/>
        <v>1</v>
      </c>
      <c r="CI46" s="21">
        <f t="shared" si="65"/>
        <v>1</v>
      </c>
      <c r="CJ46" s="21">
        <f t="shared" si="66"/>
        <v>1</v>
      </c>
      <c r="CK46" s="21">
        <f t="shared" si="67"/>
        <v>1</v>
      </c>
      <c r="CL46" s="21">
        <f t="shared" si="68"/>
        <v>1</v>
      </c>
      <c r="CM46" s="21">
        <f t="shared" si="69"/>
        <v>1</v>
      </c>
      <c r="CN46" s="21">
        <f t="shared" si="70"/>
        <v>1</v>
      </c>
      <c r="CO46" s="21">
        <f t="shared" si="71"/>
        <v>1</v>
      </c>
      <c r="CP46" s="21">
        <f t="shared" si="72"/>
        <v>1</v>
      </c>
      <c r="CQ46" s="21">
        <f t="shared" si="73"/>
        <v>1</v>
      </c>
      <c r="CR46" s="21">
        <f t="shared" si="74"/>
        <v>0</v>
      </c>
      <c r="CS46" s="21"/>
      <c r="CT46" s="21"/>
      <c r="CU46" s="21"/>
      <c r="CV46" s="21"/>
      <c r="CW46" s="21"/>
      <c r="CY46" t="str">
        <f t="shared" ca="1" si="84"/>
        <v/>
      </c>
      <c r="CZ46" t="str">
        <f t="shared" ca="1" si="84"/>
        <v/>
      </c>
      <c r="DA46" t="str">
        <f t="shared" ca="1" si="84"/>
        <v/>
      </c>
      <c r="DB46" t="str">
        <f t="shared" ca="1" si="84"/>
        <v/>
      </c>
      <c r="DC46" t="str">
        <f t="shared" ca="1" si="84"/>
        <v/>
      </c>
      <c r="DD46" t="str">
        <f t="shared" ca="1" si="84"/>
        <v/>
      </c>
      <c r="DE46" t="str">
        <f t="shared" ca="1" si="84"/>
        <v/>
      </c>
      <c r="DF46" t="str">
        <f t="shared" ca="1" si="84"/>
        <v/>
      </c>
      <c r="DG46" t="str">
        <f t="shared" ca="1" si="84"/>
        <v/>
      </c>
      <c r="DH46" t="str">
        <f t="shared" ca="1" si="84"/>
        <v/>
      </c>
    </row>
    <row r="47" spans="1:112" ht="30" hidden="1" customHeight="1" x14ac:dyDescent="0.25">
      <c r="A47">
        <f t="shared" si="80"/>
        <v>17</v>
      </c>
      <c r="B47" s="407" t="str">
        <f t="shared" ca="1" si="82"/>
        <v/>
      </c>
      <c r="C47" s="409" t="str">
        <f ca="1">'ריכוז נתונים כללים'!D53</f>
        <v/>
      </c>
      <c r="D47" s="410"/>
      <c r="E47" s="410"/>
      <c r="F47" s="410"/>
      <c r="G47" s="410"/>
      <c r="H47" s="410"/>
      <c r="I47" s="410"/>
      <c r="J47" s="410"/>
      <c r="K47" s="410"/>
      <c r="L47" s="410"/>
      <c r="M47" s="410"/>
      <c r="N47" s="420"/>
      <c r="O47" s="420"/>
      <c r="P47" s="407" t="str">
        <f t="shared" ca="1" si="76"/>
        <v/>
      </c>
      <c r="Q47" s="410"/>
      <c r="R47" s="410"/>
      <c r="S47" s="410"/>
      <c r="T47" s="410"/>
      <c r="U47" s="410"/>
      <c r="V47" s="410"/>
      <c r="W47" s="410"/>
      <c r="X47" s="410"/>
      <c r="Y47" s="410"/>
      <c r="Z47" s="410"/>
      <c r="AA47" s="410"/>
      <c r="AB47" s="411"/>
      <c r="AC47" s="408"/>
      <c r="AD47" s="410"/>
      <c r="AE47" s="410"/>
      <c r="AF47" s="410"/>
      <c r="AG47" s="407"/>
      <c r="AH47" s="410"/>
      <c r="AI47" s="410"/>
      <c r="AJ47" s="410"/>
      <c r="AK47" s="410"/>
      <c r="AL47" s="410"/>
      <c r="AM47" s="407"/>
      <c r="AN47" s="408"/>
      <c r="AO47" s="410"/>
      <c r="AP47" s="410"/>
      <c r="AQ47" s="408"/>
      <c r="AR47" s="410"/>
      <c r="AS47" s="410"/>
      <c r="AT47" s="410"/>
      <c r="AU47" s="408"/>
      <c r="AV47" s="408"/>
      <c r="AW47" s="408"/>
      <c r="AX47" s="407" t="str" cm="1">
        <f t="array" aca="1" ref="AX47" ca="1">IF($C47="","",IF(AT47=1,1,IF(AZ47&lt;&gt;1,$DF$1,IF(SUMPRODUCT((D47:AT47&gt;=$D$6:$AT$6)*($D$6:$AT$6&lt;&gt;"")*($D$4:$AT$4=1))=COUNTIF($D$4:$AT$4,1),1,0))))</f>
        <v/>
      </c>
      <c r="AY47" s="417"/>
      <c r="AZ47">
        <f t="shared" si="77"/>
        <v>0</v>
      </c>
      <c r="BA47" t="str">
        <f t="shared" ca="1" si="85"/>
        <v/>
      </c>
      <c r="BB47" t="str">
        <f t="shared" ca="1" si="85"/>
        <v/>
      </c>
      <c r="BC47" s="21">
        <f t="shared" si="83"/>
        <v>0</v>
      </c>
      <c r="BD47" s="21">
        <f t="shared" si="34"/>
        <v>0</v>
      </c>
      <c r="BE47" s="21">
        <f t="shared" si="35"/>
        <v>0</v>
      </c>
      <c r="BF47" s="21">
        <f t="shared" si="36"/>
        <v>0</v>
      </c>
      <c r="BG47" s="21">
        <f t="shared" si="37"/>
        <v>0</v>
      </c>
      <c r="BH47" s="21">
        <f t="shared" si="38"/>
        <v>0</v>
      </c>
      <c r="BI47" s="21">
        <f t="shared" si="39"/>
        <v>0</v>
      </c>
      <c r="BJ47" s="21">
        <f t="shared" si="40"/>
        <v>0</v>
      </c>
      <c r="BK47" s="21">
        <f t="shared" si="41"/>
        <v>0</v>
      </c>
      <c r="BL47" s="21">
        <f t="shared" si="42"/>
        <v>0</v>
      </c>
      <c r="BM47" s="21">
        <f t="shared" si="43"/>
        <v>0</v>
      </c>
      <c r="BN47" s="21">
        <f t="shared" si="44"/>
        <v>0</v>
      </c>
      <c r="BO47" s="21">
        <f t="shared" si="45"/>
        <v>1</v>
      </c>
      <c r="BP47" s="21">
        <f t="shared" si="46"/>
        <v>0</v>
      </c>
      <c r="BQ47" s="21">
        <f t="shared" si="47"/>
        <v>0</v>
      </c>
      <c r="BR47" s="21">
        <f t="shared" si="48"/>
        <v>0</v>
      </c>
      <c r="BS47" s="21">
        <f t="shared" si="49"/>
        <v>0</v>
      </c>
      <c r="BT47" s="21">
        <f t="shared" si="50"/>
        <v>0</v>
      </c>
      <c r="BU47" s="21">
        <f t="shared" si="51"/>
        <v>0</v>
      </c>
      <c r="BV47" s="21">
        <f t="shared" si="52"/>
        <v>1</v>
      </c>
      <c r="BW47" s="21">
        <f t="shared" si="53"/>
        <v>1</v>
      </c>
      <c r="BX47" s="21">
        <f t="shared" si="54"/>
        <v>1</v>
      </c>
      <c r="BY47" s="21">
        <f t="shared" si="55"/>
        <v>1</v>
      </c>
      <c r="BZ47" s="21">
        <f t="shared" si="56"/>
        <v>1</v>
      </c>
      <c r="CA47" s="21">
        <f t="shared" si="57"/>
        <v>1</v>
      </c>
      <c r="CB47" s="21">
        <f t="shared" si="58"/>
        <v>1</v>
      </c>
      <c r="CC47" s="21">
        <f t="shared" si="59"/>
        <v>1</v>
      </c>
      <c r="CD47" s="21">
        <f t="shared" si="60"/>
        <v>1</v>
      </c>
      <c r="CE47" s="21">
        <f t="shared" si="61"/>
        <v>1</v>
      </c>
      <c r="CF47" s="21">
        <f t="shared" si="62"/>
        <v>1</v>
      </c>
      <c r="CG47" s="21">
        <f t="shared" si="63"/>
        <v>1</v>
      </c>
      <c r="CH47" s="21">
        <f t="shared" si="64"/>
        <v>1</v>
      </c>
      <c r="CI47" s="21">
        <f t="shared" si="65"/>
        <v>1</v>
      </c>
      <c r="CJ47" s="21">
        <f t="shared" si="66"/>
        <v>1</v>
      </c>
      <c r="CK47" s="21">
        <f t="shared" si="67"/>
        <v>1</v>
      </c>
      <c r="CL47" s="21">
        <f t="shared" si="68"/>
        <v>1</v>
      </c>
      <c r="CM47" s="21">
        <f t="shared" si="69"/>
        <v>1</v>
      </c>
      <c r="CN47" s="21">
        <f t="shared" si="70"/>
        <v>1</v>
      </c>
      <c r="CO47" s="21">
        <f t="shared" si="71"/>
        <v>1</v>
      </c>
      <c r="CP47" s="21">
        <f t="shared" si="72"/>
        <v>1</v>
      </c>
      <c r="CQ47" s="21">
        <f t="shared" si="73"/>
        <v>1</v>
      </c>
      <c r="CR47" s="21">
        <f t="shared" si="74"/>
        <v>0</v>
      </c>
      <c r="CS47" s="21"/>
      <c r="CT47" s="21"/>
      <c r="CU47" s="21"/>
      <c r="CV47" s="21"/>
      <c r="CW47" s="21"/>
      <c r="CY47" t="str">
        <f t="shared" ca="1" si="84"/>
        <v/>
      </c>
      <c r="CZ47" t="str">
        <f t="shared" ca="1" si="84"/>
        <v/>
      </c>
      <c r="DA47" t="str">
        <f t="shared" ca="1" si="84"/>
        <v/>
      </c>
      <c r="DB47" t="str">
        <f t="shared" ca="1" si="84"/>
        <v/>
      </c>
      <c r="DC47" t="str">
        <f t="shared" ca="1" si="84"/>
        <v/>
      </c>
      <c r="DD47" t="str">
        <f t="shared" ca="1" si="84"/>
        <v/>
      </c>
      <c r="DE47" t="str">
        <f t="shared" ca="1" si="84"/>
        <v/>
      </c>
      <c r="DF47" t="str">
        <f t="shared" ca="1" si="84"/>
        <v/>
      </c>
      <c r="DG47" t="str">
        <f t="shared" ca="1" si="84"/>
        <v/>
      </c>
      <c r="DH47" t="str">
        <f t="shared" ca="1" si="84"/>
        <v/>
      </c>
    </row>
    <row r="48" spans="1:112" ht="39" hidden="1" customHeight="1" x14ac:dyDescent="0.25">
      <c r="A48">
        <f t="shared" si="80"/>
        <v>18</v>
      </c>
      <c r="B48" s="407" t="str">
        <f t="shared" ca="1" si="82"/>
        <v/>
      </c>
      <c r="C48" s="409" t="str">
        <f ca="1">'ריכוז נתונים כללים'!D54</f>
        <v/>
      </c>
      <c r="D48" s="410"/>
      <c r="E48" s="410"/>
      <c r="F48" s="410"/>
      <c r="G48" s="410"/>
      <c r="H48" s="410"/>
      <c r="I48" s="410"/>
      <c r="J48" s="410"/>
      <c r="K48" s="410"/>
      <c r="L48" s="410"/>
      <c r="M48" s="410"/>
      <c r="N48" s="420"/>
      <c r="O48" s="420"/>
      <c r="P48" s="407" t="str">
        <f t="shared" ca="1" si="76"/>
        <v/>
      </c>
      <c r="Q48" s="410"/>
      <c r="R48" s="410"/>
      <c r="S48" s="410"/>
      <c r="T48" s="410"/>
      <c r="U48" s="410"/>
      <c r="V48" s="410"/>
      <c r="W48" s="410"/>
      <c r="X48" s="410"/>
      <c r="Y48" s="410"/>
      <c r="Z48" s="410"/>
      <c r="AA48" s="410"/>
      <c r="AB48" s="411"/>
      <c r="AC48" s="408"/>
      <c r="AD48" s="410"/>
      <c r="AE48" s="410"/>
      <c r="AF48" s="410"/>
      <c r="AG48" s="407"/>
      <c r="AH48" s="410"/>
      <c r="AI48" s="410"/>
      <c r="AJ48" s="410"/>
      <c r="AK48" s="410"/>
      <c r="AL48" s="410"/>
      <c r="AM48" s="407"/>
      <c r="AN48" s="408"/>
      <c r="AO48" s="410"/>
      <c r="AP48" s="410"/>
      <c r="AQ48" s="408"/>
      <c r="AR48" s="410"/>
      <c r="AS48" s="410"/>
      <c r="AT48" s="410"/>
      <c r="AU48" s="408"/>
      <c r="AV48" s="408"/>
      <c r="AW48" s="408"/>
      <c r="AX48" s="407" t="str" cm="1">
        <f t="array" aca="1" ref="AX48" ca="1">IF($C48="","",IF(AT48=1,1,IF(AZ48&lt;&gt;1,$DF$1,IF(SUMPRODUCT((D48:AT48&gt;=$D$6:$AT$6)*($D$6:$AT$6&lt;&gt;"")*($D$4:$AT$4=1))=COUNTIF($D$4:$AT$4,1),1,0))))</f>
        <v/>
      </c>
      <c r="AY48" s="417"/>
      <c r="AZ48">
        <f t="shared" si="77"/>
        <v>0</v>
      </c>
      <c r="BA48" t="str">
        <f t="shared" ca="1" si="85"/>
        <v/>
      </c>
      <c r="BB48" t="str">
        <f t="shared" ca="1" si="85"/>
        <v/>
      </c>
      <c r="BC48" s="21">
        <f t="shared" si="83"/>
        <v>0</v>
      </c>
      <c r="BD48" s="21">
        <f t="shared" si="34"/>
        <v>0</v>
      </c>
      <c r="BE48" s="21">
        <f t="shared" si="35"/>
        <v>0</v>
      </c>
      <c r="BF48" s="21">
        <f t="shared" si="36"/>
        <v>0</v>
      </c>
      <c r="BG48" s="21">
        <f t="shared" si="37"/>
        <v>0</v>
      </c>
      <c r="BH48" s="21">
        <f t="shared" si="38"/>
        <v>0</v>
      </c>
      <c r="BI48" s="21">
        <f t="shared" si="39"/>
        <v>0</v>
      </c>
      <c r="BJ48" s="21">
        <f t="shared" si="40"/>
        <v>0</v>
      </c>
      <c r="BK48" s="21">
        <f t="shared" si="41"/>
        <v>0</v>
      </c>
      <c r="BL48" s="21">
        <f t="shared" si="42"/>
        <v>0</v>
      </c>
      <c r="BM48" s="21">
        <f t="shared" si="43"/>
        <v>0</v>
      </c>
      <c r="BN48" s="21">
        <f t="shared" si="44"/>
        <v>0</v>
      </c>
      <c r="BO48" s="21">
        <f t="shared" si="45"/>
        <v>1</v>
      </c>
      <c r="BP48" s="21">
        <f t="shared" si="46"/>
        <v>0</v>
      </c>
      <c r="BQ48" s="21">
        <f t="shared" si="47"/>
        <v>0</v>
      </c>
      <c r="BR48" s="21">
        <f t="shared" si="48"/>
        <v>0</v>
      </c>
      <c r="BS48" s="21">
        <f t="shared" si="49"/>
        <v>0</v>
      </c>
      <c r="BT48" s="21">
        <f t="shared" si="50"/>
        <v>0</v>
      </c>
      <c r="BU48" s="21">
        <f t="shared" si="51"/>
        <v>0</v>
      </c>
      <c r="BV48" s="21">
        <f t="shared" si="52"/>
        <v>1</v>
      </c>
      <c r="BW48" s="21">
        <f t="shared" si="53"/>
        <v>1</v>
      </c>
      <c r="BX48" s="21">
        <f t="shared" si="54"/>
        <v>1</v>
      </c>
      <c r="BY48" s="21">
        <f t="shared" si="55"/>
        <v>1</v>
      </c>
      <c r="BZ48" s="21">
        <f t="shared" si="56"/>
        <v>1</v>
      </c>
      <c r="CA48" s="21">
        <f t="shared" si="57"/>
        <v>1</v>
      </c>
      <c r="CB48" s="21">
        <f t="shared" si="58"/>
        <v>1</v>
      </c>
      <c r="CC48" s="21">
        <f t="shared" si="59"/>
        <v>1</v>
      </c>
      <c r="CD48" s="21">
        <f t="shared" si="60"/>
        <v>1</v>
      </c>
      <c r="CE48" s="21">
        <f t="shared" si="61"/>
        <v>1</v>
      </c>
      <c r="CF48" s="21">
        <f t="shared" si="62"/>
        <v>1</v>
      </c>
      <c r="CG48" s="21">
        <f t="shared" si="63"/>
        <v>1</v>
      </c>
      <c r="CH48" s="21">
        <f t="shared" si="64"/>
        <v>1</v>
      </c>
      <c r="CI48" s="21">
        <f t="shared" si="65"/>
        <v>1</v>
      </c>
      <c r="CJ48" s="21">
        <f t="shared" si="66"/>
        <v>1</v>
      </c>
      <c r="CK48" s="21">
        <f t="shared" si="67"/>
        <v>1</v>
      </c>
      <c r="CL48" s="21">
        <f t="shared" si="68"/>
        <v>1</v>
      </c>
      <c r="CM48" s="21">
        <f t="shared" si="69"/>
        <v>1</v>
      </c>
      <c r="CN48" s="21">
        <f t="shared" si="70"/>
        <v>1</v>
      </c>
      <c r="CO48" s="21">
        <f t="shared" si="71"/>
        <v>1</v>
      </c>
      <c r="CP48" s="21">
        <f t="shared" si="72"/>
        <v>1</v>
      </c>
      <c r="CQ48" s="21">
        <f t="shared" si="73"/>
        <v>1</v>
      </c>
      <c r="CR48" s="21">
        <f t="shared" si="74"/>
        <v>0</v>
      </c>
      <c r="CS48" s="21"/>
      <c r="CT48" s="21"/>
      <c r="CU48" s="21"/>
      <c r="CV48" s="21"/>
      <c r="CW48" s="21"/>
      <c r="CY48" t="str">
        <f t="shared" ca="1" si="84"/>
        <v/>
      </c>
      <c r="CZ48" t="str">
        <f t="shared" ca="1" si="84"/>
        <v/>
      </c>
      <c r="DA48" t="str">
        <f t="shared" ca="1" si="84"/>
        <v/>
      </c>
      <c r="DB48" t="str">
        <f t="shared" ca="1" si="84"/>
        <v/>
      </c>
      <c r="DC48" t="str">
        <f t="shared" ca="1" si="84"/>
        <v/>
      </c>
      <c r="DD48" t="str">
        <f t="shared" ca="1" si="84"/>
        <v/>
      </c>
      <c r="DE48" t="str">
        <f t="shared" ca="1" si="84"/>
        <v/>
      </c>
      <c r="DF48" t="str">
        <f t="shared" ca="1" si="84"/>
        <v/>
      </c>
      <c r="DG48" t="str">
        <f t="shared" ca="1" si="84"/>
        <v/>
      </c>
      <c r="DH48" t="str">
        <f t="shared" ca="1" si="84"/>
        <v/>
      </c>
    </row>
    <row r="49" spans="1:112" ht="39" hidden="1" customHeight="1" x14ac:dyDescent="0.25">
      <c r="A49">
        <f t="shared" si="80"/>
        <v>19</v>
      </c>
      <c r="B49" s="407" t="str">
        <f t="shared" ca="1" si="82"/>
        <v/>
      </c>
      <c r="C49" s="409" t="str">
        <f ca="1">'ריכוז נתונים כללים'!D55</f>
        <v/>
      </c>
      <c r="D49" s="410"/>
      <c r="E49" s="410"/>
      <c r="F49" s="410"/>
      <c r="G49" s="410"/>
      <c r="H49" s="410"/>
      <c r="I49" s="410"/>
      <c r="J49" s="410"/>
      <c r="K49" s="410"/>
      <c r="L49" s="410"/>
      <c r="M49" s="410"/>
      <c r="N49" s="420"/>
      <c r="O49" s="420"/>
      <c r="P49" s="407" t="str">
        <f t="shared" ca="1" si="76"/>
        <v/>
      </c>
      <c r="Q49" s="410"/>
      <c r="R49" s="410"/>
      <c r="S49" s="410"/>
      <c r="T49" s="410"/>
      <c r="U49" s="410"/>
      <c r="V49" s="410"/>
      <c r="W49" s="410"/>
      <c r="X49" s="410"/>
      <c r="Y49" s="410"/>
      <c r="Z49" s="410"/>
      <c r="AA49" s="410"/>
      <c r="AB49" s="411"/>
      <c r="AC49" s="408"/>
      <c r="AD49" s="410"/>
      <c r="AE49" s="410"/>
      <c r="AF49" s="410"/>
      <c r="AG49" s="407"/>
      <c r="AH49" s="410"/>
      <c r="AI49" s="410"/>
      <c r="AJ49" s="410"/>
      <c r="AK49" s="410"/>
      <c r="AL49" s="410"/>
      <c r="AM49" s="407"/>
      <c r="AN49" s="408"/>
      <c r="AO49" s="410"/>
      <c r="AP49" s="410"/>
      <c r="AQ49" s="408"/>
      <c r="AR49" s="410"/>
      <c r="AS49" s="410"/>
      <c r="AT49" s="410"/>
      <c r="AU49" s="408"/>
      <c r="AV49" s="408"/>
      <c r="AW49" s="408"/>
      <c r="AX49" s="407" t="str" cm="1">
        <f t="array" aca="1" ref="AX49" ca="1">IF($C49="","",IF(AT49=1,1,IF(AZ49&lt;&gt;1,$DF$1,IF(SUMPRODUCT((D49:AT49&gt;=$D$6:$AT$6)*($D$6:$AT$6&lt;&gt;"")*($D$4:$AT$4=1))=COUNTIF($D$4:$AT$4,1),1,0))))</f>
        <v/>
      </c>
      <c r="AY49" s="416"/>
      <c r="AZ49">
        <f t="shared" si="77"/>
        <v>0</v>
      </c>
      <c r="BA49" t="str">
        <f t="shared" ca="1" si="85"/>
        <v/>
      </c>
      <c r="BB49" t="str">
        <f t="shared" ca="1" si="85"/>
        <v/>
      </c>
      <c r="BC49" s="21">
        <f t="shared" si="83"/>
        <v>0</v>
      </c>
      <c r="BD49" s="21">
        <f t="shared" si="34"/>
        <v>0</v>
      </c>
      <c r="BE49" s="21">
        <f t="shared" si="35"/>
        <v>0</v>
      </c>
      <c r="BF49" s="21">
        <f t="shared" si="36"/>
        <v>0</v>
      </c>
      <c r="BG49" s="21">
        <f t="shared" si="37"/>
        <v>0</v>
      </c>
      <c r="BH49" s="21">
        <f t="shared" si="38"/>
        <v>0</v>
      </c>
      <c r="BI49" s="21">
        <f t="shared" si="39"/>
        <v>0</v>
      </c>
      <c r="BJ49" s="21">
        <f t="shared" si="40"/>
        <v>0</v>
      </c>
      <c r="BK49" s="21">
        <f t="shared" si="41"/>
        <v>0</v>
      </c>
      <c r="BL49" s="21">
        <f t="shared" si="42"/>
        <v>0</v>
      </c>
      <c r="BM49" s="21">
        <f t="shared" si="43"/>
        <v>0</v>
      </c>
      <c r="BN49" s="21">
        <f t="shared" si="44"/>
        <v>0</v>
      </c>
      <c r="BO49" s="21">
        <f t="shared" si="45"/>
        <v>1</v>
      </c>
      <c r="BP49" s="21">
        <f t="shared" si="46"/>
        <v>0</v>
      </c>
      <c r="BQ49" s="21">
        <f t="shared" si="47"/>
        <v>0</v>
      </c>
      <c r="BR49" s="21">
        <f t="shared" si="48"/>
        <v>0</v>
      </c>
      <c r="BS49" s="21">
        <f t="shared" si="49"/>
        <v>0</v>
      </c>
      <c r="BT49" s="21">
        <f t="shared" si="50"/>
        <v>0</v>
      </c>
      <c r="BU49" s="21">
        <f t="shared" si="51"/>
        <v>0</v>
      </c>
      <c r="BV49" s="21">
        <f t="shared" si="52"/>
        <v>1</v>
      </c>
      <c r="BW49" s="21">
        <f t="shared" si="53"/>
        <v>1</v>
      </c>
      <c r="BX49" s="21">
        <f t="shared" si="54"/>
        <v>1</v>
      </c>
      <c r="BY49" s="21">
        <f t="shared" si="55"/>
        <v>1</v>
      </c>
      <c r="BZ49" s="21">
        <f t="shared" si="56"/>
        <v>1</v>
      </c>
      <c r="CA49" s="21">
        <f t="shared" si="57"/>
        <v>1</v>
      </c>
      <c r="CB49" s="21">
        <f t="shared" si="58"/>
        <v>1</v>
      </c>
      <c r="CC49" s="21">
        <f t="shared" si="59"/>
        <v>1</v>
      </c>
      <c r="CD49" s="21">
        <f t="shared" si="60"/>
        <v>1</v>
      </c>
      <c r="CE49" s="21">
        <f t="shared" si="61"/>
        <v>1</v>
      </c>
      <c r="CF49" s="21">
        <f t="shared" si="62"/>
        <v>1</v>
      </c>
      <c r="CG49" s="21">
        <f t="shared" si="63"/>
        <v>1</v>
      </c>
      <c r="CH49" s="21">
        <f t="shared" si="64"/>
        <v>1</v>
      </c>
      <c r="CI49" s="21">
        <f t="shared" si="65"/>
        <v>1</v>
      </c>
      <c r="CJ49" s="21">
        <f t="shared" si="66"/>
        <v>1</v>
      </c>
      <c r="CK49" s="21">
        <f t="shared" si="67"/>
        <v>1</v>
      </c>
      <c r="CL49" s="21">
        <f t="shared" si="68"/>
        <v>1</v>
      </c>
      <c r="CM49" s="21">
        <f t="shared" si="69"/>
        <v>1</v>
      </c>
      <c r="CN49" s="21">
        <f t="shared" si="70"/>
        <v>1</v>
      </c>
      <c r="CO49" s="21">
        <f t="shared" si="71"/>
        <v>1</v>
      </c>
      <c r="CP49" s="21">
        <f t="shared" si="72"/>
        <v>1</v>
      </c>
      <c r="CQ49" s="21">
        <f t="shared" si="73"/>
        <v>1</v>
      </c>
      <c r="CR49" s="21">
        <f t="shared" si="74"/>
        <v>0</v>
      </c>
      <c r="CS49" s="21"/>
      <c r="CT49" s="21"/>
      <c r="CU49" s="21"/>
      <c r="CV49" s="21"/>
      <c r="CW49" s="21"/>
      <c r="CY49" t="str">
        <f t="shared" ca="1" si="84"/>
        <v/>
      </c>
      <c r="CZ49" t="str">
        <f t="shared" ca="1" si="84"/>
        <v/>
      </c>
      <c r="DA49" t="str">
        <f t="shared" ca="1" si="84"/>
        <v/>
      </c>
      <c r="DB49" t="str">
        <f t="shared" ca="1" si="84"/>
        <v/>
      </c>
      <c r="DC49" t="str">
        <f t="shared" ca="1" si="84"/>
        <v/>
      </c>
      <c r="DD49" t="str">
        <f t="shared" ca="1" si="84"/>
        <v/>
      </c>
      <c r="DE49" t="str">
        <f t="shared" ca="1" si="84"/>
        <v/>
      </c>
      <c r="DF49" t="str">
        <f t="shared" ca="1" si="84"/>
        <v/>
      </c>
      <c r="DG49" t="str">
        <f t="shared" ca="1" si="84"/>
        <v/>
      </c>
      <c r="DH49" t="str">
        <f t="shared" ca="1" si="84"/>
        <v/>
      </c>
    </row>
    <row r="50" spans="1:112" ht="39" hidden="1" customHeight="1" x14ac:dyDescent="0.25">
      <c r="A50">
        <f t="shared" si="80"/>
        <v>20</v>
      </c>
      <c r="B50" s="407" t="str">
        <f t="shared" ca="1" si="82"/>
        <v/>
      </c>
      <c r="C50" s="409" t="str">
        <f ca="1">'ריכוז נתונים כללים'!D56</f>
        <v/>
      </c>
      <c r="D50" s="410"/>
      <c r="E50" s="410"/>
      <c r="F50" s="410"/>
      <c r="G50" s="410"/>
      <c r="H50" s="410"/>
      <c r="I50" s="410"/>
      <c r="J50" s="410"/>
      <c r="K50" s="410"/>
      <c r="L50" s="410"/>
      <c r="M50" s="410"/>
      <c r="N50" s="420"/>
      <c r="O50" s="420"/>
      <c r="P50" s="407" t="str">
        <f t="shared" ca="1" si="76"/>
        <v/>
      </c>
      <c r="Q50" s="410"/>
      <c r="R50" s="410"/>
      <c r="S50" s="410"/>
      <c r="T50" s="410"/>
      <c r="U50" s="410"/>
      <c r="V50" s="410"/>
      <c r="W50" s="410"/>
      <c r="X50" s="410"/>
      <c r="Y50" s="410"/>
      <c r="Z50" s="410"/>
      <c r="AA50" s="410"/>
      <c r="AB50" s="411"/>
      <c r="AC50" s="408"/>
      <c r="AD50" s="410"/>
      <c r="AE50" s="410"/>
      <c r="AF50" s="410"/>
      <c r="AG50" s="407"/>
      <c r="AH50" s="410"/>
      <c r="AI50" s="410"/>
      <c r="AJ50" s="410"/>
      <c r="AK50" s="410"/>
      <c r="AL50" s="410"/>
      <c r="AM50" s="407"/>
      <c r="AN50" s="408"/>
      <c r="AO50" s="410"/>
      <c r="AP50" s="410"/>
      <c r="AQ50" s="408"/>
      <c r="AR50" s="410"/>
      <c r="AS50" s="410"/>
      <c r="AT50" s="410"/>
      <c r="AU50" s="408"/>
      <c r="AV50" s="408"/>
      <c r="AW50" s="408"/>
      <c r="AX50" s="407" t="str" cm="1">
        <f t="array" aca="1" ref="AX50" ca="1">IF($C50="","",IF(AT50=1,1,IF(AZ50&lt;&gt;1,$DF$1,IF(SUMPRODUCT((D50:AT50&gt;=$D$6:$AT$6)*($D$6:$AT$6&lt;&gt;"")*($D$4:$AT$4=1))=COUNTIF($D$4:$AT$4,1),1,0))))</f>
        <v/>
      </c>
      <c r="AY50" s="417"/>
      <c r="AZ50">
        <f t="shared" si="77"/>
        <v>0</v>
      </c>
      <c r="BA50" t="str">
        <f t="shared" ca="1" si="85"/>
        <v/>
      </c>
      <c r="BB50" t="str">
        <f t="shared" ca="1" si="85"/>
        <v/>
      </c>
      <c r="BC50" s="21">
        <f t="shared" si="83"/>
        <v>0</v>
      </c>
      <c r="BD50" s="21">
        <f t="shared" si="34"/>
        <v>0</v>
      </c>
      <c r="BE50" s="21">
        <f t="shared" si="35"/>
        <v>0</v>
      </c>
      <c r="BF50" s="21">
        <f t="shared" si="36"/>
        <v>0</v>
      </c>
      <c r="BG50" s="21">
        <f t="shared" si="37"/>
        <v>0</v>
      </c>
      <c r="BH50" s="21">
        <f t="shared" si="38"/>
        <v>0</v>
      </c>
      <c r="BI50" s="21">
        <f t="shared" si="39"/>
        <v>0</v>
      </c>
      <c r="BJ50" s="21">
        <f t="shared" si="40"/>
        <v>0</v>
      </c>
      <c r="BK50" s="21">
        <f t="shared" si="41"/>
        <v>0</v>
      </c>
      <c r="BL50" s="21">
        <f t="shared" si="42"/>
        <v>0</v>
      </c>
      <c r="BM50" s="21">
        <f t="shared" si="43"/>
        <v>0</v>
      </c>
      <c r="BN50" s="21">
        <f t="shared" si="44"/>
        <v>0</v>
      </c>
      <c r="BO50" s="21">
        <f t="shared" si="45"/>
        <v>1</v>
      </c>
      <c r="BP50" s="21">
        <f t="shared" si="46"/>
        <v>0</v>
      </c>
      <c r="BQ50" s="21">
        <f t="shared" si="47"/>
        <v>0</v>
      </c>
      <c r="BR50" s="21">
        <f t="shared" si="48"/>
        <v>0</v>
      </c>
      <c r="BS50" s="21">
        <f t="shared" si="49"/>
        <v>0</v>
      </c>
      <c r="BT50" s="21">
        <f t="shared" si="50"/>
        <v>0</v>
      </c>
      <c r="BU50" s="21">
        <f t="shared" si="51"/>
        <v>0</v>
      </c>
      <c r="BV50" s="21">
        <f t="shared" si="52"/>
        <v>1</v>
      </c>
      <c r="BW50" s="21">
        <f t="shared" si="53"/>
        <v>1</v>
      </c>
      <c r="BX50" s="21">
        <f t="shared" si="54"/>
        <v>1</v>
      </c>
      <c r="BY50" s="21">
        <f t="shared" si="55"/>
        <v>1</v>
      </c>
      <c r="BZ50" s="21">
        <f t="shared" si="56"/>
        <v>1</v>
      </c>
      <c r="CA50" s="21">
        <f t="shared" si="57"/>
        <v>1</v>
      </c>
      <c r="CB50" s="21">
        <f t="shared" si="58"/>
        <v>1</v>
      </c>
      <c r="CC50" s="21">
        <f t="shared" si="59"/>
        <v>1</v>
      </c>
      <c r="CD50" s="21">
        <f t="shared" si="60"/>
        <v>1</v>
      </c>
      <c r="CE50" s="21">
        <f t="shared" si="61"/>
        <v>1</v>
      </c>
      <c r="CF50" s="21">
        <f t="shared" si="62"/>
        <v>1</v>
      </c>
      <c r="CG50" s="21">
        <f t="shared" si="63"/>
        <v>1</v>
      </c>
      <c r="CH50" s="21">
        <f t="shared" si="64"/>
        <v>1</v>
      </c>
      <c r="CI50" s="21">
        <f t="shared" si="65"/>
        <v>1</v>
      </c>
      <c r="CJ50" s="21">
        <f t="shared" si="66"/>
        <v>1</v>
      </c>
      <c r="CK50" s="21">
        <f t="shared" si="67"/>
        <v>1</v>
      </c>
      <c r="CL50" s="21">
        <f t="shared" si="68"/>
        <v>1</v>
      </c>
      <c r="CM50" s="21">
        <f t="shared" si="69"/>
        <v>1</v>
      </c>
      <c r="CN50" s="21">
        <f t="shared" si="70"/>
        <v>1</v>
      </c>
      <c r="CO50" s="21">
        <f t="shared" si="71"/>
        <v>1</v>
      </c>
      <c r="CP50" s="21">
        <f t="shared" si="72"/>
        <v>1</v>
      </c>
      <c r="CQ50" s="21">
        <f t="shared" si="73"/>
        <v>1</v>
      </c>
      <c r="CR50" s="21">
        <f t="shared" si="74"/>
        <v>0</v>
      </c>
      <c r="CS50" s="21"/>
      <c r="CT50" s="21"/>
      <c r="CU50" s="21"/>
      <c r="CV50" s="21"/>
      <c r="CW50" s="21"/>
      <c r="CY50" t="str">
        <f t="shared" ca="1" si="84"/>
        <v/>
      </c>
      <c r="CZ50" t="str">
        <f t="shared" ca="1" si="84"/>
        <v/>
      </c>
      <c r="DA50" t="str">
        <f t="shared" ca="1" si="84"/>
        <v/>
      </c>
      <c r="DB50" t="str">
        <f t="shared" ca="1" si="84"/>
        <v/>
      </c>
      <c r="DC50" t="str">
        <f t="shared" ca="1" si="84"/>
        <v/>
      </c>
      <c r="DD50" t="str">
        <f t="shared" ca="1" si="84"/>
        <v/>
      </c>
      <c r="DE50" t="str">
        <f t="shared" ca="1" si="84"/>
        <v/>
      </c>
      <c r="DF50" t="str">
        <f t="shared" ca="1" si="84"/>
        <v/>
      </c>
      <c r="DG50" t="str">
        <f t="shared" ca="1" si="84"/>
        <v/>
      </c>
      <c r="DH50" t="str">
        <f t="shared" ca="1" si="84"/>
        <v/>
      </c>
    </row>
    <row r="51" spans="1:112" ht="39" hidden="1" customHeight="1" x14ac:dyDescent="0.25">
      <c r="A51">
        <f t="shared" si="80"/>
        <v>21</v>
      </c>
      <c r="B51" s="407" t="str">
        <f t="shared" ca="1" si="82"/>
        <v/>
      </c>
      <c r="C51" s="409" t="str">
        <f ca="1">'ריכוז נתונים כללים'!D57</f>
        <v/>
      </c>
      <c r="D51" s="410"/>
      <c r="E51" s="410"/>
      <c r="F51" s="410"/>
      <c r="G51" s="410"/>
      <c r="H51" s="410"/>
      <c r="I51" s="410"/>
      <c r="J51" s="410"/>
      <c r="K51" s="410"/>
      <c r="L51" s="410"/>
      <c r="M51" s="410"/>
      <c r="N51" s="420"/>
      <c r="O51" s="420"/>
      <c r="P51" s="407" t="str">
        <f t="shared" ca="1" si="76"/>
        <v/>
      </c>
      <c r="Q51" s="410"/>
      <c r="R51" s="410"/>
      <c r="S51" s="410"/>
      <c r="T51" s="410"/>
      <c r="U51" s="410"/>
      <c r="V51" s="410"/>
      <c r="W51" s="410"/>
      <c r="X51" s="410"/>
      <c r="Y51" s="410"/>
      <c r="Z51" s="410"/>
      <c r="AA51" s="410"/>
      <c r="AB51" s="411"/>
      <c r="AC51" s="408"/>
      <c r="AD51" s="410"/>
      <c r="AE51" s="410"/>
      <c r="AF51" s="410"/>
      <c r="AG51" s="407"/>
      <c r="AH51" s="410"/>
      <c r="AI51" s="410"/>
      <c r="AJ51" s="410"/>
      <c r="AK51" s="410"/>
      <c r="AL51" s="410"/>
      <c r="AM51" s="407"/>
      <c r="AN51" s="408"/>
      <c r="AO51" s="410"/>
      <c r="AP51" s="410"/>
      <c r="AQ51" s="408"/>
      <c r="AR51" s="410"/>
      <c r="AS51" s="410"/>
      <c r="AT51" s="410"/>
      <c r="AU51" s="408"/>
      <c r="AV51" s="408"/>
      <c r="AW51" s="408"/>
      <c r="AX51" s="407" t="str" cm="1">
        <f t="array" aca="1" ref="AX51" ca="1">IF($C51="","",IF(AT51=1,1,IF(AZ51&lt;&gt;1,$DF$1,IF(SUMPRODUCT((D51:AT51&gt;=$D$6:$AT$6)*($D$6:$AT$6&lt;&gt;"")*($D$4:$AT$4=1))=COUNTIF($D$4:$AT$4,1),1,0))))</f>
        <v/>
      </c>
      <c r="AY51" s="416"/>
      <c r="AZ51">
        <f t="shared" si="77"/>
        <v>0</v>
      </c>
      <c r="BA51" t="str">
        <f t="shared" ca="1" si="85"/>
        <v/>
      </c>
      <c r="BB51" t="str">
        <f t="shared" ca="1" si="85"/>
        <v/>
      </c>
      <c r="BC51" s="21">
        <f t="shared" si="83"/>
        <v>0</v>
      </c>
      <c r="BD51" s="21">
        <f t="shared" si="34"/>
        <v>0</v>
      </c>
      <c r="BE51" s="21">
        <f t="shared" si="35"/>
        <v>0</v>
      </c>
      <c r="BF51" s="21">
        <f t="shared" si="36"/>
        <v>0</v>
      </c>
      <c r="BG51" s="21">
        <f t="shared" si="37"/>
        <v>0</v>
      </c>
      <c r="BH51" s="21">
        <f t="shared" si="38"/>
        <v>0</v>
      </c>
      <c r="BI51" s="21">
        <f t="shared" si="39"/>
        <v>0</v>
      </c>
      <c r="BJ51" s="21">
        <f t="shared" si="40"/>
        <v>0</v>
      </c>
      <c r="BK51" s="21">
        <f t="shared" si="41"/>
        <v>0</v>
      </c>
      <c r="BL51" s="21">
        <f t="shared" si="42"/>
        <v>0</v>
      </c>
      <c r="BM51" s="21">
        <f t="shared" si="43"/>
        <v>0</v>
      </c>
      <c r="BN51" s="21">
        <f t="shared" si="44"/>
        <v>0</v>
      </c>
      <c r="BO51" s="21">
        <f t="shared" si="45"/>
        <v>1</v>
      </c>
      <c r="BP51" s="21">
        <f t="shared" si="46"/>
        <v>0</v>
      </c>
      <c r="BQ51" s="21">
        <f t="shared" si="47"/>
        <v>0</v>
      </c>
      <c r="BR51" s="21">
        <f t="shared" si="48"/>
        <v>0</v>
      </c>
      <c r="BS51" s="21">
        <f t="shared" si="49"/>
        <v>0</v>
      </c>
      <c r="BT51" s="21">
        <f t="shared" si="50"/>
        <v>0</v>
      </c>
      <c r="BU51" s="21">
        <f t="shared" si="51"/>
        <v>0</v>
      </c>
      <c r="BV51" s="21">
        <f t="shared" si="52"/>
        <v>1</v>
      </c>
      <c r="BW51" s="21">
        <f t="shared" si="53"/>
        <v>1</v>
      </c>
      <c r="BX51" s="21">
        <f t="shared" si="54"/>
        <v>1</v>
      </c>
      <c r="BY51" s="21">
        <f t="shared" si="55"/>
        <v>1</v>
      </c>
      <c r="BZ51" s="21">
        <f t="shared" si="56"/>
        <v>1</v>
      </c>
      <c r="CA51" s="21">
        <f t="shared" si="57"/>
        <v>1</v>
      </c>
      <c r="CB51" s="21">
        <f t="shared" si="58"/>
        <v>1</v>
      </c>
      <c r="CC51" s="21">
        <f t="shared" si="59"/>
        <v>1</v>
      </c>
      <c r="CD51" s="21">
        <f t="shared" si="60"/>
        <v>1</v>
      </c>
      <c r="CE51" s="21">
        <f t="shared" si="61"/>
        <v>1</v>
      </c>
      <c r="CF51" s="21">
        <f t="shared" si="62"/>
        <v>1</v>
      </c>
      <c r="CG51" s="21">
        <f t="shared" si="63"/>
        <v>1</v>
      </c>
      <c r="CH51" s="21">
        <f t="shared" si="64"/>
        <v>1</v>
      </c>
      <c r="CI51" s="21">
        <f t="shared" si="65"/>
        <v>1</v>
      </c>
      <c r="CJ51" s="21">
        <f t="shared" si="66"/>
        <v>1</v>
      </c>
      <c r="CK51" s="21">
        <f t="shared" si="67"/>
        <v>1</v>
      </c>
      <c r="CL51" s="21">
        <f t="shared" si="68"/>
        <v>1</v>
      </c>
      <c r="CM51" s="21">
        <f t="shared" si="69"/>
        <v>1</v>
      </c>
      <c r="CN51" s="21">
        <f t="shared" si="70"/>
        <v>1</v>
      </c>
      <c r="CO51" s="21">
        <f t="shared" si="71"/>
        <v>1</v>
      </c>
      <c r="CP51" s="21">
        <f t="shared" si="72"/>
        <v>1</v>
      </c>
      <c r="CQ51" s="21">
        <f t="shared" si="73"/>
        <v>1</v>
      </c>
      <c r="CR51" s="21">
        <f t="shared" si="74"/>
        <v>0</v>
      </c>
      <c r="CS51" s="21"/>
      <c r="CT51" s="21"/>
      <c r="CU51" s="21"/>
      <c r="CV51" s="21"/>
      <c r="CW51" s="21"/>
      <c r="CY51" t="str">
        <f t="shared" ca="1" si="84"/>
        <v/>
      </c>
      <c r="CZ51" t="str">
        <f t="shared" ca="1" si="84"/>
        <v/>
      </c>
      <c r="DA51" t="str">
        <f t="shared" ca="1" si="84"/>
        <v/>
      </c>
      <c r="DB51" t="str">
        <f t="shared" ca="1" si="84"/>
        <v/>
      </c>
      <c r="DC51" t="str">
        <f t="shared" ca="1" si="84"/>
        <v/>
      </c>
      <c r="DD51" t="str">
        <f t="shared" ca="1" si="84"/>
        <v/>
      </c>
      <c r="DE51" t="str">
        <f t="shared" ca="1" si="84"/>
        <v/>
      </c>
      <c r="DF51" t="str">
        <f t="shared" ca="1" si="84"/>
        <v/>
      </c>
      <c r="DG51" t="str">
        <f t="shared" ca="1" si="84"/>
        <v/>
      </c>
      <c r="DH51" t="str">
        <f t="shared" ca="1" si="84"/>
        <v/>
      </c>
    </row>
    <row r="52" spans="1:112" ht="39" hidden="1" customHeight="1" x14ac:dyDescent="0.25">
      <c r="A52">
        <f t="shared" si="80"/>
        <v>22</v>
      </c>
      <c r="B52" s="407" t="str">
        <f t="shared" ca="1" si="82"/>
        <v/>
      </c>
      <c r="C52" s="409" t="str">
        <f ca="1">'ריכוז נתונים כללים'!D58</f>
        <v/>
      </c>
      <c r="D52" s="410"/>
      <c r="E52" s="410"/>
      <c r="F52" s="410"/>
      <c r="G52" s="410"/>
      <c r="H52" s="410"/>
      <c r="I52" s="410"/>
      <c r="J52" s="410"/>
      <c r="K52" s="410"/>
      <c r="L52" s="410"/>
      <c r="M52" s="410"/>
      <c r="N52" s="420"/>
      <c r="O52" s="420"/>
      <c r="P52" s="407" t="str">
        <f t="shared" ca="1" si="76"/>
        <v/>
      </c>
      <c r="Q52" s="410"/>
      <c r="R52" s="410"/>
      <c r="S52" s="410"/>
      <c r="T52" s="410"/>
      <c r="U52" s="410"/>
      <c r="V52" s="410"/>
      <c r="W52" s="410"/>
      <c r="X52" s="410"/>
      <c r="Y52" s="410"/>
      <c r="Z52" s="410"/>
      <c r="AA52" s="410"/>
      <c r="AB52" s="411"/>
      <c r="AC52" s="408"/>
      <c r="AD52" s="410"/>
      <c r="AE52" s="410"/>
      <c r="AF52" s="410"/>
      <c r="AG52" s="407"/>
      <c r="AH52" s="410"/>
      <c r="AI52" s="410"/>
      <c r="AJ52" s="410"/>
      <c r="AK52" s="410"/>
      <c r="AL52" s="410"/>
      <c r="AM52" s="407"/>
      <c r="AN52" s="408"/>
      <c r="AO52" s="410"/>
      <c r="AP52" s="410"/>
      <c r="AQ52" s="408"/>
      <c r="AR52" s="410"/>
      <c r="AS52" s="410"/>
      <c r="AT52" s="410"/>
      <c r="AU52" s="408"/>
      <c r="AV52" s="408"/>
      <c r="AW52" s="408"/>
      <c r="AX52" s="407" t="str" cm="1">
        <f t="array" aca="1" ref="AX52" ca="1">IF($C52="","",IF(AT52=1,1,IF(AZ52&lt;&gt;1,$DF$1,IF(SUMPRODUCT((D52:AT52&gt;=$D$6:$AT$6)*($D$6:$AT$6&lt;&gt;"")*($D$4:$AT$4=1))=COUNTIF($D$4:$AT$4,1),1,0))))</f>
        <v/>
      </c>
      <c r="AY52" s="416"/>
      <c r="AZ52">
        <f t="shared" si="77"/>
        <v>0</v>
      </c>
      <c r="BA52" t="str">
        <f t="shared" ca="1" si="85"/>
        <v/>
      </c>
      <c r="BB52" t="str">
        <f t="shared" ca="1" si="85"/>
        <v/>
      </c>
      <c r="BC52" s="21">
        <f t="shared" si="83"/>
        <v>0</v>
      </c>
      <c r="BD52" s="21">
        <f t="shared" si="34"/>
        <v>0</v>
      </c>
      <c r="BE52" s="21">
        <f t="shared" si="35"/>
        <v>0</v>
      </c>
      <c r="BF52" s="21">
        <f t="shared" si="36"/>
        <v>0</v>
      </c>
      <c r="BG52" s="21">
        <f t="shared" si="37"/>
        <v>0</v>
      </c>
      <c r="BH52" s="21">
        <f t="shared" si="38"/>
        <v>0</v>
      </c>
      <c r="BI52" s="21">
        <f t="shared" si="39"/>
        <v>0</v>
      </c>
      <c r="BJ52" s="21">
        <f t="shared" si="40"/>
        <v>0</v>
      </c>
      <c r="BK52" s="21">
        <f t="shared" si="41"/>
        <v>0</v>
      </c>
      <c r="BL52" s="21">
        <f t="shared" si="42"/>
        <v>0</v>
      </c>
      <c r="BM52" s="21">
        <f t="shared" si="43"/>
        <v>0</v>
      </c>
      <c r="BN52" s="21">
        <f t="shared" si="44"/>
        <v>0</v>
      </c>
      <c r="BO52" s="21">
        <f t="shared" si="45"/>
        <v>1</v>
      </c>
      <c r="BP52" s="21">
        <f t="shared" si="46"/>
        <v>0</v>
      </c>
      <c r="BQ52" s="21">
        <f t="shared" si="47"/>
        <v>0</v>
      </c>
      <c r="BR52" s="21">
        <f t="shared" si="48"/>
        <v>0</v>
      </c>
      <c r="BS52" s="21">
        <f t="shared" si="49"/>
        <v>0</v>
      </c>
      <c r="BT52" s="21">
        <f t="shared" si="50"/>
        <v>0</v>
      </c>
      <c r="BU52" s="21">
        <f t="shared" si="51"/>
        <v>0</v>
      </c>
      <c r="BV52" s="21">
        <f t="shared" si="52"/>
        <v>1</v>
      </c>
      <c r="BW52" s="21">
        <f t="shared" si="53"/>
        <v>1</v>
      </c>
      <c r="BX52" s="21">
        <f t="shared" si="54"/>
        <v>1</v>
      </c>
      <c r="BY52" s="21">
        <f t="shared" si="55"/>
        <v>1</v>
      </c>
      <c r="BZ52" s="21">
        <f t="shared" si="56"/>
        <v>1</v>
      </c>
      <c r="CA52" s="21">
        <f t="shared" si="57"/>
        <v>1</v>
      </c>
      <c r="CB52" s="21">
        <f t="shared" si="58"/>
        <v>1</v>
      </c>
      <c r="CC52" s="21">
        <f t="shared" si="59"/>
        <v>1</v>
      </c>
      <c r="CD52" s="21">
        <f t="shared" si="60"/>
        <v>1</v>
      </c>
      <c r="CE52" s="21">
        <f t="shared" si="61"/>
        <v>1</v>
      </c>
      <c r="CF52" s="21">
        <f t="shared" si="62"/>
        <v>1</v>
      </c>
      <c r="CG52" s="21">
        <f t="shared" si="63"/>
        <v>1</v>
      </c>
      <c r="CH52" s="21">
        <f t="shared" si="64"/>
        <v>1</v>
      </c>
      <c r="CI52" s="21">
        <f t="shared" si="65"/>
        <v>1</v>
      </c>
      <c r="CJ52" s="21">
        <f t="shared" si="66"/>
        <v>1</v>
      </c>
      <c r="CK52" s="21">
        <f t="shared" si="67"/>
        <v>1</v>
      </c>
      <c r="CL52" s="21">
        <f t="shared" si="68"/>
        <v>1</v>
      </c>
      <c r="CM52" s="21">
        <f t="shared" si="69"/>
        <v>1</v>
      </c>
      <c r="CN52" s="21">
        <f t="shared" si="70"/>
        <v>1</v>
      </c>
      <c r="CO52" s="21">
        <f t="shared" si="71"/>
        <v>1</v>
      </c>
      <c r="CP52" s="21">
        <f t="shared" si="72"/>
        <v>1</v>
      </c>
      <c r="CQ52" s="21">
        <f t="shared" si="73"/>
        <v>1</v>
      </c>
      <c r="CR52" s="21">
        <f t="shared" si="74"/>
        <v>0</v>
      </c>
      <c r="CS52" s="21"/>
      <c r="CT52" s="21"/>
      <c r="CU52" s="21"/>
      <c r="CV52" s="21"/>
      <c r="CW52" s="21"/>
      <c r="CY52" t="str">
        <f t="shared" ca="1" si="84"/>
        <v/>
      </c>
      <c r="CZ52" t="str">
        <f t="shared" ca="1" si="84"/>
        <v/>
      </c>
      <c r="DA52" t="str">
        <f t="shared" ca="1" si="84"/>
        <v/>
      </c>
      <c r="DB52" t="str">
        <f t="shared" ca="1" si="84"/>
        <v/>
      </c>
      <c r="DC52" t="str">
        <f t="shared" ca="1" si="84"/>
        <v/>
      </c>
      <c r="DD52" t="str">
        <f t="shared" ca="1" si="84"/>
        <v/>
      </c>
      <c r="DE52" t="str">
        <f t="shared" ca="1" si="84"/>
        <v/>
      </c>
      <c r="DF52" t="str">
        <f t="shared" ca="1" si="84"/>
        <v/>
      </c>
      <c r="DG52" t="str">
        <f t="shared" ca="1" si="84"/>
        <v/>
      </c>
      <c r="DH52" t="str">
        <f t="shared" ca="1" si="84"/>
        <v/>
      </c>
    </row>
    <row r="53" spans="1:112" ht="39" hidden="1" customHeight="1" x14ac:dyDescent="0.25">
      <c r="A53">
        <f t="shared" si="80"/>
        <v>23</v>
      </c>
      <c r="B53" s="407" t="str">
        <f t="shared" ca="1" si="82"/>
        <v/>
      </c>
      <c r="C53" s="409" t="str">
        <f ca="1">'ריכוז נתונים כללים'!D59</f>
        <v/>
      </c>
      <c r="D53" s="410"/>
      <c r="E53" s="410"/>
      <c r="F53" s="410"/>
      <c r="G53" s="410"/>
      <c r="H53" s="410"/>
      <c r="I53" s="410"/>
      <c r="J53" s="410"/>
      <c r="K53" s="410"/>
      <c r="L53" s="410"/>
      <c r="M53" s="410"/>
      <c r="N53" s="420"/>
      <c r="O53" s="420"/>
      <c r="P53" s="407" t="str">
        <f t="shared" ca="1" si="76"/>
        <v/>
      </c>
      <c r="Q53" s="410"/>
      <c r="R53" s="410"/>
      <c r="S53" s="410"/>
      <c r="T53" s="410"/>
      <c r="U53" s="410"/>
      <c r="V53" s="410"/>
      <c r="W53" s="410"/>
      <c r="X53" s="410"/>
      <c r="Y53" s="410"/>
      <c r="Z53" s="410"/>
      <c r="AA53" s="410"/>
      <c r="AB53" s="411"/>
      <c r="AC53" s="408"/>
      <c r="AD53" s="410"/>
      <c r="AE53" s="410"/>
      <c r="AF53" s="410"/>
      <c r="AG53" s="407"/>
      <c r="AH53" s="410"/>
      <c r="AI53" s="410"/>
      <c r="AJ53" s="410"/>
      <c r="AK53" s="410"/>
      <c r="AL53" s="410"/>
      <c r="AM53" s="407"/>
      <c r="AN53" s="408"/>
      <c r="AO53" s="410"/>
      <c r="AP53" s="410"/>
      <c r="AQ53" s="408"/>
      <c r="AR53" s="410"/>
      <c r="AS53" s="410"/>
      <c r="AT53" s="410"/>
      <c r="AU53" s="408"/>
      <c r="AV53" s="408"/>
      <c r="AW53" s="408"/>
      <c r="AX53" s="407" t="str" cm="1">
        <f t="array" aca="1" ref="AX53" ca="1">IF($C53="","",IF(AT53=1,1,IF(AZ53&lt;&gt;1,$DF$1,IF(SUMPRODUCT((D53:AT53&gt;=$D$6:$AT$6)*($D$6:$AT$6&lt;&gt;"")*($D$4:$AT$4=1))=COUNTIF($D$4:$AT$4,1),1,0))))</f>
        <v/>
      </c>
      <c r="AY53" s="416"/>
      <c r="AZ53">
        <f t="shared" si="77"/>
        <v>0</v>
      </c>
      <c r="BA53" t="str">
        <f t="shared" ca="1" si="85"/>
        <v/>
      </c>
      <c r="BB53" t="str">
        <f t="shared" ca="1" si="85"/>
        <v/>
      </c>
      <c r="BC53" s="21">
        <f t="shared" si="83"/>
        <v>0</v>
      </c>
      <c r="BD53" s="21">
        <f t="shared" si="34"/>
        <v>0</v>
      </c>
      <c r="BE53" s="21">
        <f t="shared" si="35"/>
        <v>0</v>
      </c>
      <c r="BF53" s="21">
        <f t="shared" si="36"/>
        <v>0</v>
      </c>
      <c r="BG53" s="21">
        <f t="shared" si="37"/>
        <v>0</v>
      </c>
      <c r="BH53" s="21">
        <f t="shared" si="38"/>
        <v>0</v>
      </c>
      <c r="BI53" s="21">
        <f t="shared" si="39"/>
        <v>0</v>
      </c>
      <c r="BJ53" s="21">
        <f t="shared" si="40"/>
        <v>0</v>
      </c>
      <c r="BK53" s="21">
        <f t="shared" si="41"/>
        <v>0</v>
      </c>
      <c r="BL53" s="21">
        <f t="shared" si="42"/>
        <v>0</v>
      </c>
      <c r="BM53" s="21">
        <f t="shared" si="43"/>
        <v>0</v>
      </c>
      <c r="BN53" s="21">
        <f t="shared" si="44"/>
        <v>0</v>
      </c>
      <c r="BO53" s="21">
        <f t="shared" si="45"/>
        <v>1</v>
      </c>
      <c r="BP53" s="21">
        <f t="shared" si="46"/>
        <v>0</v>
      </c>
      <c r="BQ53" s="21">
        <f t="shared" si="47"/>
        <v>0</v>
      </c>
      <c r="BR53" s="21">
        <f t="shared" si="48"/>
        <v>0</v>
      </c>
      <c r="BS53" s="21">
        <f t="shared" si="49"/>
        <v>0</v>
      </c>
      <c r="BT53" s="21">
        <f t="shared" si="50"/>
        <v>0</v>
      </c>
      <c r="BU53" s="21">
        <f t="shared" si="51"/>
        <v>0</v>
      </c>
      <c r="BV53" s="21">
        <f t="shared" si="52"/>
        <v>1</v>
      </c>
      <c r="BW53" s="21">
        <f t="shared" si="53"/>
        <v>1</v>
      </c>
      <c r="BX53" s="21">
        <f t="shared" si="54"/>
        <v>1</v>
      </c>
      <c r="BY53" s="21">
        <f t="shared" si="55"/>
        <v>1</v>
      </c>
      <c r="BZ53" s="21">
        <f t="shared" si="56"/>
        <v>1</v>
      </c>
      <c r="CA53" s="21">
        <f t="shared" si="57"/>
        <v>1</v>
      </c>
      <c r="CB53" s="21">
        <f t="shared" si="58"/>
        <v>1</v>
      </c>
      <c r="CC53" s="21">
        <f t="shared" si="59"/>
        <v>1</v>
      </c>
      <c r="CD53" s="21">
        <f t="shared" si="60"/>
        <v>1</v>
      </c>
      <c r="CE53" s="21">
        <f t="shared" si="61"/>
        <v>1</v>
      </c>
      <c r="CF53" s="21">
        <f t="shared" si="62"/>
        <v>1</v>
      </c>
      <c r="CG53" s="21">
        <f t="shared" si="63"/>
        <v>1</v>
      </c>
      <c r="CH53" s="21">
        <f t="shared" si="64"/>
        <v>1</v>
      </c>
      <c r="CI53" s="21">
        <f t="shared" si="65"/>
        <v>1</v>
      </c>
      <c r="CJ53" s="21">
        <f t="shared" si="66"/>
        <v>1</v>
      </c>
      <c r="CK53" s="21">
        <f t="shared" si="67"/>
        <v>1</v>
      </c>
      <c r="CL53" s="21">
        <f t="shared" si="68"/>
        <v>1</v>
      </c>
      <c r="CM53" s="21">
        <f t="shared" si="69"/>
        <v>1</v>
      </c>
      <c r="CN53" s="21">
        <f t="shared" si="70"/>
        <v>1</v>
      </c>
      <c r="CO53" s="21">
        <f t="shared" si="71"/>
        <v>1</v>
      </c>
      <c r="CP53" s="21">
        <f t="shared" si="72"/>
        <v>1</v>
      </c>
      <c r="CQ53" s="21">
        <f t="shared" si="73"/>
        <v>1</v>
      </c>
      <c r="CR53" s="21">
        <f t="shared" si="74"/>
        <v>0</v>
      </c>
      <c r="CS53" s="21"/>
      <c r="CT53" s="21"/>
      <c r="CU53" s="21"/>
      <c r="CV53" s="21"/>
      <c r="CW53" s="21"/>
      <c r="CY53" t="str">
        <f t="shared" ca="1" si="84"/>
        <v/>
      </c>
      <c r="CZ53" t="str">
        <f t="shared" ca="1" si="84"/>
        <v/>
      </c>
      <c r="DA53" t="str">
        <f t="shared" ca="1" si="84"/>
        <v/>
      </c>
      <c r="DB53" t="str">
        <f t="shared" ca="1" si="84"/>
        <v/>
      </c>
      <c r="DC53" t="str">
        <f t="shared" ca="1" si="84"/>
        <v/>
      </c>
      <c r="DD53" t="str">
        <f t="shared" ca="1" si="84"/>
        <v/>
      </c>
      <c r="DE53" t="str">
        <f t="shared" ca="1" si="84"/>
        <v/>
      </c>
      <c r="DF53" t="str">
        <f t="shared" ca="1" si="84"/>
        <v/>
      </c>
      <c r="DG53" t="str">
        <f t="shared" ca="1" si="84"/>
        <v/>
      </c>
      <c r="DH53" t="str">
        <f t="shared" ca="1" si="84"/>
        <v/>
      </c>
    </row>
    <row r="54" spans="1:112" ht="39" hidden="1" customHeight="1" x14ac:dyDescent="0.25">
      <c r="A54">
        <f t="shared" si="80"/>
        <v>24</v>
      </c>
      <c r="B54" s="407" t="str">
        <f t="shared" ca="1" si="82"/>
        <v/>
      </c>
      <c r="C54" s="409" t="str">
        <f ca="1">'ריכוז נתונים כללים'!D60</f>
        <v/>
      </c>
      <c r="D54" s="410"/>
      <c r="E54" s="410"/>
      <c r="F54" s="410"/>
      <c r="G54" s="410"/>
      <c r="H54" s="410"/>
      <c r="I54" s="410"/>
      <c r="J54" s="410"/>
      <c r="K54" s="410"/>
      <c r="L54" s="410"/>
      <c r="M54" s="410"/>
      <c r="N54" s="420"/>
      <c r="O54" s="420"/>
      <c r="P54" s="407" t="str">
        <f t="shared" ca="1" si="76"/>
        <v/>
      </c>
      <c r="Q54" s="410"/>
      <c r="R54" s="410"/>
      <c r="S54" s="410"/>
      <c r="T54" s="410"/>
      <c r="U54" s="410"/>
      <c r="V54" s="410"/>
      <c r="W54" s="410"/>
      <c r="X54" s="410"/>
      <c r="Y54" s="410"/>
      <c r="Z54" s="410"/>
      <c r="AA54" s="410"/>
      <c r="AB54" s="411"/>
      <c r="AC54" s="408"/>
      <c r="AD54" s="410"/>
      <c r="AE54" s="410"/>
      <c r="AF54" s="410"/>
      <c r="AG54" s="407"/>
      <c r="AH54" s="410"/>
      <c r="AI54" s="410"/>
      <c r="AJ54" s="410"/>
      <c r="AK54" s="410"/>
      <c r="AL54" s="410"/>
      <c r="AM54" s="407"/>
      <c r="AN54" s="408"/>
      <c r="AO54" s="410"/>
      <c r="AP54" s="410"/>
      <c r="AQ54" s="408"/>
      <c r="AR54" s="410"/>
      <c r="AS54" s="410"/>
      <c r="AT54" s="410"/>
      <c r="AU54" s="408"/>
      <c r="AV54" s="408"/>
      <c r="AW54" s="408"/>
      <c r="AX54" s="407" t="str" cm="1">
        <f t="array" aca="1" ref="AX54" ca="1">IF($C54="","",IF(AT54=1,1,IF(AZ54&lt;&gt;1,$DF$1,IF(SUMPRODUCT((D54:AT54&gt;=$D$6:$AT$6)*($D$6:$AT$6&lt;&gt;"")*($D$4:$AT$4=1))=COUNTIF($D$4:$AT$4,1),1,0))))</f>
        <v/>
      </c>
      <c r="AY54" s="418"/>
      <c r="AZ54">
        <f t="shared" si="77"/>
        <v>0</v>
      </c>
      <c r="BA54" t="str">
        <f t="shared" ca="1" si="85"/>
        <v/>
      </c>
      <c r="BB54" t="str">
        <f t="shared" ca="1" si="85"/>
        <v/>
      </c>
      <c r="BC54" s="21">
        <f t="shared" si="83"/>
        <v>0</v>
      </c>
      <c r="BD54" s="21">
        <f t="shared" si="34"/>
        <v>0</v>
      </c>
      <c r="BE54" s="21">
        <f t="shared" si="35"/>
        <v>0</v>
      </c>
      <c r="BF54" s="21">
        <f t="shared" si="36"/>
        <v>0</v>
      </c>
      <c r="BG54" s="21">
        <f t="shared" si="37"/>
        <v>0</v>
      </c>
      <c r="BH54" s="21">
        <f t="shared" si="38"/>
        <v>0</v>
      </c>
      <c r="BI54" s="21">
        <f t="shared" si="39"/>
        <v>0</v>
      </c>
      <c r="BJ54" s="21">
        <f t="shared" si="40"/>
        <v>0</v>
      </c>
      <c r="BK54" s="21">
        <f t="shared" si="41"/>
        <v>0</v>
      </c>
      <c r="BL54" s="21">
        <f t="shared" si="42"/>
        <v>0</v>
      </c>
      <c r="BM54" s="21">
        <f t="shared" si="43"/>
        <v>0</v>
      </c>
      <c r="BN54" s="21">
        <f t="shared" si="44"/>
        <v>0</v>
      </c>
      <c r="BO54" s="21">
        <f t="shared" si="45"/>
        <v>1</v>
      </c>
      <c r="BP54" s="21">
        <f t="shared" si="46"/>
        <v>0</v>
      </c>
      <c r="BQ54" s="21">
        <f t="shared" si="47"/>
        <v>0</v>
      </c>
      <c r="BR54" s="21">
        <f t="shared" si="48"/>
        <v>0</v>
      </c>
      <c r="BS54" s="21">
        <f t="shared" si="49"/>
        <v>0</v>
      </c>
      <c r="BT54" s="21">
        <f t="shared" si="50"/>
        <v>0</v>
      </c>
      <c r="BU54" s="21">
        <f t="shared" si="51"/>
        <v>0</v>
      </c>
      <c r="BV54" s="21">
        <f t="shared" si="52"/>
        <v>1</v>
      </c>
      <c r="BW54" s="21">
        <f t="shared" si="53"/>
        <v>1</v>
      </c>
      <c r="BX54" s="21">
        <f t="shared" si="54"/>
        <v>1</v>
      </c>
      <c r="BY54" s="21">
        <f t="shared" si="55"/>
        <v>1</v>
      </c>
      <c r="BZ54" s="21">
        <f t="shared" si="56"/>
        <v>1</v>
      </c>
      <c r="CA54" s="21">
        <f t="shared" si="57"/>
        <v>1</v>
      </c>
      <c r="CB54" s="21">
        <f t="shared" si="58"/>
        <v>1</v>
      </c>
      <c r="CC54" s="21">
        <f t="shared" si="59"/>
        <v>1</v>
      </c>
      <c r="CD54" s="21">
        <f t="shared" si="60"/>
        <v>1</v>
      </c>
      <c r="CE54" s="21">
        <f t="shared" si="61"/>
        <v>1</v>
      </c>
      <c r="CF54" s="21">
        <f t="shared" si="62"/>
        <v>1</v>
      </c>
      <c r="CG54" s="21">
        <f t="shared" si="63"/>
        <v>1</v>
      </c>
      <c r="CH54" s="21">
        <f t="shared" si="64"/>
        <v>1</v>
      </c>
      <c r="CI54" s="21">
        <f t="shared" si="65"/>
        <v>1</v>
      </c>
      <c r="CJ54" s="21">
        <f t="shared" si="66"/>
        <v>1</v>
      </c>
      <c r="CK54" s="21">
        <f t="shared" si="67"/>
        <v>1</v>
      </c>
      <c r="CL54" s="21">
        <f t="shared" si="68"/>
        <v>1</v>
      </c>
      <c r="CM54" s="21">
        <f t="shared" si="69"/>
        <v>1</v>
      </c>
      <c r="CN54" s="21">
        <f t="shared" si="70"/>
        <v>1</v>
      </c>
      <c r="CO54" s="21">
        <f t="shared" si="71"/>
        <v>1</v>
      </c>
      <c r="CP54" s="21">
        <f t="shared" si="72"/>
        <v>1</v>
      </c>
      <c r="CQ54" s="21">
        <f t="shared" si="73"/>
        <v>1</v>
      </c>
      <c r="CR54" s="21">
        <f t="shared" si="74"/>
        <v>0</v>
      </c>
      <c r="CS54" s="21"/>
      <c r="CT54" s="21"/>
      <c r="CU54" s="21"/>
      <c r="CV54" s="21"/>
      <c r="CW54" s="21"/>
      <c r="CY54" t="str">
        <f t="shared" ca="1" si="84"/>
        <v/>
      </c>
      <c r="CZ54" t="str">
        <f t="shared" ca="1" si="84"/>
        <v/>
      </c>
      <c r="DA54" t="str">
        <f t="shared" ca="1" si="84"/>
        <v/>
      </c>
      <c r="DB54" t="str">
        <f t="shared" ca="1" si="84"/>
        <v/>
      </c>
      <c r="DC54" t="str">
        <f t="shared" ca="1" si="84"/>
        <v/>
      </c>
      <c r="DD54" t="str">
        <f t="shared" ca="1" si="84"/>
        <v/>
      </c>
      <c r="DE54" t="str">
        <f t="shared" ca="1" si="84"/>
        <v/>
      </c>
      <c r="DF54" t="str">
        <f t="shared" ca="1" si="84"/>
        <v/>
      </c>
      <c r="DG54" t="str">
        <f t="shared" ca="1" si="84"/>
        <v/>
      </c>
      <c r="DH54" t="str">
        <f t="shared" ca="1" si="84"/>
        <v/>
      </c>
    </row>
    <row r="55" spans="1:112" ht="39" hidden="1" customHeight="1" x14ac:dyDescent="0.25">
      <c r="A55">
        <f t="shared" si="80"/>
        <v>25</v>
      </c>
      <c r="B55" s="407" t="str">
        <f t="shared" ca="1" si="82"/>
        <v/>
      </c>
      <c r="C55" s="409" t="str">
        <f ca="1">'ריכוז נתונים כללים'!D61</f>
        <v/>
      </c>
      <c r="D55" s="410">
        <v>0</v>
      </c>
      <c r="E55" s="410">
        <v>1</v>
      </c>
      <c r="F55" s="410">
        <v>1</v>
      </c>
      <c r="G55" s="410">
        <v>1</v>
      </c>
      <c r="H55" s="410">
        <v>1</v>
      </c>
      <c r="I55" s="410">
        <v>1</v>
      </c>
      <c r="J55" s="410">
        <v>1</v>
      </c>
      <c r="K55" s="410">
        <v>1</v>
      </c>
      <c r="L55" s="410">
        <v>1</v>
      </c>
      <c r="M55" s="410">
        <v>1</v>
      </c>
      <c r="N55" s="420">
        <v>825131</v>
      </c>
      <c r="O55" s="420">
        <v>825131</v>
      </c>
      <c r="P55" s="407" t="str">
        <f t="shared" ca="1" si="76"/>
        <v/>
      </c>
      <c r="Q55" s="410">
        <v>1</v>
      </c>
      <c r="R55" s="410">
        <v>1</v>
      </c>
      <c r="S55" s="410">
        <v>1</v>
      </c>
      <c r="T55" s="410">
        <v>1</v>
      </c>
      <c r="U55" s="410">
        <v>1</v>
      </c>
      <c r="V55" s="410">
        <v>1</v>
      </c>
      <c r="W55" s="410"/>
      <c r="X55" s="410"/>
      <c r="Y55" s="410"/>
      <c r="Z55" s="410"/>
      <c r="AA55" s="410"/>
      <c r="AB55" s="411"/>
      <c r="AC55" s="408"/>
      <c r="AD55" s="410"/>
      <c r="AE55" s="410"/>
      <c r="AF55" s="410"/>
      <c r="AG55" s="407"/>
      <c r="AH55" s="410"/>
      <c r="AI55" s="410"/>
      <c r="AJ55" s="410"/>
      <c r="AK55" s="410"/>
      <c r="AL55" s="410"/>
      <c r="AM55" s="407"/>
      <c r="AN55" s="408"/>
      <c r="AO55" s="410"/>
      <c r="AP55" s="410"/>
      <c r="AQ55" s="408"/>
      <c r="AR55" s="410"/>
      <c r="AS55" s="410">
        <v>1</v>
      </c>
      <c r="AT55" s="410"/>
      <c r="AU55" s="408"/>
      <c r="AV55" s="408"/>
      <c r="AW55" s="408"/>
      <c r="AX55" s="407" t="str" cm="1">
        <f t="array" aca="1" ref="AX55" ca="1">IF($C55="","",IF(AT55=1,1,IF(AZ55&lt;&gt;1,$DF$1,IF(SUMPRODUCT((D55:AT55&gt;=$D$6:$AT$6)*($D$6:$AT$6&lt;&gt;"")*($D$4:$AT$4=1))=COUNTIF($D$4:$AT$4,1),1,0))))</f>
        <v/>
      </c>
      <c r="AY55" s="416"/>
      <c r="AZ55">
        <f t="shared" si="77"/>
        <v>1</v>
      </c>
      <c r="BA55" t="str">
        <f t="shared" ca="1" si="85"/>
        <v/>
      </c>
      <c r="BB55" t="str">
        <f t="shared" ca="1" si="85"/>
        <v/>
      </c>
      <c r="BC55" s="21">
        <f t="shared" si="83"/>
        <v>1</v>
      </c>
      <c r="BD55" s="21">
        <f t="shared" si="34"/>
        <v>1</v>
      </c>
      <c r="BE55" s="21">
        <f t="shared" si="35"/>
        <v>1</v>
      </c>
      <c r="BF55" s="21">
        <f t="shared" si="36"/>
        <v>1</v>
      </c>
      <c r="BG55" s="21">
        <f t="shared" si="37"/>
        <v>1</v>
      </c>
      <c r="BH55" s="21">
        <f t="shared" si="38"/>
        <v>1</v>
      </c>
      <c r="BI55" s="21">
        <f t="shared" si="39"/>
        <v>1</v>
      </c>
      <c r="BJ55" s="21">
        <f t="shared" si="40"/>
        <v>1</v>
      </c>
      <c r="BK55" s="21">
        <f t="shared" si="41"/>
        <v>1</v>
      </c>
      <c r="BL55" s="21">
        <f t="shared" si="42"/>
        <v>1</v>
      </c>
      <c r="BM55" s="21">
        <f t="shared" si="43"/>
        <v>1</v>
      </c>
      <c r="BN55" s="21">
        <f t="shared" si="44"/>
        <v>1</v>
      </c>
      <c r="BO55" s="21">
        <f t="shared" si="45"/>
        <v>1</v>
      </c>
      <c r="BP55" s="21">
        <f t="shared" si="46"/>
        <v>1</v>
      </c>
      <c r="BQ55" s="21">
        <f t="shared" si="47"/>
        <v>1</v>
      </c>
      <c r="BR55" s="21">
        <f t="shared" si="48"/>
        <v>1</v>
      </c>
      <c r="BS55" s="21">
        <f t="shared" si="49"/>
        <v>1</v>
      </c>
      <c r="BT55" s="21">
        <f t="shared" si="50"/>
        <v>1</v>
      </c>
      <c r="BU55" s="21">
        <f t="shared" si="51"/>
        <v>1</v>
      </c>
      <c r="BV55" s="21">
        <f t="shared" si="52"/>
        <v>1</v>
      </c>
      <c r="BW55" s="21">
        <f t="shared" si="53"/>
        <v>1</v>
      </c>
      <c r="BX55" s="21">
        <f t="shared" si="54"/>
        <v>1</v>
      </c>
      <c r="BY55" s="21">
        <f t="shared" si="55"/>
        <v>1</v>
      </c>
      <c r="BZ55" s="21">
        <f t="shared" si="56"/>
        <v>1</v>
      </c>
      <c r="CA55" s="21">
        <f t="shared" si="57"/>
        <v>1</v>
      </c>
      <c r="CB55" s="21">
        <f t="shared" si="58"/>
        <v>1</v>
      </c>
      <c r="CC55" s="21">
        <f t="shared" si="59"/>
        <v>1</v>
      </c>
      <c r="CD55" s="21">
        <f t="shared" si="60"/>
        <v>1</v>
      </c>
      <c r="CE55" s="21">
        <f t="shared" si="61"/>
        <v>1</v>
      </c>
      <c r="CF55" s="21">
        <f t="shared" si="62"/>
        <v>1</v>
      </c>
      <c r="CG55" s="21">
        <f t="shared" si="63"/>
        <v>1</v>
      </c>
      <c r="CH55" s="21">
        <f t="shared" si="64"/>
        <v>1</v>
      </c>
      <c r="CI55" s="21">
        <f t="shared" si="65"/>
        <v>1</v>
      </c>
      <c r="CJ55" s="21">
        <f t="shared" si="66"/>
        <v>1</v>
      </c>
      <c r="CK55" s="21">
        <f t="shared" si="67"/>
        <v>1</v>
      </c>
      <c r="CL55" s="21">
        <f t="shared" si="68"/>
        <v>1</v>
      </c>
      <c r="CM55" s="21">
        <f t="shared" si="69"/>
        <v>1</v>
      </c>
      <c r="CN55" s="21">
        <f t="shared" si="70"/>
        <v>1</v>
      </c>
      <c r="CO55" s="21">
        <f t="shared" si="71"/>
        <v>1</v>
      </c>
      <c r="CP55" s="21">
        <f t="shared" si="72"/>
        <v>1</v>
      </c>
      <c r="CQ55" s="21">
        <f t="shared" si="73"/>
        <v>1</v>
      </c>
      <c r="CR55" s="21">
        <f t="shared" si="74"/>
        <v>1</v>
      </c>
      <c r="CS55" s="21"/>
      <c r="CT55" s="21"/>
      <c r="CU55" s="21"/>
      <c r="CV55" s="21"/>
      <c r="CW55" s="21"/>
      <c r="CY55" t="str">
        <f t="shared" ca="1" si="84"/>
        <v/>
      </c>
      <c r="CZ55" t="str">
        <f t="shared" ca="1" si="84"/>
        <v/>
      </c>
      <c r="DA55" t="str">
        <f t="shared" ca="1" si="84"/>
        <v/>
      </c>
      <c r="DB55" t="str">
        <f t="shared" ca="1" si="84"/>
        <v/>
      </c>
      <c r="DC55" t="str">
        <f t="shared" ca="1" si="84"/>
        <v/>
      </c>
      <c r="DD55" t="str">
        <f t="shared" ca="1" si="84"/>
        <v/>
      </c>
      <c r="DE55" t="str">
        <f t="shared" ca="1" si="84"/>
        <v/>
      </c>
      <c r="DF55" t="str">
        <f t="shared" ca="1" si="84"/>
        <v/>
      </c>
      <c r="DG55" t="str">
        <f t="shared" ca="1" si="84"/>
        <v/>
      </c>
      <c r="DH55" t="str">
        <f t="shared" ca="1" si="84"/>
        <v/>
      </c>
    </row>
    <row r="56" spans="1:112" ht="39" customHeight="1" x14ac:dyDescent="0.25">
      <c r="A56">
        <f t="shared" si="80"/>
        <v>26</v>
      </c>
      <c r="B56" s="407">
        <f t="shared" ca="1" si="82"/>
        <v>46</v>
      </c>
      <c r="C56" s="409" t="str">
        <f ca="1">'ריכוז נתונים כללים'!D62</f>
        <v>ענבל מרכז אתני</v>
      </c>
      <c r="D56" s="410">
        <v>0</v>
      </c>
      <c r="E56" s="410">
        <v>1</v>
      </c>
      <c r="F56" s="410">
        <v>1</v>
      </c>
      <c r="G56" s="410">
        <v>1</v>
      </c>
      <c r="H56" s="410">
        <v>1</v>
      </c>
      <c r="I56" s="410">
        <v>1</v>
      </c>
      <c r="J56" s="410">
        <v>1</v>
      </c>
      <c r="K56" s="410">
        <v>1</v>
      </c>
      <c r="L56" s="410">
        <v>1</v>
      </c>
      <c r="M56" s="410">
        <v>1</v>
      </c>
      <c r="N56" s="420">
        <v>1773889</v>
      </c>
      <c r="O56" s="420">
        <v>1773889</v>
      </c>
      <c r="P56" s="407">
        <f t="shared" ca="1" si="76"/>
        <v>1</v>
      </c>
      <c r="Q56" s="410">
        <v>1</v>
      </c>
      <c r="R56" s="410">
        <v>1</v>
      </c>
      <c r="S56" s="410">
        <v>1</v>
      </c>
      <c r="T56" s="410">
        <v>1</v>
      </c>
      <c r="U56" s="410">
        <v>1</v>
      </c>
      <c r="V56" s="410">
        <v>1</v>
      </c>
      <c r="W56" s="410"/>
      <c r="X56" s="410"/>
      <c r="Y56" s="410"/>
      <c r="Z56" s="410"/>
      <c r="AA56" s="410"/>
      <c r="AB56" s="411"/>
      <c r="AC56" s="408"/>
      <c r="AD56" s="410"/>
      <c r="AE56" s="410"/>
      <c r="AF56" s="410"/>
      <c r="AG56" s="407"/>
      <c r="AH56" s="410"/>
      <c r="AI56" s="410"/>
      <c r="AJ56" s="410"/>
      <c r="AK56" s="410"/>
      <c r="AL56" s="410"/>
      <c r="AM56" s="407"/>
      <c r="AN56" s="408"/>
      <c r="AO56" s="410"/>
      <c r="AP56" s="410"/>
      <c r="AQ56" s="408"/>
      <c r="AR56" s="410"/>
      <c r="AS56" s="410">
        <v>1</v>
      </c>
      <c r="AT56" s="410"/>
      <c r="AU56" s="408"/>
      <c r="AV56" s="408"/>
      <c r="AW56" s="408"/>
      <c r="AX56" s="407" cm="1">
        <f t="array" aca="1" ref="AX56" ca="1">IF($C56="","",IF(AT56=1,1,IF(AZ56&lt;&gt;1,$DF$1,IF(SUMPRODUCT((D56:AT56&gt;=$D$6:$AT$6)*($D$6:$AT$6&lt;&gt;"")*($D$4:$AT$4=1))=COUNTIF($D$4:$AT$4,1),1,0))))</f>
        <v>1</v>
      </c>
      <c r="AY56" s="416"/>
      <c r="AZ56">
        <f t="shared" si="77"/>
        <v>1</v>
      </c>
      <c r="BA56">
        <f t="shared" ca="1" si="85"/>
        <v>0</v>
      </c>
      <c r="BB56">
        <f t="shared" ca="1" si="85"/>
        <v>1</v>
      </c>
      <c r="BC56" s="21">
        <f t="shared" si="83"/>
        <v>1</v>
      </c>
      <c r="BD56" s="21">
        <f t="shared" si="34"/>
        <v>1</v>
      </c>
      <c r="BE56" s="21">
        <f t="shared" si="35"/>
        <v>1</v>
      </c>
      <c r="BF56" s="21">
        <f t="shared" si="36"/>
        <v>1</v>
      </c>
      <c r="BG56" s="21">
        <f t="shared" si="37"/>
        <v>1</v>
      </c>
      <c r="BH56" s="21">
        <f t="shared" si="38"/>
        <v>1</v>
      </c>
      <c r="BI56" s="21">
        <f t="shared" si="39"/>
        <v>1</v>
      </c>
      <c r="BJ56" s="21">
        <f t="shared" si="40"/>
        <v>1</v>
      </c>
      <c r="BK56" s="21">
        <f t="shared" si="41"/>
        <v>1</v>
      </c>
      <c r="BL56" s="21">
        <f t="shared" si="42"/>
        <v>1</v>
      </c>
      <c r="BM56" s="21">
        <f t="shared" si="43"/>
        <v>1</v>
      </c>
      <c r="BN56" s="21">
        <f t="shared" si="44"/>
        <v>1</v>
      </c>
      <c r="BO56" s="21">
        <f t="shared" si="45"/>
        <v>1</v>
      </c>
      <c r="BP56" s="21">
        <f t="shared" si="46"/>
        <v>1</v>
      </c>
      <c r="BQ56" s="21">
        <f t="shared" si="47"/>
        <v>1</v>
      </c>
      <c r="BR56" s="21">
        <f t="shared" si="48"/>
        <v>1</v>
      </c>
      <c r="BS56" s="21">
        <f t="shared" si="49"/>
        <v>1</v>
      </c>
      <c r="BT56" s="21">
        <f t="shared" si="50"/>
        <v>1</v>
      </c>
      <c r="BU56" s="21">
        <f t="shared" si="51"/>
        <v>1</v>
      </c>
      <c r="BV56" s="21">
        <f t="shared" si="52"/>
        <v>1</v>
      </c>
      <c r="BW56" s="21">
        <f t="shared" si="53"/>
        <v>1</v>
      </c>
      <c r="BX56" s="21">
        <f t="shared" si="54"/>
        <v>1</v>
      </c>
      <c r="BY56" s="21">
        <f t="shared" si="55"/>
        <v>1</v>
      </c>
      <c r="BZ56" s="21">
        <f t="shared" si="56"/>
        <v>1</v>
      </c>
      <c r="CA56" s="21">
        <f t="shared" si="57"/>
        <v>1</v>
      </c>
      <c r="CB56" s="21">
        <f t="shared" si="58"/>
        <v>1</v>
      </c>
      <c r="CC56" s="21">
        <f t="shared" si="59"/>
        <v>1</v>
      </c>
      <c r="CD56" s="21">
        <f t="shared" si="60"/>
        <v>1</v>
      </c>
      <c r="CE56" s="21">
        <f t="shared" si="61"/>
        <v>1</v>
      </c>
      <c r="CF56" s="21">
        <f t="shared" si="62"/>
        <v>1</v>
      </c>
      <c r="CG56" s="21">
        <f t="shared" si="63"/>
        <v>1</v>
      </c>
      <c r="CH56" s="21">
        <f t="shared" si="64"/>
        <v>1</v>
      </c>
      <c r="CI56" s="21">
        <f t="shared" si="65"/>
        <v>1</v>
      </c>
      <c r="CJ56" s="21">
        <f t="shared" si="66"/>
        <v>1</v>
      </c>
      <c r="CK56" s="21">
        <f t="shared" si="67"/>
        <v>1</v>
      </c>
      <c r="CL56" s="21">
        <f t="shared" si="68"/>
        <v>1</v>
      </c>
      <c r="CM56" s="21">
        <f t="shared" si="69"/>
        <v>1</v>
      </c>
      <c r="CN56" s="21">
        <f t="shared" si="70"/>
        <v>1</v>
      </c>
      <c r="CO56" s="21">
        <f t="shared" si="71"/>
        <v>1</v>
      </c>
      <c r="CP56" s="21">
        <f t="shared" si="72"/>
        <v>1</v>
      </c>
      <c r="CQ56" s="21">
        <f t="shared" si="73"/>
        <v>1</v>
      </c>
      <c r="CR56" s="21">
        <f t="shared" si="74"/>
        <v>1</v>
      </c>
      <c r="CS56" s="21"/>
      <c r="CT56" s="21"/>
      <c r="CU56" s="21"/>
      <c r="CV56" s="21"/>
      <c r="CW56" s="21"/>
      <c r="CY56">
        <f t="shared" ca="1" si="84"/>
        <v>1</v>
      </c>
      <c r="CZ56">
        <f t="shared" ca="1" si="84"/>
        <v>2</v>
      </c>
      <c r="DA56">
        <f t="shared" ca="1" si="84"/>
        <v>3</v>
      </c>
      <c r="DB56">
        <f t="shared" ca="1" si="84"/>
        <v>4</v>
      </c>
      <c r="DC56">
        <f t="shared" ca="1" si="84"/>
        <v>5</v>
      </c>
      <c r="DD56">
        <f t="shared" ca="1" si="84"/>
        <v>6</v>
      </c>
      <c r="DE56">
        <f t="shared" ca="1" si="84"/>
        <v>7</v>
      </c>
      <c r="DF56">
        <f t="shared" ca="1" si="84"/>
        <v>8</v>
      </c>
      <c r="DG56">
        <f t="shared" ca="1" si="84"/>
        <v>9</v>
      </c>
      <c r="DH56">
        <f t="shared" ca="1" si="84"/>
        <v>10</v>
      </c>
    </row>
    <row r="57" spans="1:112" ht="31.5" customHeight="1" x14ac:dyDescent="0.25">
      <c r="A57">
        <f t="shared" si="80"/>
        <v>27</v>
      </c>
      <c r="B57" s="407">
        <f t="shared" ca="1" si="82"/>
        <v>47</v>
      </c>
      <c r="C57" s="409" t="str">
        <f ca="1">'ריכוז נתונים כללים'!D63</f>
        <v>א.ב. חדשות השומרונים</v>
      </c>
      <c r="D57" s="410">
        <v>0</v>
      </c>
      <c r="E57" s="410">
        <v>1</v>
      </c>
      <c r="F57" s="410">
        <v>1</v>
      </c>
      <c r="G57" s="410">
        <v>1</v>
      </c>
      <c r="H57" s="410">
        <v>1</v>
      </c>
      <c r="I57" s="410">
        <v>1</v>
      </c>
      <c r="J57" s="410">
        <v>1</v>
      </c>
      <c r="K57" s="410">
        <v>1</v>
      </c>
      <c r="L57" s="410">
        <v>1</v>
      </c>
      <c r="M57" s="410">
        <v>1</v>
      </c>
      <c r="N57" s="420">
        <v>246338</v>
      </c>
      <c r="O57" s="420">
        <v>246338</v>
      </c>
      <c r="P57" s="407">
        <f t="shared" ca="1" si="76"/>
        <v>1</v>
      </c>
      <c r="Q57" s="410">
        <v>1</v>
      </c>
      <c r="R57" s="410">
        <v>1</v>
      </c>
      <c r="S57" s="410">
        <v>1</v>
      </c>
      <c r="T57" s="410">
        <v>1</v>
      </c>
      <c r="U57" s="410">
        <v>1</v>
      </c>
      <c r="V57" s="410">
        <v>1</v>
      </c>
      <c r="W57" s="410"/>
      <c r="X57" s="410"/>
      <c r="Y57" s="410"/>
      <c r="Z57" s="410"/>
      <c r="AA57" s="410"/>
      <c r="AB57" s="411"/>
      <c r="AC57" s="408"/>
      <c r="AD57" s="410"/>
      <c r="AE57" s="410"/>
      <c r="AF57" s="410"/>
      <c r="AG57" s="407"/>
      <c r="AH57" s="410"/>
      <c r="AI57" s="410"/>
      <c r="AJ57" s="410"/>
      <c r="AK57" s="410"/>
      <c r="AL57" s="410"/>
      <c r="AM57" s="407"/>
      <c r="AN57" s="408"/>
      <c r="AO57" s="410"/>
      <c r="AP57" s="410"/>
      <c r="AQ57" s="408"/>
      <c r="AR57" s="410"/>
      <c r="AS57" s="410">
        <v>1</v>
      </c>
      <c r="AT57" s="410"/>
      <c r="AU57" s="408"/>
      <c r="AV57" s="408"/>
      <c r="AW57" s="408"/>
      <c r="AX57" s="407" cm="1">
        <f t="array" aca="1" ref="AX57" ca="1">IF($C57="","",IF(AT57=1,1,IF(AZ57&lt;&gt;1,$DF$1,IF(SUMPRODUCT((D57:AT57&gt;=$D$6:$AT$6)*($D$6:$AT$6&lt;&gt;"")*($D$4:$AT$4=1))=COUNTIF($D$4:$AT$4,1),1,0))))</f>
        <v>1</v>
      </c>
      <c r="AY57" s="416"/>
      <c r="AZ57">
        <f t="shared" si="77"/>
        <v>1</v>
      </c>
      <c r="BA57">
        <f t="shared" ca="1" si="85"/>
        <v>0</v>
      </c>
      <c r="BB57">
        <f t="shared" ca="1" si="85"/>
        <v>1</v>
      </c>
      <c r="BC57" s="21">
        <f t="shared" si="83"/>
        <v>1</v>
      </c>
      <c r="BD57" s="21">
        <f t="shared" si="34"/>
        <v>1</v>
      </c>
      <c r="BE57" s="21">
        <f t="shared" si="35"/>
        <v>1</v>
      </c>
      <c r="BF57" s="21">
        <f t="shared" si="36"/>
        <v>1</v>
      </c>
      <c r="BG57" s="21">
        <f t="shared" si="37"/>
        <v>1</v>
      </c>
      <c r="BH57" s="21">
        <f t="shared" si="38"/>
        <v>1</v>
      </c>
      <c r="BI57" s="21">
        <f t="shared" si="39"/>
        <v>1</v>
      </c>
      <c r="BJ57" s="21">
        <f t="shared" si="40"/>
        <v>1</v>
      </c>
      <c r="BK57" s="21">
        <f t="shared" si="41"/>
        <v>1</v>
      </c>
      <c r="BL57" s="21">
        <f t="shared" si="42"/>
        <v>1</v>
      </c>
      <c r="BM57" s="21">
        <f t="shared" si="43"/>
        <v>1</v>
      </c>
      <c r="BN57" s="21">
        <f t="shared" si="44"/>
        <v>1</v>
      </c>
      <c r="BO57" s="21">
        <f t="shared" si="45"/>
        <v>1</v>
      </c>
      <c r="BP57" s="21">
        <f t="shared" si="46"/>
        <v>1</v>
      </c>
      <c r="BQ57" s="21">
        <f t="shared" si="47"/>
        <v>1</v>
      </c>
      <c r="BR57" s="21">
        <f t="shared" si="48"/>
        <v>1</v>
      </c>
      <c r="BS57" s="21">
        <f t="shared" si="49"/>
        <v>1</v>
      </c>
      <c r="BT57" s="21">
        <f t="shared" si="50"/>
        <v>1</v>
      </c>
      <c r="BU57" s="21">
        <f t="shared" si="51"/>
        <v>1</v>
      </c>
      <c r="BV57" s="21">
        <f t="shared" si="52"/>
        <v>1</v>
      </c>
      <c r="BW57" s="21">
        <f t="shared" si="53"/>
        <v>1</v>
      </c>
      <c r="BX57" s="21">
        <f t="shared" si="54"/>
        <v>1</v>
      </c>
      <c r="BY57" s="21">
        <f t="shared" si="55"/>
        <v>1</v>
      </c>
      <c r="BZ57" s="21">
        <f t="shared" si="56"/>
        <v>1</v>
      </c>
      <c r="CA57" s="21">
        <f t="shared" si="57"/>
        <v>1</v>
      </c>
      <c r="CB57" s="21">
        <f t="shared" si="58"/>
        <v>1</v>
      </c>
      <c r="CC57" s="21">
        <f t="shared" si="59"/>
        <v>1</v>
      </c>
      <c r="CD57" s="21">
        <f t="shared" si="60"/>
        <v>1</v>
      </c>
      <c r="CE57" s="21">
        <f t="shared" si="61"/>
        <v>1</v>
      </c>
      <c r="CF57" s="21">
        <f t="shared" si="62"/>
        <v>1</v>
      </c>
      <c r="CG57" s="21">
        <f t="shared" si="63"/>
        <v>1</v>
      </c>
      <c r="CH57" s="21">
        <f t="shared" si="64"/>
        <v>1</v>
      </c>
      <c r="CI57" s="21">
        <f t="shared" si="65"/>
        <v>1</v>
      </c>
      <c r="CJ57" s="21">
        <f t="shared" si="66"/>
        <v>1</v>
      </c>
      <c r="CK57" s="21">
        <f t="shared" si="67"/>
        <v>1</v>
      </c>
      <c r="CL57" s="21">
        <f t="shared" si="68"/>
        <v>1</v>
      </c>
      <c r="CM57" s="21">
        <f t="shared" si="69"/>
        <v>1</v>
      </c>
      <c r="CN57" s="21">
        <f t="shared" si="70"/>
        <v>1</v>
      </c>
      <c r="CO57" s="21">
        <f t="shared" si="71"/>
        <v>1</v>
      </c>
      <c r="CP57" s="21">
        <f t="shared" si="72"/>
        <v>1</v>
      </c>
      <c r="CQ57" s="21">
        <f t="shared" si="73"/>
        <v>1</v>
      </c>
      <c r="CR57" s="21">
        <f t="shared" si="74"/>
        <v>1</v>
      </c>
      <c r="CS57" s="21"/>
      <c r="CT57" s="21"/>
      <c r="CU57" s="21"/>
      <c r="CV57" s="21"/>
      <c r="CW57" s="21"/>
      <c r="CY57">
        <f t="shared" ca="1" si="84"/>
        <v>1</v>
      </c>
      <c r="CZ57">
        <f t="shared" ca="1" si="84"/>
        <v>2</v>
      </c>
      <c r="DA57">
        <f t="shared" ca="1" si="84"/>
        <v>3</v>
      </c>
      <c r="DB57">
        <f t="shared" ca="1" si="84"/>
        <v>4</v>
      </c>
      <c r="DC57">
        <f t="shared" ca="1" si="84"/>
        <v>5</v>
      </c>
      <c r="DD57">
        <f t="shared" ca="1" si="84"/>
        <v>6</v>
      </c>
      <c r="DE57">
        <f t="shared" ca="1" si="84"/>
        <v>7</v>
      </c>
      <c r="DF57">
        <f t="shared" ca="1" si="84"/>
        <v>8</v>
      </c>
      <c r="DG57">
        <f t="shared" ca="1" si="84"/>
        <v>9</v>
      </c>
      <c r="DH57">
        <f t="shared" ca="1" si="84"/>
        <v>10</v>
      </c>
    </row>
    <row r="58" spans="1:112" ht="39" hidden="1" customHeight="1" x14ac:dyDescent="0.25">
      <c r="A58">
        <f t="shared" si="80"/>
        <v>28</v>
      </c>
      <c r="B58" s="407" t="str">
        <f t="shared" ca="1" si="82"/>
        <v/>
      </c>
      <c r="C58" s="409" t="str">
        <f ca="1">'ריכוז נתונים כללים'!D64</f>
        <v/>
      </c>
      <c r="D58" s="410"/>
      <c r="E58" s="410"/>
      <c r="F58" s="410"/>
      <c r="G58" s="410"/>
      <c r="H58" s="410"/>
      <c r="I58" s="410"/>
      <c r="J58" s="410"/>
      <c r="K58" s="410"/>
      <c r="L58" s="410"/>
      <c r="M58" s="410"/>
      <c r="N58" s="420"/>
      <c r="O58" s="420"/>
      <c r="P58" s="407" t="str">
        <f t="shared" ca="1" si="76"/>
        <v/>
      </c>
      <c r="Q58" s="410"/>
      <c r="R58" s="410"/>
      <c r="S58" s="410"/>
      <c r="T58" s="410"/>
      <c r="U58" s="410"/>
      <c r="V58" s="410"/>
      <c r="W58" s="410"/>
      <c r="X58" s="410"/>
      <c r="Y58" s="410"/>
      <c r="Z58" s="410"/>
      <c r="AA58" s="410"/>
      <c r="AB58" s="411"/>
      <c r="AC58" s="408"/>
      <c r="AD58" s="410"/>
      <c r="AE58" s="410"/>
      <c r="AF58" s="410"/>
      <c r="AG58" s="407"/>
      <c r="AH58" s="410"/>
      <c r="AI58" s="410"/>
      <c r="AJ58" s="410"/>
      <c r="AK58" s="410"/>
      <c r="AL58" s="410"/>
      <c r="AM58" s="407"/>
      <c r="AN58" s="408"/>
      <c r="AO58" s="410"/>
      <c r="AP58" s="410"/>
      <c r="AQ58" s="408"/>
      <c r="AR58" s="410"/>
      <c r="AS58" s="410"/>
      <c r="AT58" s="410"/>
      <c r="AU58" s="408"/>
      <c r="AV58" s="408"/>
      <c r="AW58" s="408"/>
      <c r="AX58" s="407" t="str" cm="1">
        <f t="array" aca="1" ref="AX58" ca="1">IF($C58="","",IF(AT58=1,1,IF(AZ58&lt;&gt;1,$DF$1,IF(SUMPRODUCT((D58:AT58&gt;=$D$6:$AT$6)*($D$6:$AT$6&lt;&gt;"")*($D$4:$AT$4=1))=COUNTIF($D$4:$AT$4,1),1,0))))</f>
        <v/>
      </c>
      <c r="AY58" s="417"/>
      <c r="AZ58">
        <f t="shared" si="77"/>
        <v>0</v>
      </c>
      <c r="BA58" t="str">
        <f t="shared" ca="1" si="85"/>
        <v/>
      </c>
      <c r="BB58" t="str">
        <f t="shared" ca="1" si="85"/>
        <v/>
      </c>
      <c r="BC58" s="21">
        <f t="shared" si="83"/>
        <v>0</v>
      </c>
      <c r="BD58" s="21">
        <f t="shared" si="34"/>
        <v>0</v>
      </c>
      <c r="BE58" s="21">
        <f t="shared" si="35"/>
        <v>0</v>
      </c>
      <c r="BF58" s="21">
        <f t="shared" si="36"/>
        <v>0</v>
      </c>
      <c r="BG58" s="21">
        <f t="shared" si="37"/>
        <v>0</v>
      </c>
      <c r="BH58" s="21">
        <f t="shared" si="38"/>
        <v>0</v>
      </c>
      <c r="BI58" s="21">
        <f t="shared" si="39"/>
        <v>0</v>
      </c>
      <c r="BJ58" s="21">
        <f t="shared" si="40"/>
        <v>0</v>
      </c>
      <c r="BK58" s="21">
        <f t="shared" si="41"/>
        <v>0</v>
      </c>
      <c r="BL58" s="21">
        <f t="shared" si="42"/>
        <v>0</v>
      </c>
      <c r="BM58" s="21">
        <f t="shared" si="43"/>
        <v>0</v>
      </c>
      <c r="BN58" s="21">
        <f t="shared" si="44"/>
        <v>0</v>
      </c>
      <c r="BO58" s="21">
        <f t="shared" si="45"/>
        <v>1</v>
      </c>
      <c r="BP58" s="21">
        <f t="shared" si="46"/>
        <v>0</v>
      </c>
      <c r="BQ58" s="21">
        <f t="shared" si="47"/>
        <v>0</v>
      </c>
      <c r="BR58" s="21">
        <f t="shared" si="48"/>
        <v>0</v>
      </c>
      <c r="BS58" s="21">
        <f t="shared" si="49"/>
        <v>0</v>
      </c>
      <c r="BT58" s="21">
        <f t="shared" si="50"/>
        <v>0</v>
      </c>
      <c r="BU58" s="21">
        <f t="shared" si="51"/>
        <v>0</v>
      </c>
      <c r="BV58" s="21">
        <f t="shared" si="52"/>
        <v>1</v>
      </c>
      <c r="BW58" s="21">
        <f t="shared" si="53"/>
        <v>1</v>
      </c>
      <c r="BX58" s="21">
        <f t="shared" si="54"/>
        <v>1</v>
      </c>
      <c r="BY58" s="21">
        <f t="shared" si="55"/>
        <v>1</v>
      </c>
      <c r="BZ58" s="21">
        <f t="shared" si="56"/>
        <v>1</v>
      </c>
      <c r="CA58" s="21">
        <f t="shared" si="57"/>
        <v>1</v>
      </c>
      <c r="CB58" s="21">
        <f t="shared" si="58"/>
        <v>1</v>
      </c>
      <c r="CC58" s="21">
        <f t="shared" si="59"/>
        <v>1</v>
      </c>
      <c r="CD58" s="21">
        <f t="shared" si="60"/>
        <v>1</v>
      </c>
      <c r="CE58" s="21">
        <f t="shared" si="61"/>
        <v>1</v>
      </c>
      <c r="CF58" s="21">
        <f t="shared" si="62"/>
        <v>1</v>
      </c>
      <c r="CG58" s="21">
        <f t="shared" si="63"/>
        <v>1</v>
      </c>
      <c r="CH58" s="21">
        <f t="shared" si="64"/>
        <v>1</v>
      </c>
      <c r="CI58" s="21">
        <f t="shared" si="65"/>
        <v>1</v>
      </c>
      <c r="CJ58" s="21">
        <f t="shared" si="66"/>
        <v>1</v>
      </c>
      <c r="CK58" s="21">
        <f t="shared" si="67"/>
        <v>1</v>
      </c>
      <c r="CL58" s="21">
        <f t="shared" si="68"/>
        <v>1</v>
      </c>
      <c r="CM58" s="21">
        <f t="shared" si="69"/>
        <v>1</v>
      </c>
      <c r="CN58" s="21">
        <f t="shared" si="70"/>
        <v>1</v>
      </c>
      <c r="CO58" s="21">
        <f t="shared" si="71"/>
        <v>1</v>
      </c>
      <c r="CP58" s="21">
        <f t="shared" si="72"/>
        <v>1</v>
      </c>
      <c r="CQ58" s="21">
        <f t="shared" si="73"/>
        <v>1</v>
      </c>
      <c r="CR58" s="21">
        <f t="shared" si="74"/>
        <v>0</v>
      </c>
      <c r="CS58" s="21"/>
      <c r="CT58" s="21"/>
      <c r="CU58" s="21"/>
      <c r="CV58" s="21"/>
      <c r="CW58" s="21"/>
      <c r="CY58" t="str">
        <f t="shared" ca="1" si="84"/>
        <v/>
      </c>
      <c r="CZ58" t="str">
        <f t="shared" ca="1" si="84"/>
        <v/>
      </c>
      <c r="DA58" t="str">
        <f t="shared" ca="1" si="84"/>
        <v/>
      </c>
      <c r="DB58" t="str">
        <f t="shared" ca="1" si="84"/>
        <v/>
      </c>
      <c r="DC58" t="str">
        <f t="shared" ca="1" si="84"/>
        <v/>
      </c>
      <c r="DD58" t="str">
        <f t="shared" ca="1" si="84"/>
        <v/>
      </c>
      <c r="DE58" t="str">
        <f t="shared" ca="1" si="84"/>
        <v/>
      </c>
      <c r="DF58" t="str">
        <f t="shared" ca="1" si="84"/>
        <v/>
      </c>
      <c r="DG58" t="str">
        <f t="shared" ca="1" si="84"/>
        <v/>
      </c>
      <c r="DH58" t="str">
        <f t="shared" ca="1" si="84"/>
        <v/>
      </c>
    </row>
    <row r="59" spans="1:112" ht="39" hidden="1" customHeight="1" x14ac:dyDescent="0.25">
      <c r="A59">
        <f t="shared" si="80"/>
        <v>29</v>
      </c>
      <c r="B59" s="407" t="str">
        <f t="shared" ca="1" si="82"/>
        <v/>
      </c>
      <c r="C59" s="409" t="str">
        <f ca="1">'ריכוז נתונים כללים'!D65</f>
        <v/>
      </c>
      <c r="D59" s="410"/>
      <c r="E59" s="410"/>
      <c r="F59" s="410"/>
      <c r="G59" s="410"/>
      <c r="H59" s="410"/>
      <c r="I59" s="410"/>
      <c r="J59" s="410"/>
      <c r="K59" s="410"/>
      <c r="L59" s="410"/>
      <c r="M59" s="410"/>
      <c r="N59" s="420"/>
      <c r="O59" s="420"/>
      <c r="P59" s="407" t="str">
        <f t="shared" ca="1" si="76"/>
        <v/>
      </c>
      <c r="Q59" s="410"/>
      <c r="R59" s="410"/>
      <c r="S59" s="410"/>
      <c r="T59" s="410"/>
      <c r="U59" s="410"/>
      <c r="V59" s="410"/>
      <c r="W59" s="410"/>
      <c r="X59" s="410"/>
      <c r="Y59" s="410"/>
      <c r="Z59" s="410"/>
      <c r="AA59" s="410"/>
      <c r="AB59" s="411"/>
      <c r="AC59" s="408"/>
      <c r="AD59" s="410"/>
      <c r="AE59" s="410"/>
      <c r="AF59" s="410"/>
      <c r="AG59" s="407"/>
      <c r="AH59" s="410"/>
      <c r="AI59" s="410"/>
      <c r="AJ59" s="410"/>
      <c r="AK59" s="410"/>
      <c r="AL59" s="410"/>
      <c r="AM59" s="407"/>
      <c r="AN59" s="408"/>
      <c r="AO59" s="410"/>
      <c r="AP59" s="410"/>
      <c r="AQ59" s="408"/>
      <c r="AR59" s="410"/>
      <c r="AS59" s="410"/>
      <c r="AT59" s="410"/>
      <c r="AU59" s="408"/>
      <c r="AV59" s="408"/>
      <c r="AW59" s="408"/>
      <c r="AX59" s="407" t="str" cm="1">
        <f t="array" aca="1" ref="AX59" ca="1">IF($C59="","",IF(AT59=1,1,IF(AZ59&lt;&gt;1,$DF$1,IF(SUMPRODUCT((D59:AT59&gt;=$D$6:$AT$6)*($D$6:$AT$6&lt;&gt;"")*($D$4:$AT$4=1))=COUNTIF($D$4:$AT$4,1),1,0))))</f>
        <v/>
      </c>
      <c r="AY59" s="417"/>
      <c r="AZ59">
        <f t="shared" si="77"/>
        <v>0</v>
      </c>
      <c r="BA59" t="str">
        <f t="shared" ca="1" si="85"/>
        <v/>
      </c>
      <c r="BB59" t="str">
        <f t="shared" ca="1" si="85"/>
        <v/>
      </c>
      <c r="BC59" s="21">
        <f t="shared" si="83"/>
        <v>0</v>
      </c>
      <c r="BD59" s="21">
        <f t="shared" si="34"/>
        <v>0</v>
      </c>
      <c r="BE59" s="21">
        <f t="shared" si="35"/>
        <v>0</v>
      </c>
      <c r="BF59" s="21">
        <f t="shared" si="36"/>
        <v>0</v>
      </c>
      <c r="BG59" s="21">
        <f t="shared" si="37"/>
        <v>0</v>
      </c>
      <c r="BH59" s="21">
        <f t="shared" si="38"/>
        <v>0</v>
      </c>
      <c r="BI59" s="21">
        <f t="shared" si="39"/>
        <v>0</v>
      </c>
      <c r="BJ59" s="21">
        <f t="shared" si="40"/>
        <v>0</v>
      </c>
      <c r="BK59" s="21">
        <f t="shared" si="41"/>
        <v>0</v>
      </c>
      <c r="BL59" s="21">
        <f t="shared" si="42"/>
        <v>0</v>
      </c>
      <c r="BM59" s="21">
        <f t="shared" si="43"/>
        <v>0</v>
      </c>
      <c r="BN59" s="21">
        <f t="shared" si="44"/>
        <v>0</v>
      </c>
      <c r="BO59" s="21">
        <f t="shared" si="45"/>
        <v>1</v>
      </c>
      <c r="BP59" s="21">
        <f t="shared" si="46"/>
        <v>0</v>
      </c>
      <c r="BQ59" s="21">
        <f t="shared" si="47"/>
        <v>0</v>
      </c>
      <c r="BR59" s="21">
        <f t="shared" si="48"/>
        <v>0</v>
      </c>
      <c r="BS59" s="21">
        <f t="shared" si="49"/>
        <v>0</v>
      </c>
      <c r="BT59" s="21">
        <f t="shared" si="50"/>
        <v>0</v>
      </c>
      <c r="BU59" s="21">
        <f t="shared" si="51"/>
        <v>0</v>
      </c>
      <c r="BV59" s="21">
        <f t="shared" si="52"/>
        <v>1</v>
      </c>
      <c r="BW59" s="21">
        <f t="shared" si="53"/>
        <v>1</v>
      </c>
      <c r="BX59" s="21">
        <f t="shared" si="54"/>
        <v>1</v>
      </c>
      <c r="BY59" s="21">
        <f t="shared" si="55"/>
        <v>1</v>
      </c>
      <c r="BZ59" s="21">
        <f t="shared" si="56"/>
        <v>1</v>
      </c>
      <c r="CA59" s="21">
        <f t="shared" si="57"/>
        <v>1</v>
      </c>
      <c r="CB59" s="21">
        <f t="shared" si="58"/>
        <v>1</v>
      </c>
      <c r="CC59" s="21">
        <f t="shared" si="59"/>
        <v>1</v>
      </c>
      <c r="CD59" s="21">
        <f t="shared" si="60"/>
        <v>1</v>
      </c>
      <c r="CE59" s="21">
        <f t="shared" si="61"/>
        <v>1</v>
      </c>
      <c r="CF59" s="21">
        <f t="shared" si="62"/>
        <v>1</v>
      </c>
      <c r="CG59" s="21">
        <f t="shared" si="63"/>
        <v>1</v>
      </c>
      <c r="CH59" s="21">
        <f t="shared" si="64"/>
        <v>1</v>
      </c>
      <c r="CI59" s="21">
        <f t="shared" si="65"/>
        <v>1</v>
      </c>
      <c r="CJ59" s="21">
        <f t="shared" si="66"/>
        <v>1</v>
      </c>
      <c r="CK59" s="21">
        <f t="shared" si="67"/>
        <v>1</v>
      </c>
      <c r="CL59" s="21">
        <f t="shared" si="68"/>
        <v>1</v>
      </c>
      <c r="CM59" s="21">
        <f t="shared" si="69"/>
        <v>1</v>
      </c>
      <c r="CN59" s="21">
        <f t="shared" si="70"/>
        <v>1</v>
      </c>
      <c r="CO59" s="21">
        <f t="shared" si="71"/>
        <v>1</v>
      </c>
      <c r="CP59" s="21">
        <f t="shared" si="72"/>
        <v>1</v>
      </c>
      <c r="CQ59" s="21">
        <f t="shared" si="73"/>
        <v>1</v>
      </c>
      <c r="CR59" s="21">
        <f t="shared" si="74"/>
        <v>0</v>
      </c>
      <c r="CS59" s="21"/>
      <c r="CT59" s="21"/>
      <c r="CU59" s="21"/>
      <c r="CV59" s="21"/>
      <c r="CW59" s="21"/>
      <c r="CY59" t="str">
        <f t="shared" ca="1" si="84"/>
        <v/>
      </c>
      <c r="CZ59" t="str">
        <f t="shared" ca="1" si="84"/>
        <v/>
      </c>
      <c r="DA59" t="str">
        <f t="shared" ca="1" si="84"/>
        <v/>
      </c>
      <c r="DB59" t="str">
        <f t="shared" ca="1" si="84"/>
        <v/>
      </c>
      <c r="DC59" t="str">
        <f t="shared" ca="1" si="84"/>
        <v/>
      </c>
      <c r="DD59" t="str">
        <f t="shared" ca="1" si="84"/>
        <v/>
      </c>
      <c r="DE59" t="str">
        <f t="shared" ca="1" si="84"/>
        <v/>
      </c>
      <c r="DF59" t="str">
        <f t="shared" ca="1" si="84"/>
        <v/>
      </c>
      <c r="DG59" t="str">
        <f t="shared" ca="1" si="84"/>
        <v/>
      </c>
      <c r="DH59" t="str">
        <f t="shared" ca="1" si="84"/>
        <v/>
      </c>
    </row>
    <row r="60" spans="1:112" ht="35.25" hidden="1" customHeight="1" x14ac:dyDescent="0.25">
      <c r="A60">
        <f t="shared" si="80"/>
        <v>30</v>
      </c>
      <c r="B60" s="407" t="str">
        <f t="shared" ca="1" si="82"/>
        <v/>
      </c>
      <c r="C60" s="409" t="str">
        <f ca="1">'ריכוז נתונים כללים'!D66</f>
        <v/>
      </c>
      <c r="D60" s="410"/>
      <c r="E60" s="410"/>
      <c r="F60" s="410"/>
      <c r="G60" s="410"/>
      <c r="H60" s="410"/>
      <c r="I60" s="410"/>
      <c r="J60" s="410"/>
      <c r="K60" s="410"/>
      <c r="L60" s="410"/>
      <c r="M60" s="410"/>
      <c r="N60" s="420"/>
      <c r="O60" s="420"/>
      <c r="P60" s="407" t="str">
        <f t="shared" ca="1" si="76"/>
        <v/>
      </c>
      <c r="Q60" s="410"/>
      <c r="R60" s="410"/>
      <c r="S60" s="410"/>
      <c r="T60" s="410"/>
      <c r="U60" s="410"/>
      <c r="V60" s="410"/>
      <c r="W60" s="410"/>
      <c r="X60" s="410"/>
      <c r="Y60" s="410"/>
      <c r="Z60" s="410"/>
      <c r="AA60" s="410"/>
      <c r="AB60" s="411"/>
      <c r="AC60" s="408"/>
      <c r="AD60" s="410"/>
      <c r="AE60" s="410"/>
      <c r="AF60" s="410"/>
      <c r="AG60" s="407"/>
      <c r="AH60" s="410"/>
      <c r="AI60" s="410"/>
      <c r="AJ60" s="410"/>
      <c r="AK60" s="410"/>
      <c r="AL60" s="410"/>
      <c r="AM60" s="407"/>
      <c r="AN60" s="408"/>
      <c r="AO60" s="410"/>
      <c r="AP60" s="410"/>
      <c r="AQ60" s="408"/>
      <c r="AR60" s="410"/>
      <c r="AS60" s="410"/>
      <c r="AT60" s="410"/>
      <c r="AU60" s="408"/>
      <c r="AV60" s="408"/>
      <c r="AW60" s="408"/>
      <c r="AX60" s="407" t="str" cm="1">
        <f t="array" aca="1" ref="AX60" ca="1">IF($C60="","",IF(AT60=1,1,IF(AZ60&lt;&gt;1,$DF$1,IF(SUMPRODUCT((D60:AT60&gt;=$D$6:$AT$6)*($D$6:$AT$6&lt;&gt;"")*($D$4:$AT$4=1))=COUNTIF($D$4:$AT$4,1),1,0))))</f>
        <v/>
      </c>
      <c r="AY60" s="416"/>
      <c r="AZ60">
        <f t="shared" si="77"/>
        <v>0</v>
      </c>
      <c r="BA60" t="str">
        <f t="shared" ca="1" si="85"/>
        <v/>
      </c>
      <c r="BB60" t="str">
        <f t="shared" ca="1" si="85"/>
        <v/>
      </c>
      <c r="BC60" s="21">
        <f t="shared" si="83"/>
        <v>0</v>
      </c>
      <c r="BD60" s="21">
        <f t="shared" si="34"/>
        <v>0</v>
      </c>
      <c r="BE60" s="21">
        <f t="shared" si="35"/>
        <v>0</v>
      </c>
      <c r="BF60" s="21">
        <f t="shared" si="36"/>
        <v>0</v>
      </c>
      <c r="BG60" s="21">
        <f t="shared" si="37"/>
        <v>0</v>
      </c>
      <c r="BH60" s="21">
        <f t="shared" si="38"/>
        <v>0</v>
      </c>
      <c r="BI60" s="21">
        <f t="shared" si="39"/>
        <v>0</v>
      </c>
      <c r="BJ60" s="21">
        <f t="shared" si="40"/>
        <v>0</v>
      </c>
      <c r="BK60" s="21">
        <f t="shared" si="41"/>
        <v>0</v>
      </c>
      <c r="BL60" s="21">
        <f t="shared" si="42"/>
        <v>0</v>
      </c>
      <c r="BM60" s="21">
        <f t="shared" si="43"/>
        <v>0</v>
      </c>
      <c r="BN60" s="21">
        <f t="shared" si="44"/>
        <v>0</v>
      </c>
      <c r="BO60" s="21">
        <f t="shared" si="45"/>
        <v>1</v>
      </c>
      <c r="BP60" s="21">
        <f t="shared" si="46"/>
        <v>0</v>
      </c>
      <c r="BQ60" s="21">
        <f t="shared" si="47"/>
        <v>0</v>
      </c>
      <c r="BR60" s="21">
        <f t="shared" si="48"/>
        <v>0</v>
      </c>
      <c r="BS60" s="21">
        <f t="shared" si="49"/>
        <v>0</v>
      </c>
      <c r="BT60" s="21">
        <f t="shared" si="50"/>
        <v>0</v>
      </c>
      <c r="BU60" s="21">
        <f t="shared" si="51"/>
        <v>0</v>
      </c>
      <c r="BV60" s="21">
        <f t="shared" si="52"/>
        <v>1</v>
      </c>
      <c r="BW60" s="21">
        <f t="shared" si="53"/>
        <v>1</v>
      </c>
      <c r="BX60" s="21">
        <f t="shared" si="54"/>
        <v>1</v>
      </c>
      <c r="BY60" s="21">
        <f t="shared" si="55"/>
        <v>1</v>
      </c>
      <c r="BZ60" s="21">
        <f t="shared" si="56"/>
        <v>1</v>
      </c>
      <c r="CA60" s="21">
        <f t="shared" si="57"/>
        <v>1</v>
      </c>
      <c r="CB60" s="21">
        <f t="shared" si="58"/>
        <v>1</v>
      </c>
      <c r="CC60" s="21">
        <f t="shared" si="59"/>
        <v>1</v>
      </c>
      <c r="CD60" s="21">
        <f t="shared" si="60"/>
        <v>1</v>
      </c>
      <c r="CE60" s="21">
        <f t="shared" si="61"/>
        <v>1</v>
      </c>
      <c r="CF60" s="21">
        <f t="shared" si="62"/>
        <v>1</v>
      </c>
      <c r="CG60" s="21">
        <f t="shared" si="63"/>
        <v>1</v>
      </c>
      <c r="CH60" s="21">
        <f t="shared" si="64"/>
        <v>1</v>
      </c>
      <c r="CI60" s="21">
        <f t="shared" si="65"/>
        <v>1</v>
      </c>
      <c r="CJ60" s="21">
        <f t="shared" si="66"/>
        <v>1</v>
      </c>
      <c r="CK60" s="21">
        <f t="shared" si="67"/>
        <v>1</v>
      </c>
      <c r="CL60" s="21">
        <f t="shared" si="68"/>
        <v>1</v>
      </c>
      <c r="CM60" s="21">
        <f t="shared" si="69"/>
        <v>1</v>
      </c>
      <c r="CN60" s="21">
        <f t="shared" si="70"/>
        <v>1</v>
      </c>
      <c r="CO60" s="21">
        <f t="shared" si="71"/>
        <v>1</v>
      </c>
      <c r="CP60" s="21">
        <f t="shared" si="72"/>
        <v>1</v>
      </c>
      <c r="CQ60" s="21">
        <f t="shared" si="73"/>
        <v>1</v>
      </c>
      <c r="CR60" s="21">
        <f t="shared" si="74"/>
        <v>0</v>
      </c>
      <c r="CS60" s="21"/>
      <c r="CT60" s="21"/>
      <c r="CU60" s="21"/>
      <c r="CV60" s="21"/>
      <c r="CW60" s="21"/>
      <c r="CY60" t="str">
        <f t="shared" ca="1" si="84"/>
        <v/>
      </c>
      <c r="CZ60" t="str">
        <f t="shared" ca="1" si="84"/>
        <v/>
      </c>
      <c r="DA60" t="str">
        <f t="shared" ca="1" si="84"/>
        <v/>
      </c>
      <c r="DB60" t="str">
        <f t="shared" ca="1" si="84"/>
        <v/>
      </c>
      <c r="DC60" t="str">
        <f t="shared" ca="1" si="84"/>
        <v/>
      </c>
      <c r="DD60" t="str">
        <f t="shared" ca="1" si="84"/>
        <v/>
      </c>
      <c r="DE60" t="str">
        <f t="shared" ca="1" si="84"/>
        <v/>
      </c>
      <c r="DF60" t="str">
        <f t="shared" ca="1" si="84"/>
        <v/>
      </c>
      <c r="DG60" t="str">
        <f t="shared" ca="1" si="84"/>
        <v/>
      </c>
      <c r="DH60" t="str">
        <f t="shared" ca="1" si="84"/>
        <v/>
      </c>
    </row>
    <row r="61" spans="1:112" ht="39" hidden="1" customHeight="1" x14ac:dyDescent="0.25">
      <c r="A61">
        <f t="shared" si="80"/>
        <v>31</v>
      </c>
      <c r="B61" s="407" t="str">
        <f t="shared" ca="1" si="82"/>
        <v/>
      </c>
      <c r="C61" s="409" t="str">
        <f ca="1">'ריכוז נתונים כללים'!D67</f>
        <v/>
      </c>
      <c r="D61" s="410"/>
      <c r="E61" s="410"/>
      <c r="F61" s="410"/>
      <c r="G61" s="410"/>
      <c r="H61" s="410"/>
      <c r="I61" s="410"/>
      <c r="J61" s="410"/>
      <c r="K61" s="410"/>
      <c r="L61" s="410"/>
      <c r="M61" s="410"/>
      <c r="N61" s="420"/>
      <c r="O61" s="420"/>
      <c r="P61" s="407" t="str">
        <f t="shared" ca="1" si="76"/>
        <v/>
      </c>
      <c r="Q61" s="410"/>
      <c r="R61" s="410"/>
      <c r="S61" s="410"/>
      <c r="T61" s="410"/>
      <c r="U61" s="410"/>
      <c r="V61" s="410"/>
      <c r="W61" s="410"/>
      <c r="X61" s="410"/>
      <c r="Y61" s="410"/>
      <c r="Z61" s="410"/>
      <c r="AA61" s="410"/>
      <c r="AB61" s="411"/>
      <c r="AC61" s="408"/>
      <c r="AD61" s="410"/>
      <c r="AE61" s="410"/>
      <c r="AF61" s="410"/>
      <c r="AG61" s="407"/>
      <c r="AH61" s="410"/>
      <c r="AI61" s="410"/>
      <c r="AJ61" s="410"/>
      <c r="AK61" s="410"/>
      <c r="AL61" s="410"/>
      <c r="AM61" s="407"/>
      <c r="AN61" s="408"/>
      <c r="AO61" s="410"/>
      <c r="AP61" s="410"/>
      <c r="AQ61" s="408"/>
      <c r="AR61" s="410"/>
      <c r="AS61" s="410"/>
      <c r="AT61" s="410"/>
      <c r="AU61" s="408"/>
      <c r="AV61" s="408"/>
      <c r="AW61" s="408"/>
      <c r="AX61" s="407" t="str" cm="1">
        <f t="array" aca="1" ref="AX61" ca="1">IF($C61="","",IF(AT61=1,1,IF(AZ61&lt;&gt;1,$DF$1,IF(SUMPRODUCT((D61:AT61&gt;=$D$6:$AT$6)*($D$6:$AT$6&lt;&gt;"")*($D$4:$AT$4=1))=COUNTIF($D$4:$AT$4,1),1,0))))</f>
        <v/>
      </c>
      <c r="AY61" s="416"/>
      <c r="AZ61">
        <f t="shared" si="77"/>
        <v>0</v>
      </c>
      <c r="BA61" t="str">
        <f t="shared" ca="1" si="85"/>
        <v/>
      </c>
      <c r="BB61" t="str">
        <f t="shared" ca="1" si="85"/>
        <v/>
      </c>
      <c r="BC61" s="21">
        <f t="shared" si="83"/>
        <v>0</v>
      </c>
      <c r="BD61" s="21">
        <f t="shared" si="34"/>
        <v>0</v>
      </c>
      <c r="BE61" s="21">
        <f t="shared" si="35"/>
        <v>0</v>
      </c>
      <c r="BF61" s="21">
        <f t="shared" si="36"/>
        <v>0</v>
      </c>
      <c r="BG61" s="21">
        <f t="shared" si="37"/>
        <v>0</v>
      </c>
      <c r="BH61" s="21">
        <f t="shared" si="38"/>
        <v>0</v>
      </c>
      <c r="BI61" s="21">
        <f t="shared" si="39"/>
        <v>0</v>
      </c>
      <c r="BJ61" s="21">
        <f t="shared" si="40"/>
        <v>0</v>
      </c>
      <c r="BK61" s="21">
        <f t="shared" si="41"/>
        <v>0</v>
      </c>
      <c r="BL61" s="21">
        <f t="shared" si="42"/>
        <v>0</v>
      </c>
      <c r="BM61" s="21">
        <f t="shared" si="43"/>
        <v>0</v>
      </c>
      <c r="BN61" s="21">
        <f t="shared" si="44"/>
        <v>0</v>
      </c>
      <c r="BO61" s="21">
        <f t="shared" si="45"/>
        <v>1</v>
      </c>
      <c r="BP61" s="21">
        <f t="shared" si="46"/>
        <v>0</v>
      </c>
      <c r="BQ61" s="21">
        <f t="shared" si="47"/>
        <v>0</v>
      </c>
      <c r="BR61" s="21">
        <f t="shared" si="48"/>
        <v>0</v>
      </c>
      <c r="BS61" s="21">
        <f t="shared" si="49"/>
        <v>0</v>
      </c>
      <c r="BT61" s="21">
        <f t="shared" si="50"/>
        <v>0</v>
      </c>
      <c r="BU61" s="21">
        <f t="shared" si="51"/>
        <v>0</v>
      </c>
      <c r="BV61" s="21">
        <f t="shared" si="52"/>
        <v>1</v>
      </c>
      <c r="BW61" s="21">
        <f t="shared" si="53"/>
        <v>1</v>
      </c>
      <c r="BX61" s="21">
        <f t="shared" si="54"/>
        <v>1</v>
      </c>
      <c r="BY61" s="21">
        <f t="shared" si="55"/>
        <v>1</v>
      </c>
      <c r="BZ61" s="21">
        <f t="shared" si="56"/>
        <v>1</v>
      </c>
      <c r="CA61" s="21">
        <f t="shared" si="57"/>
        <v>1</v>
      </c>
      <c r="CB61" s="21">
        <f t="shared" si="58"/>
        <v>1</v>
      </c>
      <c r="CC61" s="21">
        <f t="shared" si="59"/>
        <v>1</v>
      </c>
      <c r="CD61" s="21">
        <f t="shared" si="60"/>
        <v>1</v>
      </c>
      <c r="CE61" s="21">
        <f t="shared" si="61"/>
        <v>1</v>
      </c>
      <c r="CF61" s="21">
        <f t="shared" si="62"/>
        <v>1</v>
      </c>
      <c r="CG61" s="21">
        <f t="shared" si="63"/>
        <v>1</v>
      </c>
      <c r="CH61" s="21">
        <f t="shared" si="64"/>
        <v>1</v>
      </c>
      <c r="CI61" s="21">
        <f t="shared" si="65"/>
        <v>1</v>
      </c>
      <c r="CJ61" s="21">
        <f t="shared" si="66"/>
        <v>1</v>
      </c>
      <c r="CK61" s="21">
        <f t="shared" si="67"/>
        <v>1</v>
      </c>
      <c r="CL61" s="21">
        <f t="shared" si="68"/>
        <v>1</v>
      </c>
      <c r="CM61" s="21">
        <f t="shared" si="69"/>
        <v>1</v>
      </c>
      <c r="CN61" s="21">
        <f t="shared" si="70"/>
        <v>1</v>
      </c>
      <c r="CO61" s="21">
        <f t="shared" si="71"/>
        <v>1</v>
      </c>
      <c r="CP61" s="21">
        <f t="shared" si="72"/>
        <v>1</v>
      </c>
      <c r="CQ61" s="21">
        <f t="shared" si="73"/>
        <v>1</v>
      </c>
      <c r="CR61" s="21">
        <f t="shared" si="74"/>
        <v>0</v>
      </c>
      <c r="CS61" s="21"/>
      <c r="CT61" s="21"/>
      <c r="CU61" s="21"/>
      <c r="CV61" s="21"/>
      <c r="CW61" s="21"/>
      <c r="CY61" t="str">
        <f t="shared" ca="1" si="84"/>
        <v/>
      </c>
      <c r="CZ61" t="str">
        <f t="shared" ca="1" si="84"/>
        <v/>
      </c>
      <c r="DA61" t="str">
        <f t="shared" ca="1" si="84"/>
        <v/>
      </c>
      <c r="DB61" t="str">
        <f t="shared" ca="1" si="84"/>
        <v/>
      </c>
      <c r="DC61" t="str">
        <f t="shared" ca="1" si="84"/>
        <v/>
      </c>
      <c r="DD61" t="str">
        <f t="shared" ca="1" si="84"/>
        <v/>
      </c>
      <c r="DE61" t="str">
        <f t="shared" ca="1" si="84"/>
        <v/>
      </c>
      <c r="DF61" t="str">
        <f t="shared" ca="1" si="84"/>
        <v/>
      </c>
      <c r="DG61" t="str">
        <f t="shared" ca="1" si="84"/>
        <v/>
      </c>
      <c r="DH61" t="str">
        <f t="shared" ca="1" si="84"/>
        <v/>
      </c>
    </row>
    <row r="62" spans="1:112" ht="39" customHeight="1" x14ac:dyDescent="0.25">
      <c r="A62">
        <f t="shared" si="80"/>
        <v>32</v>
      </c>
      <c r="B62" s="407">
        <f t="shared" ca="1" si="82"/>
        <v>52</v>
      </c>
      <c r="C62" s="409" t="str">
        <f ca="1">'ריכוז נתונים כללים'!D68</f>
        <v>עמותת הנני</v>
      </c>
      <c r="D62" s="410">
        <v>0</v>
      </c>
      <c r="E62" s="410">
        <v>1</v>
      </c>
      <c r="F62" s="410">
        <v>1</v>
      </c>
      <c r="G62" s="410">
        <v>1</v>
      </c>
      <c r="H62" s="410">
        <v>1</v>
      </c>
      <c r="I62" s="410">
        <v>1</v>
      </c>
      <c r="J62" s="410">
        <v>1</v>
      </c>
      <c r="K62" s="410">
        <v>1</v>
      </c>
      <c r="L62" s="410">
        <v>1</v>
      </c>
      <c r="M62" s="410">
        <v>1</v>
      </c>
      <c r="N62" s="420">
        <v>713227</v>
      </c>
      <c r="O62" s="420">
        <v>713227</v>
      </c>
      <c r="P62" s="407">
        <f t="shared" ca="1" si="76"/>
        <v>1</v>
      </c>
      <c r="Q62" s="410">
        <v>1</v>
      </c>
      <c r="R62" s="410">
        <v>1</v>
      </c>
      <c r="S62" s="410">
        <v>1</v>
      </c>
      <c r="T62" s="410">
        <v>1</v>
      </c>
      <c r="U62" s="410">
        <v>1</v>
      </c>
      <c r="V62" s="410">
        <v>1</v>
      </c>
      <c r="W62" s="410"/>
      <c r="X62" s="410"/>
      <c r="Y62" s="410"/>
      <c r="Z62" s="410"/>
      <c r="AA62" s="410"/>
      <c r="AB62" s="411"/>
      <c r="AC62" s="408"/>
      <c r="AD62" s="410"/>
      <c r="AE62" s="410"/>
      <c r="AF62" s="410"/>
      <c r="AG62" s="407"/>
      <c r="AH62" s="410"/>
      <c r="AI62" s="410"/>
      <c r="AJ62" s="410"/>
      <c r="AK62" s="410"/>
      <c r="AL62" s="410"/>
      <c r="AM62" s="407"/>
      <c r="AN62" s="408"/>
      <c r="AO62" s="410"/>
      <c r="AP62" s="410"/>
      <c r="AQ62" s="408"/>
      <c r="AR62" s="410"/>
      <c r="AS62" s="410">
        <v>1</v>
      </c>
      <c r="AT62" s="410"/>
      <c r="AU62" s="408"/>
      <c r="AV62" s="408"/>
      <c r="AW62" s="408"/>
      <c r="AX62" s="407" cm="1">
        <f t="array" aca="1" ref="AX62" ca="1">IF($C62="","",IF(AT62=1,1,IF(AZ62&lt;&gt;1,$DF$1,IF(SUMPRODUCT((D62:AT62&gt;=$D$6:$AT$6)*($D$6:$AT$6&lt;&gt;"")*($D$4:$AT$4=1))=COUNTIF($D$4:$AT$4,1),1,0))))</f>
        <v>1</v>
      </c>
      <c r="AY62" s="417"/>
      <c r="AZ62">
        <f t="shared" si="77"/>
        <v>1</v>
      </c>
      <c r="BA62">
        <f t="shared" ca="1" si="85"/>
        <v>0</v>
      </c>
      <c r="BB62">
        <f t="shared" ca="1" si="85"/>
        <v>1</v>
      </c>
      <c r="BC62" s="21">
        <f t="shared" si="83"/>
        <v>1</v>
      </c>
      <c r="BD62" s="21">
        <f t="shared" si="34"/>
        <v>1</v>
      </c>
      <c r="BE62" s="21">
        <f t="shared" si="35"/>
        <v>1</v>
      </c>
      <c r="BF62" s="21">
        <f t="shared" si="36"/>
        <v>1</v>
      </c>
      <c r="BG62" s="21">
        <f t="shared" si="37"/>
        <v>1</v>
      </c>
      <c r="BH62" s="21">
        <f t="shared" si="38"/>
        <v>1</v>
      </c>
      <c r="BI62" s="21">
        <f t="shared" si="39"/>
        <v>1</v>
      </c>
      <c r="BJ62" s="21">
        <f t="shared" si="40"/>
        <v>1</v>
      </c>
      <c r="BK62" s="21">
        <f t="shared" si="41"/>
        <v>1</v>
      </c>
      <c r="BL62" s="21">
        <f t="shared" si="42"/>
        <v>1</v>
      </c>
      <c r="BM62" s="21">
        <f t="shared" si="43"/>
        <v>1</v>
      </c>
      <c r="BN62" s="21">
        <f t="shared" si="44"/>
        <v>1</v>
      </c>
      <c r="BO62" s="21">
        <f t="shared" si="45"/>
        <v>1</v>
      </c>
      <c r="BP62" s="21">
        <f t="shared" si="46"/>
        <v>1</v>
      </c>
      <c r="BQ62" s="21">
        <f t="shared" si="47"/>
        <v>1</v>
      </c>
      <c r="BR62" s="21">
        <f t="shared" si="48"/>
        <v>1</v>
      </c>
      <c r="BS62" s="21">
        <f t="shared" si="49"/>
        <v>1</v>
      </c>
      <c r="BT62" s="21">
        <f t="shared" si="50"/>
        <v>1</v>
      </c>
      <c r="BU62" s="21">
        <f t="shared" si="51"/>
        <v>1</v>
      </c>
      <c r="BV62" s="21">
        <f t="shared" si="52"/>
        <v>1</v>
      </c>
      <c r="BW62" s="21">
        <f t="shared" si="53"/>
        <v>1</v>
      </c>
      <c r="BX62" s="21">
        <f t="shared" si="54"/>
        <v>1</v>
      </c>
      <c r="BY62" s="21">
        <f t="shared" si="55"/>
        <v>1</v>
      </c>
      <c r="BZ62" s="21">
        <f t="shared" si="56"/>
        <v>1</v>
      </c>
      <c r="CA62" s="21">
        <f t="shared" si="57"/>
        <v>1</v>
      </c>
      <c r="CB62" s="21">
        <f t="shared" si="58"/>
        <v>1</v>
      </c>
      <c r="CC62" s="21">
        <f t="shared" si="59"/>
        <v>1</v>
      </c>
      <c r="CD62" s="21">
        <f t="shared" si="60"/>
        <v>1</v>
      </c>
      <c r="CE62" s="21">
        <f t="shared" si="61"/>
        <v>1</v>
      </c>
      <c r="CF62" s="21">
        <f t="shared" si="62"/>
        <v>1</v>
      </c>
      <c r="CG62" s="21">
        <f t="shared" si="63"/>
        <v>1</v>
      </c>
      <c r="CH62" s="21">
        <f t="shared" si="64"/>
        <v>1</v>
      </c>
      <c r="CI62" s="21">
        <f t="shared" si="65"/>
        <v>1</v>
      </c>
      <c r="CJ62" s="21">
        <f t="shared" si="66"/>
        <v>1</v>
      </c>
      <c r="CK62" s="21">
        <f t="shared" si="67"/>
        <v>1</v>
      </c>
      <c r="CL62" s="21">
        <f t="shared" si="68"/>
        <v>1</v>
      </c>
      <c r="CM62" s="21">
        <f t="shared" si="69"/>
        <v>1</v>
      </c>
      <c r="CN62" s="21">
        <f t="shared" si="70"/>
        <v>1</v>
      </c>
      <c r="CO62" s="21">
        <f t="shared" si="71"/>
        <v>1</v>
      </c>
      <c r="CP62" s="21">
        <f t="shared" si="72"/>
        <v>1</v>
      </c>
      <c r="CQ62" s="21">
        <f t="shared" si="73"/>
        <v>1</v>
      </c>
      <c r="CR62" s="21">
        <f t="shared" si="74"/>
        <v>1</v>
      </c>
      <c r="CS62" s="21"/>
      <c r="CT62" s="21"/>
      <c r="CU62" s="21"/>
      <c r="CV62" s="21"/>
      <c r="CW62" s="21"/>
      <c r="CY62">
        <f t="shared" ca="1" si="84"/>
        <v>1</v>
      </c>
      <c r="CZ62">
        <f t="shared" ca="1" si="84"/>
        <v>2</v>
      </c>
      <c r="DA62">
        <f t="shared" ca="1" si="84"/>
        <v>3</v>
      </c>
      <c r="DB62">
        <f t="shared" ca="1" si="84"/>
        <v>4</v>
      </c>
      <c r="DC62">
        <f t="shared" ca="1" si="84"/>
        <v>5</v>
      </c>
      <c r="DD62">
        <f t="shared" ca="1" si="84"/>
        <v>6</v>
      </c>
      <c r="DE62">
        <f t="shared" ca="1" si="84"/>
        <v>7</v>
      </c>
      <c r="DF62">
        <f t="shared" ca="1" si="84"/>
        <v>8</v>
      </c>
      <c r="DG62">
        <f t="shared" ca="1" si="84"/>
        <v>9</v>
      </c>
      <c r="DH62">
        <f t="shared" ca="1" si="84"/>
        <v>10</v>
      </c>
    </row>
    <row r="63" spans="1:112" ht="39" hidden="1" customHeight="1" x14ac:dyDescent="0.25">
      <c r="A63">
        <f t="shared" si="80"/>
        <v>33</v>
      </c>
      <c r="B63" s="407" t="str">
        <f t="shared" ca="1" si="82"/>
        <v/>
      </c>
      <c r="C63" s="409" t="str">
        <f ca="1">'ריכוז נתונים כללים'!D69</f>
        <v/>
      </c>
      <c r="D63" s="410"/>
      <c r="E63" s="410">
        <v>1</v>
      </c>
      <c r="F63" s="410">
        <v>1</v>
      </c>
      <c r="G63" s="410">
        <v>1</v>
      </c>
      <c r="H63" s="410">
        <v>1</v>
      </c>
      <c r="I63" s="410">
        <v>1</v>
      </c>
      <c r="J63" s="410">
        <v>1</v>
      </c>
      <c r="K63" s="410">
        <v>1</v>
      </c>
      <c r="L63" s="410">
        <v>1</v>
      </c>
      <c r="M63" s="410">
        <v>1</v>
      </c>
      <c r="N63" s="420"/>
      <c r="O63" s="420"/>
      <c r="P63" s="407" t="str">
        <f t="shared" ca="1" si="76"/>
        <v/>
      </c>
      <c r="Q63" s="410"/>
      <c r="R63" s="410"/>
      <c r="S63" s="410"/>
      <c r="T63" s="410"/>
      <c r="U63" s="410"/>
      <c r="V63" s="410"/>
      <c r="W63" s="410"/>
      <c r="X63" s="410"/>
      <c r="Y63" s="410"/>
      <c r="Z63" s="410"/>
      <c r="AA63" s="410"/>
      <c r="AB63" s="411"/>
      <c r="AC63" s="408"/>
      <c r="AD63" s="410"/>
      <c r="AE63" s="410"/>
      <c r="AF63" s="410"/>
      <c r="AG63" s="407"/>
      <c r="AH63" s="410"/>
      <c r="AI63" s="410"/>
      <c r="AJ63" s="410"/>
      <c r="AK63" s="410"/>
      <c r="AL63" s="410"/>
      <c r="AM63" s="407"/>
      <c r="AN63" s="408"/>
      <c r="AO63" s="410"/>
      <c r="AP63" s="410"/>
      <c r="AQ63" s="408"/>
      <c r="AR63" s="410"/>
      <c r="AS63" s="410"/>
      <c r="AT63" s="410"/>
      <c r="AU63" s="408"/>
      <c r="AV63" s="408"/>
      <c r="AW63" s="408"/>
      <c r="AX63" s="407" t="str" cm="1">
        <f t="array" aca="1" ref="AX63" ca="1">IF($C63="","",IF(AT63=1,1,IF(AZ63&lt;&gt;1,$DF$1,IF(SUMPRODUCT((D63:AT63&gt;=$D$6:$AT$6)*($D$6:$AT$6&lt;&gt;"")*($D$4:$AT$4=1))=COUNTIF($D$4:$AT$4,1),1,0))))</f>
        <v/>
      </c>
      <c r="AY63" s="417"/>
      <c r="AZ63">
        <f t="shared" si="77"/>
        <v>0</v>
      </c>
      <c r="BA63" t="str">
        <f t="shared" ca="1" si="85"/>
        <v/>
      </c>
      <c r="BB63" t="str">
        <f t="shared" ca="1" si="85"/>
        <v/>
      </c>
      <c r="BC63" s="21">
        <f t="shared" si="83"/>
        <v>0</v>
      </c>
      <c r="BD63" s="21">
        <f t="shared" si="34"/>
        <v>1</v>
      </c>
      <c r="BE63" s="21">
        <f t="shared" si="35"/>
        <v>1</v>
      </c>
      <c r="BF63" s="21">
        <f t="shared" si="36"/>
        <v>1</v>
      </c>
      <c r="BG63" s="21">
        <f t="shared" si="37"/>
        <v>1</v>
      </c>
      <c r="BH63" s="21">
        <f t="shared" si="38"/>
        <v>1</v>
      </c>
      <c r="BI63" s="21">
        <f t="shared" si="39"/>
        <v>1</v>
      </c>
      <c r="BJ63" s="21">
        <f t="shared" si="40"/>
        <v>1</v>
      </c>
      <c r="BK63" s="21">
        <f t="shared" si="41"/>
        <v>1</v>
      </c>
      <c r="BL63" s="21">
        <f t="shared" si="42"/>
        <v>1</v>
      </c>
      <c r="BM63" s="21">
        <f t="shared" si="43"/>
        <v>0</v>
      </c>
      <c r="BN63" s="21">
        <f t="shared" si="44"/>
        <v>0</v>
      </c>
      <c r="BO63" s="21">
        <f t="shared" si="45"/>
        <v>1</v>
      </c>
      <c r="BP63" s="21">
        <f t="shared" si="46"/>
        <v>0</v>
      </c>
      <c r="BQ63" s="21">
        <f t="shared" si="47"/>
        <v>0</v>
      </c>
      <c r="BR63" s="21">
        <f t="shared" si="48"/>
        <v>0</v>
      </c>
      <c r="BS63" s="21">
        <f t="shared" si="49"/>
        <v>0</v>
      </c>
      <c r="BT63" s="21">
        <f t="shared" si="50"/>
        <v>0</v>
      </c>
      <c r="BU63" s="21">
        <f t="shared" si="51"/>
        <v>0</v>
      </c>
      <c r="BV63" s="21">
        <f t="shared" si="52"/>
        <v>1</v>
      </c>
      <c r="BW63" s="21">
        <f t="shared" si="53"/>
        <v>1</v>
      </c>
      <c r="BX63" s="21">
        <f t="shared" si="54"/>
        <v>1</v>
      </c>
      <c r="BY63" s="21">
        <f t="shared" si="55"/>
        <v>1</v>
      </c>
      <c r="BZ63" s="21">
        <f t="shared" si="56"/>
        <v>1</v>
      </c>
      <c r="CA63" s="21">
        <f t="shared" si="57"/>
        <v>1</v>
      </c>
      <c r="CB63" s="21">
        <f t="shared" si="58"/>
        <v>1</v>
      </c>
      <c r="CC63" s="21">
        <f t="shared" si="59"/>
        <v>1</v>
      </c>
      <c r="CD63" s="21">
        <f t="shared" si="60"/>
        <v>1</v>
      </c>
      <c r="CE63" s="21">
        <f t="shared" si="61"/>
        <v>1</v>
      </c>
      <c r="CF63" s="21">
        <f t="shared" si="62"/>
        <v>1</v>
      </c>
      <c r="CG63" s="21">
        <f t="shared" si="63"/>
        <v>1</v>
      </c>
      <c r="CH63" s="21">
        <f t="shared" si="64"/>
        <v>1</v>
      </c>
      <c r="CI63" s="21">
        <f t="shared" si="65"/>
        <v>1</v>
      </c>
      <c r="CJ63" s="21">
        <f t="shared" si="66"/>
        <v>1</v>
      </c>
      <c r="CK63" s="21">
        <f t="shared" si="67"/>
        <v>1</v>
      </c>
      <c r="CL63" s="21">
        <f t="shared" si="68"/>
        <v>1</v>
      </c>
      <c r="CM63" s="21">
        <f t="shared" si="69"/>
        <v>1</v>
      </c>
      <c r="CN63" s="21">
        <f t="shared" si="70"/>
        <v>1</v>
      </c>
      <c r="CO63" s="21">
        <f t="shared" si="71"/>
        <v>1</v>
      </c>
      <c r="CP63" s="21">
        <f t="shared" si="72"/>
        <v>1</v>
      </c>
      <c r="CQ63" s="21">
        <f t="shared" si="73"/>
        <v>1</v>
      </c>
      <c r="CR63" s="21">
        <f t="shared" si="74"/>
        <v>0</v>
      </c>
      <c r="CS63" s="21"/>
      <c r="CT63" s="21"/>
      <c r="CU63" s="21"/>
      <c r="CV63" s="21"/>
      <c r="CW63" s="21"/>
      <c r="CY63" t="str">
        <f t="shared" ca="1" si="84"/>
        <v/>
      </c>
      <c r="CZ63" t="str">
        <f t="shared" ca="1" si="84"/>
        <v/>
      </c>
      <c r="DA63" t="str">
        <f t="shared" ca="1" si="84"/>
        <v/>
      </c>
      <c r="DB63" t="str">
        <f t="shared" ca="1" si="84"/>
        <v/>
      </c>
      <c r="DC63" t="str">
        <f t="shared" ca="1" si="84"/>
        <v/>
      </c>
      <c r="DD63" t="str">
        <f t="shared" ca="1" si="84"/>
        <v/>
      </c>
      <c r="DE63" t="str">
        <f t="shared" ca="1" si="84"/>
        <v/>
      </c>
      <c r="DF63" t="str">
        <f t="shared" ca="1" si="84"/>
        <v/>
      </c>
      <c r="DG63" t="str">
        <f t="shared" ca="1" si="84"/>
        <v/>
      </c>
      <c r="DH63" t="str">
        <f t="shared" ca="1" si="84"/>
        <v/>
      </c>
    </row>
    <row r="64" spans="1:112" ht="39" hidden="1" customHeight="1" x14ac:dyDescent="0.25">
      <c r="A64">
        <f t="shared" si="80"/>
        <v>34</v>
      </c>
      <c r="B64" s="407" t="str">
        <f t="shared" ca="1" si="82"/>
        <v/>
      </c>
      <c r="C64" s="409" t="str">
        <f ca="1">'ריכוז נתונים כללים'!D70</f>
        <v/>
      </c>
      <c r="D64" s="410"/>
      <c r="E64" s="410">
        <v>1</v>
      </c>
      <c r="F64" s="410">
        <v>1</v>
      </c>
      <c r="G64" s="410">
        <v>1</v>
      </c>
      <c r="H64" s="410">
        <v>1</v>
      </c>
      <c r="I64" s="410">
        <v>1</v>
      </c>
      <c r="J64" s="410">
        <v>1</v>
      </c>
      <c r="K64" s="410">
        <v>1</v>
      </c>
      <c r="L64" s="410">
        <v>1</v>
      </c>
      <c r="M64" s="410">
        <v>1</v>
      </c>
      <c r="N64" s="420"/>
      <c r="O64" s="420"/>
      <c r="P64" s="407" t="str">
        <f t="shared" ca="1" si="76"/>
        <v/>
      </c>
      <c r="Q64" s="410"/>
      <c r="R64" s="410"/>
      <c r="S64" s="410"/>
      <c r="T64" s="410"/>
      <c r="U64" s="410"/>
      <c r="V64" s="410"/>
      <c r="W64" s="410"/>
      <c r="X64" s="410"/>
      <c r="Y64" s="410"/>
      <c r="Z64" s="410"/>
      <c r="AA64" s="410"/>
      <c r="AB64" s="411"/>
      <c r="AC64" s="408"/>
      <c r="AD64" s="410"/>
      <c r="AE64" s="410"/>
      <c r="AF64" s="410"/>
      <c r="AG64" s="407"/>
      <c r="AH64" s="410"/>
      <c r="AI64" s="410"/>
      <c r="AJ64" s="410"/>
      <c r="AK64" s="410"/>
      <c r="AL64" s="410"/>
      <c r="AM64" s="407"/>
      <c r="AN64" s="408"/>
      <c r="AO64" s="410"/>
      <c r="AP64" s="410"/>
      <c r="AQ64" s="408"/>
      <c r="AR64" s="410"/>
      <c r="AS64" s="410"/>
      <c r="AT64" s="410"/>
      <c r="AU64" s="408"/>
      <c r="AV64" s="408"/>
      <c r="AW64" s="408"/>
      <c r="AX64" s="407" t="str" cm="1">
        <f t="array" aca="1" ref="AX64" ca="1">IF($C64="","",IF(AT64=1,1,IF(AZ64&lt;&gt;1,$DF$1,IF(SUMPRODUCT((D64:AT64&gt;=$D$6:$AT$6)*($D$6:$AT$6&lt;&gt;"")*($D$4:$AT$4=1))=COUNTIF($D$4:$AT$4,1),1,0))))</f>
        <v/>
      </c>
      <c r="AY64" s="416"/>
      <c r="AZ64">
        <f t="shared" si="77"/>
        <v>0</v>
      </c>
      <c r="BA64" t="str">
        <f t="shared" ca="1" si="85"/>
        <v/>
      </c>
      <c r="BB64" t="str">
        <f t="shared" ca="1" si="85"/>
        <v/>
      </c>
      <c r="BC64" s="21">
        <f t="shared" si="83"/>
        <v>0</v>
      </c>
      <c r="BD64" s="21">
        <f t="shared" si="34"/>
        <v>1</v>
      </c>
      <c r="BE64" s="21">
        <f t="shared" si="35"/>
        <v>1</v>
      </c>
      <c r="BF64" s="21">
        <f t="shared" si="36"/>
        <v>1</v>
      </c>
      <c r="BG64" s="21">
        <f t="shared" si="37"/>
        <v>1</v>
      </c>
      <c r="BH64" s="21">
        <f t="shared" si="38"/>
        <v>1</v>
      </c>
      <c r="BI64" s="21">
        <f t="shared" si="39"/>
        <v>1</v>
      </c>
      <c r="BJ64" s="21">
        <f t="shared" si="40"/>
        <v>1</v>
      </c>
      <c r="BK64" s="21">
        <f t="shared" si="41"/>
        <v>1</v>
      </c>
      <c r="BL64" s="21">
        <f t="shared" si="42"/>
        <v>1</v>
      </c>
      <c r="BM64" s="21">
        <f t="shared" si="43"/>
        <v>0</v>
      </c>
      <c r="BN64" s="21">
        <f t="shared" si="44"/>
        <v>0</v>
      </c>
      <c r="BO64" s="21">
        <f t="shared" si="45"/>
        <v>1</v>
      </c>
      <c r="BP64" s="21">
        <f t="shared" si="46"/>
        <v>0</v>
      </c>
      <c r="BQ64" s="21">
        <f t="shared" si="47"/>
        <v>0</v>
      </c>
      <c r="BR64" s="21">
        <f t="shared" si="48"/>
        <v>0</v>
      </c>
      <c r="BS64" s="21">
        <f t="shared" si="49"/>
        <v>0</v>
      </c>
      <c r="BT64" s="21">
        <f t="shared" si="50"/>
        <v>0</v>
      </c>
      <c r="BU64" s="21">
        <f t="shared" si="51"/>
        <v>0</v>
      </c>
      <c r="BV64" s="21">
        <f t="shared" si="52"/>
        <v>1</v>
      </c>
      <c r="BW64" s="21">
        <f t="shared" si="53"/>
        <v>1</v>
      </c>
      <c r="BX64" s="21">
        <f t="shared" si="54"/>
        <v>1</v>
      </c>
      <c r="BY64" s="21">
        <f t="shared" si="55"/>
        <v>1</v>
      </c>
      <c r="BZ64" s="21">
        <f t="shared" si="56"/>
        <v>1</v>
      </c>
      <c r="CA64" s="21">
        <f t="shared" si="57"/>
        <v>1</v>
      </c>
      <c r="CB64" s="21">
        <f t="shared" si="58"/>
        <v>1</v>
      </c>
      <c r="CC64" s="21">
        <f t="shared" si="59"/>
        <v>1</v>
      </c>
      <c r="CD64" s="21">
        <f t="shared" si="60"/>
        <v>1</v>
      </c>
      <c r="CE64" s="21">
        <f t="shared" si="61"/>
        <v>1</v>
      </c>
      <c r="CF64" s="21">
        <f t="shared" si="62"/>
        <v>1</v>
      </c>
      <c r="CG64" s="21">
        <f t="shared" si="63"/>
        <v>1</v>
      </c>
      <c r="CH64" s="21">
        <f t="shared" si="64"/>
        <v>1</v>
      </c>
      <c r="CI64" s="21">
        <f t="shared" si="65"/>
        <v>1</v>
      </c>
      <c r="CJ64" s="21">
        <f t="shared" si="66"/>
        <v>1</v>
      </c>
      <c r="CK64" s="21">
        <f t="shared" si="67"/>
        <v>1</v>
      </c>
      <c r="CL64" s="21">
        <f t="shared" si="68"/>
        <v>1</v>
      </c>
      <c r="CM64" s="21">
        <f t="shared" si="69"/>
        <v>1</v>
      </c>
      <c r="CN64" s="21">
        <f t="shared" si="70"/>
        <v>1</v>
      </c>
      <c r="CO64" s="21">
        <f t="shared" si="71"/>
        <v>1</v>
      </c>
      <c r="CP64" s="21">
        <f t="shared" si="72"/>
        <v>1</v>
      </c>
      <c r="CQ64" s="21">
        <f t="shared" si="73"/>
        <v>1</v>
      </c>
      <c r="CR64" s="21">
        <f t="shared" si="74"/>
        <v>0</v>
      </c>
      <c r="CS64" s="21"/>
      <c r="CT64" s="21"/>
      <c r="CU64" s="21"/>
      <c r="CV64" s="21"/>
      <c r="CW64" s="21"/>
      <c r="CY64" t="str">
        <f t="shared" ca="1" si="84"/>
        <v/>
      </c>
      <c r="CZ64" t="str">
        <f t="shared" ca="1" si="84"/>
        <v/>
      </c>
      <c r="DA64" t="str">
        <f t="shared" ca="1" si="84"/>
        <v/>
      </c>
      <c r="DB64" t="str">
        <f t="shared" ca="1" si="84"/>
        <v/>
      </c>
      <c r="DC64" t="str">
        <f t="shared" ca="1" si="84"/>
        <v/>
      </c>
      <c r="DD64" t="str">
        <f t="shared" ca="1" si="84"/>
        <v/>
      </c>
      <c r="DE64" t="str">
        <f t="shared" ca="1" si="84"/>
        <v/>
      </c>
      <c r="DF64" t="str">
        <f t="shared" ca="1" si="84"/>
        <v/>
      </c>
      <c r="DG64" t="str">
        <f t="shared" ca="1" si="84"/>
        <v/>
      </c>
      <c r="DH64" t="str">
        <f t="shared" ca="1" si="84"/>
        <v/>
      </c>
    </row>
    <row r="65" spans="1:112" ht="39" hidden="1" customHeight="1" x14ac:dyDescent="0.25">
      <c r="A65">
        <f t="shared" si="80"/>
        <v>35</v>
      </c>
      <c r="B65" s="407" t="str">
        <f t="shared" ca="1" si="82"/>
        <v/>
      </c>
      <c r="C65" s="409" t="str">
        <f ca="1">'ריכוז נתונים כללים'!D71</f>
        <v/>
      </c>
      <c r="D65" s="410"/>
      <c r="E65" s="410">
        <v>1</v>
      </c>
      <c r="F65" s="410">
        <v>1</v>
      </c>
      <c r="G65" s="410">
        <v>1</v>
      </c>
      <c r="H65" s="410">
        <v>1</v>
      </c>
      <c r="I65" s="410">
        <v>1</v>
      </c>
      <c r="J65" s="410">
        <v>1</v>
      </c>
      <c r="K65" s="410">
        <v>1</v>
      </c>
      <c r="L65" s="410">
        <v>1</v>
      </c>
      <c r="M65" s="410">
        <v>1</v>
      </c>
      <c r="N65" s="420"/>
      <c r="O65" s="420"/>
      <c r="P65" s="407" t="str">
        <f t="shared" ca="1" si="76"/>
        <v/>
      </c>
      <c r="Q65" s="410"/>
      <c r="R65" s="410"/>
      <c r="S65" s="410"/>
      <c r="T65" s="410"/>
      <c r="U65" s="410"/>
      <c r="V65" s="410"/>
      <c r="W65" s="410"/>
      <c r="X65" s="410"/>
      <c r="Y65" s="410"/>
      <c r="Z65" s="410"/>
      <c r="AA65" s="410"/>
      <c r="AB65" s="411"/>
      <c r="AC65" s="408"/>
      <c r="AD65" s="410"/>
      <c r="AE65" s="410"/>
      <c r="AF65" s="410"/>
      <c r="AG65" s="407"/>
      <c r="AH65" s="410"/>
      <c r="AI65" s="410"/>
      <c r="AJ65" s="410"/>
      <c r="AK65" s="410"/>
      <c r="AL65" s="410"/>
      <c r="AM65" s="407"/>
      <c r="AN65" s="408"/>
      <c r="AO65" s="410"/>
      <c r="AP65" s="410"/>
      <c r="AQ65" s="408"/>
      <c r="AR65" s="410"/>
      <c r="AS65" s="410"/>
      <c r="AT65" s="410"/>
      <c r="AU65" s="408"/>
      <c r="AV65" s="408"/>
      <c r="AW65" s="408"/>
      <c r="AX65" s="407" t="str" cm="1">
        <f t="array" aca="1" ref="AX65" ca="1">IF($C65="","",IF(AT65=1,1,IF(AZ65&lt;&gt;1,$DF$1,IF(SUMPRODUCT((D65:AT65&gt;=$D$6:$AT$6)*($D$6:$AT$6&lt;&gt;"")*($D$4:$AT$4=1))=COUNTIF($D$4:$AT$4,1),1,0))))</f>
        <v/>
      </c>
      <c r="AY65" s="417"/>
      <c r="AZ65">
        <f t="shared" si="77"/>
        <v>0</v>
      </c>
      <c r="BA65" t="str">
        <f t="shared" ca="1" si="85"/>
        <v/>
      </c>
      <c r="BB65" t="str">
        <f t="shared" ca="1" si="85"/>
        <v/>
      </c>
      <c r="BC65" s="21">
        <f t="shared" si="83"/>
        <v>0</v>
      </c>
      <c r="BD65" s="21">
        <f t="shared" si="34"/>
        <v>1</v>
      </c>
      <c r="BE65" s="21">
        <f t="shared" si="35"/>
        <v>1</v>
      </c>
      <c r="BF65" s="21">
        <f t="shared" si="36"/>
        <v>1</v>
      </c>
      <c r="BG65" s="21">
        <f t="shared" si="37"/>
        <v>1</v>
      </c>
      <c r="BH65" s="21">
        <f t="shared" si="38"/>
        <v>1</v>
      </c>
      <c r="BI65" s="21">
        <f t="shared" si="39"/>
        <v>1</v>
      </c>
      <c r="BJ65" s="21">
        <f t="shared" si="40"/>
        <v>1</v>
      </c>
      <c r="BK65" s="21">
        <f t="shared" si="41"/>
        <v>1</v>
      </c>
      <c r="BL65" s="21">
        <f t="shared" si="42"/>
        <v>1</v>
      </c>
      <c r="BM65" s="21">
        <f t="shared" si="43"/>
        <v>0</v>
      </c>
      <c r="BN65" s="21">
        <f t="shared" si="44"/>
        <v>0</v>
      </c>
      <c r="BO65" s="21">
        <f t="shared" si="45"/>
        <v>1</v>
      </c>
      <c r="BP65" s="21">
        <f t="shared" si="46"/>
        <v>0</v>
      </c>
      <c r="BQ65" s="21">
        <f t="shared" si="47"/>
        <v>0</v>
      </c>
      <c r="BR65" s="21">
        <f t="shared" si="48"/>
        <v>0</v>
      </c>
      <c r="BS65" s="21">
        <f t="shared" si="49"/>
        <v>0</v>
      </c>
      <c r="BT65" s="21">
        <f t="shared" si="50"/>
        <v>0</v>
      </c>
      <c r="BU65" s="21">
        <f t="shared" si="51"/>
        <v>0</v>
      </c>
      <c r="BV65" s="21">
        <f t="shared" si="52"/>
        <v>1</v>
      </c>
      <c r="BW65" s="21">
        <f t="shared" si="53"/>
        <v>1</v>
      </c>
      <c r="BX65" s="21">
        <f t="shared" si="54"/>
        <v>1</v>
      </c>
      <c r="BY65" s="21">
        <f t="shared" si="55"/>
        <v>1</v>
      </c>
      <c r="BZ65" s="21">
        <f t="shared" si="56"/>
        <v>1</v>
      </c>
      <c r="CA65" s="21">
        <f t="shared" si="57"/>
        <v>1</v>
      </c>
      <c r="CB65" s="21">
        <f t="shared" si="58"/>
        <v>1</v>
      </c>
      <c r="CC65" s="21">
        <f t="shared" si="59"/>
        <v>1</v>
      </c>
      <c r="CD65" s="21">
        <f t="shared" si="60"/>
        <v>1</v>
      </c>
      <c r="CE65" s="21">
        <f t="shared" si="61"/>
        <v>1</v>
      </c>
      <c r="CF65" s="21">
        <f t="shared" si="62"/>
        <v>1</v>
      </c>
      <c r="CG65" s="21">
        <f t="shared" si="63"/>
        <v>1</v>
      </c>
      <c r="CH65" s="21">
        <f t="shared" si="64"/>
        <v>1</v>
      </c>
      <c r="CI65" s="21">
        <f t="shared" si="65"/>
        <v>1</v>
      </c>
      <c r="CJ65" s="21">
        <f t="shared" si="66"/>
        <v>1</v>
      </c>
      <c r="CK65" s="21">
        <f t="shared" si="67"/>
        <v>1</v>
      </c>
      <c r="CL65" s="21">
        <f t="shared" si="68"/>
        <v>1</v>
      </c>
      <c r="CM65" s="21">
        <f t="shared" si="69"/>
        <v>1</v>
      </c>
      <c r="CN65" s="21">
        <f t="shared" si="70"/>
        <v>1</v>
      </c>
      <c r="CO65" s="21">
        <f t="shared" si="71"/>
        <v>1</v>
      </c>
      <c r="CP65" s="21">
        <f t="shared" si="72"/>
        <v>1</v>
      </c>
      <c r="CQ65" s="21">
        <f t="shared" si="73"/>
        <v>1</v>
      </c>
      <c r="CR65" s="21">
        <f t="shared" si="74"/>
        <v>0</v>
      </c>
      <c r="CS65" s="21"/>
      <c r="CT65" s="21"/>
      <c r="CU65" s="21"/>
      <c r="CV65" s="21"/>
      <c r="CW65" s="21"/>
      <c r="CY65" t="str">
        <f t="shared" ca="1" si="84"/>
        <v/>
      </c>
      <c r="CZ65" t="str">
        <f t="shared" ca="1" si="84"/>
        <v/>
      </c>
      <c r="DA65" t="str">
        <f t="shared" ca="1" si="84"/>
        <v/>
      </c>
      <c r="DB65" t="str">
        <f t="shared" ca="1" si="84"/>
        <v/>
      </c>
      <c r="DC65" t="str">
        <f t="shared" ca="1" si="84"/>
        <v/>
      </c>
      <c r="DD65" t="str">
        <f t="shared" ca="1" si="84"/>
        <v/>
      </c>
      <c r="DE65" t="str">
        <f t="shared" ca="1" si="84"/>
        <v/>
      </c>
      <c r="DF65" t="str">
        <f t="shared" ca="1" si="84"/>
        <v/>
      </c>
      <c r="DG65" t="str">
        <f t="shared" ca="1" si="84"/>
        <v/>
      </c>
      <c r="DH65" t="str">
        <f t="shared" ca="1" si="84"/>
        <v/>
      </c>
    </row>
    <row r="66" spans="1:112" ht="34.5" hidden="1" customHeight="1" x14ac:dyDescent="0.25">
      <c r="A66">
        <f t="shared" si="80"/>
        <v>36</v>
      </c>
      <c r="B66" s="407" t="str">
        <f t="shared" ca="1" si="82"/>
        <v/>
      </c>
      <c r="C66" s="409" t="str">
        <f ca="1">'ריכוז נתונים כללים'!D72</f>
        <v/>
      </c>
      <c r="D66" s="410"/>
      <c r="E66" s="410">
        <v>1</v>
      </c>
      <c r="F66" s="410">
        <v>1</v>
      </c>
      <c r="G66" s="410">
        <v>1</v>
      </c>
      <c r="H66" s="410">
        <v>1</v>
      </c>
      <c r="I66" s="410">
        <v>1</v>
      </c>
      <c r="J66" s="410">
        <v>1</v>
      </c>
      <c r="K66" s="410">
        <v>1</v>
      </c>
      <c r="L66" s="410">
        <v>1</v>
      </c>
      <c r="M66" s="410">
        <v>1</v>
      </c>
      <c r="N66" s="420"/>
      <c r="O66" s="420"/>
      <c r="P66" s="407" t="str">
        <f t="shared" ca="1" si="76"/>
        <v/>
      </c>
      <c r="Q66" s="410"/>
      <c r="R66" s="410"/>
      <c r="S66" s="410"/>
      <c r="T66" s="410"/>
      <c r="U66" s="410"/>
      <c r="V66" s="410"/>
      <c r="W66" s="410"/>
      <c r="X66" s="410"/>
      <c r="Y66" s="410"/>
      <c r="Z66" s="410"/>
      <c r="AA66" s="410"/>
      <c r="AB66" s="411"/>
      <c r="AC66" s="408"/>
      <c r="AD66" s="410"/>
      <c r="AE66" s="410"/>
      <c r="AF66" s="410"/>
      <c r="AG66" s="407"/>
      <c r="AH66" s="410"/>
      <c r="AI66" s="410"/>
      <c r="AJ66" s="410"/>
      <c r="AK66" s="410"/>
      <c r="AL66" s="410"/>
      <c r="AM66" s="407"/>
      <c r="AN66" s="408"/>
      <c r="AO66" s="410"/>
      <c r="AP66" s="410"/>
      <c r="AQ66" s="408"/>
      <c r="AR66" s="410"/>
      <c r="AS66" s="410"/>
      <c r="AT66" s="410"/>
      <c r="AU66" s="408"/>
      <c r="AV66" s="408"/>
      <c r="AW66" s="408"/>
      <c r="AX66" s="407" t="str" cm="1">
        <f t="array" aca="1" ref="AX66" ca="1">IF($C66="","",IF(AT66=1,1,IF(AZ66&lt;&gt;1,$DF$1,IF(SUMPRODUCT((D66:AT66&gt;=$D$6:$AT$6)*($D$6:$AT$6&lt;&gt;"")*($D$4:$AT$4=1))=COUNTIF($D$4:$AT$4,1),1,0))))</f>
        <v/>
      </c>
      <c r="AY66" s="416"/>
      <c r="AZ66">
        <f t="shared" si="77"/>
        <v>0</v>
      </c>
      <c r="BA66" t="str">
        <f t="shared" ca="1" si="85"/>
        <v/>
      </c>
      <c r="BB66" t="str">
        <f t="shared" ca="1" si="85"/>
        <v/>
      </c>
      <c r="BC66" s="21">
        <f t="shared" si="83"/>
        <v>0</v>
      </c>
      <c r="BD66" s="21">
        <f t="shared" si="34"/>
        <v>1</v>
      </c>
      <c r="BE66" s="21">
        <f t="shared" si="35"/>
        <v>1</v>
      </c>
      <c r="BF66" s="21">
        <f t="shared" si="36"/>
        <v>1</v>
      </c>
      <c r="BG66" s="21">
        <f t="shared" si="37"/>
        <v>1</v>
      </c>
      <c r="BH66" s="21">
        <f t="shared" si="38"/>
        <v>1</v>
      </c>
      <c r="BI66" s="21">
        <f t="shared" si="39"/>
        <v>1</v>
      </c>
      <c r="BJ66" s="21">
        <f t="shared" si="40"/>
        <v>1</v>
      </c>
      <c r="BK66" s="21">
        <f t="shared" si="41"/>
        <v>1</v>
      </c>
      <c r="BL66" s="21">
        <f t="shared" si="42"/>
        <v>1</v>
      </c>
      <c r="BM66" s="21">
        <f t="shared" si="43"/>
        <v>0</v>
      </c>
      <c r="BN66" s="21">
        <f t="shared" si="44"/>
        <v>0</v>
      </c>
      <c r="BO66" s="21">
        <f t="shared" si="45"/>
        <v>1</v>
      </c>
      <c r="BP66" s="21">
        <f t="shared" si="46"/>
        <v>0</v>
      </c>
      <c r="BQ66" s="21">
        <f t="shared" si="47"/>
        <v>0</v>
      </c>
      <c r="BR66" s="21">
        <f t="shared" si="48"/>
        <v>0</v>
      </c>
      <c r="BS66" s="21">
        <f t="shared" si="49"/>
        <v>0</v>
      </c>
      <c r="BT66" s="21">
        <f t="shared" si="50"/>
        <v>0</v>
      </c>
      <c r="BU66" s="21">
        <f t="shared" si="51"/>
        <v>0</v>
      </c>
      <c r="BV66" s="21">
        <f t="shared" si="52"/>
        <v>1</v>
      </c>
      <c r="BW66" s="21">
        <f t="shared" si="53"/>
        <v>1</v>
      </c>
      <c r="BX66" s="21">
        <f t="shared" si="54"/>
        <v>1</v>
      </c>
      <c r="BY66" s="21">
        <f t="shared" si="55"/>
        <v>1</v>
      </c>
      <c r="BZ66" s="21">
        <f t="shared" si="56"/>
        <v>1</v>
      </c>
      <c r="CA66" s="21">
        <f t="shared" si="57"/>
        <v>1</v>
      </c>
      <c r="CB66" s="21">
        <f t="shared" si="58"/>
        <v>1</v>
      </c>
      <c r="CC66" s="21">
        <f t="shared" si="59"/>
        <v>1</v>
      </c>
      <c r="CD66" s="21">
        <f t="shared" si="60"/>
        <v>1</v>
      </c>
      <c r="CE66" s="21">
        <f t="shared" si="61"/>
        <v>1</v>
      </c>
      <c r="CF66" s="21">
        <f t="shared" si="62"/>
        <v>1</v>
      </c>
      <c r="CG66" s="21">
        <f t="shared" si="63"/>
        <v>1</v>
      </c>
      <c r="CH66" s="21">
        <f t="shared" si="64"/>
        <v>1</v>
      </c>
      <c r="CI66" s="21">
        <f t="shared" si="65"/>
        <v>1</v>
      </c>
      <c r="CJ66" s="21">
        <f t="shared" si="66"/>
        <v>1</v>
      </c>
      <c r="CK66" s="21">
        <f t="shared" si="67"/>
        <v>1</v>
      </c>
      <c r="CL66" s="21">
        <f t="shared" si="68"/>
        <v>1</v>
      </c>
      <c r="CM66" s="21">
        <f t="shared" si="69"/>
        <v>1</v>
      </c>
      <c r="CN66" s="21">
        <f t="shared" si="70"/>
        <v>1</v>
      </c>
      <c r="CO66" s="21">
        <f t="shared" si="71"/>
        <v>1</v>
      </c>
      <c r="CP66" s="21">
        <f t="shared" si="72"/>
        <v>1</v>
      </c>
      <c r="CQ66" s="21">
        <f t="shared" si="73"/>
        <v>1</v>
      </c>
      <c r="CR66" s="21">
        <f t="shared" si="74"/>
        <v>0</v>
      </c>
      <c r="CS66" s="21"/>
      <c r="CT66" s="21"/>
      <c r="CU66" s="21"/>
      <c r="CV66" s="21"/>
      <c r="CW66" s="21"/>
      <c r="CY66" t="str">
        <f t="shared" ca="1" si="84"/>
        <v/>
      </c>
      <c r="CZ66" t="str">
        <f t="shared" ca="1" si="84"/>
        <v/>
      </c>
      <c r="DA66" t="str">
        <f t="shared" ca="1" si="84"/>
        <v/>
      </c>
      <c r="DB66" t="str">
        <f t="shared" ca="1" si="84"/>
        <v/>
      </c>
      <c r="DC66" t="str">
        <f t="shared" ca="1" si="84"/>
        <v/>
      </c>
      <c r="DD66" t="str">
        <f t="shared" ca="1" si="84"/>
        <v/>
      </c>
      <c r="DE66" t="str">
        <f t="shared" ca="1" si="84"/>
        <v/>
      </c>
      <c r="DF66" t="str">
        <f t="shared" ca="1" si="84"/>
        <v/>
      </c>
      <c r="DG66" t="str">
        <f t="shared" ca="1" si="84"/>
        <v/>
      </c>
      <c r="DH66" t="str">
        <f t="shared" ca="1" si="84"/>
        <v/>
      </c>
    </row>
    <row r="67" spans="1:112" ht="39" hidden="1" customHeight="1" x14ac:dyDescent="0.25">
      <c r="A67">
        <f t="shared" si="80"/>
        <v>37</v>
      </c>
      <c r="B67" s="407" t="str">
        <f t="shared" ca="1" si="82"/>
        <v/>
      </c>
      <c r="C67" s="409" t="str">
        <f ca="1">'ריכוז נתונים כללים'!D73</f>
        <v/>
      </c>
      <c r="D67" s="410"/>
      <c r="E67" s="410">
        <v>1</v>
      </c>
      <c r="F67" s="410">
        <v>1</v>
      </c>
      <c r="G67" s="410">
        <v>1</v>
      </c>
      <c r="H67" s="410">
        <v>1</v>
      </c>
      <c r="I67" s="410">
        <v>1</v>
      </c>
      <c r="J67" s="410">
        <v>1</v>
      </c>
      <c r="K67" s="410">
        <v>1</v>
      </c>
      <c r="L67" s="410">
        <v>1</v>
      </c>
      <c r="M67" s="410">
        <v>1</v>
      </c>
      <c r="N67" s="420"/>
      <c r="O67" s="420"/>
      <c r="P67" s="407" t="str">
        <f t="shared" ca="1" si="76"/>
        <v/>
      </c>
      <c r="Q67" s="410"/>
      <c r="R67" s="410"/>
      <c r="S67" s="410"/>
      <c r="T67" s="410"/>
      <c r="U67" s="410"/>
      <c r="V67" s="410"/>
      <c r="W67" s="410"/>
      <c r="X67" s="410"/>
      <c r="Y67" s="410"/>
      <c r="Z67" s="410"/>
      <c r="AA67" s="410"/>
      <c r="AB67" s="411"/>
      <c r="AC67" s="408"/>
      <c r="AD67" s="410"/>
      <c r="AE67" s="410"/>
      <c r="AF67" s="410"/>
      <c r="AG67" s="407"/>
      <c r="AH67" s="410"/>
      <c r="AI67" s="410"/>
      <c r="AJ67" s="410"/>
      <c r="AK67" s="410"/>
      <c r="AL67" s="410"/>
      <c r="AM67" s="407"/>
      <c r="AN67" s="408"/>
      <c r="AO67" s="410"/>
      <c r="AP67" s="410"/>
      <c r="AQ67" s="408"/>
      <c r="AR67" s="410"/>
      <c r="AS67" s="410"/>
      <c r="AT67" s="410"/>
      <c r="AU67" s="408"/>
      <c r="AV67" s="408"/>
      <c r="AW67" s="408"/>
      <c r="AX67" s="407" t="str" cm="1">
        <f t="array" aca="1" ref="AX67" ca="1">IF($C67="","",IF(AT67=1,1,IF(AZ67&lt;&gt;1,$DF$1,IF(SUMPRODUCT((D67:AT67&gt;=$D$6:$AT$6)*($D$6:$AT$6&lt;&gt;"")*($D$4:$AT$4=1))=COUNTIF($D$4:$AT$4,1),1,0))))</f>
        <v/>
      </c>
      <c r="AY67" s="417"/>
      <c r="AZ67">
        <f t="shared" si="77"/>
        <v>0</v>
      </c>
      <c r="BA67" t="str">
        <f t="shared" ca="1" si="85"/>
        <v/>
      </c>
      <c r="BB67" t="str">
        <f t="shared" ca="1" si="85"/>
        <v/>
      </c>
      <c r="BC67" s="21">
        <f t="shared" si="83"/>
        <v>0</v>
      </c>
      <c r="BD67" s="21">
        <f t="shared" si="34"/>
        <v>1</v>
      </c>
      <c r="BE67" s="21">
        <f t="shared" si="35"/>
        <v>1</v>
      </c>
      <c r="BF67" s="21">
        <f t="shared" si="36"/>
        <v>1</v>
      </c>
      <c r="BG67" s="21">
        <f t="shared" si="37"/>
        <v>1</v>
      </c>
      <c r="BH67" s="21">
        <f t="shared" si="38"/>
        <v>1</v>
      </c>
      <c r="BI67" s="21">
        <f t="shared" si="39"/>
        <v>1</v>
      </c>
      <c r="BJ67" s="21">
        <f t="shared" si="40"/>
        <v>1</v>
      </c>
      <c r="BK67" s="21">
        <f t="shared" si="41"/>
        <v>1</v>
      </c>
      <c r="BL67" s="21">
        <f t="shared" si="42"/>
        <v>1</v>
      </c>
      <c r="BM67" s="21">
        <f t="shared" si="43"/>
        <v>0</v>
      </c>
      <c r="BN67" s="21">
        <f t="shared" si="44"/>
        <v>0</v>
      </c>
      <c r="BO67" s="21">
        <f t="shared" si="45"/>
        <v>1</v>
      </c>
      <c r="BP67" s="21">
        <f t="shared" si="46"/>
        <v>0</v>
      </c>
      <c r="BQ67" s="21">
        <f t="shared" si="47"/>
        <v>0</v>
      </c>
      <c r="BR67" s="21">
        <f t="shared" si="48"/>
        <v>0</v>
      </c>
      <c r="BS67" s="21">
        <f t="shared" si="49"/>
        <v>0</v>
      </c>
      <c r="BT67" s="21">
        <f t="shared" si="50"/>
        <v>0</v>
      </c>
      <c r="BU67" s="21">
        <f t="shared" si="51"/>
        <v>0</v>
      </c>
      <c r="BV67" s="21">
        <f t="shared" si="52"/>
        <v>1</v>
      </c>
      <c r="BW67" s="21">
        <f t="shared" si="53"/>
        <v>1</v>
      </c>
      <c r="BX67" s="21">
        <f t="shared" si="54"/>
        <v>1</v>
      </c>
      <c r="BY67" s="21">
        <f t="shared" si="55"/>
        <v>1</v>
      </c>
      <c r="BZ67" s="21">
        <f t="shared" si="56"/>
        <v>1</v>
      </c>
      <c r="CA67" s="21">
        <f t="shared" si="57"/>
        <v>1</v>
      </c>
      <c r="CB67" s="21">
        <f t="shared" si="58"/>
        <v>1</v>
      </c>
      <c r="CC67" s="21">
        <f t="shared" si="59"/>
        <v>1</v>
      </c>
      <c r="CD67" s="21">
        <f t="shared" si="60"/>
        <v>1</v>
      </c>
      <c r="CE67" s="21">
        <f t="shared" si="61"/>
        <v>1</v>
      </c>
      <c r="CF67" s="21">
        <f t="shared" si="62"/>
        <v>1</v>
      </c>
      <c r="CG67" s="21">
        <f t="shared" si="63"/>
        <v>1</v>
      </c>
      <c r="CH67" s="21">
        <f t="shared" si="64"/>
        <v>1</v>
      </c>
      <c r="CI67" s="21">
        <f t="shared" si="65"/>
        <v>1</v>
      </c>
      <c r="CJ67" s="21">
        <f t="shared" si="66"/>
        <v>1</v>
      </c>
      <c r="CK67" s="21">
        <f t="shared" si="67"/>
        <v>1</v>
      </c>
      <c r="CL67" s="21">
        <f t="shared" si="68"/>
        <v>1</v>
      </c>
      <c r="CM67" s="21">
        <f t="shared" si="69"/>
        <v>1</v>
      </c>
      <c r="CN67" s="21">
        <f t="shared" si="70"/>
        <v>1</v>
      </c>
      <c r="CO67" s="21">
        <f t="shared" si="71"/>
        <v>1</v>
      </c>
      <c r="CP67" s="21">
        <f t="shared" si="72"/>
        <v>1</v>
      </c>
      <c r="CQ67" s="21">
        <f t="shared" si="73"/>
        <v>1</v>
      </c>
      <c r="CR67" s="21">
        <f t="shared" si="74"/>
        <v>0</v>
      </c>
      <c r="CS67" s="21"/>
      <c r="CT67" s="21"/>
      <c r="CU67" s="21"/>
      <c r="CV67" s="21"/>
      <c r="CW67" s="21"/>
      <c r="CY67" t="str">
        <f t="shared" ca="1" si="84"/>
        <v/>
      </c>
      <c r="CZ67" t="str">
        <f t="shared" ca="1" si="84"/>
        <v/>
      </c>
      <c r="DA67" t="str">
        <f t="shared" ca="1" si="84"/>
        <v/>
      </c>
      <c r="DB67" t="str">
        <f t="shared" ca="1" si="84"/>
        <v/>
      </c>
      <c r="DC67" t="str">
        <f t="shared" ca="1" si="84"/>
        <v/>
      </c>
      <c r="DD67" t="str">
        <f t="shared" ca="1" si="84"/>
        <v/>
      </c>
      <c r="DE67" t="str">
        <f t="shared" ca="1" si="84"/>
        <v/>
      </c>
      <c r="DF67" t="str">
        <f t="shared" ca="1" si="84"/>
        <v/>
      </c>
      <c r="DG67" t="str">
        <f t="shared" ca="1" si="84"/>
        <v/>
      </c>
      <c r="DH67" t="str">
        <f t="shared" ca="1" si="84"/>
        <v/>
      </c>
    </row>
    <row r="68" spans="1:112" ht="48" hidden="1" customHeight="1" x14ac:dyDescent="0.25">
      <c r="A68">
        <f t="shared" si="80"/>
        <v>38</v>
      </c>
      <c r="B68" s="407" t="str">
        <f t="shared" ca="1" si="82"/>
        <v/>
      </c>
      <c r="C68" s="409" t="str">
        <f ca="1">'ריכוז נתונים כללים'!D74</f>
        <v/>
      </c>
      <c r="D68" s="410"/>
      <c r="E68" s="410">
        <v>1</v>
      </c>
      <c r="F68" s="410">
        <v>1</v>
      </c>
      <c r="G68" s="410">
        <v>1</v>
      </c>
      <c r="H68" s="410">
        <v>1</v>
      </c>
      <c r="I68" s="410">
        <v>1</v>
      </c>
      <c r="J68" s="410">
        <v>1</v>
      </c>
      <c r="K68" s="410">
        <v>1</v>
      </c>
      <c r="L68" s="410">
        <v>1</v>
      </c>
      <c r="M68" s="410">
        <v>1</v>
      </c>
      <c r="N68" s="420"/>
      <c r="O68" s="420"/>
      <c r="P68" s="407" t="str">
        <f t="shared" ca="1" si="76"/>
        <v/>
      </c>
      <c r="Q68" s="410"/>
      <c r="R68" s="410"/>
      <c r="S68" s="410"/>
      <c r="T68" s="410"/>
      <c r="U68" s="410"/>
      <c r="V68" s="410"/>
      <c r="W68" s="410"/>
      <c r="X68" s="410"/>
      <c r="Y68" s="410"/>
      <c r="Z68" s="410"/>
      <c r="AA68" s="410"/>
      <c r="AB68" s="411"/>
      <c r="AC68" s="408"/>
      <c r="AD68" s="410"/>
      <c r="AE68" s="410"/>
      <c r="AF68" s="410"/>
      <c r="AG68" s="407"/>
      <c r="AH68" s="410"/>
      <c r="AI68" s="410"/>
      <c r="AJ68" s="410"/>
      <c r="AK68" s="410"/>
      <c r="AL68" s="410"/>
      <c r="AM68" s="407"/>
      <c r="AN68" s="408"/>
      <c r="AO68" s="410"/>
      <c r="AP68" s="410"/>
      <c r="AQ68" s="408"/>
      <c r="AR68" s="410"/>
      <c r="AS68" s="410"/>
      <c r="AT68" s="410"/>
      <c r="AU68" s="408"/>
      <c r="AV68" s="408"/>
      <c r="AW68" s="408"/>
      <c r="AX68" s="407" t="str" cm="1">
        <f t="array" aca="1" ref="AX68" ca="1">IF($C68="","",IF(AT68=1,1,IF(AZ68&lt;&gt;1,$DF$1,IF(SUMPRODUCT((D68:AT68&gt;=$D$6:$AT$6)*($D$6:$AT$6&lt;&gt;"")*($D$4:$AT$4=1))=COUNTIF($D$4:$AT$4,1),1,0))))</f>
        <v/>
      </c>
      <c r="AY68" s="417"/>
      <c r="AZ68">
        <f t="shared" si="77"/>
        <v>0</v>
      </c>
      <c r="BA68" t="str">
        <f t="shared" ca="1" si="85"/>
        <v/>
      </c>
      <c r="BB68" t="str">
        <f t="shared" ca="1" si="85"/>
        <v/>
      </c>
      <c r="BC68" s="21">
        <f t="shared" si="83"/>
        <v>0</v>
      </c>
      <c r="BD68" s="21">
        <f t="shared" si="34"/>
        <v>1</v>
      </c>
      <c r="BE68" s="21">
        <f t="shared" si="35"/>
        <v>1</v>
      </c>
      <c r="BF68" s="21">
        <f t="shared" si="36"/>
        <v>1</v>
      </c>
      <c r="BG68" s="21">
        <f t="shared" si="37"/>
        <v>1</v>
      </c>
      <c r="BH68" s="21">
        <f t="shared" si="38"/>
        <v>1</v>
      </c>
      <c r="BI68" s="21">
        <f t="shared" si="39"/>
        <v>1</v>
      </c>
      <c r="BJ68" s="21">
        <f t="shared" si="40"/>
        <v>1</v>
      </c>
      <c r="BK68" s="21">
        <f t="shared" si="41"/>
        <v>1</v>
      </c>
      <c r="BL68" s="21">
        <f t="shared" si="42"/>
        <v>1</v>
      </c>
      <c r="BM68" s="21">
        <f t="shared" si="43"/>
        <v>0</v>
      </c>
      <c r="BN68" s="21">
        <f t="shared" si="44"/>
        <v>0</v>
      </c>
      <c r="BO68" s="21">
        <f t="shared" si="45"/>
        <v>1</v>
      </c>
      <c r="BP68" s="21">
        <f t="shared" si="46"/>
        <v>0</v>
      </c>
      <c r="BQ68" s="21">
        <f t="shared" si="47"/>
        <v>0</v>
      </c>
      <c r="BR68" s="21">
        <f t="shared" si="48"/>
        <v>0</v>
      </c>
      <c r="BS68" s="21">
        <f t="shared" si="49"/>
        <v>0</v>
      </c>
      <c r="BT68" s="21">
        <f t="shared" si="50"/>
        <v>0</v>
      </c>
      <c r="BU68" s="21">
        <f t="shared" si="51"/>
        <v>0</v>
      </c>
      <c r="BV68" s="21">
        <f t="shared" si="52"/>
        <v>1</v>
      </c>
      <c r="BW68" s="21">
        <f t="shared" si="53"/>
        <v>1</v>
      </c>
      <c r="BX68" s="21">
        <f t="shared" si="54"/>
        <v>1</v>
      </c>
      <c r="BY68" s="21">
        <f t="shared" si="55"/>
        <v>1</v>
      </c>
      <c r="BZ68" s="21">
        <f t="shared" si="56"/>
        <v>1</v>
      </c>
      <c r="CA68" s="21">
        <f t="shared" si="57"/>
        <v>1</v>
      </c>
      <c r="CB68" s="21">
        <f t="shared" si="58"/>
        <v>1</v>
      </c>
      <c r="CC68" s="21">
        <f t="shared" si="59"/>
        <v>1</v>
      </c>
      <c r="CD68" s="21">
        <f t="shared" si="60"/>
        <v>1</v>
      </c>
      <c r="CE68" s="21">
        <f t="shared" si="61"/>
        <v>1</v>
      </c>
      <c r="CF68" s="21">
        <f t="shared" si="62"/>
        <v>1</v>
      </c>
      <c r="CG68" s="21">
        <f t="shared" si="63"/>
        <v>1</v>
      </c>
      <c r="CH68" s="21">
        <f t="shared" si="64"/>
        <v>1</v>
      </c>
      <c r="CI68" s="21">
        <f t="shared" si="65"/>
        <v>1</v>
      </c>
      <c r="CJ68" s="21">
        <f t="shared" si="66"/>
        <v>1</v>
      </c>
      <c r="CK68" s="21">
        <f t="shared" si="67"/>
        <v>1</v>
      </c>
      <c r="CL68" s="21">
        <f t="shared" si="68"/>
        <v>1</v>
      </c>
      <c r="CM68" s="21">
        <f t="shared" si="69"/>
        <v>1</v>
      </c>
      <c r="CN68" s="21">
        <f t="shared" si="70"/>
        <v>1</v>
      </c>
      <c r="CO68" s="21">
        <f t="shared" si="71"/>
        <v>1</v>
      </c>
      <c r="CP68" s="21">
        <f t="shared" si="72"/>
        <v>1</v>
      </c>
      <c r="CQ68" s="21">
        <f t="shared" si="73"/>
        <v>1</v>
      </c>
      <c r="CR68" s="21">
        <f t="shared" si="74"/>
        <v>0</v>
      </c>
      <c r="CS68" s="21"/>
      <c r="CT68" s="21"/>
      <c r="CU68" s="21"/>
      <c r="CV68" s="21"/>
      <c r="CW68" s="21"/>
      <c r="CY68" t="str">
        <f t="shared" ca="1" si="84"/>
        <v/>
      </c>
      <c r="CZ68" t="str">
        <f t="shared" ca="1" si="84"/>
        <v/>
      </c>
      <c r="DA68" t="str">
        <f t="shared" ca="1" si="84"/>
        <v/>
      </c>
      <c r="DB68" t="str">
        <f t="shared" ca="1" si="84"/>
        <v/>
      </c>
      <c r="DC68" t="str">
        <f t="shared" ca="1" si="84"/>
        <v/>
      </c>
      <c r="DD68" t="str">
        <f t="shared" ca="1" si="84"/>
        <v/>
      </c>
      <c r="DE68" t="str">
        <f t="shared" ca="1" si="84"/>
        <v/>
      </c>
      <c r="DF68" t="str">
        <f t="shared" ca="1" si="84"/>
        <v/>
      </c>
      <c r="DG68" t="str">
        <f t="shared" ca="1" si="84"/>
        <v/>
      </c>
      <c r="DH68" t="str">
        <f t="shared" ca="1" si="84"/>
        <v/>
      </c>
    </row>
    <row r="69" spans="1:112" ht="39" hidden="1" customHeight="1" x14ac:dyDescent="0.25">
      <c r="A69">
        <f t="shared" si="80"/>
        <v>39</v>
      </c>
      <c r="B69" s="407" t="str">
        <f t="shared" ca="1" si="82"/>
        <v/>
      </c>
      <c r="C69" s="409" t="str">
        <f ca="1">'ריכוז נתונים כללים'!D75</f>
        <v/>
      </c>
      <c r="D69" s="410"/>
      <c r="E69" s="410">
        <v>1</v>
      </c>
      <c r="F69" s="410">
        <v>1</v>
      </c>
      <c r="G69" s="410">
        <v>1</v>
      </c>
      <c r="H69" s="410">
        <v>1</v>
      </c>
      <c r="I69" s="410">
        <v>1</v>
      </c>
      <c r="J69" s="410">
        <v>1</v>
      </c>
      <c r="K69" s="410">
        <v>1</v>
      </c>
      <c r="L69" s="410">
        <v>1</v>
      </c>
      <c r="M69" s="410">
        <v>1</v>
      </c>
      <c r="N69" s="420"/>
      <c r="O69" s="420"/>
      <c r="P69" s="407" t="str">
        <f t="shared" ca="1" si="76"/>
        <v/>
      </c>
      <c r="Q69" s="410"/>
      <c r="R69" s="410"/>
      <c r="S69" s="410"/>
      <c r="T69" s="410"/>
      <c r="U69" s="410"/>
      <c r="V69" s="410"/>
      <c r="W69" s="410"/>
      <c r="X69" s="410"/>
      <c r="Y69" s="410"/>
      <c r="Z69" s="410"/>
      <c r="AA69" s="410"/>
      <c r="AB69" s="411"/>
      <c r="AC69" s="408"/>
      <c r="AD69" s="410"/>
      <c r="AE69" s="410"/>
      <c r="AF69" s="410"/>
      <c r="AG69" s="407"/>
      <c r="AH69" s="410"/>
      <c r="AI69" s="410"/>
      <c r="AJ69" s="410"/>
      <c r="AK69" s="410"/>
      <c r="AL69" s="410"/>
      <c r="AM69" s="407"/>
      <c r="AN69" s="408"/>
      <c r="AO69" s="410"/>
      <c r="AP69" s="410"/>
      <c r="AQ69" s="408"/>
      <c r="AR69" s="410"/>
      <c r="AS69" s="410"/>
      <c r="AT69" s="410"/>
      <c r="AU69" s="408"/>
      <c r="AV69" s="408"/>
      <c r="AW69" s="408"/>
      <c r="AX69" s="407" t="str" cm="1">
        <f t="array" aca="1" ref="AX69" ca="1">IF($C69="","",IF(AT69=1,1,IF(AZ69&lt;&gt;1,$DF$1,IF(SUMPRODUCT((D69:AT69&gt;=$D$6:$AT$6)*($D$6:$AT$6&lt;&gt;"")*($D$4:$AT$4=1))=COUNTIF($D$4:$AT$4,1),1,0))))</f>
        <v/>
      </c>
      <c r="AY69" s="416"/>
      <c r="AZ69">
        <f t="shared" si="77"/>
        <v>0</v>
      </c>
      <c r="BA69" t="str">
        <f t="shared" ca="1" si="85"/>
        <v/>
      </c>
      <c r="BB69" t="str">
        <f t="shared" ca="1" si="85"/>
        <v/>
      </c>
      <c r="BC69" s="21">
        <f t="shared" si="83"/>
        <v>0</v>
      </c>
      <c r="BD69" s="21">
        <f t="shared" si="34"/>
        <v>1</v>
      </c>
      <c r="BE69" s="21">
        <f t="shared" si="35"/>
        <v>1</v>
      </c>
      <c r="BF69" s="21">
        <f t="shared" si="36"/>
        <v>1</v>
      </c>
      <c r="BG69" s="21">
        <f t="shared" si="37"/>
        <v>1</v>
      </c>
      <c r="BH69" s="21">
        <f t="shared" si="38"/>
        <v>1</v>
      </c>
      <c r="BI69" s="21">
        <f t="shared" si="39"/>
        <v>1</v>
      </c>
      <c r="BJ69" s="21">
        <f t="shared" si="40"/>
        <v>1</v>
      </c>
      <c r="BK69" s="21">
        <f t="shared" si="41"/>
        <v>1</v>
      </c>
      <c r="BL69" s="21">
        <f t="shared" si="42"/>
        <v>1</v>
      </c>
      <c r="BM69" s="21">
        <f t="shared" si="43"/>
        <v>0</v>
      </c>
      <c r="BN69" s="21">
        <f t="shared" si="44"/>
        <v>0</v>
      </c>
      <c r="BO69" s="21">
        <f t="shared" si="45"/>
        <v>1</v>
      </c>
      <c r="BP69" s="21">
        <f t="shared" si="46"/>
        <v>0</v>
      </c>
      <c r="BQ69" s="21">
        <f t="shared" si="47"/>
        <v>0</v>
      </c>
      <c r="BR69" s="21">
        <f t="shared" si="48"/>
        <v>0</v>
      </c>
      <c r="BS69" s="21">
        <f t="shared" si="49"/>
        <v>0</v>
      </c>
      <c r="BT69" s="21">
        <f t="shared" si="50"/>
        <v>0</v>
      </c>
      <c r="BU69" s="21">
        <f t="shared" si="51"/>
        <v>0</v>
      </c>
      <c r="BV69" s="21">
        <f t="shared" si="52"/>
        <v>1</v>
      </c>
      <c r="BW69" s="21">
        <f t="shared" si="53"/>
        <v>1</v>
      </c>
      <c r="BX69" s="21">
        <f t="shared" si="54"/>
        <v>1</v>
      </c>
      <c r="BY69" s="21">
        <f t="shared" si="55"/>
        <v>1</v>
      </c>
      <c r="BZ69" s="21">
        <f t="shared" si="56"/>
        <v>1</v>
      </c>
      <c r="CA69" s="21">
        <f t="shared" si="57"/>
        <v>1</v>
      </c>
      <c r="CB69" s="21">
        <f t="shared" si="58"/>
        <v>1</v>
      </c>
      <c r="CC69" s="21">
        <f t="shared" si="59"/>
        <v>1</v>
      </c>
      <c r="CD69" s="21">
        <f t="shared" si="60"/>
        <v>1</v>
      </c>
      <c r="CE69" s="21">
        <f t="shared" si="61"/>
        <v>1</v>
      </c>
      <c r="CF69" s="21">
        <f t="shared" si="62"/>
        <v>1</v>
      </c>
      <c r="CG69" s="21">
        <f t="shared" si="63"/>
        <v>1</v>
      </c>
      <c r="CH69" s="21">
        <f t="shared" si="64"/>
        <v>1</v>
      </c>
      <c r="CI69" s="21">
        <f t="shared" si="65"/>
        <v>1</v>
      </c>
      <c r="CJ69" s="21">
        <f t="shared" si="66"/>
        <v>1</v>
      </c>
      <c r="CK69" s="21">
        <f t="shared" si="67"/>
        <v>1</v>
      </c>
      <c r="CL69" s="21">
        <f t="shared" si="68"/>
        <v>1</v>
      </c>
      <c r="CM69" s="21">
        <f t="shared" si="69"/>
        <v>1</v>
      </c>
      <c r="CN69" s="21">
        <f t="shared" si="70"/>
        <v>1</v>
      </c>
      <c r="CO69" s="21">
        <f t="shared" si="71"/>
        <v>1</v>
      </c>
      <c r="CP69" s="21">
        <f t="shared" si="72"/>
        <v>1</v>
      </c>
      <c r="CQ69" s="21">
        <f t="shared" si="73"/>
        <v>1</v>
      </c>
      <c r="CR69" s="21">
        <f t="shared" si="74"/>
        <v>0</v>
      </c>
      <c r="CS69" s="21"/>
      <c r="CT69" s="21"/>
      <c r="CU69" s="21"/>
      <c r="CV69" s="21"/>
      <c r="CW69" s="21"/>
      <c r="CY69" t="str">
        <f t="shared" ca="1" si="84"/>
        <v/>
      </c>
      <c r="CZ69" t="str">
        <f t="shared" ca="1" si="84"/>
        <v/>
      </c>
      <c r="DA69" t="str">
        <f t="shared" ca="1" si="84"/>
        <v/>
      </c>
      <c r="DB69" t="str">
        <f t="shared" ca="1" si="84"/>
        <v/>
      </c>
      <c r="DC69" t="str">
        <f t="shared" ca="1" si="84"/>
        <v/>
      </c>
      <c r="DD69" t="str">
        <f t="shared" ref="DD69:DH69" ca="1" si="86">IF($C69="","",DD$10)</f>
        <v/>
      </c>
      <c r="DE69" t="str">
        <f t="shared" ca="1" si="86"/>
        <v/>
      </c>
      <c r="DF69" t="str">
        <f t="shared" ca="1" si="86"/>
        <v/>
      </c>
      <c r="DG69" t="str">
        <f t="shared" ca="1" si="86"/>
        <v/>
      </c>
      <c r="DH69" t="str">
        <f t="shared" ca="1" si="86"/>
        <v/>
      </c>
    </row>
    <row r="70" spans="1:112" ht="39" customHeight="1" x14ac:dyDescent="0.25">
      <c r="A70">
        <f t="shared" si="80"/>
        <v>40</v>
      </c>
      <c r="B70" s="407">
        <f t="shared" ca="1" si="82"/>
        <v>60</v>
      </c>
      <c r="C70" s="409" t="str">
        <f ca="1">'ריכוז נתונים כללים'!D76</f>
        <v>שרשרת הדורות</v>
      </c>
      <c r="D70" s="410">
        <v>0</v>
      </c>
      <c r="E70" s="410">
        <v>1</v>
      </c>
      <c r="F70" s="410">
        <v>1</v>
      </c>
      <c r="G70" s="410">
        <v>1</v>
      </c>
      <c r="H70" s="410">
        <v>1</v>
      </c>
      <c r="I70" s="410">
        <v>1</v>
      </c>
      <c r="J70" s="410">
        <v>1</v>
      </c>
      <c r="K70" s="410">
        <v>1</v>
      </c>
      <c r="L70" s="410">
        <v>1</v>
      </c>
      <c r="M70" s="410">
        <v>1</v>
      </c>
      <c r="N70" s="420">
        <v>353075</v>
      </c>
      <c r="O70" s="420">
        <v>353075</v>
      </c>
      <c r="P70" s="407">
        <f t="shared" ca="1" si="76"/>
        <v>1</v>
      </c>
      <c r="Q70" s="410">
        <v>1</v>
      </c>
      <c r="R70" s="410">
        <v>1</v>
      </c>
      <c r="S70" s="410">
        <v>1</v>
      </c>
      <c r="T70" s="410">
        <v>1</v>
      </c>
      <c r="U70" s="410">
        <v>1</v>
      </c>
      <c r="V70" s="410">
        <v>1</v>
      </c>
      <c r="W70" s="410"/>
      <c r="X70" s="410"/>
      <c r="Y70" s="410"/>
      <c r="Z70" s="410"/>
      <c r="AA70" s="410"/>
      <c r="AB70" s="411"/>
      <c r="AC70" s="408"/>
      <c r="AD70" s="410"/>
      <c r="AE70" s="410"/>
      <c r="AF70" s="410"/>
      <c r="AG70" s="407"/>
      <c r="AH70" s="410"/>
      <c r="AI70" s="410"/>
      <c r="AJ70" s="410"/>
      <c r="AK70" s="410"/>
      <c r="AL70" s="410"/>
      <c r="AM70" s="407"/>
      <c r="AN70" s="408"/>
      <c r="AO70" s="410"/>
      <c r="AP70" s="410"/>
      <c r="AQ70" s="408"/>
      <c r="AR70" s="410"/>
      <c r="AS70" s="410">
        <v>1</v>
      </c>
      <c r="AT70" s="410"/>
      <c r="AU70" s="408"/>
      <c r="AV70" s="408"/>
      <c r="AW70" s="408"/>
      <c r="AX70" s="407" cm="1">
        <f t="array" aca="1" ref="AX70" ca="1">IF($C70="","",IF(AT70=1,1,IF(AZ70&lt;&gt;1,$DF$1,IF(SUMPRODUCT((D70:AT70&gt;=$D$6:$AT$6)*($D$6:$AT$6&lt;&gt;"")*($D$4:$AT$4=1))=COUNTIF($D$4:$AT$4,1),1,0))))</f>
        <v>1</v>
      </c>
      <c r="AY70" s="416"/>
      <c r="AZ70">
        <f t="shared" si="77"/>
        <v>1</v>
      </c>
      <c r="BA70">
        <f t="shared" ca="1" si="85"/>
        <v>0</v>
      </c>
      <c r="BB70">
        <f t="shared" ca="1" si="85"/>
        <v>1</v>
      </c>
      <c r="BC70" s="21">
        <f t="shared" si="83"/>
        <v>1</v>
      </c>
      <c r="BD70" s="21">
        <f t="shared" si="34"/>
        <v>1</v>
      </c>
      <c r="BE70" s="21">
        <f t="shared" si="35"/>
        <v>1</v>
      </c>
      <c r="BF70" s="21">
        <f t="shared" si="36"/>
        <v>1</v>
      </c>
      <c r="BG70" s="21">
        <f t="shared" si="37"/>
        <v>1</v>
      </c>
      <c r="BH70" s="21">
        <f t="shared" si="38"/>
        <v>1</v>
      </c>
      <c r="BI70" s="21">
        <f t="shared" si="39"/>
        <v>1</v>
      </c>
      <c r="BJ70" s="21">
        <f t="shared" si="40"/>
        <v>1</v>
      </c>
      <c r="BK70" s="21">
        <f t="shared" si="41"/>
        <v>1</v>
      </c>
      <c r="BL70" s="21">
        <f t="shared" si="42"/>
        <v>1</v>
      </c>
      <c r="BM70" s="21">
        <f t="shared" si="43"/>
        <v>1</v>
      </c>
      <c r="BN70" s="21">
        <f t="shared" si="44"/>
        <v>1</v>
      </c>
      <c r="BO70" s="21">
        <f t="shared" si="45"/>
        <v>1</v>
      </c>
      <c r="BP70" s="21">
        <f t="shared" si="46"/>
        <v>1</v>
      </c>
      <c r="BQ70" s="21">
        <f t="shared" si="47"/>
        <v>1</v>
      </c>
      <c r="BR70" s="21">
        <f t="shared" si="48"/>
        <v>1</v>
      </c>
      <c r="BS70" s="21">
        <f t="shared" si="49"/>
        <v>1</v>
      </c>
      <c r="BT70" s="21">
        <f t="shared" si="50"/>
        <v>1</v>
      </c>
      <c r="BU70" s="21">
        <f t="shared" si="51"/>
        <v>1</v>
      </c>
      <c r="BV70" s="21">
        <f t="shared" si="52"/>
        <v>1</v>
      </c>
      <c r="BW70" s="21">
        <f t="shared" si="53"/>
        <v>1</v>
      </c>
      <c r="BX70" s="21">
        <f t="shared" si="54"/>
        <v>1</v>
      </c>
      <c r="BY70" s="21">
        <f t="shared" si="55"/>
        <v>1</v>
      </c>
      <c r="BZ70" s="21">
        <f t="shared" si="56"/>
        <v>1</v>
      </c>
      <c r="CA70" s="21">
        <f t="shared" si="57"/>
        <v>1</v>
      </c>
      <c r="CB70" s="21">
        <f t="shared" si="58"/>
        <v>1</v>
      </c>
      <c r="CC70" s="21">
        <f t="shared" si="59"/>
        <v>1</v>
      </c>
      <c r="CD70" s="21">
        <f t="shared" si="60"/>
        <v>1</v>
      </c>
      <c r="CE70" s="21">
        <f t="shared" si="61"/>
        <v>1</v>
      </c>
      <c r="CF70" s="21">
        <f t="shared" si="62"/>
        <v>1</v>
      </c>
      <c r="CG70" s="21">
        <f t="shared" si="63"/>
        <v>1</v>
      </c>
      <c r="CH70" s="21">
        <f t="shared" si="64"/>
        <v>1</v>
      </c>
      <c r="CI70" s="21">
        <f t="shared" si="65"/>
        <v>1</v>
      </c>
      <c r="CJ70" s="21">
        <f t="shared" si="66"/>
        <v>1</v>
      </c>
      <c r="CK70" s="21">
        <f t="shared" si="67"/>
        <v>1</v>
      </c>
      <c r="CL70" s="21">
        <f t="shared" si="68"/>
        <v>1</v>
      </c>
      <c r="CM70" s="21">
        <f t="shared" si="69"/>
        <v>1</v>
      </c>
      <c r="CN70" s="21">
        <f t="shared" si="70"/>
        <v>1</v>
      </c>
      <c r="CO70" s="21">
        <f t="shared" si="71"/>
        <v>1</v>
      </c>
      <c r="CP70" s="21">
        <f t="shared" si="72"/>
        <v>1</v>
      </c>
      <c r="CQ70" s="21">
        <f t="shared" si="73"/>
        <v>1</v>
      </c>
      <c r="CR70" s="21">
        <f t="shared" si="74"/>
        <v>1</v>
      </c>
      <c r="CS70" s="21"/>
      <c r="CT70" s="21"/>
      <c r="CU70" s="21"/>
      <c r="CV70" s="21"/>
      <c r="CW70" s="21"/>
      <c r="CY70">
        <f t="shared" ref="CY70:DH72" ca="1" si="87">IF($C70="","",CY$10)</f>
        <v>1</v>
      </c>
      <c r="CZ70">
        <f t="shared" ca="1" si="87"/>
        <v>2</v>
      </c>
      <c r="DA70">
        <f t="shared" ca="1" si="87"/>
        <v>3</v>
      </c>
      <c r="DB70">
        <f t="shared" ca="1" si="87"/>
        <v>4</v>
      </c>
      <c r="DC70">
        <f t="shared" ca="1" si="87"/>
        <v>5</v>
      </c>
      <c r="DD70">
        <f t="shared" ca="1" si="87"/>
        <v>6</v>
      </c>
      <c r="DE70">
        <f t="shared" ca="1" si="87"/>
        <v>7</v>
      </c>
      <c r="DF70">
        <f t="shared" ca="1" si="87"/>
        <v>8</v>
      </c>
      <c r="DG70">
        <f t="shared" ca="1" si="87"/>
        <v>9</v>
      </c>
      <c r="DH70">
        <f t="shared" ca="1" si="87"/>
        <v>10</v>
      </c>
    </row>
    <row r="71" spans="1:112" ht="21" customHeight="1" x14ac:dyDescent="0.25">
      <c r="A71">
        <f t="shared" si="80"/>
        <v>41</v>
      </c>
      <c r="B71" s="407">
        <f t="shared" ca="1" si="82"/>
        <v>61</v>
      </c>
      <c r="C71" s="409" t="str">
        <f ca="1">'ריכוז נתונים כללים'!D77</f>
        <v>חיבה</v>
      </c>
      <c r="D71" s="410">
        <v>0</v>
      </c>
      <c r="E71" s="410">
        <v>1</v>
      </c>
      <c r="F71" s="410">
        <v>1</v>
      </c>
      <c r="G71" s="410">
        <v>1</v>
      </c>
      <c r="H71" s="410">
        <v>1</v>
      </c>
      <c r="I71" s="410">
        <v>1</v>
      </c>
      <c r="J71" s="410">
        <v>1</v>
      </c>
      <c r="K71" s="410">
        <v>1</v>
      </c>
      <c r="L71" s="410">
        <v>1</v>
      </c>
      <c r="M71" s="410">
        <v>1</v>
      </c>
      <c r="N71" s="420">
        <v>1628514</v>
      </c>
      <c r="O71" s="420">
        <v>1628514</v>
      </c>
      <c r="P71" s="407">
        <f t="shared" ca="1" si="76"/>
        <v>1</v>
      </c>
      <c r="Q71" s="410">
        <v>1</v>
      </c>
      <c r="R71" s="410">
        <v>1</v>
      </c>
      <c r="S71" s="410">
        <v>1</v>
      </c>
      <c r="T71" s="410">
        <v>1</v>
      </c>
      <c r="U71" s="410">
        <v>1</v>
      </c>
      <c r="V71" s="410">
        <v>1</v>
      </c>
      <c r="W71" s="410"/>
      <c r="X71" s="410"/>
      <c r="Y71" s="410"/>
      <c r="Z71" s="410"/>
      <c r="AA71" s="410"/>
      <c r="AB71" s="411"/>
      <c r="AC71" s="408"/>
      <c r="AD71" s="410"/>
      <c r="AE71" s="410"/>
      <c r="AF71" s="410"/>
      <c r="AG71" s="407"/>
      <c r="AH71" s="410"/>
      <c r="AI71" s="410"/>
      <c r="AJ71" s="410"/>
      <c r="AK71" s="410"/>
      <c r="AL71" s="410"/>
      <c r="AM71" s="407"/>
      <c r="AN71" s="408"/>
      <c r="AO71" s="410"/>
      <c r="AP71" s="410"/>
      <c r="AQ71" s="408"/>
      <c r="AR71" s="410"/>
      <c r="AS71" s="410">
        <v>1</v>
      </c>
      <c r="AT71" s="410"/>
      <c r="AU71" s="408"/>
      <c r="AV71" s="408"/>
      <c r="AW71" s="408"/>
      <c r="AX71" s="407" cm="1">
        <f t="array" aca="1" ref="AX71" ca="1">IF($C71="","",IF(AT71=1,1,IF(AZ71&lt;&gt;1,$DF$1,IF(SUMPRODUCT((D71:AT71&gt;=$D$6:$AT$6)*($D$6:$AT$6&lt;&gt;"")*($D$4:$AT$4=1))=COUNTIF($D$4:$AT$4,1),1,0))))</f>
        <v>1</v>
      </c>
      <c r="AY71" s="416"/>
      <c r="AZ71">
        <f t="shared" si="77"/>
        <v>1</v>
      </c>
      <c r="BA71">
        <f t="shared" ca="1" si="85"/>
        <v>0</v>
      </c>
      <c r="BB71">
        <f t="shared" ca="1" si="85"/>
        <v>1</v>
      </c>
      <c r="BC71" s="21">
        <f t="shared" si="83"/>
        <v>1</v>
      </c>
      <c r="BD71" s="21">
        <f t="shared" si="34"/>
        <v>1</v>
      </c>
      <c r="BE71" s="21">
        <f t="shared" si="35"/>
        <v>1</v>
      </c>
      <c r="BF71" s="21">
        <f t="shared" si="36"/>
        <v>1</v>
      </c>
      <c r="BG71" s="21">
        <f t="shared" si="37"/>
        <v>1</v>
      </c>
      <c r="BH71" s="21">
        <f t="shared" si="38"/>
        <v>1</v>
      </c>
      <c r="BI71" s="21">
        <f t="shared" si="39"/>
        <v>1</v>
      </c>
      <c r="BJ71" s="21">
        <f t="shared" si="40"/>
        <v>1</v>
      </c>
      <c r="BK71" s="21">
        <f t="shared" si="41"/>
        <v>1</v>
      </c>
      <c r="BL71" s="21">
        <f t="shared" si="42"/>
        <v>1</v>
      </c>
      <c r="BM71" s="21">
        <f t="shared" si="43"/>
        <v>1</v>
      </c>
      <c r="BN71" s="21">
        <f t="shared" si="44"/>
        <v>1</v>
      </c>
      <c r="BO71" s="21">
        <f t="shared" si="45"/>
        <v>1</v>
      </c>
      <c r="BP71" s="21">
        <f t="shared" si="46"/>
        <v>1</v>
      </c>
      <c r="BQ71" s="21">
        <f t="shared" si="47"/>
        <v>1</v>
      </c>
      <c r="BR71" s="21">
        <f t="shared" si="48"/>
        <v>1</v>
      </c>
      <c r="BS71" s="21">
        <f t="shared" si="49"/>
        <v>1</v>
      </c>
      <c r="BT71" s="21">
        <f t="shared" si="50"/>
        <v>1</v>
      </c>
      <c r="BU71" s="21">
        <f t="shared" si="51"/>
        <v>1</v>
      </c>
      <c r="BV71" s="21">
        <f t="shared" si="52"/>
        <v>1</v>
      </c>
      <c r="BW71" s="21">
        <f t="shared" si="53"/>
        <v>1</v>
      </c>
      <c r="BX71" s="21">
        <f t="shared" si="54"/>
        <v>1</v>
      </c>
      <c r="BY71" s="21">
        <f t="shared" si="55"/>
        <v>1</v>
      </c>
      <c r="BZ71" s="21">
        <f t="shared" si="56"/>
        <v>1</v>
      </c>
      <c r="CA71" s="21">
        <f t="shared" si="57"/>
        <v>1</v>
      </c>
      <c r="CB71" s="21">
        <f t="shared" si="58"/>
        <v>1</v>
      </c>
      <c r="CC71" s="21">
        <f t="shared" si="59"/>
        <v>1</v>
      </c>
      <c r="CD71" s="21">
        <f t="shared" si="60"/>
        <v>1</v>
      </c>
      <c r="CE71" s="21">
        <f t="shared" si="61"/>
        <v>1</v>
      </c>
      <c r="CF71" s="21">
        <f t="shared" si="62"/>
        <v>1</v>
      </c>
      <c r="CG71" s="21">
        <f t="shared" si="63"/>
        <v>1</v>
      </c>
      <c r="CH71" s="21">
        <f t="shared" si="64"/>
        <v>1</v>
      </c>
      <c r="CI71" s="21">
        <f t="shared" si="65"/>
        <v>1</v>
      </c>
      <c r="CJ71" s="21">
        <f t="shared" si="66"/>
        <v>1</v>
      </c>
      <c r="CK71" s="21">
        <f t="shared" si="67"/>
        <v>1</v>
      </c>
      <c r="CL71" s="21">
        <f t="shared" si="68"/>
        <v>1</v>
      </c>
      <c r="CM71" s="21">
        <f t="shared" si="69"/>
        <v>1</v>
      </c>
      <c r="CN71" s="21">
        <f t="shared" si="70"/>
        <v>1</v>
      </c>
      <c r="CO71" s="21">
        <f t="shared" si="71"/>
        <v>1</v>
      </c>
      <c r="CP71" s="21">
        <f t="shared" si="72"/>
        <v>1</v>
      </c>
      <c r="CQ71" s="21">
        <f t="shared" si="73"/>
        <v>1</v>
      </c>
      <c r="CR71" s="21">
        <f t="shared" si="74"/>
        <v>1</v>
      </c>
      <c r="CS71" s="21"/>
      <c r="CT71" s="21"/>
      <c r="CU71" s="21"/>
      <c r="CV71" s="21"/>
      <c r="CW71" s="21"/>
      <c r="CY71">
        <f t="shared" ca="1" si="87"/>
        <v>1</v>
      </c>
      <c r="CZ71">
        <f t="shared" ca="1" si="87"/>
        <v>2</v>
      </c>
      <c r="DA71">
        <f t="shared" ca="1" si="87"/>
        <v>3</v>
      </c>
      <c r="DB71">
        <f t="shared" ca="1" si="87"/>
        <v>4</v>
      </c>
      <c r="DC71">
        <f t="shared" ca="1" si="87"/>
        <v>5</v>
      </c>
      <c r="DD71">
        <f t="shared" ca="1" si="87"/>
        <v>6</v>
      </c>
      <c r="DE71">
        <f t="shared" ca="1" si="87"/>
        <v>7</v>
      </c>
      <c r="DF71">
        <f t="shared" ca="1" si="87"/>
        <v>8</v>
      </c>
      <c r="DG71">
        <f t="shared" ca="1" si="87"/>
        <v>9</v>
      </c>
      <c r="DH71">
        <f t="shared" ca="1" si="87"/>
        <v>10</v>
      </c>
    </row>
    <row r="72" spans="1:112" ht="29.25" hidden="1" customHeight="1" x14ac:dyDescent="0.25">
      <c r="A72">
        <f t="shared" si="80"/>
        <v>42</v>
      </c>
      <c r="B72" s="407" t="str">
        <f t="shared" ca="1" si="82"/>
        <v/>
      </c>
      <c r="C72" s="409" t="str">
        <f ca="1">'ריכוז נתונים כללים'!D78</f>
        <v/>
      </c>
      <c r="D72" s="410"/>
      <c r="E72" s="410"/>
      <c r="F72" s="410"/>
      <c r="G72" s="410"/>
      <c r="H72" s="410"/>
      <c r="I72" s="410"/>
      <c r="J72" s="410"/>
      <c r="K72" s="410"/>
      <c r="L72" s="410"/>
      <c r="M72" s="410"/>
      <c r="N72" s="420"/>
      <c r="O72" s="420"/>
      <c r="P72" s="407" t="str">
        <f t="shared" ca="1" si="76"/>
        <v/>
      </c>
      <c r="Q72" s="410"/>
      <c r="R72" s="410"/>
      <c r="S72" s="410"/>
      <c r="T72" s="410"/>
      <c r="U72" s="410"/>
      <c r="V72" s="410"/>
      <c r="W72" s="410"/>
      <c r="X72" s="410"/>
      <c r="Y72" s="410"/>
      <c r="Z72" s="410"/>
      <c r="AA72" s="410"/>
      <c r="AB72" s="411"/>
      <c r="AC72" s="408"/>
      <c r="AD72" s="410"/>
      <c r="AE72" s="410"/>
      <c r="AF72" s="410"/>
      <c r="AG72" s="407"/>
      <c r="AH72" s="410"/>
      <c r="AI72" s="410"/>
      <c r="AJ72" s="410"/>
      <c r="AK72" s="410"/>
      <c r="AL72" s="410"/>
      <c r="AM72" s="407"/>
      <c r="AN72" s="408"/>
      <c r="AO72" s="410"/>
      <c r="AP72" s="410"/>
      <c r="AQ72" s="408"/>
      <c r="AR72" s="410"/>
      <c r="AS72" s="410"/>
      <c r="AT72" s="407"/>
      <c r="AU72" s="408"/>
      <c r="AV72" s="408"/>
      <c r="AW72" s="408"/>
      <c r="AX72" s="407" t="str" cm="1">
        <f t="array" aca="1" ref="AX72" ca="1">IF($C72="","",IF(AT72=1,1,IF(AZ72&lt;&gt;1,$DF$1,IF(SUMPRODUCT((D72:AT72&gt;=$D$6:$AT$6)*($D$6:$AT$6&lt;&gt;"")*($D$4:$AT$4=1))=COUNTIF($D$4:$AT$4,1),1,0))))</f>
        <v/>
      </c>
      <c r="AY72" s="417"/>
      <c r="AZ72">
        <f t="shared" si="77"/>
        <v>0</v>
      </c>
      <c r="BA72" t="str">
        <f t="shared" ca="1" si="85"/>
        <v/>
      </c>
      <c r="BB72" t="str">
        <f t="shared" ca="1" si="85"/>
        <v/>
      </c>
      <c r="BC72" s="21">
        <f t="shared" si="83"/>
        <v>0</v>
      </c>
      <c r="BD72" s="21">
        <f t="shared" si="34"/>
        <v>0</v>
      </c>
      <c r="BE72" s="21">
        <f t="shared" si="35"/>
        <v>0</v>
      </c>
      <c r="BF72" s="21">
        <f t="shared" si="36"/>
        <v>0</v>
      </c>
      <c r="BG72" s="21">
        <f t="shared" si="37"/>
        <v>0</v>
      </c>
      <c r="BH72" s="21">
        <f t="shared" si="38"/>
        <v>0</v>
      </c>
      <c r="BI72" s="21">
        <f t="shared" si="39"/>
        <v>0</v>
      </c>
      <c r="BJ72" s="21">
        <f t="shared" si="40"/>
        <v>0</v>
      </c>
      <c r="BK72" s="21">
        <f t="shared" si="41"/>
        <v>0</v>
      </c>
      <c r="BL72" s="21">
        <f t="shared" si="42"/>
        <v>0</v>
      </c>
      <c r="BM72" s="21">
        <f t="shared" si="43"/>
        <v>0</v>
      </c>
      <c r="BN72" s="21">
        <f t="shared" si="44"/>
        <v>0</v>
      </c>
      <c r="BO72" s="21">
        <f t="shared" si="45"/>
        <v>1</v>
      </c>
      <c r="BP72" s="21">
        <f t="shared" si="46"/>
        <v>0</v>
      </c>
      <c r="BQ72" s="21">
        <f t="shared" si="47"/>
        <v>0</v>
      </c>
      <c r="BR72" s="21">
        <f t="shared" si="48"/>
        <v>0</v>
      </c>
      <c r="BS72" s="21">
        <f t="shared" si="49"/>
        <v>0</v>
      </c>
      <c r="BT72" s="21">
        <f t="shared" si="50"/>
        <v>0</v>
      </c>
      <c r="BU72" s="21">
        <f t="shared" si="51"/>
        <v>0</v>
      </c>
      <c r="BV72" s="21">
        <f t="shared" si="52"/>
        <v>1</v>
      </c>
      <c r="BW72" s="21">
        <f t="shared" si="53"/>
        <v>1</v>
      </c>
      <c r="BX72" s="21">
        <f t="shared" si="54"/>
        <v>1</v>
      </c>
      <c r="BY72" s="21">
        <f t="shared" si="55"/>
        <v>1</v>
      </c>
      <c r="BZ72" s="21">
        <f t="shared" si="56"/>
        <v>1</v>
      </c>
      <c r="CA72" s="21">
        <f t="shared" si="57"/>
        <v>1</v>
      </c>
      <c r="CB72" s="21">
        <f t="shared" si="58"/>
        <v>1</v>
      </c>
      <c r="CC72" s="21">
        <f t="shared" si="59"/>
        <v>1</v>
      </c>
      <c r="CD72" s="21">
        <f t="shared" si="60"/>
        <v>1</v>
      </c>
      <c r="CE72" s="21">
        <f t="shared" si="61"/>
        <v>1</v>
      </c>
      <c r="CF72" s="21">
        <f t="shared" si="62"/>
        <v>1</v>
      </c>
      <c r="CG72" s="21">
        <f t="shared" si="63"/>
        <v>1</v>
      </c>
      <c r="CH72" s="21">
        <f t="shared" si="64"/>
        <v>1</v>
      </c>
      <c r="CI72" s="21">
        <f t="shared" si="65"/>
        <v>1</v>
      </c>
      <c r="CJ72" s="21">
        <f t="shared" si="66"/>
        <v>1</v>
      </c>
      <c r="CK72" s="21">
        <f t="shared" si="67"/>
        <v>1</v>
      </c>
      <c r="CL72" s="21">
        <f t="shared" si="68"/>
        <v>1</v>
      </c>
      <c r="CM72" s="21">
        <f t="shared" si="69"/>
        <v>1</v>
      </c>
      <c r="CN72" s="21">
        <f t="shared" si="70"/>
        <v>1</v>
      </c>
      <c r="CO72" s="21">
        <f t="shared" si="71"/>
        <v>1</v>
      </c>
      <c r="CP72" s="21">
        <f t="shared" si="72"/>
        <v>1</v>
      </c>
      <c r="CQ72" s="21">
        <f t="shared" si="73"/>
        <v>1</v>
      </c>
      <c r="CR72" s="21">
        <f t="shared" si="74"/>
        <v>0</v>
      </c>
      <c r="CS72" s="21"/>
      <c r="CT72" s="21"/>
      <c r="CU72" s="21"/>
      <c r="CV72" s="21"/>
      <c r="CW72" s="21"/>
      <c r="CY72" t="str">
        <f t="shared" ca="1" si="87"/>
        <v/>
      </c>
      <c r="CZ72" t="str">
        <f t="shared" ca="1" si="87"/>
        <v/>
      </c>
      <c r="DA72" t="str">
        <f t="shared" ca="1" si="87"/>
        <v/>
      </c>
      <c r="DB72" t="str">
        <f t="shared" ca="1" si="87"/>
        <v/>
      </c>
      <c r="DC72" t="str">
        <f t="shared" ca="1" si="87"/>
        <v/>
      </c>
      <c r="DD72" t="str">
        <f t="shared" ca="1" si="87"/>
        <v/>
      </c>
      <c r="DE72" t="str">
        <f t="shared" ca="1" si="87"/>
        <v/>
      </c>
      <c r="DF72" t="str">
        <f t="shared" ca="1" si="87"/>
        <v/>
      </c>
      <c r="DG72" t="str">
        <f t="shared" ca="1" si="87"/>
        <v/>
      </c>
      <c r="DH72" t="str">
        <f t="shared" ca="1" si="87"/>
        <v/>
      </c>
    </row>
  </sheetData>
  <sheetProtection algorithmName="SHA-512" hashValue="C2VeWDQoXw9yTwH4yO6Sv7LWdvpx0vsgC/6k5f7CBsV72LwL5YKAz8x+cbZfbpClFSRfUpeCmeLnDf9FqHE5LQ==" saltValue="vUfn9MnwBDJHm0oGB0cWkg==" spinCount="100000" sheet="1" scenarios="1" formatColumns="0" formatRows="0" autoFilter="0"/>
  <mergeCells count="13">
    <mergeCell ref="AZ1:DD1"/>
    <mergeCell ref="N8:P8"/>
    <mergeCell ref="B9:B10"/>
    <mergeCell ref="C9:C10"/>
    <mergeCell ref="AV9:AV10"/>
    <mergeCell ref="AW9:AW10"/>
    <mergeCell ref="AX9:AX10"/>
    <mergeCell ref="AC9:AC10"/>
    <mergeCell ref="AM9:AM10"/>
    <mergeCell ref="AN9:AN10"/>
    <mergeCell ref="AQ9:AQ10"/>
    <mergeCell ref="AU9:AU10"/>
    <mergeCell ref="P9:P10"/>
  </mergeCells>
  <conditionalFormatting sqref="D11:D72 AB11:AE72 AJ11:AK17">
    <cfRule type="expression" dxfId="469" priority="300" stopIfTrue="1">
      <formula>AND($C11="",D11&lt;&gt;"")</formula>
    </cfRule>
  </conditionalFormatting>
  <conditionalFormatting sqref="D11:J11 D11:D72 I11:I72 K11:M72 AB11:AE72 AJ18:AJ72">
    <cfRule type="expression" dxfId="468" priority="863">
      <formula>D$10&lt;&gt;""</formula>
    </cfRule>
    <cfRule type="expression" dxfId="467" priority="862">
      <formula>$C11=""</formula>
    </cfRule>
  </conditionalFormatting>
  <conditionalFormatting sqref="D11:J11 D11:D72 I11:I72 K11:M72 AB11:AE72">
    <cfRule type="expression" dxfId="466" priority="861" stopIfTrue="1">
      <formula>AND($C11="",D11&lt;&gt;"")</formula>
    </cfRule>
    <cfRule type="expression" dxfId="465" priority="853">
      <formula>D$10&lt;&gt;""</formula>
    </cfRule>
    <cfRule type="expression" dxfId="464" priority="852">
      <formula>$C11=""</formula>
    </cfRule>
  </conditionalFormatting>
  <conditionalFormatting sqref="D11:J11 I11:M72">
    <cfRule type="expression" dxfId="463" priority="84">
      <formula>$C11=""</formula>
    </cfRule>
  </conditionalFormatting>
  <conditionalFormatting sqref="D11:J11">
    <cfRule type="expression" dxfId="462" priority="15" stopIfTrue="1">
      <formula>AND($C11="",D11&lt;&gt;"")</formula>
    </cfRule>
    <cfRule type="expression" dxfId="461" priority="17" stopIfTrue="1">
      <formula>AND($C11="",D11&lt;&gt;"")</formula>
    </cfRule>
    <cfRule type="expression" dxfId="460" priority="18">
      <formula>$C11=""</formula>
    </cfRule>
    <cfRule type="expression" dxfId="459" priority="19">
      <formula>D$10&lt;&gt;""</formula>
    </cfRule>
    <cfRule type="expression" dxfId="458" priority="7" stopIfTrue="1">
      <formula>AND($C11="",D11&lt;&gt;"")</formula>
    </cfRule>
    <cfRule type="expression" dxfId="457" priority="8">
      <formula>$C11=""</formula>
    </cfRule>
    <cfRule type="expression" dxfId="456" priority="9" stopIfTrue="1">
      <formula>AND($C11="",D11&lt;&gt;"")</formula>
    </cfRule>
    <cfRule type="expression" dxfId="455" priority="10">
      <formula>$C11=""</formula>
    </cfRule>
    <cfRule type="expression" dxfId="454" priority="11">
      <formula>D$10&lt;&gt;""</formula>
    </cfRule>
    <cfRule type="expression" dxfId="453" priority="12" stopIfTrue="1">
      <formula>AND($C11="",D11&lt;&gt;"")</formula>
    </cfRule>
    <cfRule type="expression" dxfId="452" priority="13">
      <formula>$C11=""</formula>
    </cfRule>
    <cfRule type="expression" dxfId="451" priority="14">
      <formula>D$10&lt;&gt;""</formula>
    </cfRule>
    <cfRule type="expression" dxfId="450" priority="16">
      <formula>$C11=""</formula>
    </cfRule>
  </conditionalFormatting>
  <conditionalFormatting sqref="D11:M11 K12:M72">
    <cfRule type="expression" dxfId="449" priority="123" stopIfTrue="1">
      <formula>AND($C11="",D11&lt;&gt;"")</formula>
    </cfRule>
    <cfRule type="expression" dxfId="448" priority="124">
      <formula>$C11=""</formula>
    </cfRule>
    <cfRule type="expression" dxfId="447" priority="114">
      <formula>D$10&lt;&gt;""</formula>
    </cfRule>
    <cfRule type="expression" dxfId="446" priority="115" stopIfTrue="1">
      <formula>AND($C11="",D11&lt;&gt;"")</formula>
    </cfRule>
    <cfRule type="expression" dxfId="445" priority="116">
      <formula>$C11=""</formula>
    </cfRule>
    <cfRule type="expression" dxfId="444" priority="117">
      <formula>D$10&lt;&gt;""</formula>
    </cfRule>
    <cfRule type="expression" dxfId="443" priority="125">
      <formula>D$10&lt;&gt;""</formula>
    </cfRule>
    <cfRule type="expression" dxfId="442" priority="118" stopIfTrue="1">
      <formula>AND($C11="",D11&lt;&gt;"")</formula>
    </cfRule>
    <cfRule type="expression" dxfId="441" priority="119">
      <formula>$C11=""</formula>
    </cfRule>
    <cfRule type="expression" dxfId="440" priority="120" stopIfTrue="1">
      <formula>AND($C11="",D11&lt;&gt;"")</formula>
    </cfRule>
    <cfRule type="expression" dxfId="439" priority="121">
      <formula>$C11=""</formula>
    </cfRule>
    <cfRule type="expression" dxfId="438" priority="113">
      <formula>$C11=""</formula>
    </cfRule>
    <cfRule type="expression" dxfId="437" priority="122">
      <formula>D$10&lt;&gt;""</formula>
    </cfRule>
    <cfRule type="expression" dxfId="436" priority="110" stopIfTrue="1">
      <formula>AND($C11="",D11&lt;&gt;"")</formula>
    </cfRule>
    <cfRule type="expression" dxfId="435" priority="111">
      <formula>$C11=""</formula>
    </cfRule>
    <cfRule type="expression" dxfId="434" priority="112" stopIfTrue="1">
      <formula>AND($C11="",D11&lt;&gt;"")</formula>
    </cfRule>
  </conditionalFormatting>
  <conditionalFormatting sqref="D4:AT4">
    <cfRule type="cellIs" dxfId="433" priority="263" operator="equal">
      <formula>99</formula>
    </cfRule>
  </conditionalFormatting>
  <conditionalFormatting sqref="F11:F72">
    <cfRule type="expression" dxfId="432" priority="233">
      <formula>F$10&lt;&gt;""</formula>
    </cfRule>
    <cfRule type="expression" dxfId="431" priority="234" stopIfTrue="1">
      <formula>AND($C11="",F11&lt;&gt;"")</formula>
    </cfRule>
    <cfRule type="expression" dxfId="430" priority="235">
      <formula>$C11=""</formula>
    </cfRule>
    <cfRule type="expression" dxfId="429" priority="236">
      <formula>F$10&lt;&gt;""</formula>
    </cfRule>
    <cfRule type="expression" dxfId="428" priority="237" stopIfTrue="1">
      <formula>AND($C11="",F11&lt;&gt;"")</formula>
    </cfRule>
    <cfRule type="expression" dxfId="427" priority="238">
      <formula>$C11=""</formula>
    </cfRule>
    <cfRule type="expression" dxfId="426" priority="239" stopIfTrue="1">
      <formula>AND($C11="",F11&lt;&gt;"")</formula>
    </cfRule>
    <cfRule type="expression" dxfId="425" priority="240">
      <formula>$C11=""</formula>
    </cfRule>
    <cfRule type="expression" dxfId="424" priority="241">
      <formula>F$10&lt;&gt;""</formula>
    </cfRule>
    <cfRule type="expression" dxfId="423" priority="243">
      <formula>$C11=""</formula>
    </cfRule>
    <cfRule type="expression" dxfId="422" priority="244">
      <formula>F$10&lt;&gt;""</formula>
    </cfRule>
    <cfRule type="expression" dxfId="421" priority="242" stopIfTrue="1">
      <formula>AND($C11="",F11&lt;&gt;"")</formula>
    </cfRule>
    <cfRule type="expression" dxfId="420" priority="231" stopIfTrue="1">
      <formula>AND($C11="",F11&lt;&gt;"")</formula>
    </cfRule>
    <cfRule type="expression" dxfId="419" priority="232">
      <formula>$C11=""</formula>
    </cfRule>
  </conditionalFormatting>
  <conditionalFormatting sqref="F11:H72">
    <cfRule type="expression" dxfId="418" priority="140">
      <formula>$C11=""</formula>
    </cfRule>
    <cfRule type="expression" dxfId="417" priority="139" stopIfTrue="1">
      <formula>AND($C11="",F11&lt;&gt;"")</formula>
    </cfRule>
  </conditionalFormatting>
  <conditionalFormatting sqref="G11:H72">
    <cfRule type="expression" dxfId="416" priority="141">
      <formula>G$10&lt;&gt;""</formula>
    </cfRule>
    <cfRule type="expression" dxfId="415" priority="138">
      <formula>G$10&lt;&gt;""</formula>
    </cfRule>
    <cfRule type="expression" dxfId="414" priority="131" stopIfTrue="1">
      <formula>AND($C11="",G11&lt;&gt;"")</formula>
    </cfRule>
    <cfRule type="expression" dxfId="413" priority="130">
      <formula>G$10&lt;&gt;""</formula>
    </cfRule>
    <cfRule type="expression" dxfId="412" priority="129">
      <formula>$C11=""</formula>
    </cfRule>
    <cfRule type="expression" dxfId="411" priority="128" stopIfTrue="1">
      <formula>AND($C11="",G11&lt;&gt;"")</formula>
    </cfRule>
    <cfRule type="expression" dxfId="410" priority="132">
      <formula>$C11=""</formula>
    </cfRule>
    <cfRule type="expression" dxfId="409" priority="137">
      <formula>$C11=""</formula>
    </cfRule>
    <cfRule type="expression" dxfId="408" priority="133">
      <formula>G$10&lt;&gt;""</formula>
    </cfRule>
    <cfRule type="expression" dxfId="407" priority="134" stopIfTrue="1">
      <formula>AND($C11="",G11&lt;&gt;"")</formula>
    </cfRule>
    <cfRule type="expression" dxfId="406" priority="135">
      <formula>$C11=""</formula>
    </cfRule>
    <cfRule type="expression" dxfId="405" priority="136" stopIfTrue="1">
      <formula>AND($C11="",G11&lt;&gt;"")</formula>
    </cfRule>
  </conditionalFormatting>
  <conditionalFormatting sqref="G11:J72">
    <cfRule type="expression" dxfId="404" priority="108">
      <formula>$C11=""</formula>
    </cfRule>
    <cfRule type="expression" dxfId="403" priority="107" stopIfTrue="1">
      <formula>AND($C11="",G11&lt;&gt;"")</formula>
    </cfRule>
  </conditionalFormatting>
  <conditionalFormatting sqref="I11:J72">
    <cfRule type="expression" dxfId="402" priority="96" stopIfTrue="1">
      <formula>AND($C11="",I11&lt;&gt;"")</formula>
    </cfRule>
    <cfRule type="expression" dxfId="401" priority="97">
      <formula>$C11=""</formula>
    </cfRule>
    <cfRule type="expression" dxfId="400" priority="98">
      <formula>I$10&lt;&gt;""</formula>
    </cfRule>
    <cfRule type="expression" dxfId="399" priority="109">
      <formula>I$10&lt;&gt;""</formula>
    </cfRule>
    <cfRule type="expression" dxfId="398" priority="99" stopIfTrue="1">
      <formula>AND($C11="",I11&lt;&gt;"")</formula>
    </cfRule>
    <cfRule type="expression" dxfId="397" priority="104" stopIfTrue="1">
      <formula>AND($C11="",I11&lt;&gt;"")</formula>
    </cfRule>
    <cfRule type="expression" dxfId="396" priority="106">
      <formula>I$10&lt;&gt;""</formula>
    </cfRule>
    <cfRule type="expression" dxfId="395" priority="103">
      <formula>$C11=""</formula>
    </cfRule>
    <cfRule type="expression" dxfId="394" priority="102" stopIfTrue="1">
      <formula>AND($C11="",I11&lt;&gt;"")</formula>
    </cfRule>
    <cfRule type="expression" dxfId="393" priority="105">
      <formula>$C11=""</formula>
    </cfRule>
    <cfRule type="expression" dxfId="392" priority="101">
      <formula>I$10&lt;&gt;""</formula>
    </cfRule>
    <cfRule type="expression" dxfId="391" priority="100">
      <formula>$C11=""</formula>
    </cfRule>
  </conditionalFormatting>
  <conditionalFormatting sqref="I11:M72 D11:J11">
    <cfRule type="expression" dxfId="390" priority="83" stopIfTrue="1">
      <formula>AND($C11="",D11&lt;&gt;"")</formula>
    </cfRule>
  </conditionalFormatting>
  <conditionalFormatting sqref="K11:M72">
    <cfRule type="expression" dxfId="389" priority="74">
      <formula>K$10&lt;&gt;""</formula>
    </cfRule>
    <cfRule type="expression" dxfId="388" priority="70" stopIfTrue="1">
      <formula>AND($C11="",K11&lt;&gt;"")</formula>
    </cfRule>
    <cfRule type="expression" dxfId="387" priority="71">
      <formula>$C11=""</formula>
    </cfRule>
    <cfRule type="expression" dxfId="386" priority="75" stopIfTrue="1">
      <formula>AND($C11="",K11&lt;&gt;"")</formula>
    </cfRule>
    <cfRule type="expression" dxfId="385" priority="76">
      <formula>$C11=""</formula>
    </cfRule>
    <cfRule type="expression" dxfId="384" priority="73">
      <formula>$C11=""</formula>
    </cfRule>
    <cfRule type="expression" dxfId="383" priority="77">
      <formula>K$10&lt;&gt;""</formula>
    </cfRule>
    <cfRule type="expression" dxfId="382" priority="78" stopIfTrue="1">
      <formula>AND($C11="",K11&lt;&gt;"")</formula>
    </cfRule>
    <cfRule type="expression" dxfId="381" priority="79">
      <formula>$C11=""</formula>
    </cfRule>
    <cfRule type="expression" dxfId="380" priority="80" stopIfTrue="1">
      <formula>AND($C11="",K11&lt;&gt;"")</formula>
    </cfRule>
    <cfRule type="expression" dxfId="379" priority="81">
      <formula>$C11=""</formula>
    </cfRule>
    <cfRule type="expression" dxfId="378" priority="72" stopIfTrue="1">
      <formula>AND($C11="",K11&lt;&gt;"")</formula>
    </cfRule>
    <cfRule type="expression" dxfId="377" priority="85">
      <formula>K$10&lt;&gt;""</formula>
    </cfRule>
    <cfRule type="expression" dxfId="376" priority="82">
      <formula>K$10&lt;&gt;""</formula>
    </cfRule>
  </conditionalFormatting>
  <conditionalFormatting sqref="L11:M72">
    <cfRule type="expression" dxfId="375" priority="171">
      <formula>$C11=""</formula>
    </cfRule>
    <cfRule type="expression" dxfId="374" priority="176">
      <formula>$C11=""</formula>
    </cfRule>
  </conditionalFormatting>
  <conditionalFormatting sqref="N11:O72">
    <cfRule type="expression" dxfId="373" priority="175">
      <formula>#REF!=""</formula>
    </cfRule>
    <cfRule type="expression" dxfId="372" priority="174">
      <formula>#REF!&lt;&gt;""</formula>
    </cfRule>
    <cfRule type="expression" dxfId="371" priority="173">
      <formula>AND(#REF!="",N11&lt;&gt;"")</formula>
    </cfRule>
  </conditionalFormatting>
  <conditionalFormatting sqref="P11:Q72">
    <cfRule type="expression" dxfId="370" priority="54">
      <formula>P$10&lt;&gt;""</formula>
    </cfRule>
    <cfRule type="expression" dxfId="369" priority="55">
      <formula>$C11=""</formula>
    </cfRule>
    <cfRule type="expression" dxfId="368" priority="57">
      <formula>$C11=""</formula>
    </cfRule>
    <cfRule type="expression" dxfId="367" priority="59">
      <formula>$C11=""</formula>
    </cfRule>
    <cfRule type="expression" dxfId="366" priority="60">
      <formula>P$10&lt;&gt;""</formula>
    </cfRule>
    <cfRule type="expression" dxfId="365" priority="62" stopIfTrue="1">
      <formula>AND($C11="",P11&lt;&gt;"")</formula>
    </cfRule>
    <cfRule type="expression" dxfId="364" priority="63">
      <formula>$C11=""</formula>
    </cfRule>
    <cfRule type="expression" dxfId="363" priority="64">
      <formula>P$10&lt;&gt;""</formula>
    </cfRule>
    <cfRule type="expression" dxfId="362" priority="32" stopIfTrue="1">
      <formula>AND($C11="",P11&lt;&gt;"")</formula>
    </cfRule>
    <cfRule type="expression" dxfId="361" priority="22" stopIfTrue="1">
      <formula>AND($C11="",P11&lt;&gt;"")</formula>
    </cfRule>
    <cfRule type="expression" dxfId="360" priority="23">
      <formula>$C11=""</formula>
    </cfRule>
    <cfRule type="expression" dxfId="359" priority="24" stopIfTrue="1">
      <formula>AND($C11="",P11&lt;&gt;"")</formula>
    </cfRule>
    <cfRule type="expression" dxfId="358" priority="25">
      <formula>$C11=""</formula>
    </cfRule>
    <cfRule type="expression" dxfId="357" priority="26">
      <formula>P$10&lt;&gt;""</formula>
    </cfRule>
    <cfRule type="expression" dxfId="356" priority="27" stopIfTrue="1">
      <formula>AND($C11="",P11&lt;&gt;"")</formula>
    </cfRule>
    <cfRule type="expression" dxfId="355" priority="28">
      <formula>$C11=""</formula>
    </cfRule>
    <cfRule type="expression" dxfId="354" priority="29">
      <formula>P$10&lt;&gt;""</formula>
    </cfRule>
    <cfRule type="expression" dxfId="353" priority="30" stopIfTrue="1">
      <formula>AND($C11="",P11&lt;&gt;"")</formula>
    </cfRule>
    <cfRule type="expression" dxfId="352" priority="31">
      <formula>$C11=""</formula>
    </cfRule>
    <cfRule type="expression" dxfId="351" priority="33">
      <formula>$C11=""</formula>
    </cfRule>
    <cfRule type="expression" dxfId="350" priority="34">
      <formula>P$10&lt;&gt;""</formula>
    </cfRule>
    <cfRule type="expression" dxfId="349" priority="35" stopIfTrue="1">
      <formula>AND($C11="",P11&lt;&gt;"")</formula>
    </cfRule>
    <cfRule type="expression" dxfId="348" priority="36">
      <formula>$C11=""</formula>
    </cfRule>
    <cfRule type="expression" dxfId="347" priority="37">
      <formula>P$10&lt;&gt;""</formula>
    </cfRule>
    <cfRule type="expression" dxfId="346" priority="39" stopIfTrue="1">
      <formula>AND($C11="",P11&lt;&gt;"")</formula>
    </cfRule>
    <cfRule type="expression" dxfId="345" priority="40">
      <formula>$C11=""</formula>
    </cfRule>
    <cfRule type="expression" dxfId="344" priority="41" stopIfTrue="1">
      <formula>AND($C11="",P11&lt;&gt;"")</formula>
    </cfRule>
    <cfRule type="expression" dxfId="343" priority="42">
      <formula>$C11=""</formula>
    </cfRule>
    <cfRule type="expression" dxfId="342" priority="43">
      <formula>P$10&lt;&gt;""</formula>
    </cfRule>
    <cfRule type="expression" dxfId="341" priority="44" stopIfTrue="1">
      <formula>AND($C11="",P11&lt;&gt;"")</formula>
    </cfRule>
    <cfRule type="expression" dxfId="340" priority="45">
      <formula>$C11=""</formula>
    </cfRule>
    <cfRule type="expression" dxfId="339" priority="46">
      <formula>P$10&lt;&gt;""</formula>
    </cfRule>
    <cfRule type="expression" dxfId="338" priority="47" stopIfTrue="1">
      <formula>AND($C11="",P11&lt;&gt;"")</formula>
    </cfRule>
    <cfRule type="expression" dxfId="337" priority="48">
      <formula>$C11=""</formula>
    </cfRule>
    <cfRule type="expression" dxfId="336" priority="49" stopIfTrue="1">
      <formula>AND($C11="",P11&lt;&gt;"")</formula>
    </cfRule>
    <cfRule type="expression" dxfId="335" priority="50">
      <formula>$C11=""</formula>
    </cfRule>
    <cfRule type="expression" dxfId="334" priority="51">
      <formula>P$10&lt;&gt;""</formula>
    </cfRule>
    <cfRule type="expression" dxfId="333" priority="52" stopIfTrue="1">
      <formula>AND($C11="",P11&lt;&gt;"")</formula>
    </cfRule>
    <cfRule type="expression" dxfId="332" priority="53">
      <formula>$C11=""</formula>
    </cfRule>
  </conditionalFormatting>
  <conditionalFormatting sqref="P11:AE11 P12:U72 V11:V72">
    <cfRule type="expression" dxfId="331" priority="252">
      <formula>$C11=""</formula>
    </cfRule>
  </conditionalFormatting>
  <conditionalFormatting sqref="S12:U16">
    <cfRule type="expression" dxfId="330" priority="190">
      <formula>$C12=""</formula>
    </cfRule>
  </conditionalFormatting>
  <conditionalFormatting sqref="V11:X72 Y17:AA72">
    <cfRule type="expression" dxfId="329" priority="311">
      <formula>V$10&lt;&gt;""</formula>
    </cfRule>
    <cfRule type="expression" dxfId="328" priority="310">
      <formula>$C11=""</formula>
    </cfRule>
    <cfRule type="expression" dxfId="327" priority="309" stopIfTrue="1">
      <formula>AND($C11="",V11&lt;&gt;"")</formula>
    </cfRule>
    <cfRule type="expression" dxfId="326" priority="307">
      <formula>V$10&lt;&gt;""</formula>
    </cfRule>
  </conditionalFormatting>
  <conditionalFormatting sqref="W12:Y16 W17:AA72">
    <cfRule type="expression" dxfId="325" priority="225">
      <formula>$C12=""</formula>
    </cfRule>
    <cfRule type="expression" dxfId="324" priority="224" stopIfTrue="1">
      <formula>AND($C12="",W12&lt;&gt;"")</formula>
    </cfRule>
  </conditionalFormatting>
  <conditionalFormatting sqref="Y11">
    <cfRule type="expression" dxfId="323" priority="218">
      <formula>Y$10&lt;&gt;""</formula>
    </cfRule>
  </conditionalFormatting>
  <conditionalFormatting sqref="Y11:Y16">
    <cfRule type="expression" dxfId="322" priority="877" stopIfTrue="1">
      <formula>AND($C11="",Y11&lt;&gt;"")</formula>
    </cfRule>
    <cfRule type="expression" dxfId="321" priority="879">
      <formula>Y$10&lt;&gt;""</formula>
    </cfRule>
    <cfRule type="expression" dxfId="320" priority="878">
      <formula>$C11=""</formula>
    </cfRule>
    <cfRule type="expression" dxfId="319" priority="882">
      <formula>$C11=""</formula>
    </cfRule>
    <cfRule type="expression" dxfId="318" priority="881" stopIfTrue="1">
      <formula>AND($C11="",Y11&lt;&gt;"")</formula>
    </cfRule>
  </conditionalFormatting>
  <conditionalFormatting sqref="Y12:Y16">
    <cfRule type="expression" dxfId="317" priority="887" stopIfTrue="1">
      <formula>AND($C12="",Y12&lt;&gt;"")</formula>
    </cfRule>
    <cfRule type="expression" dxfId="316" priority="884">
      <formula>$C12=""</formula>
    </cfRule>
    <cfRule type="expression" dxfId="315" priority="883" stopIfTrue="1">
      <formula>AND($C12="",Y12&lt;&gt;"")</formula>
    </cfRule>
    <cfRule type="expression" dxfId="314" priority="891">
      <formula>Y$10&lt;&gt;""</formula>
    </cfRule>
    <cfRule type="expression" dxfId="313" priority="885">
      <formula>Y$10&lt;&gt;""</formula>
    </cfRule>
    <cfRule type="expression" dxfId="312" priority="888">
      <formula>$C12=""</formula>
    </cfRule>
    <cfRule type="expression" dxfId="311" priority="889">
      <formula>Y$10&lt;&gt;""</formula>
    </cfRule>
  </conditionalFormatting>
  <conditionalFormatting sqref="Y17:AA72 V11:X72">
    <cfRule type="expression" dxfId="310" priority="306">
      <formula>$C11=""</formula>
    </cfRule>
  </conditionalFormatting>
  <conditionalFormatting sqref="Y17:AA72">
    <cfRule type="expression" dxfId="309" priority="305" stopIfTrue="1">
      <formula>AND($C17="",Y17&lt;&gt;"")</formula>
    </cfRule>
  </conditionalFormatting>
  <conditionalFormatting sqref="AB11:AE11">
    <cfRule type="expression" dxfId="308" priority="251" stopIfTrue="1">
      <formula>AND($C11="",AB11&lt;&gt;"")</formula>
    </cfRule>
  </conditionalFormatting>
  <conditionalFormatting sqref="AF11:AH72 AH18:AI47">
    <cfRule type="expression" dxfId="307" priority="283">
      <formula>AF$10&lt;&gt;""</formula>
    </cfRule>
  </conditionalFormatting>
  <conditionalFormatting sqref="AH11:AI17 AO11:AP16">
    <cfRule type="expression" dxfId="306" priority="893" stopIfTrue="1">
      <formula>AND($C11="",AH11&lt;&gt;"")</formula>
    </cfRule>
  </conditionalFormatting>
  <conditionalFormatting sqref="AH18:AI47 AG11:AG72">
    <cfRule type="expression" dxfId="305" priority="282">
      <formula>$C11=""</formula>
    </cfRule>
  </conditionalFormatting>
  <conditionalFormatting sqref="AI48:AI72">
    <cfRule type="expression" dxfId="304" priority="287">
      <formula>AI$10&lt;&gt;""</formula>
    </cfRule>
  </conditionalFormatting>
  <conditionalFormatting sqref="AJ11:AK17 D11:D72 AB11:AE72">
    <cfRule type="expression" dxfId="303" priority="302">
      <formula>D$10&lt;&gt;""</formula>
    </cfRule>
    <cfRule type="expression" dxfId="302" priority="301">
      <formula>$C11=""</formula>
    </cfRule>
  </conditionalFormatting>
  <conditionalFormatting sqref="AL11:AL72 Y12:AA16">
    <cfRule type="expression" dxfId="301" priority="206" stopIfTrue="1">
      <formula>AND($C11="",Y11&lt;&gt;"")</formula>
    </cfRule>
    <cfRule type="expression" dxfId="300" priority="207">
      <formula>$C11=""</formula>
    </cfRule>
  </conditionalFormatting>
  <conditionalFormatting sqref="AL11:AN72">
    <cfRule type="expression" dxfId="299" priority="197">
      <formula>AL$10&lt;&gt;""</formula>
    </cfRule>
  </conditionalFormatting>
  <conditionalFormatting sqref="AM11:AM72 AR17:AR72">
    <cfRule type="expression" dxfId="298" priority="293">
      <formula>$C11=""</formula>
    </cfRule>
  </conditionalFormatting>
  <conditionalFormatting sqref="AN11:AN72">
    <cfRule type="expression" dxfId="297" priority="245" stopIfTrue="1">
      <formula>AND($C11="",AN11&lt;&gt;"")</formula>
    </cfRule>
  </conditionalFormatting>
  <conditionalFormatting sqref="AO11:AP16 AH11:AI17">
    <cfRule type="expression" dxfId="296" priority="895">
      <formula>AH$10&lt;&gt;""</formula>
    </cfRule>
    <cfRule type="expression" dxfId="295" priority="894">
      <formula>$C11=""</formula>
    </cfRule>
  </conditionalFormatting>
  <conditionalFormatting sqref="AO17:AP19">
    <cfRule type="expression" dxfId="294" priority="322">
      <formula>AO$10&lt;&gt;""</formula>
    </cfRule>
  </conditionalFormatting>
  <conditionalFormatting sqref="AQ11:AQ16 B11:M72 P11:AH72 AO17:AX72 AH18:AM72 AM11:AM17">
    <cfRule type="expression" dxfId="293" priority="304" stopIfTrue="1">
      <formula>AND($C11="",B11&lt;&gt;"")</formula>
    </cfRule>
  </conditionalFormatting>
  <conditionalFormatting sqref="AQ11:AR72">
    <cfRule type="expression" dxfId="292" priority="194">
      <formula>AQ$10&lt;&gt;""</formula>
    </cfRule>
  </conditionalFormatting>
  <conditionalFormatting sqref="AQ11:AX72 AI48:AI72 AF11:AH72 AY15 AY17:AY18 AY26 AY36:AY37 AY45 AY49 AY51:AY53 AY55:AY57 AY60:AY61 AY64 AY66 AY69:AY71 AO17:AP72 AM11:AN72 B11:M72 W12:AE72 AK18:AL72">
    <cfRule type="expression" dxfId="291" priority="289">
      <formula>$C11=""</formula>
    </cfRule>
  </conditionalFormatting>
  <conditionalFormatting sqref="AR11:AR16">
    <cfRule type="expression" dxfId="290" priority="192" stopIfTrue="1">
      <formula>AND($C11="",AR11&lt;&gt;"")</formula>
    </cfRule>
  </conditionalFormatting>
  <conditionalFormatting sqref="AS12:AS72 B11:M72 P11:AE72 AK18:AK72">
    <cfRule type="expression" dxfId="289" priority="298">
      <formula>B$10&lt;&gt;""</formula>
    </cfRule>
  </conditionalFormatting>
  <conditionalFormatting sqref="AS12:AS72">
    <cfRule type="expression" dxfId="288" priority="145">
      <formula>AS$10&lt;&gt;""</formula>
    </cfRule>
  </conditionalFormatting>
  <conditionalFormatting sqref="AS11:AX11 AS12:AS17 AX12:AX72 AR17:AR72">
    <cfRule type="expression" dxfId="287" priority="290">
      <formula>AR$10&lt;&gt;""</formula>
    </cfRule>
  </conditionalFormatting>
  <conditionalFormatting sqref="AS11:AX16 AX12:AX72 AS12:AS17">
    <cfRule type="expression" dxfId="286" priority="288" stopIfTrue="1">
      <formula>AND($C11="",AS11&lt;&gt;"")</formula>
    </cfRule>
  </conditionalFormatting>
  <conditionalFormatting sqref="AS71:AX72 AT12:AW70 AX11:AX72 AO20:AP72">
    <cfRule type="expression" dxfId="285" priority="260">
      <formula>AO$10&lt;&gt;""</formula>
    </cfRule>
  </conditionalFormatting>
  <conditionalFormatting sqref="AT17:AT21">
    <cfRule type="expression" dxfId="284" priority="6" stopIfTrue="1">
      <formula>AND($C17="",AT17&lt;&gt;"")</formula>
    </cfRule>
  </conditionalFormatting>
  <conditionalFormatting sqref="AT25:AT26">
    <cfRule type="expression" dxfId="283" priority="5" stopIfTrue="1">
      <formula>AND($C25="",AT25&lt;&gt;"")</formula>
    </cfRule>
  </conditionalFormatting>
  <conditionalFormatting sqref="AT28">
    <cfRule type="expression" dxfId="282" priority="4" stopIfTrue="1">
      <formula>AND($C28="",AT28&lt;&gt;"")</formula>
    </cfRule>
  </conditionalFormatting>
  <conditionalFormatting sqref="AT31:AT34">
    <cfRule type="expression" dxfId="281" priority="3" stopIfTrue="1">
      <formula>AND($C31="",AT31&lt;&gt;"")</formula>
    </cfRule>
  </conditionalFormatting>
  <conditionalFormatting sqref="AT37:AT38">
    <cfRule type="expression" dxfId="280" priority="1" stopIfTrue="1">
      <formula>AND($C37="",AT37&lt;&gt;"")</formula>
    </cfRule>
  </conditionalFormatting>
  <conditionalFormatting sqref="AX11:AX72">
    <cfRule type="cellIs" dxfId="279" priority="284" operator="equal">
      <formula>1</formula>
    </cfRule>
  </conditionalFormatting>
  <conditionalFormatting sqref="AY11:AY12 AY15 AY17:AY18 AY26 AY36:AY37 AY45 AY49 AY51:AY53 AY55:AY57 AY60:AY61 AY64 AY66 AY69:AY71">
    <cfRule type="expression" dxfId="278" priority="267">
      <formula>AY$10&lt;&gt;""</formula>
    </cfRule>
  </conditionalFormatting>
  <conditionalFormatting sqref="AY11:AY12">
    <cfRule type="expression" dxfId="277" priority="266">
      <formula>$C11=""</formula>
    </cfRule>
    <cfRule type="expression" dxfId="276" priority="168" stopIfTrue="1">
      <formula>AND($C11="",AY11&lt;&gt;"")</formula>
    </cfRule>
  </conditionalFormatting>
  <conditionalFormatting sqref="AY15 AY17:AY18 AY26 AY36:AY37 AY45 AY49 AY51:AY53 AY55:AY57 AY60:AY61 AY64 AY66 AY69:AY71">
    <cfRule type="expression" dxfId="275" priority="254" stopIfTrue="1">
      <formula>AND($C15="",AY15&lt;&gt;"")</formula>
    </cfRule>
  </conditionalFormatting>
  <conditionalFormatting sqref="AY28:AY31 AY34">
    <cfRule type="expression" dxfId="274" priority="822">
      <formula>$C28=""</formula>
    </cfRule>
    <cfRule type="expression" dxfId="273" priority="821" stopIfTrue="1">
      <formula>AND($C28="",AY28&lt;&gt;"")</formula>
    </cfRule>
    <cfRule type="expression" dxfId="272" priority="823">
      <formula>AY$10&lt;&gt;""</formula>
    </cfRule>
  </conditionalFormatting>
  <dataValidations count="6">
    <dataValidation type="list" allowBlank="1" showInputMessage="1" showErrorMessage="1" errorTitle="נתון שגוי." error="ניתן להזין רק 0 או 1._x000a_0 = לא עומד בתנאי._x000a_1 = עומד בתנאי." sqref="T12:T72 AH11:AL72 AD11:AF72 AO11:AP72 AR11:AS72 S17:S72 Q11:T11 U11:AA72 D11:M72 Q12:R72" xr:uid="{DD6BCC58-B6A9-4717-8D78-DD3C76E21C2B}">
      <formula1>$BA11:$BB11</formula1>
    </dataValidation>
    <dataValidation type="decimal" operator="greaterThanOrEqual" allowBlank="1" showInputMessage="1" showErrorMessage="1" errorTitle="נתון שגוי." error="ניתן להזין רק מספר גדול או שווה ל-0." sqref="AN11:AN72 AB11:AC72 AQ11:AQ72" xr:uid="{9AF00648-BEF5-4F46-B59E-CEDD82858D7B}">
      <formula1>0</formula1>
    </dataValidation>
    <dataValidation type="list" allowBlank="1" showInputMessage="1" showErrorMessage="1" sqref="AR10:AT10 AH10:AL10 AD10:AF10 AO10:AP10 D10:O10 Q10:AB10" xr:uid="{93B9A867-C530-4DE7-AAAC-D5C8F663D902}">
      <formula1>$DI$1:$EI$1</formula1>
    </dataValidation>
    <dataValidation allowBlank="1" showInputMessage="1" showErrorMessage="1" errorTitle="נתון שגוי." error="ניתן להזין רק 0 או 1._x000a_0 = לא עומד בתנאי._x000a_1 = עומד בתנאי." sqref="AU11:AW72 AG11:AG72 AM11:AM72 S12:S16 N11:P72" xr:uid="{DFB5F13F-1F46-4C05-B32C-CDD31709E6F5}"/>
    <dataValidation type="list" allowBlank="1" showInputMessage="1" showErrorMessage="1" errorTitle="נתון שגוי." error="ניתן להזין רק 0 או 1._x000a_0 = לא עומד בתנאי._x000a_1 = עומד בתנאי." sqref="AT11:AT72" xr:uid="{8932305C-1B74-48D1-B00A-903779F30D4E}">
      <formula1>$BA$11:$BB$11</formula1>
    </dataValidation>
    <dataValidation type="list" allowBlank="1" showInputMessage="1" showErrorMessage="1" sqref="D4:AS4" xr:uid="{BB0F5438-5991-47EC-8529-34D37134CBD5}">
      <formula1>"1,0,99"</formula1>
    </dataValidation>
  </dataValidations>
  <printOptions horizontalCentered="1"/>
  <pageMargins left="0.91681102362204725" right="0.51181102362204722" top="0.74803149606299213" bottom="0.74803149606299213" header="0.31496062992125984" footer="0.31496062992125984"/>
  <pageSetup scale="10" orientation="portrait" r:id="rId1"/>
  <headerFooter>
    <oddHeader>&amp;C&amp;Uמבחנים לתמיכה של משרד התרבות והספורט</oddHeader>
    <oddFooter>&amp;Lא. חפץ ושות'
יעוץ כלכלי&amp;C&amp;P</oddFooter>
  </headerFooter>
  <colBreaks count="1" manualBreakCount="1">
    <brk id="122" max="1048575" man="1"/>
  </colBreaks>
  <legacyDrawing r:id="rId2"/>
  <extLst>
    <ext xmlns:x14="http://schemas.microsoft.com/office/spreadsheetml/2009/9/main" uri="{78C0D931-6437-407d-A8EE-F0AAD7539E65}">
      <x14:conditionalFormattings>
        <x14:conditionalFormatting xmlns:xm="http://schemas.microsoft.com/office/excel/2006/main">
          <x14:cfRule type="containsText" priority="303" operator="containsText" id="{59081934-D9AE-4A89-8084-137C97F91326}">
            <xm:f>NOT(ISERROR(SEARCH($DF$1,B11)))</xm:f>
            <xm:f>$DF$1</xm:f>
            <x14:dxf>
              <fill>
                <patternFill>
                  <bgColor rgb="FFFF0000"/>
                </patternFill>
              </fill>
            </x14:dxf>
          </x14:cfRule>
          <xm:sqref>B11:J72 R11:AE72 AJ17 AS12:AX72 J17:K72 AK18:AM72 AQ17:AR72 AQ11:AQ16 AH11:AH17 AH18:AI18 AO20:AP72 AG21:AI37 AG39:AI47 AG49:AI70 AG72:AI72</xm:sqref>
        </x14:conditionalFormatting>
        <x14:conditionalFormatting xmlns:xm="http://schemas.microsoft.com/office/excel/2006/main">
          <x14:cfRule type="containsText" priority="864" operator="containsText" id="{1F813285-E8DC-4359-8934-C58AB33A8FC5}">
            <xm:f>NOT(ISERROR(SEARCH($DF$1,D11)))</xm:f>
            <xm:f>$DF$1</xm:f>
            <x14:dxf>
              <fill>
                <patternFill>
                  <bgColor rgb="FFFF0000"/>
                </patternFill>
              </fill>
            </x14:dxf>
          </x14:cfRule>
          <xm:sqref>D11:J11 D11:D72 I11:I72 K11:M72 AB11:AE72 AJ18:AJ72</xm:sqref>
        </x14:conditionalFormatting>
        <x14:conditionalFormatting xmlns:xm="http://schemas.microsoft.com/office/excel/2006/main">
          <x14:cfRule type="containsText" priority="854" operator="containsText" id="{7B6F9F5B-1531-4D8B-810D-1349CF0F2638}">
            <xm:f>NOT(ISERROR(SEARCH($DF$1,D11)))</xm:f>
            <xm:f>$DF$1</xm:f>
            <x14:dxf>
              <fill>
                <patternFill>
                  <bgColor rgb="FFFF0000"/>
                </patternFill>
              </fill>
            </x14:dxf>
          </x14:cfRule>
          <xm:sqref>D11:J11 D11:D72 I11:I72 K11:M72 AB11:AE72</xm:sqref>
        </x14:conditionalFormatting>
        <x14:conditionalFormatting xmlns:xm="http://schemas.microsoft.com/office/excel/2006/main">
          <x14:cfRule type="containsText" priority="299" operator="containsText" id="{301EFF1C-CAB1-40F9-A873-6FA39DE921FF}">
            <xm:f>NOT(ISERROR(SEARCH($DF$1,D11)))</xm:f>
            <xm:f>$DF$1</xm:f>
            <x14:dxf>
              <fill>
                <patternFill>
                  <bgColor rgb="FFFF0000"/>
                </patternFill>
              </fill>
            </x14:dxf>
          </x14:cfRule>
          <xm:sqref>D11:J11 J11:M16 K12:M72</xm:sqref>
        </x14:conditionalFormatting>
        <x14:conditionalFormatting xmlns:xm="http://schemas.microsoft.com/office/excel/2006/main">
          <x14:cfRule type="containsText" priority="21" operator="containsText" id="{E2945043-E0A2-4649-966C-80CE2BB51640}">
            <xm:f>NOT(ISERROR(SEARCH($DF$1,D11)))</xm:f>
            <xm:f>$DF$1</xm:f>
            <x14:dxf>
              <fill>
                <patternFill>
                  <bgColor rgb="FFFF0000"/>
                </patternFill>
              </fill>
            </x14:dxf>
          </x14:cfRule>
          <xm:sqref>D11:J11</xm:sqref>
        </x14:conditionalFormatting>
        <x14:conditionalFormatting xmlns:xm="http://schemas.microsoft.com/office/excel/2006/main">
          <x14:cfRule type="containsText" priority="86" operator="containsText" id="{269EC8EB-D797-469C-92C3-441BAA744DBB}">
            <xm:f>NOT(ISERROR(SEARCH($DF$1,K11)))</xm:f>
            <xm:f>$DF$1</xm:f>
            <x14:dxf>
              <fill>
                <patternFill>
                  <bgColor rgb="FFFF0000"/>
                </patternFill>
              </fill>
            </x14:dxf>
          </x14:cfRule>
          <xm:sqref>K11:M72</xm:sqref>
        </x14:conditionalFormatting>
        <x14:conditionalFormatting xmlns:xm="http://schemas.microsoft.com/office/excel/2006/main">
          <x14:cfRule type="containsText" priority="172" operator="containsText" id="{6CFDCF2A-95D2-4850-8FC6-4DA062D96253}">
            <xm:f>NOT(ISERROR(SEARCH($DF$1,L11)))</xm:f>
            <xm:f>$DF$1</xm:f>
            <x14:dxf>
              <fill>
                <patternFill>
                  <bgColor rgb="FFFF0000"/>
                </patternFill>
              </fill>
            </x14:dxf>
          </x14:cfRule>
          <xm:sqref>L11:M72</xm:sqref>
        </x14:conditionalFormatting>
        <x14:conditionalFormatting xmlns:xm="http://schemas.microsoft.com/office/excel/2006/main">
          <x14:cfRule type="containsText" priority="177" operator="containsText" id="{233DD007-04AD-4BCA-AC9B-C5E2B29737A5}">
            <xm:f>NOT(ISERROR(SEARCH($DF$1,L17)))</xm:f>
            <xm:f>$DF$1</xm:f>
            <x14:dxf>
              <fill>
                <patternFill>
                  <bgColor rgb="FFFF0000"/>
                </patternFill>
              </fill>
            </x14:dxf>
          </x14:cfRule>
          <xm:sqref>L17:M72</xm:sqref>
        </x14:conditionalFormatting>
        <x14:conditionalFormatting xmlns:xm="http://schemas.microsoft.com/office/excel/2006/main">
          <x14:cfRule type="containsText" priority="56" operator="containsText" id="{40D94D32-00D2-4AF9-BFA4-7A7C0821110A}">
            <xm:f>NOT(ISERROR(SEARCH($DF$1,P11)))</xm:f>
            <xm:f>$DF$1</xm:f>
            <x14:dxf>
              <fill>
                <patternFill>
                  <bgColor rgb="FFFF0000"/>
                </patternFill>
              </fill>
            </x14:dxf>
          </x14:cfRule>
          <x14:cfRule type="containsText" priority="58" operator="containsText" id="{8AC3401B-E2A4-4CD8-BFCE-C8C74EB546C6}">
            <xm:f>NOT(ISERROR(SEARCH($DF$1,P11)))</xm:f>
            <xm:f>$DF$1</xm:f>
            <x14:dxf>
              <fill>
                <patternFill>
                  <bgColor rgb="FFFF0000"/>
                </patternFill>
              </fill>
            </x14:dxf>
          </x14:cfRule>
          <x14:cfRule type="containsText" priority="65" operator="containsText" id="{E2FCB403-3267-4C82-AC22-B4461E2989B5}">
            <xm:f>NOT(ISERROR(SEARCH($DF$1,P11)))</xm:f>
            <xm:f>$DF$1</xm:f>
            <x14:dxf>
              <fill>
                <patternFill>
                  <bgColor rgb="FFFF0000"/>
                </patternFill>
              </fill>
            </x14:dxf>
          </x14:cfRule>
          <x14:cfRule type="containsText" priority="61" operator="containsText" id="{7AB784DF-D346-4997-8A8D-4E5B82FD91E8}">
            <xm:f>NOT(ISERROR(SEARCH($DF$1,P11)))</xm:f>
            <xm:f>$DF$1</xm:f>
            <x14:dxf>
              <fill>
                <patternFill>
                  <bgColor rgb="FFFF0000"/>
                </patternFill>
              </fill>
            </x14:dxf>
          </x14:cfRule>
          <x14:cfRule type="containsText" priority="38" operator="containsText" id="{F6931E13-72DA-4AD3-AE2B-7D769BA252D6}">
            <xm:f>NOT(ISERROR(SEARCH($DF$1,P11)))</xm:f>
            <xm:f>$DF$1</xm:f>
            <x14:dxf>
              <fill>
                <patternFill>
                  <bgColor rgb="FFFF0000"/>
                </patternFill>
              </fill>
            </x14:dxf>
          </x14:cfRule>
          <xm:sqref>P11:Q72</xm:sqref>
        </x14:conditionalFormatting>
        <x14:conditionalFormatting xmlns:xm="http://schemas.microsoft.com/office/excel/2006/main">
          <x14:cfRule type="containsText" priority="312" operator="containsText" id="{5BCE05EC-AD66-44A3-97CE-FA3602418219}">
            <xm:f>NOT(ISERROR(SEARCH($DF$1,V11)))</xm:f>
            <xm:f>$DF$1</xm:f>
            <x14:dxf>
              <fill>
                <patternFill>
                  <bgColor rgb="FFFF0000"/>
                </patternFill>
              </fill>
            </x14:dxf>
          </x14:cfRule>
          <x14:cfRule type="containsText" priority="308" operator="containsText" id="{456C2A30-68E4-4B02-8516-4381FA6A7DAB}">
            <xm:f>NOT(ISERROR(SEARCH($DF$1,V11)))</xm:f>
            <xm:f>$DF$1</xm:f>
            <x14:dxf>
              <fill>
                <patternFill>
                  <bgColor rgb="FFFF0000"/>
                </patternFill>
              </fill>
            </x14:dxf>
          </x14:cfRule>
          <xm:sqref>V11:X11 V12:V72</xm:sqref>
        </x14:conditionalFormatting>
        <x14:conditionalFormatting xmlns:xm="http://schemas.microsoft.com/office/excel/2006/main">
          <x14:cfRule type="containsText" priority="227" operator="containsText" id="{E0988C3C-D4DD-44C5-82CA-61C7EB11190D}">
            <xm:f>NOT(ISERROR(SEARCH($DF$1,W12)))</xm:f>
            <xm:f>$DF$1</xm:f>
            <x14:dxf>
              <fill>
                <patternFill>
                  <bgColor rgb="FFFF0000"/>
                </patternFill>
              </fill>
            </x14:dxf>
          </x14:cfRule>
          <xm:sqref>W12:Y16 W17:AA72</xm:sqref>
        </x14:conditionalFormatting>
        <x14:conditionalFormatting xmlns:xm="http://schemas.microsoft.com/office/excel/2006/main">
          <x14:cfRule type="containsText" priority="219" operator="containsText" id="{DDB4EF92-28DF-4DF7-9ECE-6D1757922114}">
            <xm:f>NOT(ISERROR(SEARCH($DF$1,Y11)))</xm:f>
            <xm:f>$DF$1</xm:f>
            <x14:dxf>
              <fill>
                <patternFill>
                  <bgColor rgb="FFFF0000"/>
                </patternFill>
              </fill>
            </x14:dxf>
          </x14:cfRule>
          <xm:sqref>Y11</xm:sqref>
        </x14:conditionalFormatting>
        <x14:conditionalFormatting xmlns:xm="http://schemas.microsoft.com/office/excel/2006/main">
          <x14:cfRule type="containsText" priority="880" operator="containsText" id="{5C621F8E-A4C5-4963-A697-C0E05B8B4F62}">
            <xm:f>NOT(ISERROR(SEARCH($DF$1,Y11)))</xm:f>
            <xm:f>$DF$1</xm:f>
            <x14:dxf>
              <fill>
                <patternFill>
                  <bgColor rgb="FFFF0000"/>
                </patternFill>
              </fill>
            </x14:dxf>
          </x14:cfRule>
          <xm:sqref>Y11:Y16</xm:sqref>
        </x14:conditionalFormatting>
        <x14:conditionalFormatting xmlns:xm="http://schemas.microsoft.com/office/excel/2006/main">
          <x14:cfRule type="containsText" priority="886" operator="containsText" id="{242C6124-0C86-4706-903D-436231C214CC}">
            <xm:f>NOT(ISERROR(SEARCH($DF$1,Y12)))</xm:f>
            <xm:f>$DF$1</xm:f>
            <x14:dxf>
              <fill>
                <patternFill>
                  <bgColor rgb="FFFF0000"/>
                </patternFill>
              </fill>
            </x14:dxf>
          </x14:cfRule>
          <x14:cfRule type="containsText" priority="890" operator="containsText" id="{D0EB34F9-5689-471D-8875-9FE4E181D8DB}">
            <xm:f>NOT(ISERROR(SEARCH($DF$1,Y12)))</xm:f>
            <xm:f>$DF$1</xm:f>
            <x14:dxf>
              <fill>
                <patternFill>
                  <bgColor rgb="FFFF0000"/>
                </patternFill>
              </fill>
            </x14:dxf>
          </x14:cfRule>
          <xm:sqref>Y12:Y16</xm:sqref>
        </x14:conditionalFormatting>
        <x14:conditionalFormatting xmlns:xm="http://schemas.microsoft.com/office/excel/2006/main">
          <x14:cfRule type="containsText" priority="264" operator="containsText" id="{2AD3D019-1B83-4D71-AF5D-335A1764F137}">
            <xm:f>NOT(ISERROR(SEARCH($DF$1,AF11)))</xm:f>
            <xm:f>$DF$1</xm:f>
            <x14:dxf>
              <fill>
                <patternFill>
                  <bgColor rgb="FFFF0000"/>
                </patternFill>
              </fill>
            </x14:dxf>
          </x14:cfRule>
          <xm:sqref>AF11:AG72</xm:sqref>
        </x14:conditionalFormatting>
        <x14:conditionalFormatting xmlns:xm="http://schemas.microsoft.com/office/excel/2006/main">
          <x14:cfRule type="containsText" priority="892" operator="containsText" id="{10178557-2E18-4EC3-A6BD-B4147EB69B7A}">
            <xm:f>NOT(ISERROR(SEARCH($DF$1,AH11)))</xm:f>
            <xm:f>$DF$1</xm:f>
            <x14:dxf>
              <fill>
                <patternFill>
                  <bgColor rgb="FFFF0000"/>
                </patternFill>
              </fill>
            </x14:dxf>
          </x14:cfRule>
          <xm:sqref>AH11:AI17</xm:sqref>
        </x14:conditionalFormatting>
        <x14:conditionalFormatting xmlns:xm="http://schemas.microsoft.com/office/excel/2006/main">
          <x14:cfRule type="containsText" priority="278" operator="containsText" id="{88FF2F9A-011E-4651-ADB9-1EED6D12DC87}">
            <xm:f>NOT(ISERROR(SEARCH($DF$1,AH19)))</xm:f>
            <xm:f>$DF$1</xm:f>
            <x14:dxf>
              <fill>
                <patternFill>
                  <bgColor rgb="FFFF0000"/>
                </patternFill>
              </fill>
            </x14:dxf>
          </x14:cfRule>
          <xm:sqref>AH19:AI20</xm:sqref>
        </x14:conditionalFormatting>
        <x14:conditionalFormatting xmlns:xm="http://schemas.microsoft.com/office/excel/2006/main">
          <x14:cfRule type="containsText" priority="277" operator="containsText" id="{6131F917-713E-49D9-BC19-4B3B38F61989}">
            <xm:f>NOT(ISERROR(SEARCH($DF$1,AH38)))</xm:f>
            <xm:f>$DF$1</xm:f>
            <x14:dxf>
              <fill>
                <patternFill>
                  <bgColor rgb="FFFF0000"/>
                </patternFill>
              </fill>
            </x14:dxf>
          </x14:cfRule>
          <xm:sqref>AH38:AI38</xm:sqref>
        </x14:conditionalFormatting>
        <x14:conditionalFormatting xmlns:xm="http://schemas.microsoft.com/office/excel/2006/main">
          <x14:cfRule type="containsText" priority="276" operator="containsText" id="{86F43B1F-BA68-4846-9ED2-83460B2E8F46}">
            <xm:f>NOT(ISERROR(SEARCH($DF$1,AH48)))</xm:f>
            <xm:f>$DF$1</xm:f>
            <x14:dxf>
              <fill>
                <patternFill>
                  <bgColor rgb="FFFF0000"/>
                </patternFill>
              </fill>
            </x14:dxf>
          </x14:cfRule>
          <xm:sqref>AH48:AI48</xm:sqref>
        </x14:conditionalFormatting>
        <x14:conditionalFormatting xmlns:xm="http://schemas.microsoft.com/office/excel/2006/main">
          <x14:cfRule type="containsText" priority="275" operator="containsText" id="{F4125A63-CD31-4AB8-AF4C-29BE0B7CF628}">
            <xm:f>NOT(ISERROR(SEARCH($DF$1,AH71)))</xm:f>
            <xm:f>$DF$1</xm:f>
            <x14:dxf>
              <fill>
                <patternFill>
                  <bgColor rgb="FFFF0000"/>
                </patternFill>
              </fill>
            </x14:dxf>
          </x14:cfRule>
          <xm:sqref>AH71:AI71</xm:sqref>
        </x14:conditionalFormatting>
        <x14:conditionalFormatting xmlns:xm="http://schemas.microsoft.com/office/excel/2006/main">
          <x14:cfRule type="containsText" priority="202" operator="containsText" id="{10D924BF-83D3-41D0-B1D3-48AD9916CE4F}">
            <xm:f>NOT(ISERROR(SEARCH($DF$1,AJ11)))</xm:f>
            <xm:f>$DF$1</xm:f>
            <x14:dxf>
              <fill>
                <patternFill>
                  <bgColor rgb="FFFF0000"/>
                </patternFill>
              </fill>
            </x14:dxf>
          </x14:cfRule>
          <xm:sqref>AJ11:AJ16</xm:sqref>
        </x14:conditionalFormatting>
        <x14:conditionalFormatting xmlns:xm="http://schemas.microsoft.com/office/excel/2006/main">
          <x14:cfRule type="containsText" priority="182" operator="containsText" id="{5B8DBCEA-CFA8-4B35-B248-E55B1B826F53}">
            <xm:f>NOT(ISERROR(SEARCH($DF$1,AK11)))</xm:f>
            <xm:f>$DF$1</xm:f>
            <x14:dxf>
              <fill>
                <patternFill>
                  <bgColor rgb="FFFF0000"/>
                </patternFill>
              </fill>
            </x14:dxf>
          </x14:cfRule>
          <xm:sqref>AK11:AL17</xm:sqref>
        </x14:conditionalFormatting>
        <x14:conditionalFormatting xmlns:xm="http://schemas.microsoft.com/office/excel/2006/main">
          <x14:cfRule type="containsText" priority="294" operator="containsText" id="{D86ADECF-BE2D-44AD-88BC-13D4240CE7F7}">
            <xm:f>NOT(ISERROR(SEARCH($DF$1,AM11)))</xm:f>
            <xm:f>$DF$1</xm:f>
            <x14:dxf>
              <fill>
                <patternFill>
                  <bgColor rgb="FFFF0000"/>
                </patternFill>
              </fill>
            </x14:dxf>
          </x14:cfRule>
          <xm:sqref>AM11:AM17</xm:sqref>
        </x14:conditionalFormatting>
        <x14:conditionalFormatting xmlns:xm="http://schemas.microsoft.com/office/excel/2006/main">
          <x14:cfRule type="containsText" priority="247" operator="containsText" id="{D7C44C83-69CD-4F90-9B59-4CC838CB3314}">
            <xm:f>NOT(ISERROR(SEARCH($DF$1,AN11)))</xm:f>
            <xm:f>$DF$1</xm:f>
            <x14:dxf>
              <fill>
                <patternFill>
                  <bgColor rgb="FFFF0000"/>
                </patternFill>
              </fill>
            </x14:dxf>
          </x14:cfRule>
          <xm:sqref>AN11:AN72</xm:sqref>
        </x14:conditionalFormatting>
        <x14:conditionalFormatting xmlns:xm="http://schemas.microsoft.com/office/excel/2006/main">
          <x14:cfRule type="containsText" priority="323" operator="containsText" id="{88075F30-6BC2-46E8-AC77-33DFDE74CD4F}">
            <xm:f>NOT(ISERROR(SEARCH($DF$1,AO11)))</xm:f>
            <xm:f>$DF$1</xm:f>
            <x14:dxf>
              <fill>
                <patternFill>
                  <bgColor rgb="FFFF0000"/>
                </patternFill>
              </fill>
            </x14:dxf>
          </x14:cfRule>
          <xm:sqref>AO11:AP19</xm:sqref>
        </x14:conditionalFormatting>
        <x14:conditionalFormatting xmlns:xm="http://schemas.microsoft.com/office/excel/2006/main">
          <x14:cfRule type="containsText" priority="191" operator="containsText" id="{0F58C335-F3C2-494F-8090-B83DB5E6E9B5}">
            <xm:f>NOT(ISERROR(SEARCH($DF$1,AR11)))</xm:f>
            <xm:f>$DF$1</xm:f>
            <x14:dxf>
              <fill>
                <patternFill>
                  <bgColor rgb="FFFF0000"/>
                </patternFill>
              </fill>
            </x14:dxf>
          </x14:cfRule>
          <xm:sqref>AR11:AR16</xm:sqref>
        </x14:conditionalFormatting>
        <x14:conditionalFormatting xmlns:xm="http://schemas.microsoft.com/office/excel/2006/main">
          <x14:cfRule type="containsText" priority="292" operator="containsText" id="{08B455E3-057C-432F-9563-FFED6FD46C03}">
            <xm:f>NOT(ISERROR(SEARCH($DF$1,AM11)))</xm:f>
            <xm:f>$DF$1</xm:f>
            <x14:dxf>
              <fill>
                <patternFill>
                  <bgColor rgb="FFFF0000"/>
                </patternFill>
              </fill>
            </x14:dxf>
          </x14:cfRule>
          <xm:sqref>AR17:AR72 AM11:AM72</xm:sqref>
        </x14:conditionalFormatting>
        <x14:conditionalFormatting xmlns:xm="http://schemas.microsoft.com/office/excel/2006/main">
          <x14:cfRule type="containsText" priority="146" operator="containsText" id="{FBEAD61B-17D0-4FC2-A258-AE2F41F40077}">
            <xm:f>NOT(ISERROR(SEARCH($DF$1,AS12)))</xm:f>
            <xm:f>$DF$1</xm:f>
            <x14:dxf>
              <fill>
                <patternFill>
                  <bgColor rgb="FFFF0000"/>
                </patternFill>
              </fill>
            </x14:dxf>
          </x14:cfRule>
          <xm:sqref>AS12:AS72</xm:sqref>
        </x14:conditionalFormatting>
        <x14:conditionalFormatting xmlns:xm="http://schemas.microsoft.com/office/excel/2006/main">
          <x14:cfRule type="containsText" priority="291" operator="containsText" id="{B3EBABCE-9423-4C28-B815-1ED7C28D3634}">
            <xm:f>NOT(ISERROR(SEARCH($DF$1,AS11)))</xm:f>
            <xm:f>$DF$1</xm:f>
            <x14:dxf>
              <fill>
                <patternFill>
                  <bgColor rgb="FFFF0000"/>
                </patternFill>
              </fill>
            </x14:dxf>
          </x14:cfRule>
          <xm:sqref>AS11:AX11 AS12:AS17 AX12:AX72</xm:sqref>
        </x14:conditionalFormatting>
        <x14:conditionalFormatting xmlns:xm="http://schemas.microsoft.com/office/excel/2006/main">
          <x14:cfRule type="containsText" priority="255" operator="containsText" id="{10965BF5-7B33-482D-BCA5-A0E592D5E227}">
            <xm:f>NOT(ISERROR(SEARCH($DG$1,AY11)))</xm:f>
            <xm:f>$DG$1</xm:f>
            <x14:dxf>
              <fill>
                <patternFill>
                  <bgColor rgb="FFFF0000"/>
                </patternFill>
              </fill>
            </x14:dxf>
          </x14:cfRule>
          <xm:sqref>AY11:AY12</xm:sqref>
        </x14:conditionalFormatting>
        <x14:conditionalFormatting xmlns:xm="http://schemas.microsoft.com/office/excel/2006/main">
          <x14:cfRule type="containsText" priority="253" operator="containsText" id="{070338BC-0F4B-4E49-BDEF-ED9BBD89DA09}">
            <xm:f>NOT(ISERROR(SEARCH($DG$1,AY15)))</xm:f>
            <xm:f>$DG$1</xm:f>
            <x14:dxf>
              <fill>
                <patternFill>
                  <bgColor rgb="FFFF0000"/>
                </patternFill>
              </fill>
            </x14:dxf>
          </x14:cfRule>
          <xm:sqref>AY15 AY17:AY18 AY26 AY36:AY37 AY45 AY49 AY51:AY53 AY55:AY57 AY60:AY61 AY64 AY66 AY69:AY71</xm:sqref>
        </x14:conditionalFormatting>
        <x14:conditionalFormatting xmlns:xm="http://schemas.microsoft.com/office/excel/2006/main">
          <x14:cfRule type="containsText" priority="820" operator="containsText" id="{10178557-2E18-4EC3-A6BD-B4147EB69B7A}">
            <xm:f>NOT(ISERROR(SEARCH($DG$1,AY28)))</xm:f>
            <xm:f>$DG$1</xm:f>
            <x14:dxf>
              <fill>
                <patternFill>
                  <bgColor rgb="FFFF0000"/>
                </patternFill>
              </fill>
            </x14:dxf>
          </x14:cfRule>
          <xm:sqref>AY28:AY31 AY34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גיליון5">
    <tabColor theme="6" tint="0.39997558519241921"/>
    <pageSetUpPr fitToPage="1"/>
  </sheetPr>
  <dimension ref="A2:P78"/>
  <sheetViews>
    <sheetView rightToLeft="1" view="pageBreakPreview" topLeftCell="B1" zoomScale="80" zoomScaleNormal="80" zoomScaleSheetLayoutView="80" workbookViewId="0">
      <selection activeCell="B1" sqref="B1"/>
    </sheetView>
  </sheetViews>
  <sheetFormatPr defaultColWidth="9" defaultRowHeight="15.75" x14ac:dyDescent="0.25"/>
  <cols>
    <col min="1" max="1" width="4.85546875" hidden="1" customWidth="1"/>
    <col min="2" max="2" width="12.85546875" bestFit="1" customWidth="1"/>
    <col min="3" max="3" width="30" customWidth="1"/>
    <col min="4" max="4" width="16.140625" bestFit="1" customWidth="1"/>
    <col min="5" max="13" width="16.140625" customWidth="1"/>
    <col min="14" max="14" width="9.85546875" bestFit="1" customWidth="1"/>
    <col min="15" max="15" width="9.85546875" hidden="1" customWidth="1"/>
    <col min="16" max="16" width="10.5703125" bestFit="1" customWidth="1"/>
  </cols>
  <sheetData>
    <row r="2" spans="1:16" x14ac:dyDescent="0.25">
      <c r="B2" s="477" t="str">
        <f>פרמטרים!B27</f>
        <v>ארועים</v>
      </c>
      <c r="C2" s="487"/>
      <c r="D2" s="478"/>
    </row>
    <row r="3" spans="1:16" x14ac:dyDescent="0.25">
      <c r="B3" s="533" t="str">
        <f>פרמטרים!B28</f>
        <v>פרמטר</v>
      </c>
      <c r="C3" s="534"/>
      <c r="D3" s="24" t="str">
        <f>פרמטרים!C28</f>
        <v>ניקוד</v>
      </c>
    </row>
    <row r="4" spans="1:16" x14ac:dyDescent="0.25">
      <c r="B4" s="536" t="str">
        <f>פרמטרים!B29</f>
        <v>כינוס</v>
      </c>
      <c r="C4" s="537"/>
      <c r="D4" s="44">
        <f>פרמטרים!C29</f>
        <v>1</v>
      </c>
    </row>
    <row r="5" spans="1:16" x14ac:dyDescent="0.25">
      <c r="B5" s="536" t="str">
        <f>פרמטרים!B30</f>
        <v>הרצאה</v>
      </c>
      <c r="C5" s="537"/>
      <c r="D5" s="44">
        <f>פרמטרים!C30</f>
        <v>1.5</v>
      </c>
    </row>
    <row r="6" spans="1:16" x14ac:dyDescent="0.25">
      <c r="B6" s="536" t="str">
        <f>פרמטרים!B31</f>
        <v>יום עיון</v>
      </c>
      <c r="C6" s="537"/>
      <c r="D6" s="44">
        <f>פרמטרים!C31</f>
        <v>3.5</v>
      </c>
    </row>
    <row r="7" spans="1:16" x14ac:dyDescent="0.25">
      <c r="B7" s="536" t="str">
        <f>פרמטרים!B32</f>
        <v>הפקה מורכבת</v>
      </c>
      <c r="C7" s="537"/>
      <c r="D7" s="44">
        <f>פרמטרים!C32</f>
        <v>4</v>
      </c>
    </row>
    <row r="8" spans="1:16" x14ac:dyDescent="0.25">
      <c r="B8" s="536" t="str">
        <f>פרמטרים!B33</f>
        <v>הפקה מורכבת מקורית</v>
      </c>
      <c r="C8" s="537"/>
      <c r="D8" s="44">
        <f>פרמטרים!C33</f>
        <v>5</v>
      </c>
    </row>
    <row r="9" spans="1:16" x14ac:dyDescent="0.25">
      <c r="B9" s="536" t="str">
        <f>פרמטרים!B34</f>
        <v>ארוע רב משתתפים</v>
      </c>
      <c r="C9" s="537"/>
      <c r="D9" s="44">
        <f>פרמטרים!C34</f>
        <v>6</v>
      </c>
    </row>
    <row r="10" spans="1:16" ht="53.25" customHeight="1" x14ac:dyDescent="0.25">
      <c r="B10" s="536" t="str">
        <f>פרמטרים!B35</f>
        <v>מקדם הכפלה עבור יום עיון או הרצאה שנערכו על ידי מרצה בעל תואר שלישי בתחום בו ניתנה הפעילות</v>
      </c>
      <c r="C10" s="537"/>
      <c r="D10" s="44">
        <f>פרמטרים!C35</f>
        <v>1.1000000000000001</v>
      </c>
    </row>
    <row r="11" spans="1:16" x14ac:dyDescent="0.25">
      <c r="B11" s="536" t="str">
        <f>פרמטרים!B36</f>
        <v>ניקוד עבור הפקה שהיא קופרודוקציה:</v>
      </c>
      <c r="C11" s="537"/>
      <c r="D11" s="69">
        <f>פרמטרים!C36</f>
        <v>0.5</v>
      </c>
    </row>
    <row r="12" spans="1:16" hidden="1" x14ac:dyDescent="0.25"/>
    <row r="13" spans="1:16" hidden="1" x14ac:dyDescent="0.25"/>
    <row r="15" spans="1:16" x14ac:dyDescent="0.25">
      <c r="A15" s="305"/>
      <c r="B15" s="489" t="str">
        <f>'ריכוז נתונים'!C15:C16</f>
        <v>מספר סידורי</v>
      </c>
      <c r="C15" s="489" t="str">
        <f>'ריכוז נתונים'!D15:D16</f>
        <v>שם המוסד</v>
      </c>
      <c r="D15" s="479" t="str">
        <f ca="1">MID(CELL("filename",A1),FIND("]",CELL("filename",A1),1)+1,99)</f>
        <v>ארועים</v>
      </c>
      <c r="E15" s="535"/>
      <c r="F15" s="535"/>
      <c r="G15" s="535"/>
      <c r="H15" s="535"/>
      <c r="I15" s="535"/>
      <c r="J15" s="535"/>
      <c r="K15" s="535"/>
      <c r="L15" s="535"/>
      <c r="M15" s="535"/>
      <c r="N15" s="535"/>
      <c r="O15" s="535"/>
      <c r="P15" s="480"/>
    </row>
    <row r="16" spans="1:16" ht="94.5" x14ac:dyDescent="0.25">
      <c r="A16" s="305"/>
      <c r="B16" s="504"/>
      <c r="C16" s="504"/>
      <c r="D16" s="29" t="str">
        <f>'ריכוז נתונים'!AP16</f>
        <v>מספר כינוסים</v>
      </c>
      <c r="E16" s="29" t="str">
        <f>'ריכוז נתונים'!AQ16</f>
        <v>מספר הרצאות</v>
      </c>
      <c r="F16" s="29" t="str">
        <f>'ריכוז נתונים'!AR16</f>
        <v>מתוכם מספר הרצאות שנערכו על ידי מישהו בעל תואר שלישי בתחום בו ניתנה הפעילות:</v>
      </c>
      <c r="G16" s="29" t="str">
        <f>'ריכוז נתונים'!AS16</f>
        <v>מספר ימי עיון</v>
      </c>
      <c r="H16" s="29" t="str">
        <f>'ריכוז נתונים'!AT16</f>
        <v>מתוכם מספר ימי עיון שנערכו על ידי מישהו בעל תואר שלישי בתחום בו ניתנה הפעילות:</v>
      </c>
      <c r="I16" s="29" t="str">
        <f>'ריכוז נתונים'!AU16</f>
        <v>מספר הפקות מורכבות</v>
      </c>
      <c r="J16" s="29" t="str">
        <f>'ריכוז נתונים'!AV16</f>
        <v>מתוכם הפקות מורכבות שהם קופרודוקציה</v>
      </c>
      <c r="K16" s="29" t="str">
        <f>'ריכוז נתונים'!AW16</f>
        <v>מספר הפקות מורכבות מקוריות</v>
      </c>
      <c r="L16" s="29" t="str">
        <f>'ריכוז נתונים'!AX16</f>
        <v>מתוכם הפקות מורכבות מקוריות שהם קופרודוקציה</v>
      </c>
      <c r="M16" s="29" t="str">
        <f>'ריכוז נתונים'!AY16</f>
        <v>ארוע רב משתתפים</v>
      </c>
      <c r="N16" s="29" t="s">
        <v>79</v>
      </c>
      <c r="O16" s="29" t="s">
        <v>79</v>
      </c>
      <c r="P16" s="426" t="s">
        <v>175</v>
      </c>
    </row>
    <row r="17" spans="2:16" x14ac:dyDescent="0.25">
      <c r="B17" s="7">
        <f>'ריכוז נתונים'!C17</f>
        <v>1</v>
      </c>
      <c r="C17" s="7" t="str">
        <f ca="1">IF('ריכוז נתונים כללים'!X17='ריכוז נתונים כללים'!$Y$16,'ריכוז נתונים כללים'!D17,"")</f>
        <v>מרכז מורשת בבל</v>
      </c>
      <c r="D17" s="423">
        <f ca="1">IF(C17="","",'ריכוז נתונים'!AP17)</f>
        <v>11</v>
      </c>
      <c r="E17" s="423">
        <f ca="1">IF(D17="","",'ריכוז נתונים'!AQ17)</f>
        <v>258</v>
      </c>
      <c r="F17" s="423">
        <f ca="1">IF(E17="","",'ריכוז נתונים'!AR17)</f>
        <v>9</v>
      </c>
      <c r="G17" s="423">
        <f ca="1">IF(F17="","",'ריכוז נתונים'!AS17)</f>
        <v>1</v>
      </c>
      <c r="H17" s="423">
        <f ca="1">IF(G17="","",'ריכוז נתונים'!AT17)</f>
        <v>1</v>
      </c>
      <c r="I17" s="423">
        <f ca="1">IF(H17="","",'ריכוז נתונים'!AU17)</f>
        <v>7</v>
      </c>
      <c r="J17" s="423">
        <f ca="1">IF(I17="","",'ריכוז נתונים'!AV17)</f>
        <v>0</v>
      </c>
      <c r="K17" s="423">
        <f ca="1">IF(I17="","",'ריכוז נתונים'!AW17)</f>
        <v>7</v>
      </c>
      <c r="L17" s="423">
        <f ca="1">IF(J17="","",'ריכוז נתונים'!AX17)</f>
        <v>0</v>
      </c>
      <c r="M17" s="423">
        <f ca="1">IF(K17="","",'ריכוז נתונים'!AY17)</f>
        <v>0</v>
      </c>
      <c r="N17" s="424">
        <f ca="1">IF(C17="","",$D$4*D17+$D$5*(E17-F17)+F17*$D$5*$D$10+(G17-H17)*$D$6+H17*$D$6*$D$10+(I17-J17)*$D$7+J17*($D$7*$D$11)+(K17-L17)*$D$8+L17*($D$8*$D$11)+M17*$D$9)</f>
        <v>466.20000000000005</v>
      </c>
      <c r="O17" s="424">
        <f t="shared" ref="O17:O76" ca="1" si="0">IFERROR(N17,0)</f>
        <v>466.20000000000005</v>
      </c>
      <c r="P17" s="425">
        <f ca="1">IF($C17="","",IF(ISERROR(N17),N17,(O17/SUM($O$17:$O$77))))</f>
        <v>5.8877761079046749E-2</v>
      </c>
    </row>
    <row r="18" spans="2:16" x14ac:dyDescent="0.25">
      <c r="B18" s="7">
        <f>'ריכוז נתונים'!C18</f>
        <v>2</v>
      </c>
      <c r="C18" s="7" t="str">
        <f ca="1">IF('ריכוז נתונים כללים'!X18='ריכוז נתונים כללים'!$Y$16,'ריכוז נתונים כללים'!D18,"")</f>
        <v>מורשת יהודי צפון  אפריקה</v>
      </c>
      <c r="D18" s="423">
        <f ca="1">IF(C18="","",'ריכוז נתונים'!AP18)</f>
        <v>0</v>
      </c>
      <c r="E18" s="423">
        <f ca="1">IF(D18="","",'ריכוז נתונים'!AQ18)</f>
        <v>3</v>
      </c>
      <c r="F18" s="423">
        <f ca="1">IF(E18="","",'ריכוז נתונים'!AR18)</f>
        <v>1</v>
      </c>
      <c r="G18" s="423">
        <f ca="1">IF(F18="","",'ריכוז נתונים'!AS18)</f>
        <v>11</v>
      </c>
      <c r="H18" s="423">
        <f ca="1">IF(G18="","",'ריכוז נתונים'!AT18)</f>
        <v>6</v>
      </c>
      <c r="I18" s="423">
        <f ca="1">IF(H18="","",'ריכוז נתונים'!AU18)</f>
        <v>2</v>
      </c>
      <c r="J18" s="423">
        <f ca="1">IF(I18="","",'ריכוז נתונים'!AV18)</f>
        <v>0</v>
      </c>
      <c r="K18" s="423">
        <f ca="1">IF(I18="","",'ריכוז נתונים'!AW18)</f>
        <v>2</v>
      </c>
      <c r="L18" s="423">
        <f ca="1">IF(J18="","",'ריכוז נתונים'!AX18)</f>
        <v>0</v>
      </c>
      <c r="M18" s="423">
        <f ca="1">IF(K18="","",'ריכוז נתונים'!AY18)</f>
        <v>2</v>
      </c>
      <c r="N18" s="424">
        <f t="shared" ref="N18:N76" ca="1" si="1">IF(C18="","",$D$4*D18+$D$5*(E18-F18)+F18*$D$5*$D$10+(G18-H18)*$D$6+H18*$D$6*$D$10+(I18-J18)*$D$7+J18*($D$7*$D$11)+(K18-L18)*$D$8+L18*($D$8*$D$11)+M18*$D$9)</f>
        <v>75.25</v>
      </c>
      <c r="O18" s="424">
        <f t="shared" ca="1" si="0"/>
        <v>75.25</v>
      </c>
      <c r="P18" s="425">
        <f t="shared" ref="P18:P78" ca="1" si="2">IF($C18="","",IF(ISERROR(N18),N18,(O18/SUM($O$17:$O$77))))</f>
        <v>9.5035425165127998E-3</v>
      </c>
    </row>
    <row r="19" spans="2:16" x14ac:dyDescent="0.25">
      <c r="B19" s="7">
        <f>'ריכוז נתונים'!C19</f>
        <v>3</v>
      </c>
      <c r="C19" s="7" t="str">
        <f ca="1">IF('ריכוז נתונים כללים'!X19='ריכוז נתונים כללים'!$Y$16,'ריכוז נתונים כללים'!D19,"")</f>
        <v>מורשת יהדות קוצין</v>
      </c>
      <c r="D19" s="423">
        <f ca="1">IF(C19="","",'ריכוז נתונים'!AP19)</f>
        <v>21</v>
      </c>
      <c r="E19" s="423">
        <f ca="1">IF(D19="","",'ריכוז נתונים'!AQ19)</f>
        <v>3</v>
      </c>
      <c r="F19" s="423">
        <f ca="1">IF(E19="","",'ריכוז נתונים'!AR19)</f>
        <v>1</v>
      </c>
      <c r="G19" s="423">
        <f ca="1">IF(F19="","",'ריכוז נתונים'!AS19)</f>
        <v>1</v>
      </c>
      <c r="H19" s="423">
        <f ca="1">IF(G19="","",'ריכוז נתונים'!AT19)</f>
        <v>1</v>
      </c>
      <c r="I19" s="423">
        <f ca="1">IF(H19="","",'ריכוז נתונים'!AU19)</f>
        <v>3</v>
      </c>
      <c r="J19" s="423">
        <f ca="1">IF(I19="","",'ריכוז נתונים'!AV19)</f>
        <v>0</v>
      </c>
      <c r="K19" s="423">
        <f ca="1">IF(I19="","",'ריכוז נתונים'!AW19)</f>
        <v>3</v>
      </c>
      <c r="L19" s="423">
        <f ca="1">IF(J19="","",'ריכוז נתונים'!AX19)</f>
        <v>0</v>
      </c>
      <c r="M19" s="423">
        <f ca="1">IF(K19="","",'ריכוז נתונים'!AY19)</f>
        <v>6</v>
      </c>
      <c r="N19" s="424">
        <f t="shared" ca="1" si="1"/>
        <v>92.5</v>
      </c>
      <c r="O19" s="424">
        <f t="shared" ca="1" si="0"/>
        <v>92.5</v>
      </c>
      <c r="P19" s="425">
        <f t="shared" ca="1" si="2"/>
        <v>1.1682095452191815E-2</v>
      </c>
    </row>
    <row r="20" spans="2:16" x14ac:dyDescent="0.25">
      <c r="B20" s="7">
        <f>'ריכוז נתונים'!C20</f>
        <v>4</v>
      </c>
      <c r="C20" s="7" t="str">
        <f ca="1">IF('ריכוז נתונים כללים'!X20='ריכוז נתונים כללים'!$Y$16,'ריכוז נתונים כללים'!D20,"")</f>
        <v>הפדרציה העולמית של יהדות תוניס</v>
      </c>
      <c r="D20" s="423">
        <f ca="1">IF(C20="","",'ריכוז נתונים'!AP20)</f>
        <v>0</v>
      </c>
      <c r="E20" s="423">
        <f ca="1">IF(D20="","",'ריכוז נתונים'!AQ20)</f>
        <v>0</v>
      </c>
      <c r="F20" s="423">
        <f ca="1">IF(E20="","",'ריכוז נתונים'!AR20)</f>
        <v>0</v>
      </c>
      <c r="G20" s="423">
        <f ca="1">IF(F20="","",'ריכוז נתונים'!AS20)</f>
        <v>0</v>
      </c>
      <c r="H20" s="423">
        <f ca="1">IF(G20="","",'ריכוז נתונים'!AT20)</f>
        <v>0</v>
      </c>
      <c r="I20" s="423">
        <f ca="1">IF(H20="","",'ריכוז נתונים'!AU20)</f>
        <v>0</v>
      </c>
      <c r="J20" s="423">
        <f ca="1">IF(I20="","",'ריכוז נתונים'!AV20)</f>
        <v>0</v>
      </c>
      <c r="K20" s="423">
        <f ca="1">IF(I20="","",'ריכוז נתונים'!AW20)</f>
        <v>0</v>
      </c>
      <c r="L20" s="423">
        <f ca="1">IF(J20="","",'ריכוז נתונים'!AX20)</f>
        <v>0</v>
      </c>
      <c r="M20" s="423">
        <f ca="1">IF(K20="","",'ריכוז נתונים'!AY20)</f>
        <v>0</v>
      </c>
      <c r="N20" s="424">
        <f t="shared" ca="1" si="1"/>
        <v>0</v>
      </c>
      <c r="O20" s="424">
        <f t="shared" ca="1" si="0"/>
        <v>0</v>
      </c>
      <c r="P20" s="425">
        <f t="shared" ca="1" si="2"/>
        <v>0</v>
      </c>
    </row>
    <row r="21" spans="2:16" x14ac:dyDescent="0.25">
      <c r="B21" s="7">
        <f>'ריכוז נתונים'!C21</f>
        <v>5</v>
      </c>
      <c r="C21" s="7" t="str">
        <f ca="1">IF('ריכוז נתונים כללים'!X21='ריכוז נתונים כללים'!$Y$16,'ריכוז נתונים כללים'!D21,"")</f>
        <v>התאחדות עולי מצרים</v>
      </c>
      <c r="D21" s="423">
        <f ca="1">IF(C21="","",'ריכוז נתונים'!AP21)</f>
        <v>0</v>
      </c>
      <c r="E21" s="423">
        <f ca="1">IF(D21="","",'ריכוז נתונים'!AQ21)</f>
        <v>9</v>
      </c>
      <c r="F21" s="423">
        <f ca="1">IF(E21="","",'ריכוז נתונים'!AR21)</f>
        <v>2</v>
      </c>
      <c r="G21" s="423">
        <f ca="1">IF(F21="","",'ריכוז נתונים'!AS21)</f>
        <v>3</v>
      </c>
      <c r="H21" s="423">
        <f ca="1">IF(G21="","",'ריכוז נתונים'!AT21)</f>
        <v>2</v>
      </c>
      <c r="I21" s="423">
        <f ca="1">IF(H21="","",'ריכוז נתונים'!AU21)</f>
        <v>6</v>
      </c>
      <c r="J21" s="423">
        <f ca="1">IF(I21="","",'ריכוז נתונים'!AV21)</f>
        <v>2</v>
      </c>
      <c r="K21" s="423">
        <f ca="1">IF(I21="","",'ריכוז נתונים'!AW21)</f>
        <v>6</v>
      </c>
      <c r="L21" s="423">
        <f ca="1">IF(J21="","",'ריכוז נתונים'!AX21)</f>
        <v>2</v>
      </c>
      <c r="M21" s="423">
        <f ca="1">IF(K21="","",'ריכוז נתונים'!AY21)</f>
        <v>0</v>
      </c>
      <c r="N21" s="424">
        <f t="shared" ca="1" si="1"/>
        <v>70</v>
      </c>
      <c r="O21" s="424">
        <f t="shared" ca="1" si="0"/>
        <v>70</v>
      </c>
      <c r="P21" s="425">
        <f t="shared" ca="1" si="2"/>
        <v>8.840504666523535E-3</v>
      </c>
    </row>
    <row r="22" spans="2:16" x14ac:dyDescent="0.25">
      <c r="B22" s="7">
        <f>'ריכוז נתונים'!C22</f>
        <v>6</v>
      </c>
      <c r="C22" s="7" t="str">
        <f ca="1">IF('ריכוז נתונים כללים'!X22='ריכוז נתונים כללים'!$Y$16,'ריכוז נתונים כללים'!D22,"")</f>
        <v>יהודים יוצאי לוב</v>
      </c>
      <c r="D22" s="423">
        <f ca="1">IF(C22="","",'ריכוז נתונים'!AP22)</f>
        <v>11</v>
      </c>
      <c r="E22" s="423">
        <f ca="1">IF(D22="","",'ריכוז נתונים'!AQ22)</f>
        <v>2</v>
      </c>
      <c r="F22" s="423">
        <f ca="1">IF(E22="","",'ריכוז נתונים'!AR22)</f>
        <v>2</v>
      </c>
      <c r="G22" s="423">
        <f ca="1">IF(F22="","",'ריכוז נתונים'!AS22)</f>
        <v>0</v>
      </c>
      <c r="H22" s="423">
        <f ca="1">IF(G22="","",'ריכוז נתונים'!AT22)</f>
        <v>0</v>
      </c>
      <c r="I22" s="423">
        <f ca="1">IF(H22="","",'ריכוז נתונים'!AU22)</f>
        <v>1</v>
      </c>
      <c r="J22" s="423">
        <f ca="1">IF(I22="","",'ריכוז נתונים'!AV22)</f>
        <v>0</v>
      </c>
      <c r="K22" s="423">
        <f ca="1">IF(I22="","",'ריכוז נתונים'!AW22)</f>
        <v>1</v>
      </c>
      <c r="L22" s="423">
        <f ca="1">IF(J22="","",'ריכוז נתונים'!AX22)</f>
        <v>0</v>
      </c>
      <c r="M22" s="423">
        <f ca="1">IF(K22="","",'ריכוז נתונים'!AY22)</f>
        <v>2</v>
      </c>
      <c r="N22" s="424">
        <f t="shared" ca="1" si="1"/>
        <v>35.299999999999997</v>
      </c>
      <c r="O22" s="424">
        <f t="shared" ca="1" si="0"/>
        <v>35.299999999999997</v>
      </c>
      <c r="P22" s="425">
        <f t="shared" ca="1" si="2"/>
        <v>4.4581402104040112E-3</v>
      </c>
    </row>
    <row r="23" spans="2:16" x14ac:dyDescent="0.25">
      <c r="B23" s="7">
        <f>'ריכוז נתונים'!C23</f>
        <v>7</v>
      </c>
      <c r="C23" s="7" t="str">
        <f ca="1">IF('ריכוז נתונים כללים'!X23='ריכוז נתונים כללים'!$Y$16,'ריכוז נתונים כללים'!D23,"")</f>
        <v>הפדרציה העולמית של יהדות מרוקו</v>
      </c>
      <c r="D23" s="423">
        <f ca="1">IF(C23="","",'ריכוז נתונים'!AP23)</f>
        <v>5</v>
      </c>
      <c r="E23" s="423">
        <f ca="1">IF(D23="","",'ריכוז נתונים'!AQ23)</f>
        <v>9</v>
      </c>
      <c r="F23" s="423">
        <f ca="1">IF(E23="","",'ריכוז נתונים'!AR23)</f>
        <v>3</v>
      </c>
      <c r="G23" s="423">
        <f ca="1">IF(F23="","",'ריכוז נתונים'!AS23)</f>
        <v>1</v>
      </c>
      <c r="H23" s="423">
        <f ca="1">IF(G23="","",'ריכוז נתונים'!AT23)</f>
        <v>0</v>
      </c>
      <c r="I23" s="423">
        <f ca="1">IF(H23="","",'ריכוז נתונים'!AU23)</f>
        <v>0</v>
      </c>
      <c r="J23" s="423">
        <f ca="1">IF(I23="","",'ריכוז נתונים'!AV23)</f>
        <v>0</v>
      </c>
      <c r="K23" s="423">
        <f ca="1">IF(I23="","",'ריכוז נתונים'!AW23)</f>
        <v>0</v>
      </c>
      <c r="L23" s="423">
        <f ca="1">IF(J23="","",'ריכוז נתונים'!AX23)</f>
        <v>0</v>
      </c>
      <c r="M23" s="423">
        <f ca="1">IF(K23="","",'ריכוז נתונים'!AY23)</f>
        <v>1</v>
      </c>
      <c r="N23" s="424">
        <f t="shared" ca="1" si="1"/>
        <v>28.45</v>
      </c>
      <c r="O23" s="424">
        <f t="shared" ca="1" si="0"/>
        <v>28.45</v>
      </c>
      <c r="P23" s="425">
        <f t="shared" ca="1" si="2"/>
        <v>3.5930336823227797E-3</v>
      </c>
    </row>
    <row r="24" spans="2:16" x14ac:dyDescent="0.25">
      <c r="B24" s="7">
        <f>'ריכוז נתונים'!C24</f>
        <v>8</v>
      </c>
      <c r="C24" s="7" t="str">
        <f ca="1">IF('ריכוז נתונים כללים'!X24='ריכוז נתונים כללים'!$Y$16,'ריכוז נתונים כללים'!D24,"")</f>
        <v>אורות הגליל</v>
      </c>
      <c r="D24" s="423">
        <f ca="1">IF(C24="","",'ריכוז נתונים'!AP24)</f>
        <v>28</v>
      </c>
      <c r="E24" s="423">
        <f ca="1">IF(D24="","",'ריכוז נתונים'!AQ24)</f>
        <v>3</v>
      </c>
      <c r="F24" s="423">
        <f ca="1">IF(E24="","",'ריכוז נתונים'!AR24)</f>
        <v>0</v>
      </c>
      <c r="G24" s="423">
        <f ca="1">IF(F24="","",'ריכוז נתונים'!AS24)</f>
        <v>5</v>
      </c>
      <c r="H24" s="423">
        <f ca="1">IF(G24="","",'ריכוז נתונים'!AT24)</f>
        <v>0</v>
      </c>
      <c r="I24" s="423">
        <f ca="1">IF(H24="","",'ריכוז נתונים'!AU24)</f>
        <v>16</v>
      </c>
      <c r="J24" s="423">
        <f ca="1">IF(I24="","",'ריכוז נתונים'!AV24)</f>
        <v>0</v>
      </c>
      <c r="K24" s="423">
        <f ca="1">IF(I24="","",'ריכוז נתונים'!AW24)</f>
        <v>9</v>
      </c>
      <c r="L24" s="423">
        <f ca="1">IF(J24="","",'ריכוז נתונים'!AX24)</f>
        <v>0</v>
      </c>
      <c r="M24" s="423">
        <f ca="1">IF(K24="","",'ריכוז נתונים'!AY24)</f>
        <v>6</v>
      </c>
      <c r="N24" s="424">
        <f t="shared" ca="1" si="1"/>
        <v>195</v>
      </c>
      <c r="O24" s="424">
        <f t="shared" ca="1" si="0"/>
        <v>195</v>
      </c>
      <c r="P24" s="425">
        <f t="shared" ca="1" si="2"/>
        <v>2.4627120142458419E-2</v>
      </c>
    </row>
    <row r="25" spans="2:16" x14ac:dyDescent="0.25">
      <c r="B25" s="7">
        <f>'ריכוז נתונים'!C25</f>
        <v>9</v>
      </c>
      <c r="C25" s="7" t="str">
        <f ca="1">IF('ריכוז נתונים כללים'!X25='ריכוז נתונים כללים'!$Y$16,'ריכוז נתונים כללים'!D25,"")</f>
        <v>אלמז</v>
      </c>
      <c r="D25" s="423">
        <f ca="1">IF(C25="","",'ריכוז נתונים'!AP25)</f>
        <v>3</v>
      </c>
      <c r="E25" s="423">
        <f ca="1">IF(D25="","",'ריכוז נתונים'!AQ25)</f>
        <v>10</v>
      </c>
      <c r="F25" s="423">
        <f ca="1">IF(E25="","",'ריכוז נתונים'!AR25)</f>
        <v>0</v>
      </c>
      <c r="G25" s="423">
        <f ca="1">IF(F25="","",'ריכוז נתונים'!AS25)</f>
        <v>2</v>
      </c>
      <c r="H25" s="423">
        <f ca="1">IF(G25="","",'ריכוז נתונים'!AT25)</f>
        <v>1</v>
      </c>
      <c r="I25" s="423">
        <f ca="1">IF(H25="","",'ריכוז נתונים'!AU25)</f>
        <v>4</v>
      </c>
      <c r="J25" s="423">
        <f ca="1">IF(I25="","",'ריכוז נתונים'!AV25)</f>
        <v>1</v>
      </c>
      <c r="K25" s="423">
        <f ca="1">IF(I25="","",'ריכוז נתונים'!AW25)</f>
        <v>4</v>
      </c>
      <c r="L25" s="423">
        <f ca="1">IF(J25="","",'ריכוז נתונים'!AX25)</f>
        <v>1</v>
      </c>
      <c r="M25" s="423">
        <f ca="1">IF(K25="","",'ריכוז נתונים'!AY25)</f>
        <v>2</v>
      </c>
      <c r="N25" s="424">
        <f t="shared" ca="1" si="1"/>
        <v>68.849999999999994</v>
      </c>
      <c r="O25" s="424">
        <f t="shared" ca="1" si="0"/>
        <v>68.849999999999994</v>
      </c>
      <c r="P25" s="425">
        <f t="shared" ca="1" si="2"/>
        <v>8.6952678041449342E-3</v>
      </c>
    </row>
    <row r="26" spans="2:16" x14ac:dyDescent="0.25">
      <c r="B26" s="7">
        <f>'ריכוז נתונים'!C26</f>
        <v>10</v>
      </c>
      <c r="C26" s="7" t="str">
        <f ca="1">IF('ריכוז נתונים כללים'!X26='ריכוז נתונים כללים'!$Y$16,'ריכוז נתונים כללים'!D26,"")</f>
        <v>קונגרס יהודי בוכרה</v>
      </c>
      <c r="D26" s="423">
        <f ca="1">IF(C26="","",'ריכוז נתונים'!AP26)</f>
        <v>0</v>
      </c>
      <c r="E26" s="423">
        <f ca="1">IF(D26="","",'ריכוז נתונים'!AQ26)</f>
        <v>159</v>
      </c>
      <c r="F26" s="423">
        <f ca="1">IF(E26="","",'ריכוז נתונים'!AR26)</f>
        <v>0</v>
      </c>
      <c r="G26" s="423">
        <f ca="1">IF(F26="","",'ריכוז נתונים'!AS26)</f>
        <v>0</v>
      </c>
      <c r="H26" s="423">
        <f ca="1">IF(G26="","",'ריכוז נתונים'!AT26)</f>
        <v>0</v>
      </c>
      <c r="I26" s="423">
        <f ca="1">IF(H26="","",'ריכוז נתונים'!AU26)</f>
        <v>30</v>
      </c>
      <c r="J26" s="423">
        <f ca="1">IF(I26="","",'ריכוז נתונים'!AV26)</f>
        <v>0</v>
      </c>
      <c r="K26" s="423">
        <f ca="1">IF(I26="","",'ריכוז נתונים'!AW26)</f>
        <v>30</v>
      </c>
      <c r="L26" s="423">
        <f ca="1">IF(J26="","",'ריכוז נתונים'!AX26)</f>
        <v>0</v>
      </c>
      <c r="M26" s="423">
        <f ca="1">IF(K26="","",'ריכוז נתונים'!AY26)</f>
        <v>74</v>
      </c>
      <c r="N26" s="424">
        <f t="shared" ca="1" si="1"/>
        <v>952.5</v>
      </c>
      <c r="O26" s="424">
        <f t="shared" ca="1" si="0"/>
        <v>952.5</v>
      </c>
      <c r="P26" s="425">
        <f t="shared" ca="1" si="2"/>
        <v>0.12029400992662381</v>
      </c>
    </row>
    <row r="27" spans="2:16" x14ac:dyDescent="0.25">
      <c r="B27" s="7">
        <f>'ריכוז נתונים'!C27</f>
        <v>11</v>
      </c>
      <c r="C27" s="7" t="str">
        <f ca="1">IF('ריכוז נתונים כללים'!X27='ריכוז נתונים כללים'!$Y$16,'ריכוז נתונים כללים'!D27,"")</f>
        <v>יהדות שאלוניקי יוון</v>
      </c>
      <c r="D27" s="423">
        <f ca="1">IF(C27="","",'ריכוז נתונים'!AP27)</f>
        <v>69</v>
      </c>
      <c r="E27" s="423">
        <f ca="1">IF(D27="","",'ריכוז נתונים'!AQ27)</f>
        <v>1</v>
      </c>
      <c r="F27" s="423">
        <f ca="1">IF(E27="","",'ריכוז נתונים'!AR27)</f>
        <v>1</v>
      </c>
      <c r="G27" s="423">
        <f ca="1">IF(F27="","",'ריכוז נתונים'!AS27)</f>
        <v>1</v>
      </c>
      <c r="H27" s="423">
        <f ca="1">IF(G27="","",'ריכוז נתונים'!AT27)</f>
        <v>0</v>
      </c>
      <c r="I27" s="423">
        <f ca="1">IF(H27="","",'ריכוז נתונים'!AU27)</f>
        <v>1</v>
      </c>
      <c r="J27" s="423">
        <f ca="1">IF(I27="","",'ריכוז נתונים'!AV27)</f>
        <v>0</v>
      </c>
      <c r="K27" s="423">
        <f ca="1">IF(I27="","",'ריכוז נתונים'!AW27)</f>
        <v>1</v>
      </c>
      <c r="L27" s="423">
        <f ca="1">IF(J27="","",'ריכוז נתונים'!AX27)</f>
        <v>0</v>
      </c>
      <c r="M27" s="423">
        <f ca="1">IF(K27="","",'ריכוז נתונים'!AY27)</f>
        <v>6</v>
      </c>
      <c r="N27" s="424">
        <f t="shared" ca="1" si="1"/>
        <v>119.15</v>
      </c>
      <c r="O27" s="424">
        <f t="shared" ca="1" si="0"/>
        <v>119.15</v>
      </c>
      <c r="P27" s="425">
        <f t="shared" ca="1" si="2"/>
        <v>1.5047801871661133E-2</v>
      </c>
    </row>
    <row r="28" spans="2:16" x14ac:dyDescent="0.25">
      <c r="B28" s="7">
        <f>'ריכוז נתונים'!C28</f>
        <v>12</v>
      </c>
      <c r="C28" s="7" t="str">
        <f ca="1">IF('ריכוז נתונים כללים'!X28='ריכוז נתונים כללים'!$Y$16,'ריכוז נתונים כללים'!D28,"")</f>
        <v/>
      </c>
      <c r="D28" s="423" t="str">
        <f ca="1">IF(C28="","",'ריכוז נתונים'!AP28)</f>
        <v/>
      </c>
      <c r="E28" s="423" t="str">
        <f ca="1">IF(D28="","",'ריכוז נתונים'!AQ28)</f>
        <v/>
      </c>
      <c r="F28" s="423" t="str">
        <f ca="1">IF(E28="","",'ריכוז נתונים'!AR28)</f>
        <v/>
      </c>
      <c r="G28" s="423" t="str">
        <f ca="1">IF(F28="","",'ריכוז נתונים'!AS28)</f>
        <v/>
      </c>
      <c r="H28" s="423" t="str">
        <f ca="1">IF(G28="","",'ריכוז נתונים'!AT28)</f>
        <v/>
      </c>
      <c r="I28" s="423" t="str">
        <f ca="1">IF(H28="","",'ריכוז נתונים'!AU28)</f>
        <v/>
      </c>
      <c r="J28" s="423" t="str">
        <f ca="1">IF(I28="","",'ריכוז נתונים'!AV28)</f>
        <v/>
      </c>
      <c r="K28" s="423" t="str">
        <f ca="1">IF(I28="","",'ריכוז נתונים'!AW28)</f>
        <v/>
      </c>
      <c r="L28" s="423" t="str">
        <f ca="1">IF(J28="","",'ריכוז נתונים'!AX28)</f>
        <v/>
      </c>
      <c r="M28" s="423" t="str">
        <f ca="1">IF(K28="","",'ריכוז נתונים'!AY28)</f>
        <v/>
      </c>
      <c r="N28" s="424" t="str">
        <f t="shared" ca="1" si="1"/>
        <v/>
      </c>
      <c r="O28" s="424" t="str">
        <f t="shared" ca="1" si="0"/>
        <v/>
      </c>
      <c r="P28" s="425" t="str">
        <f t="shared" ca="1" si="2"/>
        <v/>
      </c>
    </row>
    <row r="29" spans="2:16" x14ac:dyDescent="0.25">
      <c r="B29" s="7">
        <f>'ריכוז נתונים'!C29</f>
        <v>13</v>
      </c>
      <c r="C29" s="7" t="str">
        <f ca="1">IF('ריכוז נתונים כללים'!X29='ריכוז נתונים כללים'!$Y$16,'ריכוז נתונים כללים'!D29,"")</f>
        <v/>
      </c>
      <c r="D29" s="423" t="str">
        <f ca="1">IF(C29="","",'ריכוז נתונים'!AP29)</f>
        <v/>
      </c>
      <c r="E29" s="423" t="str">
        <f ca="1">IF(D29="","",'ריכוז נתונים'!AQ29)</f>
        <v/>
      </c>
      <c r="F29" s="423" t="str">
        <f ca="1">IF(E29="","",'ריכוז נתונים'!AR29)</f>
        <v/>
      </c>
      <c r="G29" s="423" t="str">
        <f ca="1">IF(F29="","",'ריכוז נתונים'!AS29)</f>
        <v/>
      </c>
      <c r="H29" s="423" t="str">
        <f ca="1">IF(G29="","",'ריכוז נתונים'!AT29)</f>
        <v/>
      </c>
      <c r="I29" s="423" t="str">
        <f ca="1">IF(H29="","",'ריכוז נתונים'!AU29)</f>
        <v/>
      </c>
      <c r="J29" s="423" t="str">
        <f ca="1">IF(I29="","",'ריכוז נתונים'!AV29)</f>
        <v/>
      </c>
      <c r="K29" s="423" t="str">
        <f ca="1">IF(I29="","",'ריכוז נתונים'!AW29)</f>
        <v/>
      </c>
      <c r="L29" s="423" t="str">
        <f ca="1">IF(J29="","",'ריכוז נתונים'!AX29)</f>
        <v/>
      </c>
      <c r="M29" s="423" t="str">
        <f ca="1">IF(K29="","",'ריכוז נתונים'!AY29)</f>
        <v/>
      </c>
      <c r="N29" s="424" t="str">
        <f t="shared" ca="1" si="1"/>
        <v/>
      </c>
      <c r="O29" s="424" t="str">
        <f t="shared" ca="1" si="0"/>
        <v/>
      </c>
      <c r="P29" s="425" t="str">
        <f t="shared" ca="1" si="2"/>
        <v/>
      </c>
    </row>
    <row r="30" spans="2:16" x14ac:dyDescent="0.25">
      <c r="B30" s="7">
        <f>'ריכוז נתונים'!C30</f>
        <v>14</v>
      </c>
      <c r="C30" s="7" t="str">
        <f ca="1">IF('ריכוז נתונים כללים'!X30='ריכוז נתונים כללים'!$Y$16,'ריכוז נתונים כללים'!D30,"")</f>
        <v/>
      </c>
      <c r="D30" s="423" t="str">
        <f ca="1">IF(C30="","",'ריכוז נתונים'!AP30)</f>
        <v/>
      </c>
      <c r="E30" s="423" t="str">
        <f ca="1">IF(D30="","",'ריכוז נתונים'!AQ30)</f>
        <v/>
      </c>
      <c r="F30" s="423" t="str">
        <f ca="1">IF(E30="","",'ריכוז נתונים'!AR30)</f>
        <v/>
      </c>
      <c r="G30" s="423" t="str">
        <f ca="1">IF(F30="","",'ריכוז נתונים'!AS30)</f>
        <v/>
      </c>
      <c r="H30" s="423" t="str">
        <f ca="1">IF(G30="","",'ריכוז נתונים'!AT30)</f>
        <v/>
      </c>
      <c r="I30" s="423" t="str">
        <f ca="1">IF(H30="","",'ריכוז נתונים'!AU30)</f>
        <v/>
      </c>
      <c r="J30" s="423" t="str">
        <f ca="1">IF(I30="","",'ריכוז נתונים'!AV30)</f>
        <v/>
      </c>
      <c r="K30" s="423" t="str">
        <f ca="1">IF(I30="","",'ריכוז נתונים'!AW30)</f>
        <v/>
      </c>
      <c r="L30" s="423" t="str">
        <f ca="1">IF(J30="","",'ריכוז נתונים'!AX30)</f>
        <v/>
      </c>
      <c r="M30" s="423" t="str">
        <f ca="1">IF(K30="","",'ריכוז נתונים'!AY30)</f>
        <v/>
      </c>
      <c r="N30" s="424" t="str">
        <f t="shared" ca="1" si="1"/>
        <v/>
      </c>
      <c r="O30" s="424" t="str">
        <f t="shared" ca="1" si="0"/>
        <v/>
      </c>
      <c r="P30" s="425" t="str">
        <f t="shared" ca="1" si="2"/>
        <v/>
      </c>
    </row>
    <row r="31" spans="2:16" x14ac:dyDescent="0.25">
      <c r="B31" s="7">
        <f>'ריכוז נתונים'!C31</f>
        <v>15</v>
      </c>
      <c r="C31" s="7" t="str">
        <f ca="1">IF('ריכוז נתונים כללים'!X31='ריכוז נתונים כללים'!$Y$16,'ריכוז נתונים כללים'!D31,"")</f>
        <v xml:space="preserve">החברה לטיפוח חברה תרבות תיעוד </v>
      </c>
      <c r="D31" s="423">
        <f ca="1">IF(C31="","",'ריכוז נתונים'!AP31)</f>
        <v>60</v>
      </c>
      <c r="E31" s="423">
        <f ca="1">IF(D31="","",'ריכוז נתונים'!AQ31)</f>
        <v>136</v>
      </c>
      <c r="F31" s="423">
        <f ca="1">IF(E31="","",'ריכוז נתונים'!AR31)</f>
        <v>63</v>
      </c>
      <c r="G31" s="423">
        <f ca="1">IF(F31="","",'ריכוז נתונים'!AS31)</f>
        <v>23</v>
      </c>
      <c r="H31" s="423">
        <f ca="1">IF(G31="","",'ריכוז נתונים'!AT31)</f>
        <v>20</v>
      </c>
      <c r="I31" s="423">
        <f ca="1">IF(H31="","",'ריכוז נתונים'!AU31)</f>
        <v>168</v>
      </c>
      <c r="J31" s="423">
        <f ca="1">IF(I31="","",'ריכוז נתונים'!AV31)</f>
        <v>0</v>
      </c>
      <c r="K31" s="423">
        <f ca="1">IF(I31="","",'ריכוז נתונים'!AW31)</f>
        <v>65</v>
      </c>
      <c r="L31" s="423">
        <f ca="1">IF(J31="","",'ריכוז נתונים'!AX31)</f>
        <v>0</v>
      </c>
      <c r="M31" s="423">
        <f ca="1">IF(K31="","",'ריכוז נתונים'!AY31)</f>
        <v>6</v>
      </c>
      <c r="N31" s="424">
        <f t="shared" ca="1" si="1"/>
        <v>1393.95</v>
      </c>
      <c r="O31" s="424">
        <f t="shared" ca="1" si="0"/>
        <v>1393.95</v>
      </c>
      <c r="P31" s="425">
        <f t="shared" ca="1" si="2"/>
        <v>0.17604602114143547</v>
      </c>
    </row>
    <row r="32" spans="2:16" x14ac:dyDescent="0.25">
      <c r="B32" s="7">
        <f>'ריכוז נתונים'!C32</f>
        <v>16</v>
      </c>
      <c r="C32" s="7" t="str">
        <f ca="1">IF('ריכוז נתונים כללים'!X32='ריכוז נתונים כללים'!$Y$16,'ריכוז נתונים כללים'!D32,"")</f>
        <v>עמותת אור שלום</v>
      </c>
      <c r="D32" s="423">
        <f ca="1">IF(C32="","",'ריכוז נתונים'!AP32)</f>
        <v>0</v>
      </c>
      <c r="E32" s="423">
        <f ca="1">IF(D32="","",'ריכוז נתונים'!AQ32)</f>
        <v>2</v>
      </c>
      <c r="F32" s="423">
        <f ca="1">IF(E32="","",'ריכוז נתונים'!AR32)</f>
        <v>0</v>
      </c>
      <c r="G32" s="423">
        <f ca="1">IF(F32="","",'ריכוז נתונים'!AS32)</f>
        <v>0</v>
      </c>
      <c r="H32" s="423">
        <f ca="1">IF(G32="","",'ריכוז נתונים'!AT32)</f>
        <v>0</v>
      </c>
      <c r="I32" s="423">
        <f ca="1">IF(H32="","",'ריכוז נתונים'!AU32)</f>
        <v>9</v>
      </c>
      <c r="J32" s="423">
        <f ca="1">IF(I32="","",'ריכוז נתונים'!AV32)</f>
        <v>0</v>
      </c>
      <c r="K32" s="423">
        <f ca="1">IF(I32="","",'ריכוז נתונים'!AW32)</f>
        <v>9</v>
      </c>
      <c r="L32" s="423">
        <f ca="1">IF(J32="","",'ריכוז נתונים'!AX32)</f>
        <v>0</v>
      </c>
      <c r="M32" s="423">
        <f ca="1">IF(K32="","",'ריכוז נתונים'!AY32)</f>
        <v>1</v>
      </c>
      <c r="N32" s="424">
        <f t="shared" ca="1" si="1"/>
        <v>90</v>
      </c>
      <c r="O32" s="424">
        <f t="shared" ca="1" si="0"/>
        <v>90</v>
      </c>
      <c r="P32" s="425">
        <f t="shared" ca="1" si="2"/>
        <v>1.1366363142673117E-2</v>
      </c>
    </row>
    <row r="33" spans="2:16" x14ac:dyDescent="0.25">
      <c r="B33" s="7">
        <f>'ריכוז נתונים'!C33</f>
        <v>17</v>
      </c>
      <c r="C33" s="7" t="str">
        <f ca="1">IF('ריכוז נתונים כללים'!X33='ריכוז נתונים כללים'!$Y$16,'ריכוז נתונים כללים'!D33,"")</f>
        <v/>
      </c>
      <c r="D33" s="423" t="str">
        <f ca="1">IF(C33="","",'ריכוז נתונים'!AP33)</f>
        <v/>
      </c>
      <c r="E33" s="423" t="str">
        <f ca="1">IF(D33="","",'ריכוז נתונים'!AQ33)</f>
        <v/>
      </c>
      <c r="F33" s="423" t="str">
        <f ca="1">IF(E33="","",'ריכוז נתונים'!AR33)</f>
        <v/>
      </c>
      <c r="G33" s="423" t="str">
        <f ca="1">IF(F33="","",'ריכוז נתונים'!AS33)</f>
        <v/>
      </c>
      <c r="H33" s="423" t="str">
        <f ca="1">IF(G33="","",'ריכוז נתונים'!AT33)</f>
        <v/>
      </c>
      <c r="I33" s="423" t="str">
        <f ca="1">IF(H33="","",'ריכוז נתונים'!AU33)</f>
        <v/>
      </c>
      <c r="J33" s="423" t="str">
        <f ca="1">IF(I33="","",'ריכוז נתונים'!AV33)</f>
        <v/>
      </c>
      <c r="K33" s="423" t="str">
        <f ca="1">IF(I33="","",'ריכוז נתונים'!AW33)</f>
        <v/>
      </c>
      <c r="L33" s="423" t="str">
        <f ca="1">IF(J33="","",'ריכוז נתונים'!AX33)</f>
        <v/>
      </c>
      <c r="M33" s="423" t="str">
        <f ca="1">IF(K33="","",'ריכוז נתונים'!AY33)</f>
        <v/>
      </c>
      <c r="N33" s="424" t="str">
        <f t="shared" ca="1" si="1"/>
        <v/>
      </c>
      <c r="O33" s="424" t="str">
        <f t="shared" ca="1" si="0"/>
        <v/>
      </c>
      <c r="P33" s="425" t="str">
        <f t="shared" ca="1" si="2"/>
        <v/>
      </c>
    </row>
    <row r="34" spans="2:16" x14ac:dyDescent="0.25">
      <c r="B34" s="7">
        <f>'ריכוז נתונים'!C34</f>
        <v>18</v>
      </c>
      <c r="C34" s="7" t="str">
        <f ca="1">IF('ריכוז נתונים כללים'!X34='ריכוז נתונים כללים'!$Y$16,'ריכוז נתונים כללים'!D34,"")</f>
        <v>ישיבת קרלין סטולין</v>
      </c>
      <c r="D34" s="423">
        <f ca="1">IF(C34="","",'ריכוז נתונים'!AP34)</f>
        <v>0</v>
      </c>
      <c r="E34" s="423">
        <f ca="1">IF(D34="","",'ריכוז נתונים'!AQ34)</f>
        <v>128</v>
      </c>
      <c r="F34" s="423">
        <f ca="1">IF(E34="","",'ריכוז נתונים'!AR34)</f>
        <v>0</v>
      </c>
      <c r="G34" s="423">
        <f ca="1">IF(F34="","",'ריכוז נתונים'!AS34)</f>
        <v>0</v>
      </c>
      <c r="H34" s="423">
        <f ca="1">IF(G34="","",'ריכוז נתונים'!AT34)</f>
        <v>0</v>
      </c>
      <c r="I34" s="423">
        <f ca="1">IF(H34="","",'ריכוז נתונים'!AU34)</f>
        <v>0</v>
      </c>
      <c r="J34" s="423">
        <f ca="1">IF(I34="","",'ריכוז נתונים'!AV34)</f>
        <v>0</v>
      </c>
      <c r="K34" s="423">
        <f ca="1">IF(I34="","",'ריכוז נתונים'!AW34)</f>
        <v>0</v>
      </c>
      <c r="L34" s="423">
        <f ca="1">IF(J34="","",'ריכוז נתונים'!AX34)</f>
        <v>0</v>
      </c>
      <c r="M34" s="423">
        <f ca="1">IF(K34="","",'ריכוז נתונים'!AY34)</f>
        <v>8</v>
      </c>
      <c r="N34" s="424">
        <f t="shared" ca="1" si="1"/>
        <v>240</v>
      </c>
      <c r="O34" s="424">
        <f t="shared" ca="1" si="0"/>
        <v>240</v>
      </c>
      <c r="P34" s="425">
        <f t="shared" ca="1" si="2"/>
        <v>3.0310301713794979E-2</v>
      </c>
    </row>
    <row r="35" spans="2:16" x14ac:dyDescent="0.25">
      <c r="B35" s="7">
        <f>'ריכוז נתונים'!C35</f>
        <v>19</v>
      </c>
      <c r="C35" s="7" t="str">
        <f ca="1">IF('ריכוז נתונים כללים'!X35='ריכוז נתונים כללים'!$Y$16,'ריכוז נתונים כללים'!D35,"")</f>
        <v/>
      </c>
      <c r="D35" s="423" t="str">
        <f ca="1">IF(C35="","",'ריכוז נתונים'!AP35)</f>
        <v/>
      </c>
      <c r="E35" s="423" t="str">
        <f ca="1">IF(D35="","",'ריכוז נתונים'!AQ35)</f>
        <v/>
      </c>
      <c r="F35" s="423" t="str">
        <f ca="1">IF(E35="","",'ריכוז נתונים'!AR35)</f>
        <v/>
      </c>
      <c r="G35" s="423" t="str">
        <f ca="1">IF(F35="","",'ריכוז נתונים'!AS35)</f>
        <v/>
      </c>
      <c r="H35" s="423" t="str">
        <f ca="1">IF(G35="","",'ריכוז נתונים'!AT35)</f>
        <v/>
      </c>
      <c r="I35" s="423" t="str">
        <f ca="1">IF(H35="","",'ריכוז נתונים'!AU35)</f>
        <v/>
      </c>
      <c r="J35" s="423" t="str">
        <f ca="1">IF(I35="","",'ריכוז נתונים'!AV35)</f>
        <v/>
      </c>
      <c r="K35" s="423" t="str">
        <f ca="1">IF(I35="","",'ריכוז נתונים'!AW35)</f>
        <v/>
      </c>
      <c r="L35" s="423" t="str">
        <f ca="1">IF(J35="","",'ריכוז נתונים'!AX35)</f>
        <v/>
      </c>
      <c r="M35" s="423" t="str">
        <f ca="1">IF(K35="","",'ריכוז נתונים'!AY35)</f>
        <v/>
      </c>
      <c r="N35" s="424" t="str">
        <f t="shared" ca="1" si="1"/>
        <v/>
      </c>
      <c r="O35" s="424" t="str">
        <f t="shared" ca="1" si="0"/>
        <v/>
      </c>
      <c r="P35" s="425" t="str">
        <f t="shared" ca="1" si="2"/>
        <v/>
      </c>
    </row>
    <row r="36" spans="2:16" x14ac:dyDescent="0.25">
      <c r="B36" s="7">
        <f>'ריכוז נתונים'!C36</f>
        <v>20</v>
      </c>
      <c r="C36" s="7" t="str">
        <f ca="1">IF('ריכוז נתונים כללים'!X36='ריכוז נתונים כללים'!$Y$16,'ריכוז נתונים כללים'!D36,"")</f>
        <v/>
      </c>
      <c r="D36" s="423" t="str">
        <f ca="1">IF(C36="","",'ריכוז נתונים'!AP36)</f>
        <v/>
      </c>
      <c r="E36" s="423" t="str">
        <f ca="1">IF(D36="","",'ריכוז נתונים'!AQ36)</f>
        <v/>
      </c>
      <c r="F36" s="423" t="str">
        <f ca="1">IF(E36="","",'ריכוז נתונים'!AR36)</f>
        <v/>
      </c>
      <c r="G36" s="423" t="str">
        <f ca="1">IF(F36="","",'ריכוז נתונים'!AS36)</f>
        <v/>
      </c>
      <c r="H36" s="423" t="str">
        <f ca="1">IF(G36="","",'ריכוז נתונים'!AT36)</f>
        <v/>
      </c>
      <c r="I36" s="423" t="str">
        <f ca="1">IF(H36="","",'ריכוז נתונים'!AU36)</f>
        <v/>
      </c>
      <c r="J36" s="423" t="str">
        <f ca="1">IF(I36="","",'ריכוז נתונים'!AV36)</f>
        <v/>
      </c>
      <c r="K36" s="423" t="str">
        <f ca="1">IF(I36="","",'ריכוז נתונים'!AW36)</f>
        <v/>
      </c>
      <c r="L36" s="423" t="str">
        <f ca="1">IF(J36="","",'ריכוז נתונים'!AX36)</f>
        <v/>
      </c>
      <c r="M36" s="423" t="str">
        <f ca="1">IF(K36="","",'ריכוז נתונים'!AY36)</f>
        <v/>
      </c>
      <c r="N36" s="424" t="str">
        <f t="shared" ca="1" si="1"/>
        <v/>
      </c>
      <c r="O36" s="424" t="str">
        <f t="shared" ca="1" si="0"/>
        <v/>
      </c>
      <c r="P36" s="425" t="str">
        <f t="shared" ca="1" si="2"/>
        <v/>
      </c>
    </row>
    <row r="37" spans="2:16" x14ac:dyDescent="0.25">
      <c r="B37" s="7">
        <f>'ריכוז נתונים'!C37</f>
        <v>21</v>
      </c>
      <c r="C37" s="7" t="str">
        <f ca="1">IF('ריכוז נתונים כללים'!X37='ריכוז נתונים כללים'!$Y$16,'ריכוז נתונים כללים'!D37,"")</f>
        <v>ברית יוצאי מרוקו</v>
      </c>
      <c r="D37" s="423">
        <f ca="1">IF(C37="","",'ריכוז נתונים'!AP37)</f>
        <v>1</v>
      </c>
      <c r="E37" s="423">
        <f ca="1">IF(D37="","",'ריכוז נתונים'!AQ37)</f>
        <v>0</v>
      </c>
      <c r="F37" s="423">
        <f ca="1">IF(E37="","",'ריכוז נתונים'!AR37)</f>
        <v>0</v>
      </c>
      <c r="G37" s="423">
        <f ca="1">IF(F37="","",'ריכוז נתונים'!AS37)</f>
        <v>2</v>
      </c>
      <c r="H37" s="423">
        <f ca="1">IF(G37="","",'ריכוז נתונים'!AT37)</f>
        <v>1</v>
      </c>
      <c r="I37" s="423">
        <f ca="1">IF(H37="","",'ריכוז נתונים'!AU37)</f>
        <v>4</v>
      </c>
      <c r="J37" s="423">
        <f ca="1">IF(I37="","",'ריכוז נתונים'!AV37)</f>
        <v>0</v>
      </c>
      <c r="K37" s="423">
        <f ca="1">IF(I37="","",'ריכוז נתונים'!AW37)</f>
        <v>2</v>
      </c>
      <c r="L37" s="423">
        <f ca="1">IF(J37="","",'ריכוז נתונים'!AX37)</f>
        <v>0</v>
      </c>
      <c r="M37" s="423">
        <f ca="1">IF(K37="","",'ריכוז נתונים'!AY37)</f>
        <v>6</v>
      </c>
      <c r="N37" s="424">
        <f t="shared" ca="1" si="1"/>
        <v>70.349999999999994</v>
      </c>
      <c r="O37" s="424">
        <f t="shared" ca="1" si="0"/>
        <v>70.349999999999994</v>
      </c>
      <c r="P37" s="425">
        <f t="shared" ca="1" si="2"/>
        <v>8.884707189856152E-3</v>
      </c>
    </row>
    <row r="38" spans="2:16" x14ac:dyDescent="0.25">
      <c r="B38" s="7">
        <f>'ריכוז נתונים'!C38</f>
        <v>22</v>
      </c>
      <c r="C38" s="7" t="str">
        <f ca="1">IF('ריכוז נתונים כללים'!X38='ריכוז נתונים כללים'!$Y$16,'ריכוז נתונים כללים'!D38,"")</f>
        <v>הקם - בית הקונפדרציה</v>
      </c>
      <c r="D38" s="423">
        <f ca="1">IF(C38="","",'ריכוז נתונים'!AP38)</f>
        <v>0</v>
      </c>
      <c r="E38" s="423">
        <f ca="1">IF(D38="","",'ריכוז נתונים'!AQ38)</f>
        <v>0</v>
      </c>
      <c r="F38" s="423">
        <f ca="1">IF(E38="","",'ריכוז נתונים'!AR38)</f>
        <v>0</v>
      </c>
      <c r="G38" s="423">
        <f ca="1">IF(F38="","",'ריכוז נתונים'!AS38)</f>
        <v>0</v>
      </c>
      <c r="H38" s="423">
        <f ca="1">IF(G38="","",'ריכוז נתונים'!AT38)</f>
        <v>0</v>
      </c>
      <c r="I38" s="423">
        <f ca="1">IF(H38="","",'ריכוז נתונים'!AU38)</f>
        <v>30</v>
      </c>
      <c r="J38" s="423">
        <f ca="1">IF(I38="","",'ריכוז נתונים'!AV38)</f>
        <v>0</v>
      </c>
      <c r="K38" s="423">
        <f ca="1">IF(I38="","",'ריכוז נתונים'!AW38)</f>
        <v>29</v>
      </c>
      <c r="L38" s="423">
        <f ca="1">IF(J38="","",'ריכוז נתונים'!AX38)</f>
        <v>0</v>
      </c>
      <c r="M38" s="423">
        <f ca="1">IF(K38="","",'ריכוז נתונים'!AY38)</f>
        <v>3</v>
      </c>
      <c r="N38" s="424">
        <f t="shared" ca="1" si="1"/>
        <v>283</v>
      </c>
      <c r="O38" s="424">
        <f t="shared" ca="1" si="0"/>
        <v>283</v>
      </c>
      <c r="P38" s="425">
        <f t="shared" ca="1" si="2"/>
        <v>3.5740897437516579E-2</v>
      </c>
    </row>
    <row r="39" spans="2:16" x14ac:dyDescent="0.25">
      <c r="B39" s="7">
        <f>'ריכוז נתונים'!C39</f>
        <v>23</v>
      </c>
      <c r="C39" s="7" t="str">
        <f ca="1">IF('ריכוז נתונים כללים'!X39='ריכוז נתונים כללים'!$Y$16,'ריכוז נתונים כללים'!D39,"")</f>
        <v>מוסיקה מזרח מערב</v>
      </c>
      <c r="D39" s="423">
        <f ca="1">IF(C39="","",'ריכוז נתונים'!AP39)</f>
        <v>0</v>
      </c>
      <c r="E39" s="423">
        <f ca="1">IF(D39="","",'ריכוז נתונים'!AQ39)</f>
        <v>0</v>
      </c>
      <c r="F39" s="423">
        <f ca="1">IF(E39="","",'ריכוז נתונים'!AR39)</f>
        <v>0</v>
      </c>
      <c r="G39" s="423">
        <f ca="1">IF(F39="","",'ריכוז נתונים'!AS39)</f>
        <v>0</v>
      </c>
      <c r="H39" s="423">
        <f ca="1">IF(G39="","",'ריכוז נתונים'!AT39)</f>
        <v>0</v>
      </c>
      <c r="I39" s="423">
        <f ca="1">IF(H39="","",'ריכוז נתונים'!AU39)</f>
        <v>75</v>
      </c>
      <c r="J39" s="423">
        <f ca="1">IF(I39="","",'ריכוז נתונים'!AV39)</f>
        <v>0</v>
      </c>
      <c r="K39" s="423">
        <f ca="1">IF(I39="","",'ריכוז נתונים'!AW39)</f>
        <v>68</v>
      </c>
      <c r="L39" s="423">
        <f ca="1">IF(J39="","",'ריכוז נתונים'!AX39)</f>
        <v>0</v>
      </c>
      <c r="M39" s="423">
        <f ca="1">IF(K39="","",'ריכוז נתונים'!AY39)</f>
        <v>6</v>
      </c>
      <c r="N39" s="424">
        <f t="shared" ca="1" si="1"/>
        <v>676</v>
      </c>
      <c r="O39" s="424">
        <f t="shared" ca="1" si="0"/>
        <v>676</v>
      </c>
      <c r="P39" s="425">
        <f t="shared" ca="1" si="2"/>
        <v>8.5374016493855856E-2</v>
      </c>
    </row>
    <row r="40" spans="2:16" x14ac:dyDescent="0.25">
      <c r="B40" s="7">
        <f>'ריכוז נתונים'!C40</f>
        <v>24</v>
      </c>
      <c r="C40" s="7" t="str">
        <f ca="1">IF('ריכוז נתונים כללים'!X40='ריכוז נתונים כללים'!$Y$16,'ריכוז נתונים כללים'!D40,"")</f>
        <v>אעלה בתמר</v>
      </c>
      <c r="D40" s="423">
        <f ca="1">IF(C40="","",'ריכוז נתונים'!AP40)</f>
        <v>15</v>
      </c>
      <c r="E40" s="423">
        <f ca="1">IF(D40="","",'ריכוז נתונים'!AQ40)</f>
        <v>35</v>
      </c>
      <c r="F40" s="423">
        <f ca="1">IF(E40="","",'ריכוז נתונים'!AR40)</f>
        <v>6</v>
      </c>
      <c r="G40" s="423">
        <f ca="1">IF(F40="","",'ריכוז נתונים'!AS40)</f>
        <v>32</v>
      </c>
      <c r="H40" s="423">
        <f ca="1">IF(G40="","",'ריכוז נתונים'!AT40)</f>
        <v>24</v>
      </c>
      <c r="I40" s="423">
        <f ca="1">IF(H40="","",'ריכוז נתונים'!AU40)</f>
        <v>141</v>
      </c>
      <c r="J40" s="423">
        <f ca="1">IF(I40="","",'ריכוז נתונים'!AV40)</f>
        <v>6</v>
      </c>
      <c r="K40" s="423">
        <f ca="1">IF(I40="","",'ריכוז נתונים'!AW40)</f>
        <v>140</v>
      </c>
      <c r="L40" s="423">
        <f ca="1">IF(J40="","",'ריכוז נתונים'!AX40)</f>
        <v>6</v>
      </c>
      <c r="M40" s="423">
        <f ca="1">IF(K40="","",'ריכוז נתונים'!AY40)</f>
        <v>1</v>
      </c>
      <c r="N40" s="424">
        <f t="shared" ca="1" si="1"/>
        <v>1431.8</v>
      </c>
      <c r="O40" s="424">
        <f t="shared" ca="1" si="0"/>
        <v>1431.8</v>
      </c>
      <c r="P40" s="425">
        <f t="shared" ca="1" si="2"/>
        <v>0.18082620830754853</v>
      </c>
    </row>
    <row r="41" spans="2:16" x14ac:dyDescent="0.25">
      <c r="B41" s="7">
        <f>'ריכוז נתונים'!C41</f>
        <v>25</v>
      </c>
      <c r="C41" s="7" t="str">
        <f ca="1">IF('ריכוז נתונים כללים'!X41='ריכוז נתונים כללים'!$Y$16,'ריכוז נתונים כללים'!D41,"")</f>
        <v/>
      </c>
      <c r="D41" s="423" t="str">
        <f ca="1">IF(C41="","",'ריכוז נתונים'!AP41)</f>
        <v/>
      </c>
      <c r="E41" s="423" t="str">
        <f ca="1">IF(D41="","",'ריכוז נתונים'!AQ41)</f>
        <v/>
      </c>
      <c r="F41" s="423" t="str">
        <f ca="1">IF(E41="","",'ריכוז נתונים'!AR41)</f>
        <v/>
      </c>
      <c r="G41" s="423" t="str">
        <f ca="1">IF(F41="","",'ריכוז נתונים'!AS41)</f>
        <v/>
      </c>
      <c r="H41" s="423" t="str">
        <f ca="1">IF(G41="","",'ריכוז נתונים'!AT41)</f>
        <v/>
      </c>
      <c r="I41" s="423" t="str">
        <f ca="1">IF(H41="","",'ריכוז נתונים'!AU41)</f>
        <v/>
      </c>
      <c r="J41" s="423" t="str">
        <f ca="1">IF(I41="","",'ריכוז נתונים'!AV41)</f>
        <v/>
      </c>
      <c r="K41" s="423" t="str">
        <f ca="1">IF(I41="","",'ריכוז נתונים'!AW41)</f>
        <v/>
      </c>
      <c r="L41" s="423" t="str">
        <f ca="1">IF(J41="","",'ריכוז נתונים'!AX41)</f>
        <v/>
      </c>
      <c r="M41" s="423" t="str">
        <f ca="1">IF(K41="","",'ריכוז נתונים'!AY41)</f>
        <v/>
      </c>
      <c r="N41" s="424" t="str">
        <f t="shared" ca="1" si="1"/>
        <v/>
      </c>
      <c r="O41" s="424" t="str">
        <f t="shared" ca="1" si="0"/>
        <v/>
      </c>
      <c r="P41" s="425" t="str">
        <f t="shared" ca="1" si="2"/>
        <v/>
      </c>
    </row>
    <row r="42" spans="2:16" x14ac:dyDescent="0.25">
      <c r="B42" s="7">
        <f>'ריכוז נתונים'!C42</f>
        <v>26</v>
      </c>
      <c r="C42" s="7" t="str">
        <f ca="1">IF('ריכוז נתונים כללים'!X42='ריכוז נתונים כללים'!$Y$16,'ריכוז נתונים כללים'!D42,"")</f>
        <v/>
      </c>
      <c r="D42" s="423" t="str">
        <f ca="1">IF(C42="","",'ריכוז נתונים'!AP42)</f>
        <v/>
      </c>
      <c r="E42" s="423" t="str">
        <f ca="1">IF(D42="","",'ריכוז נתונים'!AQ42)</f>
        <v/>
      </c>
      <c r="F42" s="423" t="str">
        <f ca="1">IF(E42="","",'ריכוז נתונים'!AR42)</f>
        <v/>
      </c>
      <c r="G42" s="423" t="str">
        <f ca="1">IF(F42="","",'ריכוז נתונים'!AS42)</f>
        <v/>
      </c>
      <c r="H42" s="423" t="str">
        <f ca="1">IF(G42="","",'ריכוז נתונים'!AT42)</f>
        <v/>
      </c>
      <c r="I42" s="423" t="str">
        <f ca="1">IF(H42="","",'ריכוז נתונים'!AU42)</f>
        <v/>
      </c>
      <c r="J42" s="423" t="str">
        <f ca="1">IF(I42="","",'ריכוז נתונים'!AV42)</f>
        <v/>
      </c>
      <c r="K42" s="423" t="str">
        <f ca="1">IF(I42="","",'ריכוז נתונים'!AW42)</f>
        <v/>
      </c>
      <c r="L42" s="423" t="str">
        <f ca="1">IF(J42="","",'ריכוז נתונים'!AX42)</f>
        <v/>
      </c>
      <c r="M42" s="423" t="str">
        <f ca="1">IF(K42="","",'ריכוז נתונים'!AY42)</f>
        <v/>
      </c>
      <c r="N42" s="424" t="str">
        <f t="shared" ca="1" si="1"/>
        <v/>
      </c>
      <c r="O42" s="424" t="str">
        <f t="shared" ca="1" si="0"/>
        <v/>
      </c>
      <c r="P42" s="425" t="str">
        <f t="shared" ca="1" si="2"/>
        <v/>
      </c>
    </row>
    <row r="43" spans="2:16" x14ac:dyDescent="0.25">
      <c r="B43" s="7">
        <f>'ריכוז נתונים'!C43</f>
        <v>27</v>
      </c>
      <c r="C43" s="7" t="str">
        <f ca="1">IF('ריכוז נתונים כללים'!X43='ריכוז נתונים כללים'!$Y$16,'ריכוז נתונים כללים'!D43,"")</f>
        <v>מכון הברמן</v>
      </c>
      <c r="D43" s="423">
        <f ca="1">IF(C43="","",'ריכוז נתונים'!AP43)</f>
        <v>2</v>
      </c>
      <c r="E43" s="423">
        <f ca="1">IF(D43="","",'ריכוז נתונים'!AQ43)</f>
        <v>27</v>
      </c>
      <c r="F43" s="423">
        <f ca="1">IF(E43="","",'ריכוז נתונים'!AR43)</f>
        <v>12</v>
      </c>
      <c r="G43" s="423">
        <f ca="1">IF(F43="","",'ריכוז נתונים'!AS43)</f>
        <v>13</v>
      </c>
      <c r="H43" s="423">
        <f ca="1">IF(G43="","",'ריכוז נתונים'!AT43)</f>
        <v>7</v>
      </c>
      <c r="I43" s="423">
        <f ca="1">IF(H43="","",'ריכוז נתונים'!AU43)</f>
        <v>5</v>
      </c>
      <c r="J43" s="423">
        <f ca="1">IF(I43="","",'ריכוז נתונים'!AV43)</f>
        <v>0</v>
      </c>
      <c r="K43" s="423">
        <f ca="1">IF(I43="","",'ריכוז נתונים'!AW43)</f>
        <v>5</v>
      </c>
      <c r="L43" s="423">
        <f ca="1">IF(J43="","",'ריכוז נתונים'!AX43)</f>
        <v>0</v>
      </c>
      <c r="M43" s="423">
        <f ca="1">IF(K43="","",'ריכוז נתונים'!AY43)</f>
        <v>3</v>
      </c>
      <c r="N43" s="424">
        <f t="shared" ca="1" si="1"/>
        <v>155.25</v>
      </c>
      <c r="O43" s="424">
        <f t="shared" ca="1" si="0"/>
        <v>155.25</v>
      </c>
      <c r="P43" s="425">
        <f t="shared" ca="1" si="2"/>
        <v>1.9606976421111127E-2</v>
      </c>
    </row>
    <row r="44" spans="2:16" x14ac:dyDescent="0.25">
      <c r="B44" s="7">
        <f>'ריכוז נתונים'!C44</f>
        <v>28</v>
      </c>
      <c r="C44" s="7" t="str">
        <f ca="1">IF('ריכוז נתונים כללים'!X44='ריכוז נתונים כללים'!$Y$16,'ריכוז נתונים כללים'!D44,"")</f>
        <v/>
      </c>
      <c r="D44" s="423" t="str">
        <f ca="1">IF(C44="","",'ריכוז נתונים'!AP44)</f>
        <v/>
      </c>
      <c r="E44" s="423" t="str">
        <f ca="1">IF(D44="","",'ריכוז נתונים'!AQ44)</f>
        <v/>
      </c>
      <c r="F44" s="423" t="str">
        <f ca="1">IF(E44="","",'ריכוז נתונים'!AR44)</f>
        <v/>
      </c>
      <c r="G44" s="423" t="str">
        <f ca="1">IF(F44="","",'ריכוז נתונים'!AS44)</f>
        <v/>
      </c>
      <c r="H44" s="423" t="str">
        <f ca="1">IF(G44="","",'ריכוז נתונים'!AT44)</f>
        <v/>
      </c>
      <c r="I44" s="423" t="str">
        <f ca="1">IF(H44="","",'ריכוז נתונים'!AU44)</f>
        <v/>
      </c>
      <c r="J44" s="423" t="str">
        <f ca="1">IF(I44="","",'ריכוז נתונים'!AV44)</f>
        <v/>
      </c>
      <c r="K44" s="423" t="str">
        <f ca="1">IF(I44="","",'ריכוז נתונים'!AW44)</f>
        <v/>
      </c>
      <c r="L44" s="423" t="str">
        <f ca="1">IF(J44="","",'ריכוז נתונים'!AX44)</f>
        <v/>
      </c>
      <c r="M44" s="423" t="str">
        <f ca="1">IF(K44="","",'ריכוז נתונים'!AY44)</f>
        <v/>
      </c>
      <c r="N44" s="424" t="str">
        <f t="shared" ca="1" si="1"/>
        <v/>
      </c>
      <c r="O44" s="424" t="str">
        <f t="shared" ca="1" si="0"/>
        <v/>
      </c>
      <c r="P44" s="425" t="str">
        <f t="shared" ca="1" si="2"/>
        <v/>
      </c>
    </row>
    <row r="45" spans="2:16" x14ac:dyDescent="0.25">
      <c r="B45" s="7">
        <f>'ריכוז נתונים'!C45</f>
        <v>29</v>
      </c>
      <c r="C45" s="7" t="str">
        <f ca="1">IF('ריכוז נתונים כללים'!X45='ריכוז נתונים כללים'!$Y$16,'ריכוז נתונים כללים'!D45,"")</f>
        <v/>
      </c>
      <c r="D45" s="423" t="str">
        <f ca="1">IF(C45="","",'ריכוז נתונים'!AP45)</f>
        <v/>
      </c>
      <c r="E45" s="423" t="str">
        <f ca="1">IF(D45="","",'ריכוז נתונים'!AQ45)</f>
        <v/>
      </c>
      <c r="F45" s="423" t="str">
        <f ca="1">IF(E45="","",'ריכוז נתונים'!AR45)</f>
        <v/>
      </c>
      <c r="G45" s="423" t="str">
        <f ca="1">IF(F45="","",'ריכוז נתונים'!AS45)</f>
        <v/>
      </c>
      <c r="H45" s="423" t="str">
        <f ca="1">IF(G45="","",'ריכוז נתונים'!AT45)</f>
        <v/>
      </c>
      <c r="I45" s="423" t="str">
        <f ca="1">IF(H45="","",'ריכוז נתונים'!AU45)</f>
        <v/>
      </c>
      <c r="J45" s="423" t="str">
        <f ca="1">IF(I45="","",'ריכוז נתונים'!AV45)</f>
        <v/>
      </c>
      <c r="K45" s="423" t="str">
        <f ca="1">IF(I45="","",'ריכוז נתונים'!AW45)</f>
        <v/>
      </c>
      <c r="L45" s="423" t="str">
        <f ca="1">IF(J45="","",'ריכוז נתונים'!AX45)</f>
        <v/>
      </c>
      <c r="M45" s="423" t="str">
        <f ca="1">IF(K45="","",'ריכוז נתונים'!AY45)</f>
        <v/>
      </c>
      <c r="N45" s="424" t="str">
        <f t="shared" ca="1" si="1"/>
        <v/>
      </c>
      <c r="O45" s="424" t="str">
        <f t="shared" ca="1" si="0"/>
        <v/>
      </c>
      <c r="P45" s="425" t="str">
        <f t="shared" ca="1" si="2"/>
        <v/>
      </c>
    </row>
    <row r="46" spans="2:16" x14ac:dyDescent="0.25">
      <c r="B46" s="7">
        <f>'ריכוז נתונים'!C46</f>
        <v>30</v>
      </c>
      <c r="C46" s="7" t="str">
        <f ca="1">IF('ריכוז נתונים כללים'!X46='ריכוז נתונים כללים'!$Y$16,'ריכוז נתונים כללים'!D46,"")</f>
        <v/>
      </c>
      <c r="D46" s="423" t="str">
        <f ca="1">IF(C46="","",'ריכוז נתונים'!AP46)</f>
        <v/>
      </c>
      <c r="E46" s="423" t="str">
        <f ca="1">IF(D46="","",'ריכוז נתונים'!AQ46)</f>
        <v/>
      </c>
      <c r="F46" s="423" t="str">
        <f ca="1">IF(E46="","",'ריכוז נתונים'!AR46)</f>
        <v/>
      </c>
      <c r="G46" s="423" t="str">
        <f ca="1">IF(F46="","",'ריכוז נתונים'!AS46)</f>
        <v/>
      </c>
      <c r="H46" s="423" t="str">
        <f ca="1">IF(G46="","",'ריכוז נתונים'!AT46)</f>
        <v/>
      </c>
      <c r="I46" s="423" t="str">
        <f ca="1">IF(H46="","",'ריכוז נתונים'!AU46)</f>
        <v/>
      </c>
      <c r="J46" s="423" t="str">
        <f ca="1">IF(I46="","",'ריכוז נתונים'!AV46)</f>
        <v/>
      </c>
      <c r="K46" s="423" t="str">
        <f ca="1">IF(I46="","",'ריכוז נתונים'!AW46)</f>
        <v/>
      </c>
      <c r="L46" s="423" t="str">
        <f ca="1">IF(J46="","",'ריכוז נתונים'!AX46)</f>
        <v/>
      </c>
      <c r="M46" s="423" t="str">
        <f ca="1">IF(K46="","",'ריכוז נתונים'!AY46)</f>
        <v/>
      </c>
      <c r="N46" s="424" t="str">
        <f t="shared" ca="1" si="1"/>
        <v/>
      </c>
      <c r="O46" s="424" t="str">
        <f t="shared" ca="1" si="0"/>
        <v/>
      </c>
      <c r="P46" s="425" t="str">
        <f t="shared" ca="1" si="2"/>
        <v/>
      </c>
    </row>
    <row r="47" spans="2:16" x14ac:dyDescent="0.25">
      <c r="B47" s="7">
        <f>'ריכוז נתונים'!C47</f>
        <v>31</v>
      </c>
      <c r="C47" s="7" t="str">
        <f ca="1">IF('ריכוז נתונים כללים'!X47='ריכוז נתונים כללים'!$Y$16,'ריכוז נתונים כללים'!D47,"")</f>
        <v>כולנא</v>
      </c>
      <c r="D47" s="423">
        <f ca="1">IF(C47="","",'ריכוז נתונים'!AP47)</f>
        <v>36</v>
      </c>
      <c r="E47" s="423">
        <f ca="1">IF(D47="","",'ריכוז נתונים'!AQ47)</f>
        <v>20</v>
      </c>
      <c r="F47" s="423">
        <f ca="1">IF(E47="","",'ריכוז נתונים'!AR47)</f>
        <v>6</v>
      </c>
      <c r="G47" s="423">
        <f ca="1">IF(F47="","",'ריכוז נתונים'!AS47)</f>
        <v>43</v>
      </c>
      <c r="H47" s="423">
        <f ca="1">IF(G47="","",'ריכוז נתונים'!AT47)</f>
        <v>15</v>
      </c>
      <c r="I47" s="423">
        <f ca="1">IF(H47="","",'ריכוז נתונים'!AU47)</f>
        <v>15</v>
      </c>
      <c r="J47" s="423">
        <f ca="1">IF(I47="","",'ריכוז נתונים'!AV47)</f>
        <v>2</v>
      </c>
      <c r="K47" s="423">
        <f ca="1">IF(I47="","",'ריכוז נתונים'!AW47)</f>
        <v>15</v>
      </c>
      <c r="L47" s="423">
        <f ca="1">IF(J47="","",'ריכוז נתונים'!AX47)</f>
        <v>2</v>
      </c>
      <c r="M47" s="423">
        <f ca="1">IF(K47="","",'ריכוז נתונים'!AY47)</f>
        <v>7</v>
      </c>
      <c r="N47" s="424">
        <f t="shared" ca="1" si="1"/>
        <v>390.65</v>
      </c>
      <c r="O47" s="424">
        <f t="shared" ca="1" si="0"/>
        <v>390.65</v>
      </c>
      <c r="P47" s="425">
        <f t="shared" ca="1" si="2"/>
        <v>4.9336330685391699E-2</v>
      </c>
    </row>
    <row r="48" spans="2:16" x14ac:dyDescent="0.25">
      <c r="B48" s="7">
        <f>'ריכוז נתונים'!C48</f>
        <v>32</v>
      </c>
      <c r="C48" s="7" t="str">
        <f ca="1">IF('ריכוז נתונים כללים'!X48='ריכוז נתונים כללים'!$Y$16,'ריכוז נתונים כללים'!D48,"")</f>
        <v/>
      </c>
      <c r="D48" s="423" t="str">
        <f ca="1">IF(C48="","",'ריכוז נתונים'!AP48)</f>
        <v/>
      </c>
      <c r="E48" s="423" t="str">
        <f ca="1">IF(D48="","",'ריכוז נתונים'!AQ48)</f>
        <v/>
      </c>
      <c r="F48" s="423" t="str">
        <f ca="1">IF(E48="","",'ריכוז נתונים'!AR48)</f>
        <v/>
      </c>
      <c r="G48" s="423" t="str">
        <f ca="1">IF(F48="","",'ריכוז נתונים'!AS48)</f>
        <v/>
      </c>
      <c r="H48" s="423" t="str">
        <f ca="1">IF(G48="","",'ריכוז נתונים'!AT48)</f>
        <v/>
      </c>
      <c r="I48" s="423" t="str">
        <f ca="1">IF(H48="","",'ריכוז נתונים'!AU48)</f>
        <v/>
      </c>
      <c r="J48" s="423" t="str">
        <f ca="1">IF(I48="","",'ריכוז נתונים'!AV48)</f>
        <v/>
      </c>
      <c r="K48" s="423" t="str">
        <f ca="1">IF(I48="","",'ריכוז נתונים'!AW48)</f>
        <v/>
      </c>
      <c r="L48" s="423" t="str">
        <f ca="1">IF(J48="","",'ריכוז נתונים'!AX48)</f>
        <v/>
      </c>
      <c r="M48" s="423" t="str">
        <f ca="1">IF(K48="","",'ריכוז נתונים'!AY48)</f>
        <v/>
      </c>
      <c r="N48" s="424" t="str">
        <f t="shared" ca="1" si="1"/>
        <v/>
      </c>
      <c r="O48" s="424" t="str">
        <f t="shared" ca="1" si="0"/>
        <v/>
      </c>
      <c r="P48" s="425" t="str">
        <f t="shared" ca="1" si="2"/>
        <v/>
      </c>
    </row>
    <row r="49" spans="2:16" x14ac:dyDescent="0.25">
      <c r="B49" s="7">
        <f>'ריכוז נתונים'!C49</f>
        <v>33</v>
      </c>
      <c r="C49" s="7" t="str">
        <f ca="1">IF('ריכוז נתונים כללים'!X49='ריכוז נתונים כללים'!$Y$16,'ריכוז נתונים כללים'!D49,"")</f>
        <v/>
      </c>
      <c r="D49" s="423" t="str">
        <f ca="1">IF(C49="","",'ריכוז נתונים'!AP49)</f>
        <v/>
      </c>
      <c r="E49" s="423" t="str">
        <f ca="1">IF(D49="","",'ריכוז נתונים'!AQ49)</f>
        <v/>
      </c>
      <c r="F49" s="423" t="str">
        <f ca="1">IF(E49="","",'ריכוז נתונים'!AR49)</f>
        <v/>
      </c>
      <c r="G49" s="423" t="str">
        <f ca="1">IF(F49="","",'ריכוז נתונים'!AS49)</f>
        <v/>
      </c>
      <c r="H49" s="423" t="str">
        <f ca="1">IF(G49="","",'ריכוז נתונים'!AT49)</f>
        <v/>
      </c>
      <c r="I49" s="423" t="str">
        <f ca="1">IF(H49="","",'ריכוז נתונים'!AU49)</f>
        <v/>
      </c>
      <c r="J49" s="423" t="str">
        <f ca="1">IF(I49="","",'ריכוז נתונים'!AV49)</f>
        <v/>
      </c>
      <c r="K49" s="423" t="str">
        <f ca="1">IF(I49="","",'ריכוז נתונים'!AW49)</f>
        <v/>
      </c>
      <c r="L49" s="423" t="str">
        <f ca="1">IF(J49="","",'ריכוז נתונים'!AX49)</f>
        <v/>
      </c>
      <c r="M49" s="423" t="str">
        <f ca="1">IF(K49="","",'ריכוז נתונים'!AY49)</f>
        <v/>
      </c>
      <c r="N49" s="424" t="str">
        <f t="shared" ca="1" si="1"/>
        <v/>
      </c>
      <c r="O49" s="424" t="str">
        <f t="shared" ca="1" si="0"/>
        <v/>
      </c>
      <c r="P49" s="425" t="str">
        <f t="shared" ca="1" si="2"/>
        <v/>
      </c>
    </row>
    <row r="50" spans="2:16" x14ac:dyDescent="0.25">
      <c r="B50" s="7">
        <f>'ריכוז נתונים'!C50</f>
        <v>34</v>
      </c>
      <c r="C50" s="7" t="str">
        <f ca="1">IF('ריכוז נתונים כללים'!X50='ריכוז נתונים כללים'!$Y$16,'ריכוז נתונים כללים'!D50,"")</f>
        <v/>
      </c>
      <c r="D50" s="423" t="str">
        <f ca="1">IF(C50="","",'ריכוז נתונים'!AP50)</f>
        <v/>
      </c>
      <c r="E50" s="423" t="str">
        <f ca="1">IF(D50="","",'ריכוז נתונים'!AQ50)</f>
        <v/>
      </c>
      <c r="F50" s="423" t="str">
        <f ca="1">IF(E50="","",'ריכוז נתונים'!AR50)</f>
        <v/>
      </c>
      <c r="G50" s="423" t="str">
        <f ca="1">IF(F50="","",'ריכוז נתונים'!AS50)</f>
        <v/>
      </c>
      <c r="H50" s="423" t="str">
        <f ca="1">IF(G50="","",'ריכוז נתונים'!AT50)</f>
        <v/>
      </c>
      <c r="I50" s="423" t="str">
        <f ca="1">IF(H50="","",'ריכוז נתונים'!AU50)</f>
        <v/>
      </c>
      <c r="J50" s="423" t="str">
        <f ca="1">IF(I50="","",'ריכוז נתונים'!AV50)</f>
        <v/>
      </c>
      <c r="K50" s="423" t="str">
        <f ca="1">IF(I50="","",'ריכוז נתונים'!AW50)</f>
        <v/>
      </c>
      <c r="L50" s="423" t="str">
        <f ca="1">IF(J50="","",'ריכוז נתונים'!AX50)</f>
        <v/>
      </c>
      <c r="M50" s="423" t="str">
        <f ca="1">IF(K50="","",'ריכוז נתונים'!AY50)</f>
        <v/>
      </c>
      <c r="N50" s="424" t="str">
        <f t="shared" ca="1" si="1"/>
        <v/>
      </c>
      <c r="O50" s="424" t="str">
        <f t="shared" ca="1" si="0"/>
        <v/>
      </c>
      <c r="P50" s="425" t="str">
        <f t="shared" ca="1" si="2"/>
        <v/>
      </c>
    </row>
    <row r="51" spans="2:16" x14ac:dyDescent="0.25">
      <c r="B51" s="7">
        <f>'ריכוז נתונים'!C51</f>
        <v>35</v>
      </c>
      <c r="C51" s="7" t="str">
        <f ca="1">IF('ריכוז נתונים כללים'!X51='ריכוז נתונים כללים'!$Y$16,'ריכוז נתונים כללים'!D51,"")</f>
        <v/>
      </c>
      <c r="D51" s="423" t="str">
        <f ca="1">IF(C51="","",'ריכוז נתונים'!AP51)</f>
        <v/>
      </c>
      <c r="E51" s="423" t="str">
        <f ca="1">IF(D51="","",'ריכוז נתונים'!AQ51)</f>
        <v/>
      </c>
      <c r="F51" s="423" t="str">
        <f ca="1">IF(E51="","",'ריכוז נתונים'!AR51)</f>
        <v/>
      </c>
      <c r="G51" s="423" t="str">
        <f ca="1">IF(F51="","",'ריכוז נתונים'!AS51)</f>
        <v/>
      </c>
      <c r="H51" s="423" t="str">
        <f ca="1">IF(G51="","",'ריכוז נתונים'!AT51)</f>
        <v/>
      </c>
      <c r="I51" s="423" t="str">
        <f ca="1">IF(H51="","",'ריכוז נתונים'!AU51)</f>
        <v/>
      </c>
      <c r="J51" s="423" t="str">
        <f ca="1">IF(I51="","",'ריכוז נתונים'!AV51)</f>
        <v/>
      </c>
      <c r="K51" s="423" t="str">
        <f ca="1">IF(I51="","",'ריכוז נתונים'!AW51)</f>
        <v/>
      </c>
      <c r="L51" s="423" t="str">
        <f ca="1">IF(J51="","",'ריכוז נתונים'!AX51)</f>
        <v/>
      </c>
      <c r="M51" s="423" t="str">
        <f ca="1">IF(K51="","",'ריכוז נתונים'!AY51)</f>
        <v/>
      </c>
      <c r="N51" s="424" t="str">
        <f t="shared" ca="1" si="1"/>
        <v/>
      </c>
      <c r="O51" s="424" t="str">
        <f t="shared" ca="1" si="0"/>
        <v/>
      </c>
      <c r="P51" s="425" t="str">
        <f t="shared" ca="1" si="2"/>
        <v/>
      </c>
    </row>
    <row r="52" spans="2:16" x14ac:dyDescent="0.25">
      <c r="B52" s="7">
        <f>'ריכוז נתונים'!C52</f>
        <v>36</v>
      </c>
      <c r="C52" s="7" t="str">
        <f ca="1">IF('ריכוז נתונים כללים'!X52='ריכוז נתונים כללים'!$Y$16,'ריכוז נתונים כללים'!D52,"")</f>
        <v/>
      </c>
      <c r="D52" s="423" t="str">
        <f ca="1">IF(C52="","",'ריכוז נתונים'!AP52)</f>
        <v/>
      </c>
      <c r="E52" s="423" t="str">
        <f ca="1">IF(D52="","",'ריכוז נתונים'!AQ52)</f>
        <v/>
      </c>
      <c r="F52" s="423" t="str">
        <f ca="1">IF(E52="","",'ריכוז נתונים'!AR52)</f>
        <v/>
      </c>
      <c r="G52" s="423" t="str">
        <f ca="1">IF(F52="","",'ריכוז נתונים'!AS52)</f>
        <v/>
      </c>
      <c r="H52" s="423" t="str">
        <f ca="1">IF(G52="","",'ריכוז נתונים'!AT52)</f>
        <v/>
      </c>
      <c r="I52" s="423" t="str">
        <f ca="1">IF(H52="","",'ריכוז נתונים'!AU52)</f>
        <v/>
      </c>
      <c r="J52" s="423" t="str">
        <f ca="1">IF(I52="","",'ריכוז נתונים'!AV52)</f>
        <v/>
      </c>
      <c r="K52" s="423" t="str">
        <f ca="1">IF(I52="","",'ריכוז נתונים'!AW52)</f>
        <v/>
      </c>
      <c r="L52" s="423" t="str">
        <f ca="1">IF(J52="","",'ריכוז נתונים'!AX52)</f>
        <v/>
      </c>
      <c r="M52" s="423" t="str">
        <f ca="1">IF(K52="","",'ריכוז נתונים'!AY52)</f>
        <v/>
      </c>
      <c r="N52" s="424" t="str">
        <f t="shared" ca="1" si="1"/>
        <v/>
      </c>
      <c r="O52" s="424" t="str">
        <f t="shared" ca="1" si="0"/>
        <v/>
      </c>
      <c r="P52" s="425" t="str">
        <f t="shared" ca="1" si="2"/>
        <v/>
      </c>
    </row>
    <row r="53" spans="2:16" x14ac:dyDescent="0.25">
      <c r="B53" s="7">
        <f>'ריכוז נתונים'!C53</f>
        <v>37</v>
      </c>
      <c r="C53" s="7" t="str">
        <f ca="1">IF('ריכוז נתונים כללים'!X53='ריכוז נתונים כללים'!$Y$16,'ריכוז נתונים כללים'!D53,"")</f>
        <v/>
      </c>
      <c r="D53" s="423" t="str">
        <f ca="1">IF(C53="","",'ריכוז נתונים'!AP53)</f>
        <v/>
      </c>
      <c r="E53" s="423" t="str">
        <f ca="1">IF(D53="","",'ריכוז נתונים'!AQ53)</f>
        <v/>
      </c>
      <c r="F53" s="423" t="str">
        <f ca="1">IF(E53="","",'ריכוז נתונים'!AR53)</f>
        <v/>
      </c>
      <c r="G53" s="423" t="str">
        <f ca="1">IF(F53="","",'ריכוז נתונים'!AS53)</f>
        <v/>
      </c>
      <c r="H53" s="423" t="str">
        <f ca="1">IF(G53="","",'ריכוז נתונים'!AT53)</f>
        <v/>
      </c>
      <c r="I53" s="423" t="str">
        <f ca="1">IF(H53="","",'ריכוז נתונים'!AU53)</f>
        <v/>
      </c>
      <c r="J53" s="423" t="str">
        <f ca="1">IF(I53="","",'ריכוז נתונים'!AV53)</f>
        <v/>
      </c>
      <c r="K53" s="423" t="str">
        <f ca="1">IF(I53="","",'ריכוז נתונים'!AW53)</f>
        <v/>
      </c>
      <c r="L53" s="423" t="str">
        <f ca="1">IF(J53="","",'ריכוז נתונים'!AX53)</f>
        <v/>
      </c>
      <c r="M53" s="423" t="str">
        <f ca="1">IF(K53="","",'ריכוז נתונים'!AY53)</f>
        <v/>
      </c>
      <c r="N53" s="424" t="str">
        <f t="shared" ca="1" si="1"/>
        <v/>
      </c>
      <c r="O53" s="424" t="str">
        <f t="shared" ca="1" si="0"/>
        <v/>
      </c>
      <c r="P53" s="425" t="str">
        <f t="shared" ca="1" si="2"/>
        <v/>
      </c>
    </row>
    <row r="54" spans="2:16" x14ac:dyDescent="0.25">
      <c r="B54" s="7">
        <f>'ריכוז נתונים'!C54</f>
        <v>38</v>
      </c>
      <c r="C54" s="7" t="str">
        <f ca="1">IF('ריכוז נתונים כללים'!X54='ריכוז נתונים כללים'!$Y$16,'ריכוז נתונים כללים'!D54,"")</f>
        <v/>
      </c>
      <c r="D54" s="423" t="str">
        <f ca="1">IF(C54="","",'ריכוז נתונים'!AP54)</f>
        <v/>
      </c>
      <c r="E54" s="423" t="str">
        <f ca="1">IF(D54="","",'ריכוז נתונים'!AQ54)</f>
        <v/>
      </c>
      <c r="F54" s="423" t="str">
        <f ca="1">IF(E54="","",'ריכוז נתונים'!AR54)</f>
        <v/>
      </c>
      <c r="G54" s="423" t="str">
        <f ca="1">IF(F54="","",'ריכוז נתונים'!AS54)</f>
        <v/>
      </c>
      <c r="H54" s="423" t="str">
        <f ca="1">IF(G54="","",'ריכוז נתונים'!AT54)</f>
        <v/>
      </c>
      <c r="I54" s="423" t="str">
        <f ca="1">IF(H54="","",'ריכוז נתונים'!AU54)</f>
        <v/>
      </c>
      <c r="J54" s="423" t="str">
        <f ca="1">IF(I54="","",'ריכוז נתונים'!AV54)</f>
        <v/>
      </c>
      <c r="K54" s="423" t="str">
        <f ca="1">IF(I54="","",'ריכוז נתונים'!AW54)</f>
        <v/>
      </c>
      <c r="L54" s="423" t="str">
        <f ca="1">IF(J54="","",'ריכוז נתונים'!AX54)</f>
        <v/>
      </c>
      <c r="M54" s="423" t="str">
        <f ca="1">IF(K54="","",'ריכוז נתונים'!AY54)</f>
        <v/>
      </c>
      <c r="N54" s="424" t="str">
        <f t="shared" ca="1" si="1"/>
        <v/>
      </c>
      <c r="O54" s="424" t="str">
        <f t="shared" ca="1" si="0"/>
        <v/>
      </c>
      <c r="P54" s="425" t="str">
        <f t="shared" ca="1" si="2"/>
        <v/>
      </c>
    </row>
    <row r="55" spans="2:16" x14ac:dyDescent="0.25">
      <c r="B55" s="7">
        <f>'ריכוז נתונים'!C55</f>
        <v>39</v>
      </c>
      <c r="C55" s="7" t="str">
        <f ca="1">IF('ריכוז נתונים כללים'!X55='ריכוז נתונים כללים'!$Y$16,'ריכוז נתונים כללים'!D55,"")</f>
        <v/>
      </c>
      <c r="D55" s="423" t="str">
        <f ca="1">IF(C55="","",'ריכוז נתונים'!AP55)</f>
        <v/>
      </c>
      <c r="E55" s="423" t="str">
        <f ca="1">IF(D55="","",'ריכוז נתונים'!AQ55)</f>
        <v/>
      </c>
      <c r="F55" s="423" t="str">
        <f ca="1">IF(E55="","",'ריכוז נתונים'!AR55)</f>
        <v/>
      </c>
      <c r="G55" s="423" t="str">
        <f ca="1">IF(F55="","",'ריכוז נתונים'!AS55)</f>
        <v/>
      </c>
      <c r="H55" s="423" t="str">
        <f ca="1">IF(G55="","",'ריכוז נתונים'!AT55)</f>
        <v/>
      </c>
      <c r="I55" s="423" t="str">
        <f ca="1">IF(H55="","",'ריכוז נתונים'!AU55)</f>
        <v/>
      </c>
      <c r="J55" s="423" t="str">
        <f ca="1">IF(I55="","",'ריכוז נתונים'!AV55)</f>
        <v/>
      </c>
      <c r="K55" s="423" t="str">
        <f ca="1">IF(I55="","",'ריכוז נתונים'!AW55)</f>
        <v/>
      </c>
      <c r="L55" s="423" t="str">
        <f ca="1">IF(J55="","",'ריכוז נתונים'!AX55)</f>
        <v/>
      </c>
      <c r="M55" s="423" t="str">
        <f ca="1">IF(K55="","",'ריכוז נתונים'!AY55)</f>
        <v/>
      </c>
      <c r="N55" s="424" t="str">
        <f t="shared" ca="1" si="1"/>
        <v/>
      </c>
      <c r="O55" s="424" t="str">
        <f t="shared" ca="1" si="0"/>
        <v/>
      </c>
      <c r="P55" s="425" t="str">
        <f t="shared" ca="1" si="2"/>
        <v/>
      </c>
    </row>
    <row r="56" spans="2:16" x14ac:dyDescent="0.25">
      <c r="B56" s="7">
        <f>'ריכוז נתונים'!C56</f>
        <v>40</v>
      </c>
      <c r="C56" s="7" t="str">
        <f ca="1">IF('ריכוז נתונים כללים'!X56='ריכוז נתונים כללים'!$Y$16,'ריכוז נתונים כללים'!D56,"")</f>
        <v/>
      </c>
      <c r="D56" s="423" t="str">
        <f ca="1">IF(C56="","",'ריכוז נתונים'!AP56)</f>
        <v/>
      </c>
      <c r="E56" s="423" t="str">
        <f ca="1">IF(D56="","",'ריכוז נתונים'!AQ56)</f>
        <v/>
      </c>
      <c r="F56" s="423" t="str">
        <f ca="1">IF(E56="","",'ריכוז נתונים'!AR56)</f>
        <v/>
      </c>
      <c r="G56" s="423" t="str">
        <f ca="1">IF(F56="","",'ריכוז נתונים'!AS56)</f>
        <v/>
      </c>
      <c r="H56" s="423" t="str">
        <f ca="1">IF(G56="","",'ריכוז נתונים'!AT56)</f>
        <v/>
      </c>
      <c r="I56" s="423" t="str">
        <f ca="1">IF(H56="","",'ריכוז נתונים'!AU56)</f>
        <v/>
      </c>
      <c r="J56" s="423" t="str">
        <f ca="1">IF(I56="","",'ריכוז נתונים'!AV56)</f>
        <v/>
      </c>
      <c r="K56" s="423" t="str">
        <f ca="1">IF(I56="","",'ריכוז נתונים'!AW56)</f>
        <v/>
      </c>
      <c r="L56" s="423" t="str">
        <f ca="1">IF(J56="","",'ריכוז נתונים'!AX56)</f>
        <v/>
      </c>
      <c r="M56" s="423" t="str">
        <f ca="1">IF(K56="","",'ריכוז נתונים'!AY56)</f>
        <v/>
      </c>
      <c r="N56" s="424" t="str">
        <f t="shared" ca="1" si="1"/>
        <v/>
      </c>
      <c r="O56" s="424" t="str">
        <f t="shared" ca="1" si="0"/>
        <v/>
      </c>
      <c r="P56" s="425" t="str">
        <f t="shared" ca="1" si="2"/>
        <v/>
      </c>
    </row>
    <row r="57" spans="2:16" x14ac:dyDescent="0.25">
      <c r="B57" s="7">
        <f>'ריכוז נתונים'!C57</f>
        <v>41</v>
      </c>
      <c r="C57" s="7" t="str">
        <f ca="1">IF('ריכוז נתונים כללים'!X57='ריכוז נתונים כללים'!$Y$16,'ריכוז נתונים כללים'!D57,"")</f>
        <v/>
      </c>
      <c r="D57" s="423" t="str">
        <f ca="1">IF(C57="","",'ריכוז נתונים'!AP57)</f>
        <v/>
      </c>
      <c r="E57" s="423" t="str">
        <f ca="1">IF(D57="","",'ריכוז נתונים'!AQ57)</f>
        <v/>
      </c>
      <c r="F57" s="423" t="str">
        <f ca="1">IF(E57="","",'ריכוז נתונים'!AR57)</f>
        <v/>
      </c>
      <c r="G57" s="423" t="str">
        <f ca="1">IF(F57="","",'ריכוז נתונים'!AS57)</f>
        <v/>
      </c>
      <c r="H57" s="423" t="str">
        <f ca="1">IF(G57="","",'ריכוז נתונים'!AT57)</f>
        <v/>
      </c>
      <c r="I57" s="423" t="str">
        <f ca="1">IF(H57="","",'ריכוז נתונים'!AU57)</f>
        <v/>
      </c>
      <c r="J57" s="423" t="str">
        <f ca="1">IF(I57="","",'ריכוז נתונים'!AV57)</f>
        <v/>
      </c>
      <c r="K57" s="423" t="str">
        <f ca="1">IF(I57="","",'ריכוז נתונים'!AW57)</f>
        <v/>
      </c>
      <c r="L57" s="423" t="str">
        <f ca="1">IF(J57="","",'ריכוז נתונים'!AX57)</f>
        <v/>
      </c>
      <c r="M57" s="423" t="str">
        <f ca="1">IF(K57="","",'ריכוז נתונים'!AY57)</f>
        <v/>
      </c>
      <c r="N57" s="424" t="str">
        <f t="shared" ca="1" si="1"/>
        <v/>
      </c>
      <c r="O57" s="424" t="str">
        <f t="shared" ca="1" si="0"/>
        <v/>
      </c>
      <c r="P57" s="425" t="str">
        <f t="shared" ca="1" si="2"/>
        <v/>
      </c>
    </row>
    <row r="58" spans="2:16" x14ac:dyDescent="0.25">
      <c r="B58" s="7">
        <f>'ריכוז נתונים'!C58</f>
        <v>42</v>
      </c>
      <c r="C58" s="7" t="str">
        <f ca="1">IF('ריכוז נתונים כללים'!X58='ריכוז נתונים כללים'!$Y$16,'ריכוז נתונים כללים'!D58,"")</f>
        <v/>
      </c>
      <c r="D58" s="423" t="str">
        <f ca="1">IF(C58="","",'ריכוז נתונים'!AP58)</f>
        <v/>
      </c>
      <c r="E58" s="423" t="str">
        <f ca="1">IF(D58="","",'ריכוז נתונים'!AQ58)</f>
        <v/>
      </c>
      <c r="F58" s="423" t="str">
        <f ca="1">IF(E58="","",'ריכוז נתונים'!AR58)</f>
        <v/>
      </c>
      <c r="G58" s="423" t="str">
        <f ca="1">IF(F58="","",'ריכוז נתונים'!AS58)</f>
        <v/>
      </c>
      <c r="H58" s="423" t="str">
        <f ca="1">IF(G58="","",'ריכוז נתונים'!AT58)</f>
        <v/>
      </c>
      <c r="I58" s="423" t="str">
        <f ca="1">IF(H58="","",'ריכוז נתונים'!AU58)</f>
        <v/>
      </c>
      <c r="J58" s="423" t="str">
        <f ca="1">IF(I58="","",'ריכוז נתונים'!AV58)</f>
        <v/>
      </c>
      <c r="K58" s="423" t="str">
        <f ca="1">IF(I58="","",'ריכוז נתונים'!AW58)</f>
        <v/>
      </c>
      <c r="L58" s="423" t="str">
        <f ca="1">IF(J58="","",'ריכוז נתונים'!AX58)</f>
        <v/>
      </c>
      <c r="M58" s="423" t="str">
        <f ca="1">IF(K58="","",'ריכוז נתונים'!AY58)</f>
        <v/>
      </c>
      <c r="N58" s="424" t="str">
        <f t="shared" ca="1" si="1"/>
        <v/>
      </c>
      <c r="O58" s="424" t="str">
        <f t="shared" ca="1" si="0"/>
        <v/>
      </c>
      <c r="P58" s="425" t="str">
        <f t="shared" ca="1" si="2"/>
        <v/>
      </c>
    </row>
    <row r="59" spans="2:16" x14ac:dyDescent="0.25">
      <c r="B59" s="7">
        <f>'ריכוז נתונים'!C59</f>
        <v>43</v>
      </c>
      <c r="C59" s="7" t="str">
        <f ca="1">IF('ריכוז נתונים כללים'!X59='ריכוז נתונים כללים'!$Y$16,'ריכוז נתונים כללים'!D59,"")</f>
        <v/>
      </c>
      <c r="D59" s="423" t="str">
        <f ca="1">IF(C59="","",'ריכוז נתונים'!AP59)</f>
        <v/>
      </c>
      <c r="E59" s="423" t="str">
        <f ca="1">IF(D59="","",'ריכוז נתונים'!AQ59)</f>
        <v/>
      </c>
      <c r="F59" s="423" t="str">
        <f ca="1">IF(E59="","",'ריכוז נתונים'!AR59)</f>
        <v/>
      </c>
      <c r="G59" s="423" t="str">
        <f ca="1">IF(F59="","",'ריכוז נתונים'!AS59)</f>
        <v/>
      </c>
      <c r="H59" s="423" t="str">
        <f ca="1">IF(G59="","",'ריכוז נתונים'!AT59)</f>
        <v/>
      </c>
      <c r="I59" s="423" t="str">
        <f ca="1">IF(H59="","",'ריכוז נתונים'!AU59)</f>
        <v/>
      </c>
      <c r="J59" s="423" t="str">
        <f ca="1">IF(I59="","",'ריכוז נתונים'!AV59)</f>
        <v/>
      </c>
      <c r="K59" s="423" t="str">
        <f ca="1">IF(I59="","",'ריכוז נתונים'!AW59)</f>
        <v/>
      </c>
      <c r="L59" s="423" t="str">
        <f ca="1">IF(J59="","",'ריכוז נתונים'!AX59)</f>
        <v/>
      </c>
      <c r="M59" s="423" t="str">
        <f ca="1">IF(K59="","",'ריכוז נתונים'!AY59)</f>
        <v/>
      </c>
      <c r="N59" s="424" t="str">
        <f t="shared" ca="1" si="1"/>
        <v/>
      </c>
      <c r="O59" s="424" t="str">
        <f t="shared" ca="1" si="0"/>
        <v/>
      </c>
      <c r="P59" s="425" t="str">
        <f t="shared" ca="1" si="2"/>
        <v/>
      </c>
    </row>
    <row r="60" spans="2:16" x14ac:dyDescent="0.25">
      <c r="B60" s="7">
        <f>'ריכוז נתונים'!C60</f>
        <v>44</v>
      </c>
      <c r="C60" s="7" t="str">
        <f ca="1">IF('ריכוז נתונים כללים'!X60='ריכוז נתונים כללים'!$Y$16,'ריכוז נתונים כללים'!D60,"")</f>
        <v/>
      </c>
      <c r="D60" s="423" t="str">
        <f ca="1">IF(C60="","",'ריכוז נתונים'!AP60)</f>
        <v/>
      </c>
      <c r="E60" s="423" t="str">
        <f ca="1">IF(D60="","",'ריכוז נתונים'!AQ60)</f>
        <v/>
      </c>
      <c r="F60" s="423" t="str">
        <f ca="1">IF(E60="","",'ריכוז נתונים'!AR60)</f>
        <v/>
      </c>
      <c r="G60" s="423" t="str">
        <f ca="1">IF(F60="","",'ריכוז נתונים'!AS60)</f>
        <v/>
      </c>
      <c r="H60" s="423" t="str">
        <f ca="1">IF(G60="","",'ריכוז נתונים'!AT60)</f>
        <v/>
      </c>
      <c r="I60" s="423" t="str">
        <f ca="1">IF(H60="","",'ריכוז נתונים'!AU60)</f>
        <v/>
      </c>
      <c r="J60" s="423" t="str">
        <f ca="1">IF(I60="","",'ריכוז נתונים'!AV60)</f>
        <v/>
      </c>
      <c r="K60" s="423" t="str">
        <f ca="1">IF(I60="","",'ריכוז נתונים'!AW60)</f>
        <v/>
      </c>
      <c r="L60" s="423" t="str">
        <f ca="1">IF(J60="","",'ריכוז נתונים'!AX60)</f>
        <v/>
      </c>
      <c r="M60" s="423" t="str">
        <f ca="1">IF(K60="","",'ריכוז נתונים'!AY60)</f>
        <v/>
      </c>
      <c r="N60" s="424" t="str">
        <f t="shared" ca="1" si="1"/>
        <v/>
      </c>
      <c r="O60" s="424" t="str">
        <f t="shared" ca="1" si="0"/>
        <v/>
      </c>
      <c r="P60" s="425" t="str">
        <f t="shared" ca="1" si="2"/>
        <v/>
      </c>
    </row>
    <row r="61" spans="2:16" x14ac:dyDescent="0.25">
      <c r="B61" s="7">
        <f>'ריכוז נתונים'!C61</f>
        <v>45</v>
      </c>
      <c r="C61" s="7" t="str">
        <f ca="1">IF('ריכוז נתונים כללים'!X61='ריכוז נתונים כללים'!$Y$16,'ריכוז נתונים כללים'!D61,"")</f>
        <v/>
      </c>
      <c r="D61" s="423" t="str">
        <f ca="1">IF(C61="","",'ריכוז נתונים'!AP61)</f>
        <v/>
      </c>
      <c r="E61" s="423" t="str">
        <f ca="1">IF(D61="","",'ריכוז נתונים'!AQ61)</f>
        <v/>
      </c>
      <c r="F61" s="423" t="str">
        <f ca="1">IF(E61="","",'ריכוז נתונים'!AR61)</f>
        <v/>
      </c>
      <c r="G61" s="423" t="str">
        <f ca="1">IF(F61="","",'ריכוז נתונים'!AS61)</f>
        <v/>
      </c>
      <c r="H61" s="423" t="str">
        <f ca="1">IF(G61="","",'ריכוז נתונים'!AT61)</f>
        <v/>
      </c>
      <c r="I61" s="423" t="str">
        <f ca="1">IF(H61="","",'ריכוז נתונים'!AU61)</f>
        <v/>
      </c>
      <c r="J61" s="423" t="str">
        <f ca="1">IF(I61="","",'ריכוז נתונים'!AV61)</f>
        <v/>
      </c>
      <c r="K61" s="423" t="str">
        <f ca="1">IF(I61="","",'ריכוז נתונים'!AW61)</f>
        <v/>
      </c>
      <c r="L61" s="423" t="str">
        <f ca="1">IF(J61="","",'ריכוז נתונים'!AX61)</f>
        <v/>
      </c>
      <c r="M61" s="423" t="str">
        <f ca="1">IF(K61="","",'ריכוז נתונים'!AY61)</f>
        <v/>
      </c>
      <c r="N61" s="424" t="str">
        <f t="shared" ca="1" si="1"/>
        <v/>
      </c>
      <c r="O61" s="424" t="str">
        <f t="shared" ca="1" si="0"/>
        <v/>
      </c>
      <c r="P61" s="425" t="str">
        <f t="shared" ca="1" si="2"/>
        <v/>
      </c>
    </row>
    <row r="62" spans="2:16" x14ac:dyDescent="0.25">
      <c r="B62" s="7">
        <f>'ריכוז נתונים'!C62</f>
        <v>46</v>
      </c>
      <c r="C62" s="7" t="str">
        <f ca="1">IF('ריכוז נתונים כללים'!X62='ריכוז נתונים כללים'!$Y$16,'ריכוז נתונים כללים'!D62,"")</f>
        <v>ענבל מרכז אתני</v>
      </c>
      <c r="D62" s="423">
        <f ca="1">IF(C62="","",'ריכוז נתונים'!AP62)</f>
        <v>0</v>
      </c>
      <c r="E62" s="423">
        <f ca="1">IF(D62="","",'ריכוז נתונים'!AQ62)</f>
        <v>0</v>
      </c>
      <c r="F62" s="423">
        <f ca="1">IF(E62="","",'ריכוז נתונים'!AR62)</f>
        <v>0</v>
      </c>
      <c r="G62" s="423">
        <f ca="1">IF(F62="","",'ריכוז נתונים'!AS62)</f>
        <v>3</v>
      </c>
      <c r="H62" s="423">
        <f ca="1">IF(G62="","",'ריכוז נתונים'!AT62)</f>
        <v>2</v>
      </c>
      <c r="I62" s="423">
        <f ca="1">IF(H62="","",'ריכוז נתונים'!AU62)</f>
        <v>30</v>
      </c>
      <c r="J62" s="423">
        <f ca="1">IF(I62="","",'ריכוז נתונים'!AV62)</f>
        <v>7</v>
      </c>
      <c r="K62" s="423">
        <f ca="1">IF(I62="","",'ריכוז נתונים'!AW62)</f>
        <v>29</v>
      </c>
      <c r="L62" s="423">
        <f ca="1">IF(J62="","",'ריכוז נתונים'!AX62)</f>
        <v>7</v>
      </c>
      <c r="M62" s="423">
        <f ca="1">IF(K62="","",'ריכוז נתונים'!AY62)</f>
        <v>0</v>
      </c>
      <c r="N62" s="424">
        <f t="shared" ca="1" si="1"/>
        <v>244.7</v>
      </c>
      <c r="O62" s="424">
        <f t="shared" ca="1" si="0"/>
        <v>244.7</v>
      </c>
      <c r="P62" s="425">
        <f t="shared" ca="1" si="2"/>
        <v>3.0903878455690127E-2</v>
      </c>
    </row>
    <row r="63" spans="2:16" x14ac:dyDescent="0.25">
      <c r="B63" s="7">
        <f>'ריכוז נתונים'!C63</f>
        <v>47</v>
      </c>
      <c r="C63" s="7" t="str">
        <f ca="1">IF('ריכוז נתונים כללים'!X63='ריכוז נתונים כללים'!$Y$16,'ריכוז נתונים כללים'!D63,"")</f>
        <v>א.ב. חדשות השומרונים</v>
      </c>
      <c r="D63" s="423">
        <f ca="1">IF(C63="","",'ריכוז נתונים'!AP63)</f>
        <v>2</v>
      </c>
      <c r="E63" s="423">
        <f ca="1">IF(D63="","",'ריכוז נתונים'!AQ63)</f>
        <v>5</v>
      </c>
      <c r="F63" s="423">
        <f ca="1">IF(E63="","",'ריכוז נתונים'!AR63)</f>
        <v>0</v>
      </c>
      <c r="G63" s="423">
        <f ca="1">IF(F63="","",'ריכוז נתונים'!AS63)</f>
        <v>0</v>
      </c>
      <c r="H63" s="423">
        <f ca="1">IF(G63="","",'ריכוז נתונים'!AT63)</f>
        <v>0</v>
      </c>
      <c r="I63" s="423">
        <f ca="1">IF(H63="","",'ריכוז נתונים'!AU63)</f>
        <v>0</v>
      </c>
      <c r="J63" s="423">
        <f ca="1">IF(I63="","",'ריכוז נתונים'!AV63)</f>
        <v>0</v>
      </c>
      <c r="K63" s="423">
        <f ca="1">IF(I63="","",'ריכוז נתונים'!AW63)</f>
        <v>0</v>
      </c>
      <c r="L63" s="423">
        <f ca="1">IF(J63="","",'ריכוז נתונים'!AX63)</f>
        <v>0</v>
      </c>
      <c r="M63" s="423">
        <f ca="1">IF(K63="","",'ריכוז נתונים'!AY63)</f>
        <v>1</v>
      </c>
      <c r="N63" s="424">
        <f t="shared" ca="1" si="1"/>
        <v>15.5</v>
      </c>
      <c r="O63" s="424">
        <f t="shared" ca="1" si="0"/>
        <v>15.5</v>
      </c>
      <c r="P63" s="425">
        <f t="shared" ca="1" si="2"/>
        <v>1.9575403190159255E-3</v>
      </c>
    </row>
    <row r="64" spans="2:16" x14ac:dyDescent="0.25">
      <c r="B64" s="7">
        <f>'ריכוז נתונים'!C64</f>
        <v>48</v>
      </c>
      <c r="C64" s="7" t="str">
        <f ca="1">IF('ריכוז נתונים כללים'!X64='ריכוז נתונים כללים'!$Y$16,'ריכוז נתונים כללים'!D64,"")</f>
        <v/>
      </c>
      <c r="D64" s="423" t="str">
        <f ca="1">IF(C64="","",'ריכוז נתונים'!AP64)</f>
        <v/>
      </c>
      <c r="E64" s="423" t="str">
        <f ca="1">IF(D64="","",'ריכוז נתונים'!AQ64)</f>
        <v/>
      </c>
      <c r="F64" s="423" t="str">
        <f ca="1">IF(E64="","",'ריכוז נתונים'!AR64)</f>
        <v/>
      </c>
      <c r="G64" s="423" t="str">
        <f ca="1">IF(F64="","",'ריכוז נתונים'!AS64)</f>
        <v/>
      </c>
      <c r="H64" s="423" t="str">
        <f ca="1">IF(G64="","",'ריכוז נתונים'!AT64)</f>
        <v/>
      </c>
      <c r="I64" s="423" t="str">
        <f ca="1">IF(H64="","",'ריכוז נתונים'!AU64)</f>
        <v/>
      </c>
      <c r="J64" s="423" t="str">
        <f ca="1">IF(I64="","",'ריכוז נתונים'!AV64)</f>
        <v/>
      </c>
      <c r="K64" s="423" t="str">
        <f ca="1">IF(I64="","",'ריכוז נתונים'!AW64)</f>
        <v/>
      </c>
      <c r="L64" s="423" t="str">
        <f ca="1">IF(J64="","",'ריכוז נתונים'!AX64)</f>
        <v/>
      </c>
      <c r="M64" s="423" t="str">
        <f ca="1">IF(K64="","",'ריכוז נתונים'!AY64)</f>
        <v/>
      </c>
      <c r="N64" s="424" t="str">
        <f t="shared" ca="1" si="1"/>
        <v/>
      </c>
      <c r="O64" s="424" t="str">
        <f t="shared" ca="1" si="0"/>
        <v/>
      </c>
      <c r="P64" s="425" t="str">
        <f t="shared" ca="1" si="2"/>
        <v/>
      </c>
    </row>
    <row r="65" spans="2:16" x14ac:dyDescent="0.25">
      <c r="B65" s="7">
        <f>'ריכוז נתונים'!C65</f>
        <v>49</v>
      </c>
      <c r="C65" s="7" t="str">
        <f ca="1">IF('ריכוז נתונים כללים'!X65='ריכוז נתונים כללים'!$Y$16,'ריכוז נתונים כללים'!D65,"")</f>
        <v/>
      </c>
      <c r="D65" s="423" t="str">
        <f ca="1">IF(C65="","",'ריכוז נתונים'!AP65)</f>
        <v/>
      </c>
      <c r="E65" s="423" t="str">
        <f ca="1">IF(D65="","",'ריכוז נתונים'!AQ65)</f>
        <v/>
      </c>
      <c r="F65" s="423" t="str">
        <f ca="1">IF(E65="","",'ריכוז נתונים'!AR65)</f>
        <v/>
      </c>
      <c r="G65" s="423" t="str">
        <f ca="1">IF(F65="","",'ריכוז נתונים'!AS65)</f>
        <v/>
      </c>
      <c r="H65" s="423" t="str">
        <f ca="1">IF(G65="","",'ריכוז נתונים'!AT65)</f>
        <v/>
      </c>
      <c r="I65" s="423" t="str">
        <f ca="1">IF(H65="","",'ריכוז נתונים'!AU65)</f>
        <v/>
      </c>
      <c r="J65" s="423" t="str">
        <f ca="1">IF(I65="","",'ריכוז נתונים'!AV65)</f>
        <v/>
      </c>
      <c r="K65" s="423" t="str">
        <f ca="1">IF(I65="","",'ריכוז נתונים'!AW65)</f>
        <v/>
      </c>
      <c r="L65" s="423" t="str">
        <f ca="1">IF(J65="","",'ריכוז נתונים'!AX65)</f>
        <v/>
      </c>
      <c r="M65" s="423" t="str">
        <f ca="1">IF(K65="","",'ריכוז נתונים'!AY65)</f>
        <v/>
      </c>
      <c r="N65" s="424" t="str">
        <f t="shared" ca="1" si="1"/>
        <v/>
      </c>
      <c r="O65" s="424" t="str">
        <f t="shared" ca="1" si="0"/>
        <v/>
      </c>
      <c r="P65" s="425" t="str">
        <f t="shared" ca="1" si="2"/>
        <v/>
      </c>
    </row>
    <row r="66" spans="2:16" x14ac:dyDescent="0.25">
      <c r="B66" s="7">
        <f>'ריכוז נתונים'!C66</f>
        <v>50</v>
      </c>
      <c r="C66" s="7" t="str">
        <f ca="1">IF('ריכוז נתונים כללים'!X66='ריכוז נתונים כללים'!$Y$16,'ריכוז נתונים כללים'!D66,"")</f>
        <v/>
      </c>
      <c r="D66" s="423" t="str">
        <f ca="1">IF(C66="","",'ריכוז נתונים'!AP66)</f>
        <v/>
      </c>
      <c r="E66" s="423" t="str">
        <f ca="1">IF(D66="","",'ריכוז נתונים'!AQ66)</f>
        <v/>
      </c>
      <c r="F66" s="423" t="str">
        <f ca="1">IF(E66="","",'ריכוז נתונים'!AR66)</f>
        <v/>
      </c>
      <c r="G66" s="423" t="str">
        <f ca="1">IF(F66="","",'ריכוז נתונים'!AS66)</f>
        <v/>
      </c>
      <c r="H66" s="423" t="str">
        <f ca="1">IF(G66="","",'ריכוז נתונים'!AT66)</f>
        <v/>
      </c>
      <c r="I66" s="423" t="str">
        <f ca="1">IF(H66="","",'ריכוז נתונים'!AU66)</f>
        <v/>
      </c>
      <c r="J66" s="423" t="str">
        <f ca="1">IF(I66="","",'ריכוז נתונים'!AV66)</f>
        <v/>
      </c>
      <c r="K66" s="423" t="str">
        <f ca="1">IF(I66="","",'ריכוז נתונים'!AW66)</f>
        <v/>
      </c>
      <c r="L66" s="423" t="str">
        <f ca="1">IF(J66="","",'ריכוז נתונים'!AX66)</f>
        <v/>
      </c>
      <c r="M66" s="423" t="str">
        <f ca="1">IF(K66="","",'ריכוז נתונים'!AY66)</f>
        <v/>
      </c>
      <c r="N66" s="424" t="str">
        <f t="shared" ca="1" si="1"/>
        <v/>
      </c>
      <c r="O66" s="424" t="str">
        <f t="shared" ca="1" si="0"/>
        <v/>
      </c>
      <c r="P66" s="425" t="str">
        <f t="shared" ca="1" si="2"/>
        <v/>
      </c>
    </row>
    <row r="67" spans="2:16" x14ac:dyDescent="0.25">
      <c r="B67" s="7">
        <f>'ריכוז נתונים'!C67</f>
        <v>51</v>
      </c>
      <c r="C67" s="7" t="str">
        <f ca="1">IF('ריכוז נתונים כללים'!X67='ריכוז נתונים כללים'!$Y$16,'ריכוז נתונים כללים'!D67,"")</f>
        <v/>
      </c>
      <c r="D67" s="423" t="str">
        <f ca="1">IF(C67="","",'ריכוז נתונים'!AP67)</f>
        <v/>
      </c>
      <c r="E67" s="423" t="str">
        <f ca="1">IF(D67="","",'ריכוז נתונים'!AQ67)</f>
        <v/>
      </c>
      <c r="F67" s="423" t="str">
        <f ca="1">IF(E67="","",'ריכוז נתונים'!AR67)</f>
        <v/>
      </c>
      <c r="G67" s="423" t="str">
        <f ca="1">IF(F67="","",'ריכוז נתונים'!AS67)</f>
        <v/>
      </c>
      <c r="H67" s="423" t="str">
        <f ca="1">IF(G67="","",'ריכוז נתונים'!AT67)</f>
        <v/>
      </c>
      <c r="I67" s="423" t="str">
        <f ca="1">IF(H67="","",'ריכוז נתונים'!AU67)</f>
        <v/>
      </c>
      <c r="J67" s="423" t="str">
        <f ca="1">IF(I67="","",'ריכוז נתונים'!AV67)</f>
        <v/>
      </c>
      <c r="K67" s="423" t="str">
        <f ca="1">IF(I67="","",'ריכוז נתונים'!AW67)</f>
        <v/>
      </c>
      <c r="L67" s="423" t="str">
        <f ca="1">IF(J67="","",'ריכוז נתונים'!AX67)</f>
        <v/>
      </c>
      <c r="M67" s="423" t="str">
        <f ca="1">IF(K67="","",'ריכוז נתונים'!AY67)</f>
        <v/>
      </c>
      <c r="N67" s="424" t="str">
        <f t="shared" ca="1" si="1"/>
        <v/>
      </c>
      <c r="O67" s="424" t="str">
        <f t="shared" ca="1" si="0"/>
        <v/>
      </c>
      <c r="P67" s="425" t="str">
        <f t="shared" ca="1" si="2"/>
        <v/>
      </c>
    </row>
    <row r="68" spans="2:16" x14ac:dyDescent="0.25">
      <c r="B68" s="7">
        <f>'ריכוז נתונים'!C68</f>
        <v>52</v>
      </c>
      <c r="C68" s="7" t="str">
        <f ca="1">IF('ריכוז נתונים כללים'!X68='ריכוז נתונים כללים'!$Y$16,'ריכוז נתונים כללים'!D68,"")</f>
        <v>עמותת הנני</v>
      </c>
      <c r="D68" s="423">
        <f ca="1">IF(C68="","",'ריכוז נתונים'!AP68)</f>
        <v>0</v>
      </c>
      <c r="E68" s="423">
        <f ca="1">IF(D68="","",'ריכוז נתונים'!AQ68)</f>
        <v>21</v>
      </c>
      <c r="F68" s="423">
        <f ca="1">IF(E68="","",'ריכוז נתונים'!AR68)</f>
        <v>0</v>
      </c>
      <c r="G68" s="423">
        <f ca="1">IF(F68="","",'ריכוז נתונים'!AS68)</f>
        <v>113</v>
      </c>
      <c r="H68" s="423">
        <f ca="1">IF(G68="","",'ריכוז נתונים'!AT68)</f>
        <v>0</v>
      </c>
      <c r="I68" s="423">
        <f ca="1">IF(H68="","",'ריכוז נתונים'!AU68)</f>
        <v>0</v>
      </c>
      <c r="J68" s="423">
        <f ca="1">IF(I68="","",'ריכוז נתונים'!AV68)</f>
        <v>0</v>
      </c>
      <c r="K68" s="423">
        <f ca="1">IF(I68="","",'ריכוז נתונים'!AW68)</f>
        <v>0</v>
      </c>
      <c r="L68" s="423">
        <f ca="1">IF(J68="","",'ריכוז נתונים'!AX68)</f>
        <v>0</v>
      </c>
      <c r="M68" s="423">
        <f ca="1">IF(K68="","",'ריכוז נתונים'!AY68)</f>
        <v>12</v>
      </c>
      <c r="N68" s="424">
        <f t="shared" ca="1" si="1"/>
        <v>499</v>
      </c>
      <c r="O68" s="424">
        <f t="shared" ca="1" si="0"/>
        <v>499</v>
      </c>
      <c r="P68" s="425">
        <f t="shared" ca="1" si="2"/>
        <v>6.3020168979932054E-2</v>
      </c>
    </row>
    <row r="69" spans="2:16" x14ac:dyDescent="0.25">
      <c r="B69" s="7">
        <f>'ריכוז נתונים'!C69</f>
        <v>53</v>
      </c>
      <c r="C69" s="7" t="str">
        <f ca="1">IF('ריכוז נתונים כללים'!X69='ריכוז נתונים כללים'!$Y$16,'ריכוז נתונים כללים'!D69,"")</f>
        <v/>
      </c>
      <c r="D69" s="423" t="str">
        <f ca="1">IF(C69="","",'ריכוז נתונים'!AP69)</f>
        <v/>
      </c>
      <c r="E69" s="423" t="str">
        <f ca="1">IF(D69="","",'ריכוז נתונים'!AQ69)</f>
        <v/>
      </c>
      <c r="F69" s="423" t="str">
        <f ca="1">IF(E69="","",'ריכוז נתונים'!AR69)</f>
        <v/>
      </c>
      <c r="G69" s="423" t="str">
        <f ca="1">IF(F69="","",'ריכוז נתונים'!AS69)</f>
        <v/>
      </c>
      <c r="H69" s="423" t="str">
        <f ca="1">IF(G69="","",'ריכוז נתונים'!AT69)</f>
        <v/>
      </c>
      <c r="I69" s="423" t="str">
        <f ca="1">IF(H69="","",'ריכוז נתונים'!AU69)</f>
        <v/>
      </c>
      <c r="J69" s="423" t="str">
        <f ca="1">IF(I69="","",'ריכוז נתונים'!AV69)</f>
        <v/>
      </c>
      <c r="K69" s="423" t="str">
        <f ca="1">IF(I69="","",'ריכוז נתונים'!AW69)</f>
        <v/>
      </c>
      <c r="L69" s="423" t="str">
        <f ca="1">IF(J69="","",'ריכוז נתונים'!AX69)</f>
        <v/>
      </c>
      <c r="M69" s="423" t="str">
        <f ca="1">IF(K69="","",'ריכוז נתונים'!AY69)</f>
        <v/>
      </c>
      <c r="N69" s="424" t="str">
        <f t="shared" ca="1" si="1"/>
        <v/>
      </c>
      <c r="O69" s="424" t="str">
        <f t="shared" ca="1" si="0"/>
        <v/>
      </c>
      <c r="P69" s="425" t="str">
        <f t="shared" ca="1" si="2"/>
        <v/>
      </c>
    </row>
    <row r="70" spans="2:16" x14ac:dyDescent="0.25">
      <c r="B70" s="7">
        <f>'ריכוז נתונים'!C70</f>
        <v>54</v>
      </c>
      <c r="C70" s="7" t="str">
        <f ca="1">IF('ריכוז נתונים כללים'!X70='ריכוז נתונים כללים'!$Y$16,'ריכוז נתונים כללים'!D70,"")</f>
        <v/>
      </c>
      <c r="D70" s="423" t="str">
        <f ca="1">IF(C70="","",'ריכוז נתונים'!AP70)</f>
        <v/>
      </c>
      <c r="E70" s="423" t="str">
        <f ca="1">IF(D70="","",'ריכוז נתונים'!AQ70)</f>
        <v/>
      </c>
      <c r="F70" s="423" t="str">
        <f ca="1">IF(E70="","",'ריכוז נתונים'!AR70)</f>
        <v/>
      </c>
      <c r="G70" s="423" t="str">
        <f ca="1">IF(F70="","",'ריכוז נתונים'!AS70)</f>
        <v/>
      </c>
      <c r="H70" s="423" t="str">
        <f ca="1">IF(G70="","",'ריכוז נתונים'!AT70)</f>
        <v/>
      </c>
      <c r="I70" s="423" t="str">
        <f ca="1">IF(H70="","",'ריכוז נתונים'!AU70)</f>
        <v/>
      </c>
      <c r="J70" s="423" t="str">
        <f ca="1">IF(I70="","",'ריכוז נתונים'!AV70)</f>
        <v/>
      </c>
      <c r="K70" s="423" t="str">
        <f ca="1">IF(I70="","",'ריכוז נתונים'!AW70)</f>
        <v/>
      </c>
      <c r="L70" s="423" t="str">
        <f ca="1">IF(J70="","",'ריכוז נתונים'!AX70)</f>
        <v/>
      </c>
      <c r="M70" s="423" t="str">
        <f ca="1">IF(K70="","",'ריכוז נתונים'!AY70)</f>
        <v/>
      </c>
      <c r="N70" s="424" t="str">
        <f t="shared" ca="1" si="1"/>
        <v/>
      </c>
      <c r="O70" s="424" t="str">
        <f t="shared" ca="1" si="0"/>
        <v/>
      </c>
      <c r="P70" s="425" t="str">
        <f t="shared" ca="1" si="2"/>
        <v/>
      </c>
    </row>
    <row r="71" spans="2:16" x14ac:dyDescent="0.25">
      <c r="B71" s="7">
        <f>'ריכוז נתונים'!C71</f>
        <v>55</v>
      </c>
      <c r="C71" s="7" t="str">
        <f ca="1">IF('ריכוז נתונים כללים'!X71='ריכוז נתונים כללים'!$Y$16,'ריכוז נתונים כללים'!D71,"")</f>
        <v/>
      </c>
      <c r="D71" s="423" t="str">
        <f ca="1">IF(C71="","",'ריכוז נתונים'!AP71)</f>
        <v/>
      </c>
      <c r="E71" s="423" t="str">
        <f ca="1">IF(D71="","",'ריכוז נתונים'!AQ71)</f>
        <v/>
      </c>
      <c r="F71" s="423" t="str">
        <f ca="1">IF(E71="","",'ריכוז נתונים'!AR71)</f>
        <v/>
      </c>
      <c r="G71" s="423" t="str">
        <f ca="1">IF(F71="","",'ריכוז נתונים'!AS71)</f>
        <v/>
      </c>
      <c r="H71" s="423" t="str">
        <f ca="1">IF(G71="","",'ריכוז נתונים'!AT71)</f>
        <v/>
      </c>
      <c r="I71" s="423" t="str">
        <f ca="1">IF(H71="","",'ריכוז נתונים'!AU71)</f>
        <v/>
      </c>
      <c r="J71" s="423" t="str">
        <f ca="1">IF(I71="","",'ריכוז נתונים'!AV71)</f>
        <v/>
      </c>
      <c r="K71" s="423" t="str">
        <f ca="1">IF(I71="","",'ריכוז נתונים'!AW71)</f>
        <v/>
      </c>
      <c r="L71" s="423" t="str">
        <f ca="1">IF(J71="","",'ריכוז נתונים'!AX71)</f>
        <v/>
      </c>
      <c r="M71" s="423" t="str">
        <f ca="1">IF(K71="","",'ריכוז נתונים'!AY71)</f>
        <v/>
      </c>
      <c r="N71" s="424" t="str">
        <f t="shared" ca="1" si="1"/>
        <v/>
      </c>
      <c r="O71" s="424" t="str">
        <f t="shared" ca="1" si="0"/>
        <v/>
      </c>
      <c r="P71" s="425" t="str">
        <f t="shared" ca="1" si="2"/>
        <v/>
      </c>
    </row>
    <row r="72" spans="2:16" x14ac:dyDescent="0.25">
      <c r="B72" s="7">
        <f>'ריכוז נתונים'!C72</f>
        <v>56</v>
      </c>
      <c r="C72" s="7" t="str">
        <f ca="1">IF('ריכוז נתונים כללים'!X72='ריכוז נתונים כללים'!$Y$16,'ריכוז נתונים כללים'!D72,"")</f>
        <v/>
      </c>
      <c r="D72" s="423" t="str">
        <f ca="1">IF(C72="","",'ריכוז נתונים'!AP72)</f>
        <v/>
      </c>
      <c r="E72" s="423" t="str">
        <f ca="1">IF(D72="","",'ריכוז נתונים'!AQ72)</f>
        <v/>
      </c>
      <c r="F72" s="423" t="str">
        <f ca="1">IF(E72="","",'ריכוז נתונים'!AR72)</f>
        <v/>
      </c>
      <c r="G72" s="423" t="str">
        <f ca="1">IF(F72="","",'ריכוז נתונים'!AS72)</f>
        <v/>
      </c>
      <c r="H72" s="423" t="str">
        <f ca="1">IF(G72="","",'ריכוז נתונים'!AT72)</f>
        <v/>
      </c>
      <c r="I72" s="423" t="str">
        <f ca="1">IF(H72="","",'ריכוז נתונים'!AU72)</f>
        <v/>
      </c>
      <c r="J72" s="423" t="str">
        <f ca="1">IF(I72="","",'ריכוז נתונים'!AV72)</f>
        <v/>
      </c>
      <c r="K72" s="423" t="str">
        <f ca="1">IF(I72="","",'ריכוז נתונים'!AW72)</f>
        <v/>
      </c>
      <c r="L72" s="423" t="str">
        <f ca="1">IF(J72="","",'ריכוז נתונים'!AX72)</f>
        <v/>
      </c>
      <c r="M72" s="423" t="str">
        <f ca="1">IF(K72="","",'ריכוז נתונים'!AY72)</f>
        <v/>
      </c>
      <c r="N72" s="424" t="str">
        <f t="shared" ca="1" si="1"/>
        <v/>
      </c>
      <c r="O72" s="424" t="str">
        <f t="shared" ca="1" si="0"/>
        <v/>
      </c>
      <c r="P72" s="425" t="str">
        <f t="shared" ca="1" si="2"/>
        <v/>
      </c>
    </row>
    <row r="73" spans="2:16" x14ac:dyDescent="0.25">
      <c r="B73" s="7">
        <f>'ריכוז נתונים'!C73</f>
        <v>57</v>
      </c>
      <c r="C73" s="7" t="str">
        <f ca="1">IF('ריכוז נתונים כללים'!X73='ריכוז נתונים כללים'!$Y$16,'ריכוז נתונים כללים'!D73,"")</f>
        <v/>
      </c>
      <c r="D73" s="423" t="str">
        <f ca="1">IF(C73="","",'ריכוז נתונים'!AP73)</f>
        <v/>
      </c>
      <c r="E73" s="423" t="str">
        <f ca="1">IF(D73="","",'ריכוז נתונים'!AQ73)</f>
        <v/>
      </c>
      <c r="F73" s="423" t="str">
        <f ca="1">IF(E73="","",'ריכוז נתונים'!AR73)</f>
        <v/>
      </c>
      <c r="G73" s="423" t="str">
        <f ca="1">IF(F73="","",'ריכוז נתונים'!AS73)</f>
        <v/>
      </c>
      <c r="H73" s="423" t="str">
        <f ca="1">IF(G73="","",'ריכוז נתונים'!AT73)</f>
        <v/>
      </c>
      <c r="I73" s="423" t="str">
        <f ca="1">IF(H73="","",'ריכוז נתונים'!AU73)</f>
        <v/>
      </c>
      <c r="J73" s="423" t="str">
        <f ca="1">IF(I73="","",'ריכוז נתונים'!AV73)</f>
        <v/>
      </c>
      <c r="K73" s="423" t="str">
        <f ca="1">IF(I73="","",'ריכוז נתונים'!AW73)</f>
        <v/>
      </c>
      <c r="L73" s="423" t="str">
        <f ca="1">IF(J73="","",'ריכוז נתונים'!AX73)</f>
        <v/>
      </c>
      <c r="M73" s="423" t="str">
        <f ca="1">IF(K73="","",'ריכוז נתונים'!AY73)</f>
        <v/>
      </c>
      <c r="N73" s="424" t="str">
        <f t="shared" ca="1" si="1"/>
        <v/>
      </c>
      <c r="O73" s="424" t="str">
        <f t="shared" ca="1" si="0"/>
        <v/>
      </c>
      <c r="P73" s="425" t="str">
        <f t="shared" ca="1" si="2"/>
        <v/>
      </c>
    </row>
    <row r="74" spans="2:16" x14ac:dyDescent="0.25">
      <c r="B74" s="7">
        <f>'ריכוז נתונים'!C74</f>
        <v>58</v>
      </c>
      <c r="C74" s="7" t="str">
        <f ca="1">IF('ריכוז נתונים כללים'!X74='ריכוז נתונים כללים'!$Y$16,'ריכוז נתונים כללים'!D74,"")</f>
        <v/>
      </c>
      <c r="D74" s="423" t="str">
        <f ca="1">IF(C74="","",'ריכוז נתונים'!AP74)</f>
        <v/>
      </c>
      <c r="E74" s="423" t="str">
        <f ca="1">IF(D74="","",'ריכוז נתונים'!AQ74)</f>
        <v/>
      </c>
      <c r="F74" s="423" t="str">
        <f ca="1">IF(E74="","",'ריכוז נתונים'!AR74)</f>
        <v/>
      </c>
      <c r="G74" s="423" t="str">
        <f ca="1">IF(F74="","",'ריכוז נתונים'!AS74)</f>
        <v/>
      </c>
      <c r="H74" s="423" t="str">
        <f ca="1">IF(G74="","",'ריכוז נתונים'!AT74)</f>
        <v/>
      </c>
      <c r="I74" s="423" t="str">
        <f ca="1">IF(H74="","",'ריכוז נתונים'!AU74)</f>
        <v/>
      </c>
      <c r="J74" s="423" t="str">
        <f ca="1">IF(I74="","",'ריכוז נתונים'!AV74)</f>
        <v/>
      </c>
      <c r="K74" s="423" t="str">
        <f ca="1">IF(I74="","",'ריכוז נתונים'!AW74)</f>
        <v/>
      </c>
      <c r="L74" s="423" t="str">
        <f ca="1">IF(J74="","",'ריכוז נתונים'!AX74)</f>
        <v/>
      </c>
      <c r="M74" s="423" t="str">
        <f ca="1">IF(K74="","",'ריכוז נתונים'!AY74)</f>
        <v/>
      </c>
      <c r="N74" s="424" t="str">
        <f t="shared" ca="1" si="1"/>
        <v/>
      </c>
      <c r="O74" s="424" t="str">
        <f t="shared" ca="1" si="0"/>
        <v/>
      </c>
      <c r="P74" s="425" t="str">
        <f t="shared" ca="1" si="2"/>
        <v/>
      </c>
    </row>
    <row r="75" spans="2:16" x14ac:dyDescent="0.25">
      <c r="B75" s="7">
        <f>'ריכוז נתונים'!C75</f>
        <v>59</v>
      </c>
      <c r="C75" s="7" t="str">
        <f ca="1">IF('ריכוז נתונים כללים'!X75='ריכוז נתונים כללים'!$Y$16,'ריכוז נתונים כללים'!D75,"")</f>
        <v/>
      </c>
      <c r="D75" s="423" t="str">
        <f ca="1">IF(C75="","",'ריכוז נתונים'!AP75)</f>
        <v/>
      </c>
      <c r="E75" s="423" t="str">
        <f ca="1">IF(D75="","",'ריכוז נתונים'!AQ75)</f>
        <v/>
      </c>
      <c r="F75" s="423" t="str">
        <f ca="1">IF(E75="","",'ריכוז נתונים'!AR75)</f>
        <v/>
      </c>
      <c r="G75" s="423" t="str">
        <f ca="1">IF(F75="","",'ריכוז נתונים'!AS75)</f>
        <v/>
      </c>
      <c r="H75" s="423" t="str">
        <f ca="1">IF(G75="","",'ריכוז נתונים'!AT75)</f>
        <v/>
      </c>
      <c r="I75" s="423" t="str">
        <f ca="1">IF(H75="","",'ריכוז נתונים'!AU75)</f>
        <v/>
      </c>
      <c r="J75" s="423" t="str">
        <f ca="1">IF(I75="","",'ריכוז נתונים'!AV75)</f>
        <v/>
      </c>
      <c r="K75" s="423" t="str">
        <f ca="1">IF(I75="","",'ריכוז נתונים'!AW75)</f>
        <v/>
      </c>
      <c r="L75" s="423" t="str">
        <f ca="1">IF(J75="","",'ריכוז נתונים'!AX75)</f>
        <v/>
      </c>
      <c r="M75" s="423" t="str">
        <f ca="1">IF(K75="","",'ריכוז נתונים'!AY75)</f>
        <v/>
      </c>
      <c r="N75" s="424" t="str">
        <f t="shared" ca="1" si="1"/>
        <v/>
      </c>
      <c r="O75" s="424" t="str">
        <f t="shared" ca="1" si="0"/>
        <v/>
      </c>
      <c r="P75" s="425" t="str">
        <f t="shared" ca="1" si="2"/>
        <v/>
      </c>
    </row>
    <row r="76" spans="2:16" x14ac:dyDescent="0.25">
      <c r="B76" s="7">
        <f>'ריכוז נתונים'!C76</f>
        <v>60</v>
      </c>
      <c r="C76" s="7" t="str">
        <f ca="1">IF('ריכוז נתונים כללים'!X76='ריכוז נתונים כללים'!$Y$16,'ריכוז נתונים כללים'!D76,"")</f>
        <v>שרשרת הדורות</v>
      </c>
      <c r="D76" s="423">
        <f ca="1">IF(C76="","",'ריכוז נתונים'!AP76)</f>
        <v>3</v>
      </c>
      <c r="E76" s="423">
        <f ca="1">IF(D76="","",'ריכוז נתונים'!AQ76)</f>
        <v>4</v>
      </c>
      <c r="F76" s="423">
        <f ca="1">IF(E76="","",'ריכוז נתונים'!AR76)</f>
        <v>1</v>
      </c>
      <c r="G76" s="423">
        <f ca="1">IF(F76="","",'ריכוז נתונים'!AS76)</f>
        <v>1</v>
      </c>
      <c r="H76" s="423">
        <f ca="1">IF(G76="","",'ריכוז נתונים'!AT76)</f>
        <v>0</v>
      </c>
      <c r="I76" s="423">
        <f ca="1">IF(H76="","",'ריכוז נתונים'!AU76)</f>
        <v>12</v>
      </c>
      <c r="J76" s="423">
        <f ca="1">IF(I76="","",'ריכוז נתונים'!AV76)</f>
        <v>0</v>
      </c>
      <c r="K76" s="423">
        <f ca="1">IF(I76="","",'ריכוז נתונים'!AW76)</f>
        <v>11</v>
      </c>
      <c r="L76" s="423">
        <f ca="1">IF(J76="","",'ריכוז נתונים'!AX76)</f>
        <v>0</v>
      </c>
      <c r="M76" s="423">
        <f ca="1">IF(K76="","",'ריכוז נתונים'!AY76)</f>
        <v>5</v>
      </c>
      <c r="N76" s="424">
        <f t="shared" ca="1" si="1"/>
        <v>145.65</v>
      </c>
      <c r="O76" s="424">
        <f t="shared" ca="1" si="0"/>
        <v>145.65</v>
      </c>
      <c r="P76" s="425">
        <f t="shared" ca="1" si="2"/>
        <v>1.8394564352559328E-2</v>
      </c>
    </row>
    <row r="77" spans="2:16" x14ac:dyDescent="0.25">
      <c r="B77" s="7">
        <f>'ריכוז נתונים'!C77</f>
        <v>61</v>
      </c>
      <c r="C77" s="7" t="str">
        <f ca="1">IF('ריכוז נתונים כללים'!X77='ריכוז נתונים כללים'!$Y$16,'ריכוז נתונים כללים'!D77,"")</f>
        <v>חיבה</v>
      </c>
      <c r="D77" s="423">
        <f ca="1">IF(C77="","",'ריכוז נתונים'!AP77)</f>
        <v>16</v>
      </c>
      <c r="E77" s="423">
        <f ca="1">IF(D77="","",'ריכוז נתונים'!AQ77)</f>
        <v>22</v>
      </c>
      <c r="F77" s="423">
        <f ca="1">IF(E77="","",'ריכוז נתונים'!AR77)</f>
        <v>7</v>
      </c>
      <c r="G77" s="423">
        <f ca="1">IF(F77="","",'ריכוז נתונים'!AS77)</f>
        <v>0</v>
      </c>
      <c r="H77" s="423">
        <f ca="1">IF(G77="","",'ריכוז נתונים'!AT77)</f>
        <v>0</v>
      </c>
      <c r="I77" s="423">
        <f ca="1">IF(H77="","",'ריכוז נתונים'!AU77)</f>
        <v>16</v>
      </c>
      <c r="J77" s="423">
        <f ca="1">IF(I77="","",'ריכוז נתונים'!AV77)</f>
        <v>0</v>
      </c>
      <c r="K77" s="423">
        <f ca="1">IF(I77="","",'ריכוז נתונים'!AW77)</f>
        <v>13</v>
      </c>
      <c r="L77" s="423">
        <f ca="1">IF(J77="","",'ריכוז נתונים'!AX77)</f>
        <v>0</v>
      </c>
      <c r="M77" s="423">
        <f ca="1">IF(K77="","",'ריכוז נתונים'!AY77)</f>
        <v>0</v>
      </c>
      <c r="N77" s="424">
        <f t="shared" ref="N77:N78" ca="1" si="3">IF(C77="","",$D$4*D77+$D$5*(E77-F77)+F77*$D$5*$D$10+(G77-H77)*$D$6+H77*$D$6*$D$10+(I77-J77)*$D$7+J77*($D$7*$D$11)+(K77-L77)*$D$8+L77*($D$8*$D$11)+M77*$D$9)</f>
        <v>179.05</v>
      </c>
      <c r="O77" s="424">
        <f t="shared" ref="O77:O78" ca="1" si="4">IFERROR(N77,0)</f>
        <v>179.05</v>
      </c>
      <c r="P77" s="425">
        <f t="shared" ca="1" si="2"/>
        <v>2.2612748007729128E-2</v>
      </c>
    </row>
    <row r="78" spans="2:16" x14ac:dyDescent="0.25">
      <c r="B78" s="7">
        <f>'ריכוז נתונים'!C78</f>
        <v>62</v>
      </c>
      <c r="C78" s="7" t="str">
        <f ca="1">IF('ריכוז נתונים כללים'!X78='ריכוז נתונים כללים'!$Y$16,'ריכוז נתונים כללים'!D78,"")</f>
        <v/>
      </c>
      <c r="D78" s="423" t="str">
        <f ca="1">IF(C78="","",'ריכוז נתונים'!AP78)</f>
        <v/>
      </c>
      <c r="E78" s="423" t="str">
        <f ca="1">IF(D78="","",'ריכוז נתונים'!AQ78)</f>
        <v/>
      </c>
      <c r="F78" s="423" t="str">
        <f ca="1">IF(E78="","",'ריכוז נתונים'!AR78)</f>
        <v/>
      </c>
      <c r="G78" s="423" t="str">
        <f ca="1">IF(F78="","",'ריכוז נתונים'!AS78)</f>
        <v/>
      </c>
      <c r="H78" s="423" t="str">
        <f ca="1">IF(G78="","",'ריכוז נתונים'!AT78)</f>
        <v/>
      </c>
      <c r="I78" s="423" t="str">
        <f ca="1">IF(H78="","",'ריכוז נתונים'!AU78)</f>
        <v/>
      </c>
      <c r="J78" s="423" t="str">
        <f ca="1">IF(I78="","",'ריכוז נתונים'!AV78)</f>
        <v/>
      </c>
      <c r="K78" s="423" t="str">
        <f ca="1">IF(I78="","",'ריכוז נתונים'!AW78)</f>
        <v/>
      </c>
      <c r="L78" s="423" t="str">
        <f ca="1">IF(J78="","",'ריכוז נתונים'!AX78)</f>
        <v/>
      </c>
      <c r="M78" s="423" t="str">
        <f ca="1">IF(K78="","",'ריכוז נתונים'!AY78)</f>
        <v/>
      </c>
      <c r="N78" s="424" t="str">
        <f t="shared" ca="1" si="3"/>
        <v/>
      </c>
      <c r="O78" s="424" t="str">
        <f t="shared" ca="1" si="4"/>
        <v/>
      </c>
      <c r="P78" s="425" t="str">
        <f t="shared" ca="1" si="2"/>
        <v/>
      </c>
    </row>
  </sheetData>
  <sheetProtection algorithmName="SHA-512" hashValue="gX/BSpYvdrfdXrEH3Nuf8ChghmRLp72csAX27Jx0O7gNoyxVdiIh2YkH1FzGDovgJnbWaIZ2pM6rnkQ5rhkuEQ==" saltValue="c125Arpt697xefHS/CA1zA==" spinCount="100000" sheet="1" scenarios="1" formatColumns="0" formatRows="0" autoFilter="0"/>
  <mergeCells count="13">
    <mergeCell ref="B3:C3"/>
    <mergeCell ref="B2:D2"/>
    <mergeCell ref="B15:B16"/>
    <mergeCell ref="C15:C16"/>
    <mergeCell ref="D15:P15"/>
    <mergeCell ref="B4:C4"/>
    <mergeCell ref="B5:C5"/>
    <mergeCell ref="B6:C6"/>
    <mergeCell ref="B7:C7"/>
    <mergeCell ref="B8:C8"/>
    <mergeCell ref="B9:C9"/>
    <mergeCell ref="B10:C10"/>
    <mergeCell ref="B11:C11"/>
  </mergeCells>
  <pageMargins left="0.70866141732283472" right="0.70866141732283472" top="0.74803149606299213" bottom="0.74803149606299213" header="0.31496062992125984" footer="0.31496062992125984"/>
  <pageSetup paperSize="9" scale="41" orientation="portrait" r:id="rId1"/>
  <headerFooter>
    <oddFooter>&amp;C&amp;"David,מודגש"א. חפץ ושות'
ייעוץ כלכלי</oddFooter>
  </headerFooter>
  <rowBreaks count="1" manualBreakCount="1">
    <brk id="4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גיליון6">
    <tabColor theme="6" tint="0.39997558519241921"/>
    <pageSetUpPr fitToPage="1"/>
  </sheetPr>
  <dimension ref="B2:G79"/>
  <sheetViews>
    <sheetView rightToLeft="1" view="pageBreakPreview" zoomScale="90" zoomScaleNormal="80" zoomScaleSheetLayoutView="90" workbookViewId="0"/>
  </sheetViews>
  <sheetFormatPr defaultColWidth="9" defaultRowHeight="15.75" x14ac:dyDescent="0.25"/>
  <cols>
    <col min="2" max="2" width="23.140625" customWidth="1"/>
    <col min="3" max="3" width="30" customWidth="1"/>
    <col min="4" max="4" width="9.85546875" bestFit="1" customWidth="1"/>
    <col min="5" max="5" width="8.5703125" hidden="1" customWidth="1"/>
    <col min="6" max="6" width="10.5703125" bestFit="1" customWidth="1"/>
  </cols>
  <sheetData>
    <row r="2" spans="2:6" ht="47.25" customHeight="1" x14ac:dyDescent="0.25">
      <c r="B2" s="536" t="str">
        <f>פרמטרים!B41</f>
        <v>מספר הפריטים המוצגים בתערוכה המזכים בנקודה:</v>
      </c>
      <c r="C2" s="537"/>
      <c r="D2" s="44">
        <f>פרמטרים!C41</f>
        <v>10</v>
      </c>
    </row>
    <row r="3" spans="2:6" ht="31.5" customHeight="1" x14ac:dyDescent="0.25">
      <c r="B3" s="536" t="str">
        <f>פרמטרים!B48</f>
        <v>מקדם ניקוד לתערוכה גדולה:</v>
      </c>
      <c r="C3" s="537"/>
      <c r="D3" s="44">
        <f>פרמטרים!C48</f>
        <v>1.1000000000000001</v>
      </c>
    </row>
    <row r="4" spans="2:6" x14ac:dyDescent="0.25">
      <c r="B4" s="536" t="str">
        <f>פרמטרים!B49</f>
        <v>ניקוד מקסימאלי לגוף עבור סעיף זה:</v>
      </c>
      <c r="C4" s="537"/>
      <c r="D4" s="69">
        <f>פרמטרים!C49</f>
        <v>0.05</v>
      </c>
    </row>
    <row r="5" spans="2:6" hidden="1" x14ac:dyDescent="0.25"/>
    <row r="6" spans="2:6" hidden="1" x14ac:dyDescent="0.25"/>
    <row r="7" spans="2:6" hidden="1" x14ac:dyDescent="0.25"/>
    <row r="8" spans="2:6" hidden="1" x14ac:dyDescent="0.25"/>
    <row r="9" spans="2:6" hidden="1" x14ac:dyDescent="0.25"/>
    <row r="10" spans="2:6" hidden="1" x14ac:dyDescent="0.25"/>
    <row r="11" spans="2:6" hidden="1" x14ac:dyDescent="0.25"/>
    <row r="12" spans="2:6" hidden="1" x14ac:dyDescent="0.25"/>
    <row r="13" spans="2:6" hidden="1" x14ac:dyDescent="0.25"/>
    <row r="15" spans="2:6" x14ac:dyDescent="0.25">
      <c r="B15" s="489" t="str">
        <f>'ריכוז נתונים'!C15:C16</f>
        <v>מספר סידורי</v>
      </c>
      <c r="C15" s="489" t="str">
        <f>'ריכוז נתונים'!D15:D16</f>
        <v>שם המוסד</v>
      </c>
      <c r="D15" s="535" t="str">
        <f ca="1">MID(CELL("filename",A1),FIND("]",CELL("filename",A1),1)+1,99)</f>
        <v>תערוכות</v>
      </c>
      <c r="E15" s="535"/>
      <c r="F15" s="480"/>
    </row>
    <row r="16" spans="2:6" x14ac:dyDescent="0.25">
      <c r="B16" s="504"/>
      <c r="C16" s="504"/>
      <c r="D16" s="29" t="s">
        <v>79</v>
      </c>
      <c r="E16" s="29" t="s">
        <v>79</v>
      </c>
      <c r="F16" s="426" t="s">
        <v>175</v>
      </c>
    </row>
    <row r="17" spans="2:7" x14ac:dyDescent="0.25">
      <c r="B17" s="7">
        <f>'ריכוז נתונים'!C17</f>
        <v>1</v>
      </c>
      <c r="C17" s="7" t="str">
        <f ca="1">ארועים!C17</f>
        <v>מרכז מורשת בבל</v>
      </c>
      <c r="D17" s="424">
        <f ca="1">IF(C17="","",'ריכוז נתונים'!O17)</f>
        <v>62</v>
      </c>
      <c r="E17" s="424">
        <f ca="1">IFERROR(D17,0)</f>
        <v>62</v>
      </c>
      <c r="F17" s="427">
        <f ca="1">IF($C17="","",IFERROR(IF(ISERROR(D17),D17,(MIN($D$4,E17/SUM($E$17:$E$77)))),0))</f>
        <v>1.2003872216844144E-2</v>
      </c>
      <c r="G17" s="325"/>
    </row>
    <row r="18" spans="2:7" x14ac:dyDescent="0.25">
      <c r="B18" s="7">
        <f>'ריכוז נתונים'!C18</f>
        <v>2</v>
      </c>
      <c r="C18" s="7" t="str">
        <f ca="1">ארועים!C18</f>
        <v>מורשת יהודי צפון  אפריקה</v>
      </c>
      <c r="D18" s="424">
        <f ca="1">IF(C18="","",'ריכוז נתונים'!O18)</f>
        <v>300</v>
      </c>
      <c r="E18" s="424">
        <f t="shared" ref="E18:E76" ca="1" si="0">IFERROR(D18,0)</f>
        <v>300</v>
      </c>
      <c r="F18" s="427">
        <f t="shared" ref="F18:F77" ca="1" si="1">IF($C18="","",IFERROR(IF(ISERROR(D18),D18,(MIN($D$4,E18/SUM($E$17:$E$77)))),0))</f>
        <v>0.05</v>
      </c>
    </row>
    <row r="19" spans="2:7" x14ac:dyDescent="0.25">
      <c r="B19" s="7">
        <f>'ריכוז נתונים'!C19</f>
        <v>3</v>
      </c>
      <c r="C19" s="7" t="str">
        <f ca="1">ארועים!C19</f>
        <v>מורשת יהדות קוצין</v>
      </c>
      <c r="D19" s="424">
        <f ca="1">IF(C19="","",'ריכוז נתונים'!O19)</f>
        <v>970</v>
      </c>
      <c r="E19" s="424">
        <f t="shared" ca="1" si="0"/>
        <v>970</v>
      </c>
      <c r="F19" s="427">
        <f t="shared" ca="1" si="1"/>
        <v>0.05</v>
      </c>
    </row>
    <row r="20" spans="2:7" x14ac:dyDescent="0.25">
      <c r="B20" s="7">
        <f>'ריכוז נתונים'!C20</f>
        <v>4</v>
      </c>
      <c r="C20" s="7" t="str">
        <f ca="1">ארועים!C20</f>
        <v>הפדרציה העולמית של יהדות תוניס</v>
      </c>
      <c r="D20" s="424">
        <f ca="1">IF(C20="","",'ריכוז נתונים'!O20)</f>
        <v>0</v>
      </c>
      <c r="E20" s="424">
        <f t="shared" ca="1" si="0"/>
        <v>0</v>
      </c>
      <c r="F20" s="427">
        <f t="shared" ca="1" si="1"/>
        <v>0</v>
      </c>
    </row>
    <row r="21" spans="2:7" x14ac:dyDescent="0.25">
      <c r="B21" s="7">
        <f>'ריכוז נתונים'!C21</f>
        <v>5</v>
      </c>
      <c r="C21" s="7" t="str">
        <f ca="1">ארועים!C21</f>
        <v>התאחדות עולי מצרים</v>
      </c>
      <c r="D21" s="424">
        <f ca="1">IF(C21="","",'ריכוז נתונים'!O21)</f>
        <v>2</v>
      </c>
      <c r="E21" s="424">
        <f t="shared" ca="1" si="0"/>
        <v>2</v>
      </c>
      <c r="F21" s="427">
        <f t="shared" ca="1" si="1"/>
        <v>3.8722168441432723E-4</v>
      </c>
    </row>
    <row r="22" spans="2:7" x14ac:dyDescent="0.25">
      <c r="B22" s="7">
        <f>'ריכוז נתונים'!C22</f>
        <v>6</v>
      </c>
      <c r="C22" s="7" t="str">
        <f ca="1">ארועים!C22</f>
        <v>יהודים יוצאי לוב</v>
      </c>
      <c r="D22" s="424">
        <f ca="1">IF(C22="","",'ריכוז נתונים'!O22)</f>
        <v>0</v>
      </c>
      <c r="E22" s="424">
        <f t="shared" ca="1" si="0"/>
        <v>0</v>
      </c>
      <c r="F22" s="427">
        <f t="shared" ca="1" si="1"/>
        <v>0</v>
      </c>
    </row>
    <row r="23" spans="2:7" x14ac:dyDescent="0.25">
      <c r="B23" s="7">
        <f>'ריכוז נתונים'!C23</f>
        <v>7</v>
      </c>
      <c r="C23" s="7" t="str">
        <f ca="1">ארועים!C23</f>
        <v>הפדרציה העולמית של יהדות מרוקו</v>
      </c>
      <c r="D23" s="424">
        <f ca="1">IF(C23="","",'ריכוז נתונים'!O23)</f>
        <v>0</v>
      </c>
      <c r="E23" s="424">
        <f t="shared" ca="1" si="0"/>
        <v>0</v>
      </c>
      <c r="F23" s="427">
        <f t="shared" ca="1" si="1"/>
        <v>0</v>
      </c>
    </row>
    <row r="24" spans="2:7" x14ac:dyDescent="0.25">
      <c r="B24" s="7">
        <f>'ריכוז נתונים'!C24</f>
        <v>8</v>
      </c>
      <c r="C24" s="7" t="str">
        <f ca="1">ארועים!C24</f>
        <v>אורות הגליל</v>
      </c>
      <c r="D24" s="424">
        <f ca="1">IF(C24="","",'ריכוז נתונים'!O24)</f>
        <v>210</v>
      </c>
      <c r="E24" s="424">
        <f t="shared" ca="1" si="0"/>
        <v>210</v>
      </c>
      <c r="F24" s="427">
        <f t="shared" ca="1" si="1"/>
        <v>4.0658276863504358E-2</v>
      </c>
    </row>
    <row r="25" spans="2:7" x14ac:dyDescent="0.25">
      <c r="B25" s="7">
        <f>'ריכוז נתונים'!C25</f>
        <v>9</v>
      </c>
      <c r="C25" s="7" t="str">
        <f ca="1">ארועים!C25</f>
        <v>אלמז</v>
      </c>
      <c r="D25" s="424">
        <f ca="1">IF(C25="","",'ריכוז נתונים'!O25)</f>
        <v>150</v>
      </c>
      <c r="E25" s="424">
        <f t="shared" ca="1" si="0"/>
        <v>150</v>
      </c>
      <c r="F25" s="427">
        <f t="shared" ca="1" si="1"/>
        <v>2.904162633107454E-2</v>
      </c>
    </row>
    <row r="26" spans="2:7" x14ac:dyDescent="0.25">
      <c r="B26" s="7">
        <f>'ריכוז נתונים'!C26</f>
        <v>10</v>
      </c>
      <c r="C26" s="7" t="str">
        <f ca="1">ארועים!C26</f>
        <v>קונגרס יהודי בוכרה</v>
      </c>
      <c r="D26" s="424">
        <f ca="1">IF(C26="","",'ריכוז נתונים'!O26)</f>
        <v>0</v>
      </c>
      <c r="E26" s="424">
        <f t="shared" ca="1" si="0"/>
        <v>0</v>
      </c>
      <c r="F26" s="427">
        <f t="shared" ca="1" si="1"/>
        <v>0</v>
      </c>
    </row>
    <row r="27" spans="2:7" x14ac:dyDescent="0.25">
      <c r="B27" s="7">
        <f>'ריכוז נתונים'!C27</f>
        <v>11</v>
      </c>
      <c r="C27" s="7" t="str">
        <f ca="1">ארועים!C27</f>
        <v>יהדות שאלוניקי יוון</v>
      </c>
      <c r="D27" s="424">
        <f ca="1">IF(C27="","",'ריכוז נתונים'!O27)</f>
        <v>300</v>
      </c>
      <c r="E27" s="424">
        <f t="shared" ca="1" si="0"/>
        <v>300</v>
      </c>
      <c r="F27" s="427">
        <f t="shared" ca="1" si="1"/>
        <v>0.05</v>
      </c>
    </row>
    <row r="28" spans="2:7" x14ac:dyDescent="0.25">
      <c r="B28" s="7">
        <f>'ריכוז נתונים'!C28</f>
        <v>12</v>
      </c>
      <c r="C28" s="7" t="str">
        <f ca="1">ארועים!C28</f>
        <v/>
      </c>
      <c r="D28" s="424" t="str">
        <f ca="1">IF(C28="","",'ריכוז נתונים'!O28)</f>
        <v/>
      </c>
      <c r="E28" s="424" t="str">
        <f t="shared" ca="1" si="0"/>
        <v/>
      </c>
      <c r="F28" s="427" t="str">
        <f t="shared" ca="1" si="1"/>
        <v/>
      </c>
    </row>
    <row r="29" spans="2:7" x14ac:dyDescent="0.25">
      <c r="B29" s="7">
        <f>'ריכוז נתונים'!C29</f>
        <v>13</v>
      </c>
      <c r="C29" s="7" t="str">
        <f ca="1">ארועים!C29</f>
        <v/>
      </c>
      <c r="D29" s="424" t="str">
        <f ca="1">IF(C29="","",'ריכוז נתונים'!O29)</f>
        <v/>
      </c>
      <c r="E29" s="424" t="str">
        <f t="shared" ca="1" si="0"/>
        <v/>
      </c>
      <c r="F29" s="427" t="str">
        <f t="shared" ca="1" si="1"/>
        <v/>
      </c>
    </row>
    <row r="30" spans="2:7" x14ac:dyDescent="0.25">
      <c r="B30" s="7">
        <f>'ריכוז נתונים'!C30</f>
        <v>14</v>
      </c>
      <c r="C30" s="7" t="str">
        <f ca="1">ארועים!C30</f>
        <v/>
      </c>
      <c r="D30" s="424" t="str">
        <f ca="1">IF(C30="","",'ריכוז נתונים'!O30)</f>
        <v/>
      </c>
      <c r="E30" s="424" t="str">
        <f t="shared" ca="1" si="0"/>
        <v/>
      </c>
      <c r="F30" s="427" t="str">
        <f t="shared" ca="1" si="1"/>
        <v/>
      </c>
    </row>
    <row r="31" spans="2:7" x14ac:dyDescent="0.25">
      <c r="B31" s="7">
        <f>'ריכוז נתונים'!C31</f>
        <v>15</v>
      </c>
      <c r="C31" s="7" t="str">
        <f ca="1">ארועים!C31</f>
        <v xml:space="preserve">החברה לטיפוח חברה תרבות תיעוד </v>
      </c>
      <c r="D31" s="424">
        <f ca="1">IF(C31="","",'ריכוז נתונים'!O31)</f>
        <v>0</v>
      </c>
      <c r="E31" s="424">
        <f t="shared" ca="1" si="0"/>
        <v>0</v>
      </c>
      <c r="F31" s="427">
        <f t="shared" ca="1" si="1"/>
        <v>0</v>
      </c>
    </row>
    <row r="32" spans="2:7" x14ac:dyDescent="0.25">
      <c r="B32" s="7">
        <f>'ריכוז נתונים'!C32</f>
        <v>16</v>
      </c>
      <c r="C32" s="7" t="str">
        <f ca="1">ארועים!C32</f>
        <v>עמותת אור שלום</v>
      </c>
      <c r="D32" s="424">
        <f ca="1">IF(C32="","",'ריכוז נתונים'!O32)</f>
        <v>610</v>
      </c>
      <c r="E32" s="424">
        <f t="shared" ca="1" si="0"/>
        <v>610</v>
      </c>
      <c r="F32" s="427">
        <f t="shared" ca="1" si="1"/>
        <v>0.05</v>
      </c>
    </row>
    <row r="33" spans="2:6" x14ac:dyDescent="0.25">
      <c r="B33" s="7">
        <f>'ריכוז נתונים'!C33</f>
        <v>17</v>
      </c>
      <c r="C33" s="7" t="str">
        <f ca="1">ארועים!C33</f>
        <v/>
      </c>
      <c r="D33" s="424" t="str">
        <f ca="1">IF(C33="","",'ריכוז נתונים'!O33)</f>
        <v/>
      </c>
      <c r="E33" s="424" t="str">
        <f t="shared" ca="1" si="0"/>
        <v/>
      </c>
      <c r="F33" s="427" t="str">
        <f t="shared" ca="1" si="1"/>
        <v/>
      </c>
    </row>
    <row r="34" spans="2:6" x14ac:dyDescent="0.25">
      <c r="B34" s="7">
        <f>'ריכוז נתונים'!C34</f>
        <v>18</v>
      </c>
      <c r="C34" s="7" t="str">
        <f ca="1">ארועים!C34</f>
        <v>ישיבת קרלין סטולין</v>
      </c>
      <c r="D34" s="424">
        <f ca="1">IF(C34="","",'ריכוז נתונים'!O34)</f>
        <v>0</v>
      </c>
      <c r="E34" s="424">
        <f t="shared" ca="1" si="0"/>
        <v>0</v>
      </c>
      <c r="F34" s="427">
        <f t="shared" ca="1" si="1"/>
        <v>0</v>
      </c>
    </row>
    <row r="35" spans="2:6" x14ac:dyDescent="0.25">
      <c r="B35" s="7">
        <f>'ריכוז נתונים'!C35</f>
        <v>19</v>
      </c>
      <c r="C35" s="7" t="str">
        <f ca="1">ארועים!C35</f>
        <v/>
      </c>
      <c r="D35" s="424" t="str">
        <f ca="1">IF(C35="","",'ריכוז נתונים'!O35)</f>
        <v/>
      </c>
      <c r="E35" s="424" t="str">
        <f t="shared" ca="1" si="0"/>
        <v/>
      </c>
      <c r="F35" s="427" t="str">
        <f t="shared" ca="1" si="1"/>
        <v/>
      </c>
    </row>
    <row r="36" spans="2:6" x14ac:dyDescent="0.25">
      <c r="B36" s="7">
        <f>'ריכוז נתונים'!C36</f>
        <v>20</v>
      </c>
      <c r="C36" s="7" t="str">
        <f ca="1">ארועים!C36</f>
        <v/>
      </c>
      <c r="D36" s="424" t="str">
        <f ca="1">IF(C36="","",'ריכוז נתונים'!O36)</f>
        <v/>
      </c>
      <c r="E36" s="424" t="str">
        <f t="shared" ca="1" si="0"/>
        <v/>
      </c>
      <c r="F36" s="427" t="str">
        <f t="shared" ca="1" si="1"/>
        <v/>
      </c>
    </row>
    <row r="37" spans="2:6" x14ac:dyDescent="0.25">
      <c r="B37" s="7">
        <f>'ריכוז נתונים'!C37</f>
        <v>21</v>
      </c>
      <c r="C37" s="7" t="str">
        <f ca="1">ארועים!C37</f>
        <v>ברית יוצאי מרוקו</v>
      </c>
      <c r="D37" s="424">
        <f ca="1">IF(C37="","",'ריכוז נתונים'!O37)</f>
        <v>150</v>
      </c>
      <c r="E37" s="424">
        <f t="shared" ca="1" si="0"/>
        <v>150</v>
      </c>
      <c r="F37" s="427">
        <f t="shared" ca="1" si="1"/>
        <v>2.904162633107454E-2</v>
      </c>
    </row>
    <row r="38" spans="2:6" x14ac:dyDescent="0.25">
      <c r="B38" s="7">
        <f>'ריכוז נתונים'!C38</f>
        <v>22</v>
      </c>
      <c r="C38" s="7" t="str">
        <f ca="1">ארועים!C38</f>
        <v>הקם - בית הקונפדרציה</v>
      </c>
      <c r="D38" s="424">
        <f ca="1">IF(C38="","",'ריכוז נתונים'!O38)</f>
        <v>0</v>
      </c>
      <c r="E38" s="424">
        <f t="shared" ca="1" si="0"/>
        <v>0</v>
      </c>
      <c r="F38" s="427">
        <f t="shared" ca="1" si="1"/>
        <v>0</v>
      </c>
    </row>
    <row r="39" spans="2:6" x14ac:dyDescent="0.25">
      <c r="B39" s="7">
        <f>'ריכוז נתונים'!C39</f>
        <v>23</v>
      </c>
      <c r="C39" s="7" t="str">
        <f ca="1">ארועים!C39</f>
        <v>מוסיקה מזרח מערב</v>
      </c>
      <c r="D39" s="424">
        <f ca="1">IF(C39="","",'ריכוז נתונים'!O39)</f>
        <v>102</v>
      </c>
      <c r="E39" s="424">
        <f t="shared" ca="1" si="0"/>
        <v>102</v>
      </c>
      <c r="F39" s="427">
        <f t="shared" ca="1" si="1"/>
        <v>1.9748305905130686E-2</v>
      </c>
    </row>
    <row r="40" spans="2:6" x14ac:dyDescent="0.25">
      <c r="B40" s="7">
        <f>'ריכוז נתונים'!C40</f>
        <v>24</v>
      </c>
      <c r="C40" s="7" t="str">
        <f ca="1">ארועים!C40</f>
        <v>אעלה בתמר</v>
      </c>
      <c r="D40" s="424">
        <f ca="1">IF(C40="","",'ריכוז נתונים'!O40)</f>
        <v>0</v>
      </c>
      <c r="E40" s="424">
        <f t="shared" ca="1" si="0"/>
        <v>0</v>
      </c>
      <c r="F40" s="427">
        <f t="shared" ca="1" si="1"/>
        <v>0</v>
      </c>
    </row>
    <row r="41" spans="2:6" x14ac:dyDescent="0.25">
      <c r="B41" s="7">
        <f>'ריכוז נתונים'!C41</f>
        <v>25</v>
      </c>
      <c r="C41" s="7" t="str">
        <f ca="1">ארועים!C41</f>
        <v/>
      </c>
      <c r="D41" s="424" t="str">
        <f ca="1">IF(C41="","",'ריכוז נתונים'!O41)</f>
        <v/>
      </c>
      <c r="E41" s="424" t="str">
        <f t="shared" ca="1" si="0"/>
        <v/>
      </c>
      <c r="F41" s="427" t="str">
        <f t="shared" ca="1" si="1"/>
        <v/>
      </c>
    </row>
    <row r="42" spans="2:6" x14ac:dyDescent="0.25">
      <c r="B42" s="7">
        <f>'ריכוז נתונים'!C42</f>
        <v>26</v>
      </c>
      <c r="C42" s="7" t="str">
        <f ca="1">ארועים!C42</f>
        <v/>
      </c>
      <c r="D42" s="424" t="str">
        <f ca="1">IF(C42="","",'ריכוז נתונים'!O42)</f>
        <v/>
      </c>
      <c r="E42" s="424" t="str">
        <f t="shared" ca="1" si="0"/>
        <v/>
      </c>
      <c r="F42" s="427" t="str">
        <f t="shared" ca="1" si="1"/>
        <v/>
      </c>
    </row>
    <row r="43" spans="2:6" x14ac:dyDescent="0.25">
      <c r="B43" s="7">
        <f>'ריכוז נתונים'!C43</f>
        <v>27</v>
      </c>
      <c r="C43" s="7" t="str">
        <f ca="1">ארועים!C43</f>
        <v>מכון הברמן</v>
      </c>
      <c r="D43" s="424">
        <f ca="1">IF(C43="","",'ריכוז נתונים'!O43)</f>
        <v>1879</v>
      </c>
      <c r="E43" s="424">
        <f t="shared" ca="1" si="0"/>
        <v>1879</v>
      </c>
      <c r="F43" s="427">
        <f t="shared" ca="1" si="1"/>
        <v>0.05</v>
      </c>
    </row>
    <row r="44" spans="2:6" x14ac:dyDescent="0.25">
      <c r="B44" s="7">
        <f>'ריכוז נתונים'!C44</f>
        <v>28</v>
      </c>
      <c r="C44" s="7" t="str">
        <f ca="1">ארועים!C44</f>
        <v/>
      </c>
      <c r="D44" s="424" t="str">
        <f ca="1">IF(C44="","",'ריכוז נתונים'!O44)</f>
        <v/>
      </c>
      <c r="E44" s="424" t="str">
        <f t="shared" ca="1" si="0"/>
        <v/>
      </c>
      <c r="F44" s="427" t="str">
        <f t="shared" ca="1" si="1"/>
        <v/>
      </c>
    </row>
    <row r="45" spans="2:6" x14ac:dyDescent="0.25">
      <c r="B45" s="7">
        <f>'ריכוז נתונים'!C45</f>
        <v>29</v>
      </c>
      <c r="C45" s="7" t="str">
        <f ca="1">ארועים!C45</f>
        <v/>
      </c>
      <c r="D45" s="424" t="str">
        <f ca="1">IF(C45="","",'ריכוז נתונים'!O45)</f>
        <v/>
      </c>
      <c r="E45" s="424" t="str">
        <f t="shared" ca="1" si="0"/>
        <v/>
      </c>
      <c r="F45" s="427" t="str">
        <f t="shared" ca="1" si="1"/>
        <v/>
      </c>
    </row>
    <row r="46" spans="2:6" x14ac:dyDescent="0.25">
      <c r="B46" s="7">
        <f>'ריכוז נתונים'!C46</f>
        <v>30</v>
      </c>
      <c r="C46" s="7" t="str">
        <f ca="1">ארועים!C46</f>
        <v/>
      </c>
      <c r="D46" s="424" t="str">
        <f ca="1">IF(C46="","",'ריכוז נתונים'!O46)</f>
        <v/>
      </c>
      <c r="E46" s="424" t="str">
        <f t="shared" ca="1" si="0"/>
        <v/>
      </c>
      <c r="F46" s="427" t="str">
        <f t="shared" ca="1" si="1"/>
        <v/>
      </c>
    </row>
    <row r="47" spans="2:6" x14ac:dyDescent="0.25">
      <c r="B47" s="7">
        <f>'ריכוז נתונים'!C47</f>
        <v>31</v>
      </c>
      <c r="C47" s="7" t="str">
        <f ca="1">ארועים!C47</f>
        <v>כולנא</v>
      </c>
      <c r="D47" s="424">
        <f ca="1">IF(C47="","",'ריכוז נתונים'!O47)</f>
        <v>300</v>
      </c>
      <c r="E47" s="424">
        <f t="shared" ca="1" si="0"/>
        <v>300</v>
      </c>
      <c r="F47" s="427">
        <f t="shared" ca="1" si="1"/>
        <v>0.05</v>
      </c>
    </row>
    <row r="48" spans="2:6" x14ac:dyDescent="0.25">
      <c r="B48" s="7">
        <f>'ריכוז נתונים'!C48</f>
        <v>32</v>
      </c>
      <c r="C48" s="7" t="str">
        <f ca="1">ארועים!C48</f>
        <v/>
      </c>
      <c r="D48" s="424" t="str">
        <f ca="1">IF(C48="","",'ריכוז נתונים'!O48)</f>
        <v/>
      </c>
      <c r="E48" s="424" t="str">
        <f t="shared" ca="1" si="0"/>
        <v/>
      </c>
      <c r="F48" s="427" t="str">
        <f t="shared" ca="1" si="1"/>
        <v/>
      </c>
    </row>
    <row r="49" spans="2:6" x14ac:dyDescent="0.25">
      <c r="B49" s="7">
        <f>'ריכוז נתונים'!C49</f>
        <v>33</v>
      </c>
      <c r="C49" s="7" t="str">
        <f ca="1">ארועים!C49</f>
        <v/>
      </c>
      <c r="D49" s="424" t="str">
        <f ca="1">IF(C49="","",'ריכוז נתונים'!O49)</f>
        <v/>
      </c>
      <c r="E49" s="424" t="str">
        <f t="shared" ca="1" si="0"/>
        <v/>
      </c>
      <c r="F49" s="427" t="str">
        <f t="shared" ca="1" si="1"/>
        <v/>
      </c>
    </row>
    <row r="50" spans="2:6" x14ac:dyDescent="0.25">
      <c r="B50" s="7">
        <f>'ריכוז נתונים'!C50</f>
        <v>34</v>
      </c>
      <c r="C50" s="7" t="str">
        <f ca="1">ארועים!C50</f>
        <v/>
      </c>
      <c r="D50" s="424" t="str">
        <f ca="1">IF(C50="","",'ריכוז נתונים'!O50)</f>
        <v/>
      </c>
      <c r="E50" s="424" t="str">
        <f t="shared" ca="1" si="0"/>
        <v/>
      </c>
      <c r="F50" s="427" t="str">
        <f t="shared" ca="1" si="1"/>
        <v/>
      </c>
    </row>
    <row r="51" spans="2:6" x14ac:dyDescent="0.25">
      <c r="B51" s="7">
        <f>'ריכוז נתונים'!C51</f>
        <v>35</v>
      </c>
      <c r="C51" s="7" t="str">
        <f ca="1">ארועים!C51</f>
        <v/>
      </c>
      <c r="D51" s="424" t="str">
        <f ca="1">IF(C51="","",'ריכוז נתונים'!O51)</f>
        <v/>
      </c>
      <c r="E51" s="424" t="str">
        <f t="shared" ca="1" si="0"/>
        <v/>
      </c>
      <c r="F51" s="427" t="str">
        <f t="shared" ca="1" si="1"/>
        <v/>
      </c>
    </row>
    <row r="52" spans="2:6" x14ac:dyDescent="0.25">
      <c r="B52" s="7">
        <f>'ריכוז נתונים'!C52</f>
        <v>36</v>
      </c>
      <c r="C52" s="7" t="str">
        <f ca="1">ארועים!C52</f>
        <v/>
      </c>
      <c r="D52" s="424" t="str">
        <f ca="1">IF(C52="","",'ריכוז נתונים'!O52)</f>
        <v/>
      </c>
      <c r="E52" s="424" t="str">
        <f t="shared" ca="1" si="0"/>
        <v/>
      </c>
      <c r="F52" s="427" t="str">
        <f t="shared" ca="1" si="1"/>
        <v/>
      </c>
    </row>
    <row r="53" spans="2:6" x14ac:dyDescent="0.25">
      <c r="B53" s="7">
        <f>'ריכוז נתונים'!C53</f>
        <v>37</v>
      </c>
      <c r="C53" s="7" t="str">
        <f ca="1">ארועים!C53</f>
        <v/>
      </c>
      <c r="D53" s="424" t="str">
        <f ca="1">IF(C53="","",'ריכוז נתונים'!O53)</f>
        <v/>
      </c>
      <c r="E53" s="424" t="str">
        <f t="shared" ca="1" si="0"/>
        <v/>
      </c>
      <c r="F53" s="427" t="str">
        <f t="shared" ca="1" si="1"/>
        <v/>
      </c>
    </row>
    <row r="54" spans="2:6" x14ac:dyDescent="0.25">
      <c r="B54" s="7">
        <f>'ריכוז נתונים'!C54</f>
        <v>38</v>
      </c>
      <c r="C54" s="7" t="str">
        <f ca="1">ארועים!C54</f>
        <v/>
      </c>
      <c r="D54" s="424" t="str">
        <f ca="1">IF(C54="","",'ריכוז נתונים'!O54)</f>
        <v/>
      </c>
      <c r="E54" s="424" t="str">
        <f t="shared" ca="1" si="0"/>
        <v/>
      </c>
      <c r="F54" s="427" t="str">
        <f t="shared" ca="1" si="1"/>
        <v/>
      </c>
    </row>
    <row r="55" spans="2:6" x14ac:dyDescent="0.25">
      <c r="B55" s="7">
        <f>'ריכוז נתונים'!C55</f>
        <v>39</v>
      </c>
      <c r="C55" s="7" t="str">
        <f ca="1">ארועים!C55</f>
        <v/>
      </c>
      <c r="D55" s="424" t="str">
        <f ca="1">IF(C55="","",'ריכוז נתונים'!O55)</f>
        <v/>
      </c>
      <c r="E55" s="424" t="str">
        <f t="shared" ca="1" si="0"/>
        <v/>
      </c>
      <c r="F55" s="427" t="str">
        <f t="shared" ca="1" si="1"/>
        <v/>
      </c>
    </row>
    <row r="56" spans="2:6" x14ac:dyDescent="0.25">
      <c r="B56" s="7">
        <f>'ריכוז נתונים'!C56</f>
        <v>40</v>
      </c>
      <c r="C56" s="7" t="str">
        <f ca="1">ארועים!C56</f>
        <v/>
      </c>
      <c r="D56" s="424" t="str">
        <f ca="1">IF(C56="","",'ריכוז נתונים'!O56)</f>
        <v/>
      </c>
      <c r="E56" s="424" t="str">
        <f t="shared" ca="1" si="0"/>
        <v/>
      </c>
      <c r="F56" s="427" t="str">
        <f t="shared" ca="1" si="1"/>
        <v/>
      </c>
    </row>
    <row r="57" spans="2:6" x14ac:dyDescent="0.25">
      <c r="B57" s="7">
        <f>'ריכוז נתונים'!C57</f>
        <v>41</v>
      </c>
      <c r="C57" s="7" t="str">
        <f ca="1">ארועים!C57</f>
        <v/>
      </c>
      <c r="D57" s="424" t="str">
        <f ca="1">IF(C57="","",'ריכוז נתונים'!O57)</f>
        <v/>
      </c>
      <c r="E57" s="424" t="str">
        <f t="shared" ca="1" si="0"/>
        <v/>
      </c>
      <c r="F57" s="427" t="str">
        <f t="shared" ca="1" si="1"/>
        <v/>
      </c>
    </row>
    <row r="58" spans="2:6" x14ac:dyDescent="0.25">
      <c r="B58" s="7">
        <f>'ריכוז נתונים'!C58</f>
        <v>42</v>
      </c>
      <c r="C58" s="7" t="str">
        <f ca="1">ארועים!C58</f>
        <v/>
      </c>
      <c r="D58" s="424" t="str">
        <f ca="1">IF(C58="","",'ריכוז נתונים'!O58)</f>
        <v/>
      </c>
      <c r="E58" s="424" t="str">
        <f t="shared" ca="1" si="0"/>
        <v/>
      </c>
      <c r="F58" s="427" t="str">
        <f t="shared" ca="1" si="1"/>
        <v/>
      </c>
    </row>
    <row r="59" spans="2:6" x14ac:dyDescent="0.25">
      <c r="B59" s="7">
        <f>'ריכוז נתונים'!C59</f>
        <v>43</v>
      </c>
      <c r="C59" s="7" t="str">
        <f ca="1">ארועים!C59</f>
        <v/>
      </c>
      <c r="D59" s="424" t="str">
        <f ca="1">IF(C59="","",'ריכוז נתונים'!O59)</f>
        <v/>
      </c>
      <c r="E59" s="424" t="str">
        <f t="shared" ca="1" si="0"/>
        <v/>
      </c>
      <c r="F59" s="427" t="str">
        <f t="shared" ca="1" si="1"/>
        <v/>
      </c>
    </row>
    <row r="60" spans="2:6" x14ac:dyDescent="0.25">
      <c r="B60" s="7">
        <f>'ריכוז נתונים'!C60</f>
        <v>44</v>
      </c>
      <c r="C60" s="7" t="str">
        <f ca="1">ארועים!C60</f>
        <v/>
      </c>
      <c r="D60" s="424" t="str">
        <f ca="1">IF(C60="","",'ריכוז נתונים'!O60)</f>
        <v/>
      </c>
      <c r="E60" s="424" t="str">
        <f t="shared" ca="1" si="0"/>
        <v/>
      </c>
      <c r="F60" s="427" t="str">
        <f t="shared" ca="1" si="1"/>
        <v/>
      </c>
    </row>
    <row r="61" spans="2:6" x14ac:dyDescent="0.25">
      <c r="B61" s="7">
        <f>'ריכוז נתונים'!C61</f>
        <v>45</v>
      </c>
      <c r="C61" s="7" t="str">
        <f ca="1">ארועים!C61</f>
        <v/>
      </c>
      <c r="D61" s="424" t="str">
        <f ca="1">IF(C61="","",'ריכוז נתונים'!O61)</f>
        <v/>
      </c>
      <c r="E61" s="424" t="str">
        <f t="shared" ca="1" si="0"/>
        <v/>
      </c>
      <c r="F61" s="427" t="str">
        <f t="shared" ca="1" si="1"/>
        <v/>
      </c>
    </row>
    <row r="62" spans="2:6" x14ac:dyDescent="0.25">
      <c r="B62" s="7">
        <f>'ריכוז נתונים'!C62</f>
        <v>46</v>
      </c>
      <c r="C62" s="7" t="str">
        <f ca="1">ארועים!C62</f>
        <v>ענבל מרכז אתני</v>
      </c>
      <c r="D62" s="424">
        <f ca="1">IF(C62="","",'ריכוז נתונים'!O62)</f>
        <v>130</v>
      </c>
      <c r="E62" s="424">
        <f t="shared" ca="1" si="0"/>
        <v>130</v>
      </c>
      <c r="F62" s="427">
        <f t="shared" ca="1" si="1"/>
        <v>2.516940948693127E-2</v>
      </c>
    </row>
    <row r="63" spans="2:6" x14ac:dyDescent="0.25">
      <c r="B63" s="7">
        <f>'ריכוז נתונים'!C63</f>
        <v>47</v>
      </c>
      <c r="C63" s="7" t="str">
        <f ca="1">ארועים!C63</f>
        <v>א.ב. חדשות השומרונים</v>
      </c>
      <c r="D63" s="424">
        <f ca="1">IF(C63="","",'ריכוז נתונים'!O63)</f>
        <v>0</v>
      </c>
      <c r="E63" s="424">
        <f t="shared" ca="1" si="0"/>
        <v>0</v>
      </c>
      <c r="F63" s="427">
        <f t="shared" ca="1" si="1"/>
        <v>0</v>
      </c>
    </row>
    <row r="64" spans="2:6" x14ac:dyDescent="0.25">
      <c r="B64" s="7">
        <f>'ריכוז נתונים'!C64</f>
        <v>48</v>
      </c>
      <c r="C64" s="7" t="str">
        <f ca="1">ארועים!C64</f>
        <v/>
      </c>
      <c r="D64" s="424" t="str">
        <f ca="1">IF(C64="","",'ריכוז נתונים'!O64)</f>
        <v/>
      </c>
      <c r="E64" s="424" t="str">
        <f t="shared" ca="1" si="0"/>
        <v/>
      </c>
      <c r="F64" s="427" t="str">
        <f t="shared" ca="1" si="1"/>
        <v/>
      </c>
    </row>
    <row r="65" spans="2:6" x14ac:dyDescent="0.25">
      <c r="B65" s="7">
        <f>'ריכוז נתונים'!C65</f>
        <v>49</v>
      </c>
      <c r="C65" s="7" t="str">
        <f ca="1">ארועים!C65</f>
        <v/>
      </c>
      <c r="D65" s="424" t="str">
        <f ca="1">IF(C65="","",'ריכוז נתונים'!O65)</f>
        <v/>
      </c>
      <c r="E65" s="424" t="str">
        <f t="shared" ca="1" si="0"/>
        <v/>
      </c>
      <c r="F65" s="427" t="str">
        <f t="shared" ca="1" si="1"/>
        <v/>
      </c>
    </row>
    <row r="66" spans="2:6" x14ac:dyDescent="0.25">
      <c r="B66" s="7">
        <f>'ריכוז נתונים'!C66</f>
        <v>50</v>
      </c>
      <c r="C66" s="7" t="str">
        <f ca="1">ארועים!C66</f>
        <v/>
      </c>
      <c r="D66" s="424" t="str">
        <f ca="1">IF(C66="","",'ריכוז נתונים'!O66)</f>
        <v/>
      </c>
      <c r="E66" s="424" t="str">
        <f t="shared" ca="1" si="0"/>
        <v/>
      </c>
      <c r="F66" s="427" t="str">
        <f t="shared" ca="1" si="1"/>
        <v/>
      </c>
    </row>
    <row r="67" spans="2:6" x14ac:dyDescent="0.25">
      <c r="B67" s="7">
        <f>'ריכוז נתונים'!C67</f>
        <v>51</v>
      </c>
      <c r="C67" s="7" t="str">
        <f ca="1">ארועים!C67</f>
        <v/>
      </c>
      <c r="D67" s="424" t="str">
        <f ca="1">IF(C67="","",'ריכוז נתונים'!O67)</f>
        <v/>
      </c>
      <c r="E67" s="424" t="str">
        <f t="shared" ca="1" si="0"/>
        <v/>
      </c>
      <c r="F67" s="427" t="str">
        <f t="shared" ca="1" si="1"/>
        <v/>
      </c>
    </row>
    <row r="68" spans="2:6" x14ac:dyDescent="0.25">
      <c r="B68" s="7">
        <f>'ריכוז נתונים'!C68</f>
        <v>52</v>
      </c>
      <c r="C68" s="7" t="str">
        <f ca="1">ארועים!C68</f>
        <v>עמותת הנני</v>
      </c>
      <c r="D68" s="424">
        <f ca="1">IF(C68="","",'ריכוז נתונים'!O68)</f>
        <v>0</v>
      </c>
      <c r="E68" s="424">
        <f t="shared" ca="1" si="0"/>
        <v>0</v>
      </c>
      <c r="F68" s="427">
        <f t="shared" ca="1" si="1"/>
        <v>0</v>
      </c>
    </row>
    <row r="69" spans="2:6" x14ac:dyDescent="0.25">
      <c r="B69" s="7">
        <f>'ריכוז נתונים'!C69</f>
        <v>53</v>
      </c>
      <c r="C69" s="7" t="str">
        <f ca="1">ארועים!C69</f>
        <v/>
      </c>
      <c r="D69" s="424" t="str">
        <f ca="1">IF(C69="","",'ריכוז נתונים'!O69)</f>
        <v/>
      </c>
      <c r="E69" s="424" t="str">
        <f t="shared" ca="1" si="0"/>
        <v/>
      </c>
      <c r="F69" s="427" t="str">
        <f t="shared" ca="1" si="1"/>
        <v/>
      </c>
    </row>
    <row r="70" spans="2:6" x14ac:dyDescent="0.25">
      <c r="B70" s="7">
        <f>'ריכוז נתונים'!C70</f>
        <v>54</v>
      </c>
      <c r="C70" s="7" t="str">
        <f ca="1">ארועים!C70</f>
        <v/>
      </c>
      <c r="D70" s="424" t="str">
        <f ca="1">IF(C70="","",'ריכוז נתונים'!O70)</f>
        <v/>
      </c>
      <c r="E70" s="424" t="str">
        <f t="shared" ca="1" si="0"/>
        <v/>
      </c>
      <c r="F70" s="427" t="str">
        <f t="shared" ca="1" si="1"/>
        <v/>
      </c>
    </row>
    <row r="71" spans="2:6" x14ac:dyDescent="0.25">
      <c r="B71" s="7">
        <f>'ריכוז נתונים'!C71</f>
        <v>55</v>
      </c>
      <c r="C71" s="7" t="str">
        <f ca="1">ארועים!C71</f>
        <v/>
      </c>
      <c r="D71" s="424" t="str">
        <f ca="1">IF(C71="","",'ריכוז נתונים'!O71)</f>
        <v/>
      </c>
      <c r="E71" s="424" t="str">
        <f t="shared" ca="1" si="0"/>
        <v/>
      </c>
      <c r="F71" s="427" t="str">
        <f t="shared" ca="1" si="1"/>
        <v/>
      </c>
    </row>
    <row r="72" spans="2:6" x14ac:dyDescent="0.25">
      <c r="B72" s="7">
        <f>'ריכוז נתונים'!C72</f>
        <v>56</v>
      </c>
      <c r="C72" s="7" t="str">
        <f ca="1">ארועים!C72</f>
        <v/>
      </c>
      <c r="D72" s="424" t="str">
        <f ca="1">IF(C72="","",'ריכוז נתונים'!O72)</f>
        <v/>
      </c>
      <c r="E72" s="424" t="str">
        <f t="shared" ca="1" si="0"/>
        <v/>
      </c>
      <c r="F72" s="427" t="str">
        <f t="shared" ca="1" si="1"/>
        <v/>
      </c>
    </row>
    <row r="73" spans="2:6" x14ac:dyDescent="0.25">
      <c r="B73" s="7">
        <f>'ריכוז נתונים'!C73</f>
        <v>57</v>
      </c>
      <c r="C73" s="7" t="str">
        <f ca="1">ארועים!C73</f>
        <v/>
      </c>
      <c r="D73" s="424" t="str">
        <f ca="1">IF(C73="","",'ריכוז נתונים'!O73)</f>
        <v/>
      </c>
      <c r="E73" s="424" t="str">
        <f t="shared" ca="1" si="0"/>
        <v/>
      </c>
      <c r="F73" s="427" t="str">
        <f t="shared" ca="1" si="1"/>
        <v/>
      </c>
    </row>
    <row r="74" spans="2:6" x14ac:dyDescent="0.25">
      <c r="B74" s="7">
        <f>'ריכוז נתונים'!C74</f>
        <v>58</v>
      </c>
      <c r="C74" s="7" t="str">
        <f ca="1">ארועים!C74</f>
        <v/>
      </c>
      <c r="D74" s="424" t="str">
        <f ca="1">IF(C74="","",'ריכוז נתונים'!O74)</f>
        <v/>
      </c>
      <c r="E74" s="424" t="str">
        <f t="shared" ca="1" si="0"/>
        <v/>
      </c>
      <c r="F74" s="427" t="str">
        <f t="shared" ca="1" si="1"/>
        <v/>
      </c>
    </row>
    <row r="75" spans="2:6" x14ac:dyDescent="0.25">
      <c r="B75" s="7">
        <f>'ריכוז נתונים'!C75</f>
        <v>59</v>
      </c>
      <c r="C75" s="7" t="str">
        <f ca="1">ארועים!C75</f>
        <v/>
      </c>
      <c r="D75" s="424" t="str">
        <f ca="1">IF(C75="","",'ריכוז נתונים'!O75)</f>
        <v/>
      </c>
      <c r="E75" s="424" t="str">
        <f t="shared" ca="1" si="0"/>
        <v/>
      </c>
      <c r="F75" s="427" t="str">
        <f t="shared" ca="1" si="1"/>
        <v/>
      </c>
    </row>
    <row r="76" spans="2:6" x14ac:dyDescent="0.25">
      <c r="B76" s="7">
        <f>'ריכוז נתונים'!C76</f>
        <v>60</v>
      </c>
      <c r="C76" s="7" t="str">
        <f ca="1">ארועים!C76</f>
        <v>שרשרת הדורות</v>
      </c>
      <c r="D76" s="424">
        <f ca="1">IF(C76="","",'ריכוז נתונים'!O76)</f>
        <v>0</v>
      </c>
      <c r="E76" s="424">
        <f t="shared" ca="1" si="0"/>
        <v>0</v>
      </c>
      <c r="F76" s="427">
        <f t="shared" ca="1" si="1"/>
        <v>0</v>
      </c>
    </row>
    <row r="77" spans="2:6" x14ac:dyDescent="0.25">
      <c r="B77" s="7">
        <f>'ריכוז נתונים'!C77</f>
        <v>61</v>
      </c>
      <c r="C77" s="7" t="str">
        <f ca="1">ארועים!C77</f>
        <v>חיבה</v>
      </c>
      <c r="D77" s="424">
        <f ca="1">IF(C77="","",'ריכוז נתונים'!O77)</f>
        <v>0</v>
      </c>
      <c r="E77" s="424">
        <f t="shared" ref="E77:E78" ca="1" si="2">IFERROR(D77,0)</f>
        <v>0</v>
      </c>
      <c r="F77" s="427">
        <f t="shared" ca="1" si="1"/>
        <v>0</v>
      </c>
    </row>
    <row r="78" spans="2:6" hidden="1" x14ac:dyDescent="0.25">
      <c r="B78" s="7">
        <f>'ריכוז נתונים'!C78</f>
        <v>62</v>
      </c>
      <c r="C78" s="7" t="str">
        <f ca="1">ארועים!C78</f>
        <v/>
      </c>
      <c r="D78" s="23" t="str">
        <f ca="1">IF(C78="","",'ריכוז נתונים'!O78)</f>
        <v/>
      </c>
      <c r="E78" s="23" t="str">
        <f t="shared" ca="1" si="2"/>
        <v/>
      </c>
      <c r="F78" s="8" t="str">
        <f t="shared" ref="F78" ca="1" si="3">IF($C78="","",IFERROR(IF(ISERROR(D78),D78,(MIN($D$4,E78/SUM($E$17:$E$76)))),0))</f>
        <v/>
      </c>
    </row>
    <row r="79" spans="2:6" x14ac:dyDescent="0.25">
      <c r="E79" s="324"/>
    </row>
  </sheetData>
  <sheetProtection algorithmName="SHA-512" hashValue="nnTmXNULnAbBcDhna9Aq8XIm0ceOB5E5iPndffYnwRIBz4Jym27GNIfIkl1wdT7TuteCLJxXzPIXURNWjnB8lA==" saltValue="UHmfyX5LI7Pg2qF5HqHXtQ==" spinCount="100000" sheet="1" scenarios="1" formatColumns="0" formatRows="0" autoFilter="0"/>
  <mergeCells count="6">
    <mergeCell ref="B15:B16"/>
    <mergeCell ref="C15:C16"/>
    <mergeCell ref="D15:F15"/>
    <mergeCell ref="B2:C2"/>
    <mergeCell ref="B3:C3"/>
    <mergeCell ref="B4:C4"/>
  </mergeCells>
  <pageMargins left="0.70866141732283472" right="0.70866141732283472" top="0.74803149606299213" bottom="0.74803149606299213" header="0.31496062992125984" footer="0.31496062992125984"/>
  <pageSetup paperSize="9" scale="75" orientation="portrait" r:id="rId1"/>
  <headerFooter>
    <oddFooter>&amp;C&amp;"David,מודגש"א. חפץ ושות'
ייעוץ כלכלי</oddFooter>
  </headerFooter>
  <rowBreaks count="1" manualBreakCount="1">
    <brk id="46" max="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גיליון7">
    <tabColor theme="6" tint="0.39997558519241921"/>
    <pageSetUpPr fitToPage="1"/>
  </sheetPr>
  <dimension ref="B2:J78"/>
  <sheetViews>
    <sheetView rightToLeft="1" view="pageBreakPreview" zoomScaleNormal="80" zoomScaleSheetLayoutView="100" workbookViewId="0"/>
  </sheetViews>
  <sheetFormatPr defaultColWidth="9" defaultRowHeight="15.75" x14ac:dyDescent="0.25"/>
  <cols>
    <col min="2" max="2" width="12.85546875" bestFit="1" customWidth="1"/>
    <col min="3" max="3" width="30" customWidth="1"/>
    <col min="4" max="4" width="14.140625" customWidth="1"/>
    <col min="5" max="5" width="16.140625" bestFit="1" customWidth="1"/>
    <col min="6" max="8" width="16.140625" customWidth="1"/>
    <col min="9" max="9" width="15.85546875" hidden="1" customWidth="1"/>
    <col min="10" max="10" width="15.85546875" customWidth="1"/>
  </cols>
  <sheetData>
    <row r="2" spans="2:10" ht="33" customHeight="1" x14ac:dyDescent="0.25">
      <c r="B2" s="538" t="str">
        <f>פרמטרים!B52</f>
        <v>מספר דפים סטטים באתר, גדול מ-</v>
      </c>
      <c r="C2" s="539"/>
      <c r="D2" s="24" t="str">
        <f>פרמטרים!C52</f>
        <v>ניקוד</v>
      </c>
    </row>
    <row r="3" spans="2:10" ht="28.5" customHeight="1" x14ac:dyDescent="0.25">
      <c r="B3" s="540">
        <f>פרמטרים!B53</f>
        <v>1</v>
      </c>
      <c r="C3" s="541"/>
      <c r="D3" s="44">
        <f>פרמטרים!C53</f>
        <v>3</v>
      </c>
    </row>
    <row r="4" spans="2:10" ht="15.75" customHeight="1" x14ac:dyDescent="0.25">
      <c r="B4" s="540">
        <f>פרמטרים!B54</f>
        <v>20</v>
      </c>
      <c r="C4" s="541"/>
      <c r="D4" s="44">
        <f>פרמטרים!C54</f>
        <v>4</v>
      </c>
    </row>
    <row r="5" spans="2:10" x14ac:dyDescent="0.25">
      <c r="B5" s="540">
        <f>פרמטרים!B55</f>
        <v>50</v>
      </c>
      <c r="C5" s="541"/>
      <c r="D5" s="44">
        <f>פרמטרים!C55</f>
        <v>5</v>
      </c>
    </row>
    <row r="6" spans="2:10" x14ac:dyDescent="0.25">
      <c r="B6" s="540" t="str">
        <f>פרמטרים!B56</f>
        <v>ניקוד מקסימאלי לגוף עבור סעיף זה:</v>
      </c>
      <c r="C6" s="541"/>
      <c r="D6" s="69">
        <f>פרמטרים!C56</f>
        <v>0.05</v>
      </c>
    </row>
    <row r="8" spans="2:10" ht="31.5" x14ac:dyDescent="0.25">
      <c r="B8" s="538" t="str">
        <f>פרמטרים!B58</f>
        <v>איכות האתר</v>
      </c>
      <c r="C8" s="539"/>
      <c r="D8" s="26" t="str">
        <f>פרמטרים!C58</f>
        <v>מקדם הכפלה לאיכות האתר</v>
      </c>
    </row>
    <row r="9" spans="2:10" x14ac:dyDescent="0.25">
      <c r="B9" s="540" t="str">
        <f>פרמטרים!B59</f>
        <v>נאותה</v>
      </c>
      <c r="C9" s="541"/>
      <c r="D9" s="44">
        <f>פרמטרים!C59</f>
        <v>1</v>
      </c>
    </row>
    <row r="10" spans="2:10" x14ac:dyDescent="0.25">
      <c r="B10" s="540" t="str">
        <f>פרמטרים!B60</f>
        <v>טובה</v>
      </c>
      <c r="C10" s="541"/>
      <c r="D10" s="44">
        <f>פרמטרים!C60</f>
        <v>1.1000000000000001</v>
      </c>
    </row>
    <row r="11" spans="2:10" x14ac:dyDescent="0.25">
      <c r="B11" s="540" t="str">
        <f>פרמטרים!B61</f>
        <v>טובה מאוד</v>
      </c>
      <c r="C11" s="541"/>
      <c r="D11" s="44">
        <f>פרמטרים!C61</f>
        <v>1.2</v>
      </c>
    </row>
    <row r="12" spans="2:10" hidden="1" x14ac:dyDescent="0.25"/>
    <row r="13" spans="2:10" hidden="1" x14ac:dyDescent="0.25"/>
    <row r="15" spans="2:10" x14ac:dyDescent="0.25">
      <c r="B15" s="489" t="str">
        <f>'ריכוז נתונים'!C15:C16</f>
        <v>מספר סידורי</v>
      </c>
      <c r="C15" s="489" t="str">
        <f>'ריכוז נתונים'!D15:D16</f>
        <v>שם המוסד</v>
      </c>
      <c r="D15" s="479" t="str">
        <f ca="1">MID(CELL("filename",A1),FIND("]",CELL("filename",A1),1)+1,99)</f>
        <v>אתר אינטרנט</v>
      </c>
      <c r="E15" s="535"/>
      <c r="F15" s="535"/>
      <c r="G15" s="535"/>
      <c r="H15" s="535"/>
      <c r="I15" s="480"/>
      <c r="J15" s="428"/>
    </row>
    <row r="16" spans="2:10" ht="31.5" x14ac:dyDescent="0.25">
      <c r="B16" s="504"/>
      <c r="C16" s="504"/>
      <c r="D16" s="29" t="s">
        <v>176</v>
      </c>
      <c r="E16" s="29" t="s">
        <v>177</v>
      </c>
      <c r="F16" s="29" t="s">
        <v>103</v>
      </c>
      <c r="G16" s="29" t="s">
        <v>104</v>
      </c>
      <c r="H16" s="29" t="s">
        <v>79</v>
      </c>
      <c r="I16" s="29" t="s">
        <v>79</v>
      </c>
      <c r="J16" s="426" t="s">
        <v>175</v>
      </c>
    </row>
    <row r="17" spans="2:10" x14ac:dyDescent="0.25">
      <c r="B17" s="40">
        <f>'ריכוז נתונים'!C17</f>
        <v>1</v>
      </c>
      <c r="C17" s="40" t="str">
        <f ca="1">תערוכות!C17</f>
        <v>מרכז מורשת בבל</v>
      </c>
      <c r="D17" s="67">
        <f ca="1">IF(C17="","",'ריכוז נתונים'!BA17)</f>
        <v>850</v>
      </c>
      <c r="E17" s="68">
        <f t="shared" ref="E17:E48" ca="1" si="0">IF(C17="","",IF(ISERROR(D17/1),D17,IFERROR(VLOOKUP(D17,$B$3:$D$5,3),0)))</f>
        <v>5</v>
      </c>
      <c r="F17" s="67" t="str">
        <f ca="1">IF(E17="","",'ריכוז נתונים'!BB17)</f>
        <v>טובה מאוד</v>
      </c>
      <c r="G17" s="68">
        <f t="shared" ref="G17:G48" ca="1" si="1">IF(E17="","",IFERROR(VLOOKUP(F17,$B$9:$D$11,3),0))</f>
        <v>1.2</v>
      </c>
      <c r="H17" s="135">
        <f ca="1">IFERROR(E17*G17,"")</f>
        <v>6</v>
      </c>
      <c r="I17" s="135">
        <f ca="1">IFERROR(H17,0)</f>
        <v>6</v>
      </c>
      <c r="J17" s="52">
        <f ca="1">IF($C17="","",IF(ISERROR(H17),H17,IFERROR(MIN($D$6,I17/SUM(I$17:I$77)),0)))</f>
        <v>0.05</v>
      </c>
    </row>
    <row r="18" spans="2:10" x14ac:dyDescent="0.25">
      <c r="B18" s="40">
        <f>'ריכוז נתונים'!C18</f>
        <v>2</v>
      </c>
      <c r="C18" s="40" t="str">
        <f ca="1">תערוכות!C18</f>
        <v>מורשת יהודי צפון  אפריקה</v>
      </c>
      <c r="D18" s="67">
        <f ca="1">IF(C18="","",'ריכוז נתונים'!BA18)</f>
        <v>30</v>
      </c>
      <c r="E18" s="68">
        <f t="shared" ca="1" si="0"/>
        <v>4</v>
      </c>
      <c r="F18" s="67" t="str">
        <f ca="1">IF(E18="","",'ריכוז נתונים'!BB18)</f>
        <v>טובה</v>
      </c>
      <c r="G18" s="68">
        <f t="shared" ca="1" si="1"/>
        <v>1.1000000000000001</v>
      </c>
      <c r="H18" s="135">
        <f t="shared" ref="H18:H76" ca="1" si="2">IFERROR(E18*G18,"")</f>
        <v>4.4000000000000004</v>
      </c>
      <c r="I18" s="135">
        <f t="shared" ref="I18:I76" ca="1" si="3">IFERROR(H18,0)</f>
        <v>4.4000000000000004</v>
      </c>
      <c r="J18" s="52">
        <f t="shared" ref="J18:J77" ca="1" si="4">IF($C18="","",IF(ISERROR(H18),H18,IFERROR(MIN($D$6,I18/SUM(I$17:I$77)),0)))</f>
        <v>0.05</v>
      </c>
    </row>
    <row r="19" spans="2:10" x14ac:dyDescent="0.25">
      <c r="B19" s="40">
        <f>'ריכוז נתונים'!C19</f>
        <v>3</v>
      </c>
      <c r="C19" s="40" t="str">
        <f ca="1">תערוכות!C19</f>
        <v>מורשת יהדות קוצין</v>
      </c>
      <c r="D19" s="67">
        <f ca="1">IF(C19="","",'ריכוז נתונים'!BA19)</f>
        <v>109</v>
      </c>
      <c r="E19" s="68">
        <f t="shared" ca="1" si="0"/>
        <v>5</v>
      </c>
      <c r="F19" s="67" t="str">
        <f ca="1">IF(E19="","",'ריכוז נתונים'!BB19)</f>
        <v>טובה מאוד</v>
      </c>
      <c r="G19" s="68">
        <f t="shared" ca="1" si="1"/>
        <v>1.2</v>
      </c>
      <c r="H19" s="135">
        <f t="shared" ca="1" si="2"/>
        <v>6</v>
      </c>
      <c r="I19" s="135">
        <f t="shared" ca="1" si="3"/>
        <v>6</v>
      </c>
      <c r="J19" s="52">
        <f t="shared" ca="1" si="4"/>
        <v>0.05</v>
      </c>
    </row>
    <row r="20" spans="2:10" x14ac:dyDescent="0.25">
      <c r="B20" s="40">
        <f>'ריכוז נתונים'!C20</f>
        <v>4</v>
      </c>
      <c r="C20" s="40" t="str">
        <f ca="1">תערוכות!C20</f>
        <v>הפדרציה העולמית של יהדות תוניס</v>
      </c>
      <c r="D20" s="67">
        <f ca="1">IF(C20="","",'ריכוז נתונים'!BA20)</f>
        <v>0</v>
      </c>
      <c r="E20" s="68">
        <f t="shared" ca="1" si="0"/>
        <v>0</v>
      </c>
      <c r="F20" s="67">
        <f ca="1">IF(E20="","",'ריכוז נתונים'!BB20)</f>
        <v>0</v>
      </c>
      <c r="G20" s="68">
        <f t="shared" ca="1" si="1"/>
        <v>0</v>
      </c>
      <c r="H20" s="135">
        <f t="shared" ca="1" si="2"/>
        <v>0</v>
      </c>
      <c r="I20" s="135">
        <f t="shared" ca="1" si="3"/>
        <v>0</v>
      </c>
      <c r="J20" s="52">
        <f t="shared" ca="1" si="4"/>
        <v>0</v>
      </c>
    </row>
    <row r="21" spans="2:10" x14ac:dyDescent="0.25">
      <c r="B21" s="40">
        <f>'ריכוז נתונים'!C21</f>
        <v>5</v>
      </c>
      <c r="C21" s="40" t="str">
        <f ca="1">תערוכות!C21</f>
        <v>התאחדות עולי מצרים</v>
      </c>
      <c r="D21" s="67">
        <f ca="1">IF(C21="","",'ריכוז נתונים'!BA21)</f>
        <v>579</v>
      </c>
      <c r="E21" s="68">
        <f t="shared" ca="1" si="0"/>
        <v>5</v>
      </c>
      <c r="F21" s="67" t="str">
        <f ca="1">IF(E21="","",'ריכוז נתונים'!BB21)</f>
        <v>טובה מאוד</v>
      </c>
      <c r="G21" s="68">
        <f t="shared" ca="1" si="1"/>
        <v>1.2</v>
      </c>
      <c r="H21" s="135">
        <f t="shared" ca="1" si="2"/>
        <v>6</v>
      </c>
      <c r="I21" s="135">
        <f t="shared" ca="1" si="3"/>
        <v>6</v>
      </c>
      <c r="J21" s="52">
        <f t="shared" ca="1" si="4"/>
        <v>0.05</v>
      </c>
    </row>
    <row r="22" spans="2:10" x14ac:dyDescent="0.25">
      <c r="B22" s="40">
        <f>'ריכוז נתונים'!C22</f>
        <v>6</v>
      </c>
      <c r="C22" s="40" t="str">
        <f ca="1">תערוכות!C22</f>
        <v>יהודים יוצאי לוב</v>
      </c>
      <c r="D22" s="67">
        <f ca="1">IF(C22="","",'ריכוז נתונים'!BA22)</f>
        <v>20</v>
      </c>
      <c r="E22" s="68">
        <f t="shared" ca="1" si="0"/>
        <v>4</v>
      </c>
      <c r="F22" s="67" t="str">
        <f ca="1">IF(E22="","",'ריכוז נתונים'!BB22)</f>
        <v>טובה מאוד</v>
      </c>
      <c r="G22" s="68">
        <f t="shared" ca="1" si="1"/>
        <v>1.2</v>
      </c>
      <c r="H22" s="135">
        <f t="shared" ca="1" si="2"/>
        <v>4.8</v>
      </c>
      <c r="I22" s="135">
        <f t="shared" ca="1" si="3"/>
        <v>4.8</v>
      </c>
      <c r="J22" s="52">
        <f t="shared" ca="1" si="4"/>
        <v>0.05</v>
      </c>
    </row>
    <row r="23" spans="2:10" x14ac:dyDescent="0.25">
      <c r="B23" s="40">
        <f>'ריכוז נתונים'!C23</f>
        <v>7</v>
      </c>
      <c r="C23" s="40" t="str">
        <f ca="1">תערוכות!C23</f>
        <v>הפדרציה העולמית של יהדות מרוקו</v>
      </c>
      <c r="D23" s="67">
        <f ca="1">IF(C23="","",'ריכוז נתונים'!BA23)</f>
        <v>15</v>
      </c>
      <c r="E23" s="68">
        <f t="shared" ca="1" si="0"/>
        <v>3</v>
      </c>
      <c r="F23" s="67" t="str">
        <f ca="1">IF(E23="","",'ריכוז נתונים'!BB23)</f>
        <v>נאותה</v>
      </c>
      <c r="G23" s="68">
        <f t="shared" ca="1" si="1"/>
        <v>1.2</v>
      </c>
      <c r="H23" s="135">
        <f t="shared" ca="1" si="2"/>
        <v>3.5999999999999996</v>
      </c>
      <c r="I23" s="135">
        <f t="shared" ca="1" si="3"/>
        <v>3.5999999999999996</v>
      </c>
      <c r="J23" s="52">
        <f t="shared" ca="1" si="4"/>
        <v>4.2704626334519574E-2</v>
      </c>
    </row>
    <row r="24" spans="2:10" x14ac:dyDescent="0.25">
      <c r="B24" s="40">
        <f>'ריכוז נתונים'!C24</f>
        <v>8</v>
      </c>
      <c r="C24" s="40" t="str">
        <f ca="1">תערוכות!C24</f>
        <v>אורות הגליל</v>
      </c>
      <c r="D24" s="67">
        <f ca="1">IF(C24="","",'ריכוז נתונים'!BA24)</f>
        <v>400</v>
      </c>
      <c r="E24" s="68">
        <f t="shared" ca="1" si="0"/>
        <v>5</v>
      </c>
      <c r="F24" s="67" t="str">
        <f ca="1">IF(E24="","",'ריכוז נתונים'!BB24)</f>
        <v>נאותה</v>
      </c>
      <c r="G24" s="68">
        <f t="shared" ca="1" si="1"/>
        <v>1.2</v>
      </c>
      <c r="H24" s="135">
        <f t="shared" ca="1" si="2"/>
        <v>6</v>
      </c>
      <c r="I24" s="135">
        <f t="shared" ca="1" si="3"/>
        <v>6</v>
      </c>
      <c r="J24" s="52">
        <f t="shared" ca="1" si="4"/>
        <v>0.05</v>
      </c>
    </row>
    <row r="25" spans="2:10" x14ac:dyDescent="0.25">
      <c r="B25" s="40">
        <f>'ריכוז נתונים'!C25</f>
        <v>9</v>
      </c>
      <c r="C25" s="40" t="str">
        <f ca="1">תערוכות!C25</f>
        <v>אלמז</v>
      </c>
      <c r="D25" s="67">
        <f ca="1">IF(C25="","",'ריכוז נתונים'!BA25)</f>
        <v>10</v>
      </c>
      <c r="E25" s="68">
        <f t="shared" ca="1" si="0"/>
        <v>3</v>
      </c>
      <c r="F25" s="67">
        <f ca="1">IF(E25="","",'ריכוז נתונים'!BB25)</f>
        <v>0</v>
      </c>
      <c r="G25" s="68">
        <f t="shared" ca="1" si="1"/>
        <v>0</v>
      </c>
      <c r="H25" s="135">
        <f t="shared" ca="1" si="2"/>
        <v>0</v>
      </c>
      <c r="I25" s="135">
        <f t="shared" ca="1" si="3"/>
        <v>0</v>
      </c>
      <c r="J25" s="52">
        <f t="shared" ca="1" si="4"/>
        <v>0</v>
      </c>
    </row>
    <row r="26" spans="2:10" x14ac:dyDescent="0.25">
      <c r="B26" s="40">
        <f>'ריכוז נתונים'!C26</f>
        <v>10</v>
      </c>
      <c r="C26" s="40" t="str">
        <f ca="1">תערוכות!C26</f>
        <v>קונגרס יהודי בוכרה</v>
      </c>
      <c r="D26" s="67">
        <f ca="1">IF(C26="","",'ריכוז נתונים'!BA26)</f>
        <v>18</v>
      </c>
      <c r="E26" s="68">
        <f t="shared" ca="1" si="0"/>
        <v>3</v>
      </c>
      <c r="F26" s="67" t="str">
        <f ca="1">IF(E26="","",'ריכוז נתונים'!BB26)</f>
        <v>נאותה</v>
      </c>
      <c r="G26" s="68">
        <f t="shared" ca="1" si="1"/>
        <v>1.2</v>
      </c>
      <c r="H26" s="135">
        <f t="shared" ca="1" si="2"/>
        <v>3.5999999999999996</v>
      </c>
      <c r="I26" s="135">
        <f t="shared" ca="1" si="3"/>
        <v>3.5999999999999996</v>
      </c>
      <c r="J26" s="52">
        <f t="shared" ca="1" si="4"/>
        <v>4.2704626334519574E-2</v>
      </c>
    </row>
    <row r="27" spans="2:10" x14ac:dyDescent="0.25">
      <c r="B27" s="40">
        <f>'ריכוז נתונים'!C27</f>
        <v>11</v>
      </c>
      <c r="C27" s="40" t="str">
        <f ca="1">תערוכות!C27</f>
        <v>יהדות שאלוניקי יוון</v>
      </c>
      <c r="D27" s="67">
        <f ca="1">IF(C27="","",'ריכוז נתונים'!BA27)</f>
        <v>21</v>
      </c>
      <c r="E27" s="68">
        <f t="shared" ca="1" si="0"/>
        <v>4</v>
      </c>
      <c r="F27" s="67" t="str">
        <f ca="1">IF(E27="","",'ריכוז נתונים'!BB27)</f>
        <v>טובה מאוד</v>
      </c>
      <c r="G27" s="68">
        <f t="shared" ca="1" si="1"/>
        <v>1.2</v>
      </c>
      <c r="H27" s="135">
        <f t="shared" ca="1" si="2"/>
        <v>4.8</v>
      </c>
      <c r="I27" s="135">
        <f t="shared" ca="1" si="3"/>
        <v>4.8</v>
      </c>
      <c r="J27" s="52">
        <f t="shared" ca="1" si="4"/>
        <v>0.05</v>
      </c>
    </row>
    <row r="28" spans="2:10" x14ac:dyDescent="0.25">
      <c r="B28" s="40">
        <f>'ריכוז נתונים'!C28</f>
        <v>12</v>
      </c>
      <c r="C28" s="40" t="str">
        <f ca="1">תערוכות!C28</f>
        <v/>
      </c>
      <c r="D28" s="67" t="str">
        <f ca="1">IF(C28="","",'ריכוז נתונים'!BA28)</f>
        <v/>
      </c>
      <c r="E28" s="68" t="str">
        <f t="shared" ca="1" si="0"/>
        <v/>
      </c>
      <c r="F28" s="67" t="str">
        <f ca="1">IF(E28="","",'ריכוז נתונים'!BB28)</f>
        <v/>
      </c>
      <c r="G28" s="68" t="str">
        <f t="shared" ca="1" si="1"/>
        <v/>
      </c>
      <c r="H28" s="135" t="str">
        <f t="shared" ca="1" si="2"/>
        <v/>
      </c>
      <c r="I28" s="135" t="str">
        <f t="shared" ca="1" si="3"/>
        <v/>
      </c>
      <c r="J28" s="52" t="str">
        <f t="shared" ca="1" si="4"/>
        <v/>
      </c>
    </row>
    <row r="29" spans="2:10" x14ac:dyDescent="0.25">
      <c r="B29" s="40">
        <f>'ריכוז נתונים'!C29</f>
        <v>13</v>
      </c>
      <c r="C29" s="40" t="str">
        <f ca="1">תערוכות!C29</f>
        <v/>
      </c>
      <c r="D29" s="67" t="str">
        <f ca="1">IF(C29="","",'ריכוז נתונים'!BA29)</f>
        <v/>
      </c>
      <c r="E29" s="68" t="str">
        <f t="shared" ca="1" si="0"/>
        <v/>
      </c>
      <c r="F29" s="67" t="str">
        <f ca="1">IF(E29="","",'ריכוז נתונים'!BB29)</f>
        <v/>
      </c>
      <c r="G29" s="68" t="str">
        <f t="shared" ca="1" si="1"/>
        <v/>
      </c>
      <c r="H29" s="135" t="str">
        <f t="shared" ca="1" si="2"/>
        <v/>
      </c>
      <c r="I29" s="135" t="str">
        <f t="shared" ca="1" si="3"/>
        <v/>
      </c>
      <c r="J29" s="52" t="str">
        <f t="shared" ca="1" si="4"/>
        <v/>
      </c>
    </row>
    <row r="30" spans="2:10" x14ac:dyDescent="0.25">
      <c r="B30" s="40">
        <f>'ריכוז נתונים'!C30</f>
        <v>14</v>
      </c>
      <c r="C30" s="40" t="str">
        <f ca="1">תערוכות!C30</f>
        <v/>
      </c>
      <c r="D30" s="67" t="str">
        <f ca="1">IF(C30="","",'ריכוז נתונים'!BA30)</f>
        <v/>
      </c>
      <c r="E30" s="68" t="str">
        <f t="shared" ca="1" si="0"/>
        <v/>
      </c>
      <c r="F30" s="67" t="str">
        <f ca="1">IF(E30="","",'ריכוז נתונים'!BB30)</f>
        <v/>
      </c>
      <c r="G30" s="68" t="str">
        <f t="shared" ca="1" si="1"/>
        <v/>
      </c>
      <c r="H30" s="135" t="str">
        <f t="shared" ca="1" si="2"/>
        <v/>
      </c>
      <c r="I30" s="135" t="str">
        <f t="shared" ca="1" si="3"/>
        <v/>
      </c>
      <c r="J30" s="52" t="str">
        <f t="shared" ca="1" si="4"/>
        <v/>
      </c>
    </row>
    <row r="31" spans="2:10" x14ac:dyDescent="0.25">
      <c r="B31" s="40">
        <f>'ריכוז נתונים'!C31</f>
        <v>15</v>
      </c>
      <c r="C31" s="40" t="str">
        <f ca="1">תערוכות!C31</f>
        <v xml:space="preserve">החברה לטיפוח חברה תרבות תיעוד </v>
      </c>
      <c r="D31" s="67">
        <f ca="1">IF(C31="","",'ריכוז נתונים'!BA31)</f>
        <v>20100</v>
      </c>
      <c r="E31" s="68">
        <f t="shared" ca="1" si="0"/>
        <v>5</v>
      </c>
      <c r="F31" s="67" t="str">
        <f ca="1">IF(E31="","",'ריכוז נתונים'!BB31)</f>
        <v>טובה מאוד</v>
      </c>
      <c r="G31" s="68">
        <f t="shared" ca="1" si="1"/>
        <v>1.2</v>
      </c>
      <c r="H31" s="135">
        <f t="shared" ca="1" si="2"/>
        <v>6</v>
      </c>
      <c r="I31" s="135">
        <f t="shared" ca="1" si="3"/>
        <v>6</v>
      </c>
      <c r="J31" s="52">
        <f t="shared" ca="1" si="4"/>
        <v>0.05</v>
      </c>
    </row>
    <row r="32" spans="2:10" x14ac:dyDescent="0.25">
      <c r="B32" s="40">
        <f>'ריכוז נתונים'!C32</f>
        <v>16</v>
      </c>
      <c r="C32" s="40" t="str">
        <f ca="1">תערוכות!C32</f>
        <v>עמותת אור שלום</v>
      </c>
      <c r="D32" s="67">
        <f ca="1">IF(C32="","",'ריכוז נתונים'!BA32)</f>
        <v>500</v>
      </c>
      <c r="E32" s="68">
        <f t="shared" ca="1" si="0"/>
        <v>5</v>
      </c>
      <c r="F32" s="67" t="str">
        <f ca="1">IF(E32="","",'ריכוז נתונים'!BB32)</f>
        <v>נאותה</v>
      </c>
      <c r="G32" s="68">
        <f t="shared" ca="1" si="1"/>
        <v>1.2</v>
      </c>
      <c r="H32" s="135">
        <f t="shared" ca="1" si="2"/>
        <v>6</v>
      </c>
      <c r="I32" s="135">
        <f t="shared" ca="1" si="3"/>
        <v>6</v>
      </c>
      <c r="J32" s="52">
        <f t="shared" ca="1" si="4"/>
        <v>0.05</v>
      </c>
    </row>
    <row r="33" spans="2:10" x14ac:dyDescent="0.25">
      <c r="B33" s="40">
        <f>'ריכוז נתונים'!C33</f>
        <v>17</v>
      </c>
      <c r="C33" s="40" t="str">
        <f ca="1">תערוכות!C33</f>
        <v/>
      </c>
      <c r="D33" s="67" t="str">
        <f ca="1">IF(C33="","",'ריכוז נתונים'!BA33)</f>
        <v/>
      </c>
      <c r="E33" s="68" t="str">
        <f t="shared" ca="1" si="0"/>
        <v/>
      </c>
      <c r="F33" s="67" t="str">
        <f ca="1">IF(E33="","",'ריכוז נתונים'!BB33)</f>
        <v/>
      </c>
      <c r="G33" s="68" t="str">
        <f t="shared" ca="1" si="1"/>
        <v/>
      </c>
      <c r="H33" s="135" t="str">
        <f t="shared" ca="1" si="2"/>
        <v/>
      </c>
      <c r="I33" s="135" t="str">
        <f t="shared" ca="1" si="3"/>
        <v/>
      </c>
      <c r="J33" s="52" t="str">
        <f t="shared" ca="1" si="4"/>
        <v/>
      </c>
    </row>
    <row r="34" spans="2:10" x14ac:dyDescent="0.25">
      <c r="B34" s="40">
        <f>'ריכוז נתונים'!C34</f>
        <v>18</v>
      </c>
      <c r="C34" s="40" t="str">
        <f ca="1">תערוכות!C34</f>
        <v>ישיבת קרלין סטולין</v>
      </c>
      <c r="D34" s="67">
        <f ca="1">IF(C34="","",'ריכוז נתונים'!BA34)</f>
        <v>0</v>
      </c>
      <c r="E34" s="68">
        <f t="shared" ca="1" si="0"/>
        <v>0</v>
      </c>
      <c r="F34" s="67">
        <f ca="1">IF(E34="","",'ריכוז נתונים'!BB34)</f>
        <v>0</v>
      </c>
      <c r="G34" s="68">
        <f t="shared" ca="1" si="1"/>
        <v>0</v>
      </c>
      <c r="H34" s="135">
        <f t="shared" ca="1" si="2"/>
        <v>0</v>
      </c>
      <c r="I34" s="135">
        <f t="shared" ca="1" si="3"/>
        <v>0</v>
      </c>
      <c r="J34" s="52">
        <f t="shared" ca="1" si="4"/>
        <v>0</v>
      </c>
    </row>
    <row r="35" spans="2:10" x14ac:dyDescent="0.25">
      <c r="B35" s="40">
        <f>'ריכוז נתונים'!C35</f>
        <v>19</v>
      </c>
      <c r="C35" s="40" t="str">
        <f ca="1">תערוכות!C35</f>
        <v/>
      </c>
      <c r="D35" s="67" t="str">
        <f ca="1">IF(C35="","",'ריכוז נתונים'!BA35)</f>
        <v/>
      </c>
      <c r="E35" s="68" t="str">
        <f t="shared" ca="1" si="0"/>
        <v/>
      </c>
      <c r="F35" s="67" t="str">
        <f ca="1">IF(E35="","",'ריכוז נתונים'!BB35)</f>
        <v/>
      </c>
      <c r="G35" s="68" t="str">
        <f t="shared" ca="1" si="1"/>
        <v/>
      </c>
      <c r="H35" s="135" t="str">
        <f t="shared" ca="1" si="2"/>
        <v/>
      </c>
      <c r="I35" s="135" t="str">
        <f t="shared" ca="1" si="3"/>
        <v/>
      </c>
      <c r="J35" s="52" t="str">
        <f t="shared" ca="1" si="4"/>
        <v/>
      </c>
    </row>
    <row r="36" spans="2:10" x14ac:dyDescent="0.25">
      <c r="B36" s="40">
        <f>'ריכוז נתונים'!C36</f>
        <v>20</v>
      </c>
      <c r="C36" s="40" t="str">
        <f ca="1">תערוכות!C36</f>
        <v/>
      </c>
      <c r="D36" s="67" t="str">
        <f ca="1">IF(C36="","",'ריכוז נתונים'!BA36)</f>
        <v/>
      </c>
      <c r="E36" s="68" t="str">
        <f t="shared" ca="1" si="0"/>
        <v/>
      </c>
      <c r="F36" s="67" t="str">
        <f ca="1">IF(E36="","",'ריכוז נתונים'!BB36)</f>
        <v/>
      </c>
      <c r="G36" s="68" t="str">
        <f t="shared" ca="1" si="1"/>
        <v/>
      </c>
      <c r="H36" s="135" t="str">
        <f t="shared" ca="1" si="2"/>
        <v/>
      </c>
      <c r="I36" s="135" t="str">
        <f t="shared" ca="1" si="3"/>
        <v/>
      </c>
      <c r="J36" s="52" t="str">
        <f t="shared" ca="1" si="4"/>
        <v/>
      </c>
    </row>
    <row r="37" spans="2:10" x14ac:dyDescent="0.25">
      <c r="B37" s="40">
        <f>'ריכוז נתונים'!C37</f>
        <v>21</v>
      </c>
      <c r="C37" s="40" t="str">
        <f ca="1">תערוכות!C37</f>
        <v>ברית יוצאי מרוקו</v>
      </c>
      <c r="D37" s="67">
        <f ca="1">IF(C37="","",'ריכוז נתונים'!BA37)</f>
        <v>20</v>
      </c>
      <c r="E37" s="68">
        <f t="shared" ca="1" si="0"/>
        <v>4</v>
      </c>
      <c r="F37" s="67">
        <f ca="1">IF(E37="","",'ריכוז נתונים'!BB37)</f>
        <v>0</v>
      </c>
      <c r="G37" s="68">
        <f t="shared" ca="1" si="1"/>
        <v>0</v>
      </c>
      <c r="H37" s="135">
        <f t="shared" ca="1" si="2"/>
        <v>0</v>
      </c>
      <c r="I37" s="135">
        <f t="shared" ca="1" si="3"/>
        <v>0</v>
      </c>
      <c r="J37" s="52">
        <f t="shared" ca="1" si="4"/>
        <v>0</v>
      </c>
    </row>
    <row r="38" spans="2:10" x14ac:dyDescent="0.25">
      <c r="B38" s="40">
        <f>'ריכוז נתונים'!C38</f>
        <v>22</v>
      </c>
      <c r="C38" s="40" t="str">
        <f ca="1">תערוכות!C38</f>
        <v>הקם - בית הקונפדרציה</v>
      </c>
      <c r="D38" s="67">
        <f ca="1">IF(C38="","",'ריכוז נתונים'!BA38)</f>
        <v>140</v>
      </c>
      <c r="E38" s="68">
        <f t="shared" ca="1" si="0"/>
        <v>5</v>
      </c>
      <c r="F38" s="67">
        <f ca="1">IF(E38="","",'ריכוז נתונים'!BB38)</f>
        <v>0</v>
      </c>
      <c r="G38" s="68">
        <f t="shared" ca="1" si="1"/>
        <v>0</v>
      </c>
      <c r="H38" s="135">
        <f t="shared" ca="1" si="2"/>
        <v>0</v>
      </c>
      <c r="I38" s="135">
        <f t="shared" ca="1" si="3"/>
        <v>0</v>
      </c>
      <c r="J38" s="52">
        <f t="shared" ca="1" si="4"/>
        <v>0</v>
      </c>
    </row>
    <row r="39" spans="2:10" x14ac:dyDescent="0.25">
      <c r="B39" s="40">
        <f>'ריכוז נתונים'!C39</f>
        <v>23</v>
      </c>
      <c r="C39" s="40" t="str">
        <f ca="1">תערוכות!C39</f>
        <v>מוסיקה מזרח מערב</v>
      </c>
      <c r="D39" s="67">
        <f ca="1">IF(C39="","",'ריכוז נתונים'!BA39)</f>
        <v>61</v>
      </c>
      <c r="E39" s="68">
        <f t="shared" ca="1" si="0"/>
        <v>5</v>
      </c>
      <c r="F39" s="67" t="str">
        <f ca="1">IF(E39="","",'ריכוז נתונים'!BB39)</f>
        <v>טובה מאוד</v>
      </c>
      <c r="G39" s="68">
        <f t="shared" ca="1" si="1"/>
        <v>1.2</v>
      </c>
      <c r="H39" s="135">
        <f t="shared" ca="1" si="2"/>
        <v>6</v>
      </c>
      <c r="I39" s="135">
        <f t="shared" ca="1" si="3"/>
        <v>6</v>
      </c>
      <c r="J39" s="52">
        <f t="shared" ca="1" si="4"/>
        <v>0.05</v>
      </c>
    </row>
    <row r="40" spans="2:10" x14ac:dyDescent="0.25">
      <c r="B40" s="40">
        <f>'ריכוז נתונים'!C40</f>
        <v>24</v>
      </c>
      <c r="C40" s="40" t="str">
        <f ca="1">תערוכות!C40</f>
        <v>אעלה בתמר</v>
      </c>
      <c r="D40" s="67">
        <f ca="1">IF(C40="","",'ריכוז נתונים'!BA40)</f>
        <v>350</v>
      </c>
      <c r="E40" s="68">
        <f t="shared" ca="1" si="0"/>
        <v>5</v>
      </c>
      <c r="F40" s="67" t="str">
        <f ca="1">IF(E40="","",'ריכוז נתונים'!BB40)</f>
        <v>טובה מאוד</v>
      </c>
      <c r="G40" s="68">
        <f t="shared" ca="1" si="1"/>
        <v>1.2</v>
      </c>
      <c r="H40" s="135">
        <f t="shared" ca="1" si="2"/>
        <v>6</v>
      </c>
      <c r="I40" s="135">
        <f t="shared" ca="1" si="3"/>
        <v>6</v>
      </c>
      <c r="J40" s="52">
        <f t="shared" ca="1" si="4"/>
        <v>0.05</v>
      </c>
    </row>
    <row r="41" spans="2:10" x14ac:dyDescent="0.25">
      <c r="B41" s="40">
        <f>'ריכוז נתונים'!C41</f>
        <v>25</v>
      </c>
      <c r="C41" s="40" t="str">
        <f ca="1">תערוכות!C41</f>
        <v/>
      </c>
      <c r="D41" s="67" t="str">
        <f ca="1">IF(C41="","",'ריכוז נתונים'!BA41)</f>
        <v/>
      </c>
      <c r="E41" s="68" t="str">
        <f t="shared" ca="1" si="0"/>
        <v/>
      </c>
      <c r="F41" s="67" t="str">
        <f ca="1">IF(E41="","",'ריכוז נתונים'!BB41)</f>
        <v/>
      </c>
      <c r="G41" s="68" t="str">
        <f t="shared" ca="1" si="1"/>
        <v/>
      </c>
      <c r="H41" s="135" t="str">
        <f t="shared" ca="1" si="2"/>
        <v/>
      </c>
      <c r="I41" s="135" t="str">
        <f t="shared" ca="1" si="3"/>
        <v/>
      </c>
      <c r="J41" s="52" t="str">
        <f t="shared" ca="1" si="4"/>
        <v/>
      </c>
    </row>
    <row r="42" spans="2:10" x14ac:dyDescent="0.25">
      <c r="B42" s="40">
        <f>'ריכוז נתונים'!C42</f>
        <v>26</v>
      </c>
      <c r="C42" s="40" t="str">
        <f ca="1">תערוכות!C42</f>
        <v/>
      </c>
      <c r="D42" s="67" t="str">
        <f ca="1">IF(C42="","",'ריכוז נתונים'!BA42)</f>
        <v/>
      </c>
      <c r="E42" s="68" t="str">
        <f t="shared" ca="1" si="0"/>
        <v/>
      </c>
      <c r="F42" s="67" t="str">
        <f ca="1">IF(E42="","",'ריכוז נתונים'!BB42)</f>
        <v/>
      </c>
      <c r="G42" s="68" t="str">
        <f t="shared" ca="1" si="1"/>
        <v/>
      </c>
      <c r="H42" s="135" t="str">
        <f t="shared" ca="1" si="2"/>
        <v/>
      </c>
      <c r="I42" s="135" t="str">
        <f t="shared" ca="1" si="3"/>
        <v/>
      </c>
      <c r="J42" s="52" t="str">
        <f t="shared" ca="1" si="4"/>
        <v/>
      </c>
    </row>
    <row r="43" spans="2:10" x14ac:dyDescent="0.25">
      <c r="B43" s="40">
        <f>'ריכוז נתונים'!C43</f>
        <v>27</v>
      </c>
      <c r="C43" s="40" t="str">
        <f ca="1">תערוכות!C43</f>
        <v>מכון הברמן</v>
      </c>
      <c r="D43" s="67">
        <f ca="1">IF(C43="","",'ריכוז נתונים'!BA43)</f>
        <v>80</v>
      </c>
      <c r="E43" s="68">
        <f t="shared" ca="1" si="0"/>
        <v>5</v>
      </c>
      <c r="F43" s="67">
        <f ca="1">IF(E43="","",'ריכוז נתונים'!BB43)</f>
        <v>0</v>
      </c>
      <c r="G43" s="68">
        <f t="shared" ca="1" si="1"/>
        <v>0</v>
      </c>
      <c r="H43" s="135">
        <f t="shared" ca="1" si="2"/>
        <v>0</v>
      </c>
      <c r="I43" s="135">
        <f t="shared" ca="1" si="3"/>
        <v>0</v>
      </c>
      <c r="J43" s="52">
        <f t="shared" ca="1" si="4"/>
        <v>0</v>
      </c>
    </row>
    <row r="44" spans="2:10" x14ac:dyDescent="0.25">
      <c r="B44" s="40">
        <f>'ריכוז נתונים'!C44</f>
        <v>28</v>
      </c>
      <c r="C44" s="40" t="str">
        <f ca="1">תערוכות!C44</f>
        <v/>
      </c>
      <c r="D44" s="67" t="str">
        <f ca="1">IF(C44="","",'ריכוז נתונים'!BA44)</f>
        <v/>
      </c>
      <c r="E44" s="68" t="str">
        <f t="shared" ca="1" si="0"/>
        <v/>
      </c>
      <c r="F44" s="67" t="str">
        <f ca="1">IF(E44="","",'ריכוז נתונים'!BB44)</f>
        <v/>
      </c>
      <c r="G44" s="68" t="str">
        <f t="shared" ca="1" si="1"/>
        <v/>
      </c>
      <c r="H44" s="135" t="str">
        <f t="shared" ca="1" si="2"/>
        <v/>
      </c>
      <c r="I44" s="135" t="str">
        <f t="shared" ca="1" si="3"/>
        <v/>
      </c>
      <c r="J44" s="52" t="str">
        <f t="shared" ca="1" si="4"/>
        <v/>
      </c>
    </row>
    <row r="45" spans="2:10" x14ac:dyDescent="0.25">
      <c r="B45" s="40">
        <f>'ריכוז נתונים'!C45</f>
        <v>29</v>
      </c>
      <c r="C45" s="40" t="str">
        <f ca="1">תערוכות!C45</f>
        <v/>
      </c>
      <c r="D45" s="67" t="str">
        <f ca="1">IF(C45="","",'ריכוז נתונים'!BA45)</f>
        <v/>
      </c>
      <c r="E45" s="68" t="str">
        <f t="shared" ca="1" si="0"/>
        <v/>
      </c>
      <c r="F45" s="67" t="str">
        <f ca="1">IF(E45="","",'ריכוז נתונים'!BB45)</f>
        <v/>
      </c>
      <c r="G45" s="68" t="str">
        <f t="shared" ca="1" si="1"/>
        <v/>
      </c>
      <c r="H45" s="135" t="str">
        <f t="shared" ca="1" si="2"/>
        <v/>
      </c>
      <c r="I45" s="135" t="str">
        <f t="shared" ca="1" si="3"/>
        <v/>
      </c>
      <c r="J45" s="52" t="str">
        <f t="shared" ca="1" si="4"/>
        <v/>
      </c>
    </row>
    <row r="46" spans="2:10" x14ac:dyDescent="0.25">
      <c r="B46" s="40">
        <f>'ריכוז נתונים'!C46</f>
        <v>30</v>
      </c>
      <c r="C46" s="40" t="str">
        <f ca="1">תערוכות!C46</f>
        <v/>
      </c>
      <c r="D46" s="67" t="str">
        <f ca="1">IF(C46="","",'ריכוז נתונים'!BA46)</f>
        <v/>
      </c>
      <c r="E46" s="68" t="str">
        <f t="shared" ca="1" si="0"/>
        <v/>
      </c>
      <c r="F46" s="67" t="str">
        <f ca="1">IF(E46="","",'ריכוז נתונים'!BB46)</f>
        <v/>
      </c>
      <c r="G46" s="68" t="str">
        <f t="shared" ca="1" si="1"/>
        <v/>
      </c>
      <c r="H46" s="135" t="str">
        <f t="shared" ca="1" si="2"/>
        <v/>
      </c>
      <c r="I46" s="135" t="str">
        <f t="shared" ca="1" si="3"/>
        <v/>
      </c>
      <c r="J46" s="52" t="str">
        <f t="shared" ca="1" si="4"/>
        <v/>
      </c>
    </row>
    <row r="47" spans="2:10" x14ac:dyDescent="0.25">
      <c r="B47" s="40">
        <f>'ריכוז נתונים'!C47</f>
        <v>31</v>
      </c>
      <c r="C47" s="40" t="str">
        <f ca="1">תערוכות!C47</f>
        <v>כולנא</v>
      </c>
      <c r="D47" s="67">
        <f ca="1">IF(C47="","",'ריכוז נתונים'!BA47)</f>
        <v>14</v>
      </c>
      <c r="E47" s="68">
        <f t="shared" ca="1" si="0"/>
        <v>3</v>
      </c>
      <c r="F47" s="67" t="str">
        <f ca="1">IF(E47="","",'ריכוז נתונים'!BB47)</f>
        <v>נאותה</v>
      </c>
      <c r="G47" s="68">
        <f t="shared" ca="1" si="1"/>
        <v>1.2</v>
      </c>
      <c r="H47" s="135">
        <f t="shared" ca="1" si="2"/>
        <v>3.5999999999999996</v>
      </c>
      <c r="I47" s="135">
        <f t="shared" ca="1" si="3"/>
        <v>3.5999999999999996</v>
      </c>
      <c r="J47" s="52">
        <f t="shared" ca="1" si="4"/>
        <v>4.2704626334519574E-2</v>
      </c>
    </row>
    <row r="48" spans="2:10" x14ac:dyDescent="0.25">
      <c r="B48" s="40">
        <f>'ריכוז נתונים'!C48</f>
        <v>32</v>
      </c>
      <c r="C48" s="40" t="str">
        <f ca="1">תערוכות!C48</f>
        <v/>
      </c>
      <c r="D48" s="67" t="str">
        <f ca="1">IF(C48="","",'ריכוז נתונים'!BA48)</f>
        <v/>
      </c>
      <c r="E48" s="68" t="str">
        <f t="shared" ca="1" si="0"/>
        <v/>
      </c>
      <c r="F48" s="67" t="str">
        <f ca="1">IF(E48="","",'ריכוז נתונים'!BB48)</f>
        <v/>
      </c>
      <c r="G48" s="68" t="str">
        <f t="shared" ca="1" si="1"/>
        <v/>
      </c>
      <c r="H48" s="135" t="str">
        <f t="shared" ca="1" si="2"/>
        <v/>
      </c>
      <c r="I48" s="135" t="str">
        <f t="shared" ca="1" si="3"/>
        <v/>
      </c>
      <c r="J48" s="52" t="str">
        <f t="shared" ca="1" si="4"/>
        <v/>
      </c>
    </row>
    <row r="49" spans="2:10" x14ac:dyDescent="0.25">
      <c r="B49" s="40">
        <f>'ריכוז נתונים'!C49</f>
        <v>33</v>
      </c>
      <c r="C49" s="40" t="str">
        <f ca="1">תערוכות!C49</f>
        <v/>
      </c>
      <c r="D49" s="67" t="str">
        <f ca="1">IF(C49="","",'ריכוז נתונים'!BA49)</f>
        <v/>
      </c>
      <c r="E49" s="68" t="str">
        <f t="shared" ref="E49:E76" ca="1" si="5">IF(C49="","",IF(ISERROR(D49/1),D49,IFERROR(VLOOKUP(D49,$B$3:$D$5,3),0)))</f>
        <v/>
      </c>
      <c r="F49" s="67" t="str">
        <f ca="1">IF(E49="","",'ריכוז נתונים'!BB49)</f>
        <v/>
      </c>
      <c r="G49" s="68" t="str">
        <f t="shared" ref="G49:G76" ca="1" si="6">IF(E49="","",IFERROR(VLOOKUP(F49,$B$9:$D$11,3),0))</f>
        <v/>
      </c>
      <c r="H49" s="135" t="str">
        <f t="shared" ca="1" si="2"/>
        <v/>
      </c>
      <c r="I49" s="135" t="str">
        <f t="shared" ca="1" si="3"/>
        <v/>
      </c>
      <c r="J49" s="52" t="str">
        <f t="shared" ca="1" si="4"/>
        <v/>
      </c>
    </row>
    <row r="50" spans="2:10" x14ac:dyDescent="0.25">
      <c r="B50" s="40">
        <f>'ריכוז נתונים'!C50</f>
        <v>34</v>
      </c>
      <c r="C50" s="40" t="str">
        <f ca="1">תערוכות!C50</f>
        <v/>
      </c>
      <c r="D50" s="67" t="str">
        <f ca="1">IF(C50="","",'ריכוז נתונים'!BA50)</f>
        <v/>
      </c>
      <c r="E50" s="68" t="str">
        <f t="shared" ca="1" si="5"/>
        <v/>
      </c>
      <c r="F50" s="67" t="str">
        <f ca="1">IF(E50="","",'ריכוז נתונים'!BB50)</f>
        <v/>
      </c>
      <c r="G50" s="68" t="str">
        <f t="shared" ca="1" si="6"/>
        <v/>
      </c>
      <c r="H50" s="135" t="str">
        <f t="shared" ca="1" si="2"/>
        <v/>
      </c>
      <c r="I50" s="135" t="str">
        <f t="shared" ca="1" si="3"/>
        <v/>
      </c>
      <c r="J50" s="52" t="str">
        <f t="shared" ca="1" si="4"/>
        <v/>
      </c>
    </row>
    <row r="51" spans="2:10" x14ac:dyDescent="0.25">
      <c r="B51" s="40">
        <f>'ריכוז נתונים'!C51</f>
        <v>35</v>
      </c>
      <c r="C51" s="40" t="str">
        <f ca="1">תערוכות!C51</f>
        <v/>
      </c>
      <c r="D51" s="67" t="str">
        <f ca="1">IF(C51="","",'ריכוז נתונים'!BA51)</f>
        <v/>
      </c>
      <c r="E51" s="68" t="str">
        <f t="shared" ca="1" si="5"/>
        <v/>
      </c>
      <c r="F51" s="67" t="str">
        <f ca="1">IF(E51="","",'ריכוז נתונים'!BB51)</f>
        <v/>
      </c>
      <c r="G51" s="68" t="str">
        <f t="shared" ca="1" si="6"/>
        <v/>
      </c>
      <c r="H51" s="135" t="str">
        <f t="shared" ca="1" si="2"/>
        <v/>
      </c>
      <c r="I51" s="135" t="str">
        <f t="shared" ca="1" si="3"/>
        <v/>
      </c>
      <c r="J51" s="52" t="str">
        <f t="shared" ca="1" si="4"/>
        <v/>
      </c>
    </row>
    <row r="52" spans="2:10" x14ac:dyDescent="0.25">
      <c r="B52" s="40">
        <f>'ריכוז נתונים'!C52</f>
        <v>36</v>
      </c>
      <c r="C52" s="40" t="str">
        <f ca="1">תערוכות!C52</f>
        <v/>
      </c>
      <c r="D52" s="67" t="str">
        <f ca="1">IF(C52="","",'ריכוז נתונים'!BA52)</f>
        <v/>
      </c>
      <c r="E52" s="68" t="str">
        <f t="shared" ca="1" si="5"/>
        <v/>
      </c>
      <c r="F52" s="67" t="str">
        <f ca="1">IF(E52="","",'ריכוז נתונים'!BB52)</f>
        <v/>
      </c>
      <c r="G52" s="68" t="str">
        <f t="shared" ca="1" si="6"/>
        <v/>
      </c>
      <c r="H52" s="135" t="str">
        <f t="shared" ca="1" si="2"/>
        <v/>
      </c>
      <c r="I52" s="135" t="str">
        <f t="shared" ca="1" si="3"/>
        <v/>
      </c>
      <c r="J52" s="52" t="str">
        <f t="shared" ca="1" si="4"/>
        <v/>
      </c>
    </row>
    <row r="53" spans="2:10" x14ac:dyDescent="0.25">
      <c r="B53" s="40">
        <f>'ריכוז נתונים'!C53</f>
        <v>37</v>
      </c>
      <c r="C53" s="40" t="str">
        <f ca="1">תערוכות!C53</f>
        <v/>
      </c>
      <c r="D53" s="67" t="str">
        <f ca="1">IF(C53="","",'ריכוז נתונים'!BA53)</f>
        <v/>
      </c>
      <c r="E53" s="68" t="str">
        <f t="shared" ca="1" si="5"/>
        <v/>
      </c>
      <c r="F53" s="67" t="str">
        <f ca="1">IF(E53="","",'ריכוז נתונים'!BB53)</f>
        <v/>
      </c>
      <c r="G53" s="68" t="str">
        <f t="shared" ca="1" si="6"/>
        <v/>
      </c>
      <c r="H53" s="135" t="str">
        <f t="shared" ca="1" si="2"/>
        <v/>
      </c>
      <c r="I53" s="135" t="str">
        <f t="shared" ca="1" si="3"/>
        <v/>
      </c>
      <c r="J53" s="52" t="str">
        <f t="shared" ca="1" si="4"/>
        <v/>
      </c>
    </row>
    <row r="54" spans="2:10" x14ac:dyDescent="0.25">
      <c r="B54" s="40">
        <f>'ריכוז נתונים'!C54</f>
        <v>38</v>
      </c>
      <c r="C54" s="40" t="str">
        <f ca="1">תערוכות!C54</f>
        <v/>
      </c>
      <c r="D54" s="67" t="str">
        <f ca="1">IF(C54="","",'ריכוז נתונים'!BA54)</f>
        <v/>
      </c>
      <c r="E54" s="68" t="str">
        <f t="shared" ca="1" si="5"/>
        <v/>
      </c>
      <c r="F54" s="67" t="str">
        <f ca="1">IF(E54="","",'ריכוז נתונים'!BB54)</f>
        <v/>
      </c>
      <c r="G54" s="68" t="str">
        <f t="shared" ca="1" si="6"/>
        <v/>
      </c>
      <c r="H54" s="135" t="str">
        <f t="shared" ca="1" si="2"/>
        <v/>
      </c>
      <c r="I54" s="135" t="str">
        <f t="shared" ca="1" si="3"/>
        <v/>
      </c>
      <c r="J54" s="52" t="str">
        <f t="shared" ca="1" si="4"/>
        <v/>
      </c>
    </row>
    <row r="55" spans="2:10" x14ac:dyDescent="0.25">
      <c r="B55" s="40">
        <f>'ריכוז נתונים'!C55</f>
        <v>39</v>
      </c>
      <c r="C55" s="40" t="str">
        <f ca="1">תערוכות!C55</f>
        <v/>
      </c>
      <c r="D55" s="67" t="str">
        <f ca="1">IF(C55="","",'ריכוז נתונים'!BA55)</f>
        <v/>
      </c>
      <c r="E55" s="68" t="str">
        <f t="shared" ca="1" si="5"/>
        <v/>
      </c>
      <c r="F55" s="67" t="str">
        <f ca="1">IF(E55="","",'ריכוז נתונים'!BB55)</f>
        <v/>
      </c>
      <c r="G55" s="68" t="str">
        <f t="shared" ca="1" si="6"/>
        <v/>
      </c>
      <c r="H55" s="135" t="str">
        <f t="shared" ca="1" si="2"/>
        <v/>
      </c>
      <c r="I55" s="135" t="str">
        <f t="shared" ca="1" si="3"/>
        <v/>
      </c>
      <c r="J55" s="52" t="str">
        <f t="shared" ca="1" si="4"/>
        <v/>
      </c>
    </row>
    <row r="56" spans="2:10" x14ac:dyDescent="0.25">
      <c r="B56" s="40">
        <f>'ריכוז נתונים'!C56</f>
        <v>40</v>
      </c>
      <c r="C56" s="40" t="str">
        <f ca="1">תערוכות!C56</f>
        <v/>
      </c>
      <c r="D56" s="67" t="str">
        <f ca="1">IF(C56="","",'ריכוז נתונים'!BA56)</f>
        <v/>
      </c>
      <c r="E56" s="68" t="str">
        <f t="shared" ca="1" si="5"/>
        <v/>
      </c>
      <c r="F56" s="67" t="str">
        <f ca="1">IF(E56="","",'ריכוז נתונים'!BB56)</f>
        <v/>
      </c>
      <c r="G56" s="68" t="str">
        <f t="shared" ca="1" si="6"/>
        <v/>
      </c>
      <c r="H56" s="135" t="str">
        <f t="shared" ca="1" si="2"/>
        <v/>
      </c>
      <c r="I56" s="135" t="str">
        <f t="shared" ca="1" si="3"/>
        <v/>
      </c>
      <c r="J56" s="52" t="str">
        <f t="shared" ca="1" si="4"/>
        <v/>
      </c>
    </row>
    <row r="57" spans="2:10" x14ac:dyDescent="0.25">
      <c r="B57" s="40">
        <f>'ריכוז נתונים'!C57</f>
        <v>41</v>
      </c>
      <c r="C57" s="40" t="str">
        <f ca="1">תערוכות!C57</f>
        <v/>
      </c>
      <c r="D57" s="67" t="str">
        <f ca="1">IF(C57="","",'ריכוז נתונים'!BA57)</f>
        <v/>
      </c>
      <c r="E57" s="68" t="str">
        <f t="shared" ca="1" si="5"/>
        <v/>
      </c>
      <c r="F57" s="67" t="str">
        <f ca="1">IF(E57="","",'ריכוז נתונים'!BB57)</f>
        <v/>
      </c>
      <c r="G57" s="68" t="str">
        <f t="shared" ca="1" si="6"/>
        <v/>
      </c>
      <c r="H57" s="135" t="str">
        <f t="shared" ca="1" si="2"/>
        <v/>
      </c>
      <c r="I57" s="135" t="str">
        <f t="shared" ca="1" si="3"/>
        <v/>
      </c>
      <c r="J57" s="52" t="str">
        <f t="shared" ca="1" si="4"/>
        <v/>
      </c>
    </row>
    <row r="58" spans="2:10" x14ac:dyDescent="0.25">
      <c r="B58" s="40">
        <f>'ריכוז נתונים'!C58</f>
        <v>42</v>
      </c>
      <c r="C58" s="40" t="str">
        <f ca="1">תערוכות!C58</f>
        <v/>
      </c>
      <c r="D58" s="67" t="str">
        <f ca="1">IF(C58="","",'ריכוז נתונים'!BA58)</f>
        <v/>
      </c>
      <c r="E58" s="68" t="str">
        <f t="shared" ca="1" si="5"/>
        <v/>
      </c>
      <c r="F58" s="67" t="str">
        <f ca="1">IF(E58="","",'ריכוז נתונים'!BB58)</f>
        <v/>
      </c>
      <c r="G58" s="68" t="str">
        <f t="shared" ca="1" si="6"/>
        <v/>
      </c>
      <c r="H58" s="135" t="str">
        <f t="shared" ca="1" si="2"/>
        <v/>
      </c>
      <c r="I58" s="135" t="str">
        <f t="shared" ca="1" si="3"/>
        <v/>
      </c>
      <c r="J58" s="52" t="str">
        <f t="shared" ca="1" si="4"/>
        <v/>
      </c>
    </row>
    <row r="59" spans="2:10" x14ac:dyDescent="0.25">
      <c r="B59" s="40">
        <f>'ריכוז נתונים'!C59</f>
        <v>43</v>
      </c>
      <c r="C59" s="40" t="str">
        <f ca="1">תערוכות!C59</f>
        <v/>
      </c>
      <c r="D59" s="67" t="str">
        <f ca="1">IF(C59="","",'ריכוז נתונים'!BA59)</f>
        <v/>
      </c>
      <c r="E59" s="68" t="str">
        <f t="shared" ca="1" si="5"/>
        <v/>
      </c>
      <c r="F59" s="67" t="str">
        <f ca="1">IF(E59="","",'ריכוז נתונים'!BB59)</f>
        <v/>
      </c>
      <c r="G59" s="68" t="str">
        <f t="shared" ca="1" si="6"/>
        <v/>
      </c>
      <c r="H59" s="135" t="str">
        <f t="shared" ca="1" si="2"/>
        <v/>
      </c>
      <c r="I59" s="135" t="str">
        <f t="shared" ca="1" si="3"/>
        <v/>
      </c>
      <c r="J59" s="52" t="str">
        <f t="shared" ca="1" si="4"/>
        <v/>
      </c>
    </row>
    <row r="60" spans="2:10" x14ac:dyDescent="0.25">
      <c r="B60" s="40">
        <f>'ריכוז נתונים'!C60</f>
        <v>44</v>
      </c>
      <c r="C60" s="40" t="str">
        <f ca="1">תערוכות!C60</f>
        <v/>
      </c>
      <c r="D60" s="67" t="str">
        <f ca="1">IF(C60="","",'ריכוז נתונים'!BA60)</f>
        <v/>
      </c>
      <c r="E60" s="68" t="str">
        <f t="shared" ca="1" si="5"/>
        <v/>
      </c>
      <c r="F60" s="67" t="str">
        <f ca="1">IF(E60="","",'ריכוז נתונים'!BB60)</f>
        <v/>
      </c>
      <c r="G60" s="68" t="str">
        <f t="shared" ca="1" si="6"/>
        <v/>
      </c>
      <c r="H60" s="135" t="str">
        <f t="shared" ca="1" si="2"/>
        <v/>
      </c>
      <c r="I60" s="135" t="str">
        <f t="shared" ca="1" si="3"/>
        <v/>
      </c>
      <c r="J60" s="52" t="str">
        <f t="shared" ca="1" si="4"/>
        <v/>
      </c>
    </row>
    <row r="61" spans="2:10" x14ac:dyDescent="0.25">
      <c r="B61" s="40">
        <f>'ריכוז נתונים'!C61</f>
        <v>45</v>
      </c>
      <c r="C61" s="40" t="str">
        <f ca="1">תערוכות!C61</f>
        <v/>
      </c>
      <c r="D61" s="67" t="str">
        <f ca="1">IF(C61="","",'ריכוז נתונים'!BA61)</f>
        <v/>
      </c>
      <c r="E61" s="68" t="str">
        <f t="shared" ca="1" si="5"/>
        <v/>
      </c>
      <c r="F61" s="67" t="str">
        <f ca="1">IF(E61="","",'ריכוז נתונים'!BB61)</f>
        <v/>
      </c>
      <c r="G61" s="68" t="str">
        <f t="shared" ca="1" si="6"/>
        <v/>
      </c>
      <c r="H61" s="135" t="str">
        <f t="shared" ca="1" si="2"/>
        <v/>
      </c>
      <c r="I61" s="135" t="str">
        <f t="shared" ca="1" si="3"/>
        <v/>
      </c>
      <c r="J61" s="52" t="str">
        <f t="shared" ca="1" si="4"/>
        <v/>
      </c>
    </row>
    <row r="62" spans="2:10" x14ac:dyDescent="0.25">
      <c r="B62" s="40">
        <f>'ריכוז נתונים'!C62</f>
        <v>46</v>
      </c>
      <c r="C62" s="40" t="str">
        <f ca="1">תערוכות!C62</f>
        <v>ענבל מרכז אתני</v>
      </c>
      <c r="D62" s="67">
        <f ca="1">IF(C62="","",'ריכוז נתונים'!BA62)</f>
        <v>32</v>
      </c>
      <c r="E62" s="68">
        <f t="shared" ca="1" si="5"/>
        <v>4</v>
      </c>
      <c r="F62" s="67">
        <f ca="1">IF(E62="","",'ריכוז נתונים'!BB62)</f>
        <v>0</v>
      </c>
      <c r="G62" s="68">
        <f t="shared" ca="1" si="6"/>
        <v>0</v>
      </c>
      <c r="H62" s="135">
        <f t="shared" ca="1" si="2"/>
        <v>0</v>
      </c>
      <c r="I62" s="135">
        <f t="shared" ca="1" si="3"/>
        <v>0</v>
      </c>
      <c r="J62" s="52">
        <f t="shared" ca="1" si="4"/>
        <v>0</v>
      </c>
    </row>
    <row r="63" spans="2:10" x14ac:dyDescent="0.25">
      <c r="B63" s="40">
        <f>'ריכוז נתונים'!C63</f>
        <v>47</v>
      </c>
      <c r="C63" s="40" t="str">
        <f ca="1">תערוכות!C63</f>
        <v>א.ב. חדשות השומרונים</v>
      </c>
      <c r="D63" s="67">
        <f ca="1">IF(C63="","",'ריכוז נתונים'!BA63)</f>
        <v>300</v>
      </c>
      <c r="E63" s="68">
        <f t="shared" ca="1" si="5"/>
        <v>5</v>
      </c>
      <c r="F63" s="67" t="str">
        <f ca="1">IF(E63="","",'ריכוז נתונים'!BB63)</f>
        <v>נאותה</v>
      </c>
      <c r="G63" s="68">
        <f t="shared" ca="1" si="6"/>
        <v>1.2</v>
      </c>
      <c r="H63" s="135">
        <f t="shared" ca="1" si="2"/>
        <v>6</v>
      </c>
      <c r="I63" s="135">
        <f t="shared" ca="1" si="3"/>
        <v>6</v>
      </c>
      <c r="J63" s="52">
        <f t="shared" ca="1" si="4"/>
        <v>0.05</v>
      </c>
    </row>
    <row r="64" spans="2:10" x14ac:dyDescent="0.25">
      <c r="B64" s="40">
        <f>'ריכוז נתונים'!C64</f>
        <v>48</v>
      </c>
      <c r="C64" s="40" t="str">
        <f ca="1">תערוכות!C64</f>
        <v/>
      </c>
      <c r="D64" s="67" t="str">
        <f ca="1">IF(C64="","",'ריכוז נתונים'!BA64)</f>
        <v/>
      </c>
      <c r="E64" s="68" t="str">
        <f t="shared" ca="1" si="5"/>
        <v/>
      </c>
      <c r="F64" s="67" t="str">
        <f ca="1">IF(E64="","",'ריכוז נתונים'!BB64)</f>
        <v/>
      </c>
      <c r="G64" s="68" t="str">
        <f t="shared" ca="1" si="6"/>
        <v/>
      </c>
      <c r="H64" s="135" t="str">
        <f t="shared" ca="1" si="2"/>
        <v/>
      </c>
      <c r="I64" s="135" t="str">
        <f t="shared" ca="1" si="3"/>
        <v/>
      </c>
      <c r="J64" s="52" t="str">
        <f t="shared" ca="1" si="4"/>
        <v/>
      </c>
    </row>
    <row r="65" spans="2:10" x14ac:dyDescent="0.25">
      <c r="B65" s="40">
        <f>'ריכוז נתונים'!C65</f>
        <v>49</v>
      </c>
      <c r="C65" s="40" t="str">
        <f ca="1">תערוכות!C65</f>
        <v/>
      </c>
      <c r="D65" s="67" t="str">
        <f ca="1">IF(C65="","",'ריכוז נתונים'!BA65)</f>
        <v/>
      </c>
      <c r="E65" s="68" t="str">
        <f t="shared" ca="1" si="5"/>
        <v/>
      </c>
      <c r="F65" s="67" t="str">
        <f ca="1">IF(E65="","",'ריכוז נתונים'!BB65)</f>
        <v/>
      </c>
      <c r="G65" s="68" t="str">
        <f t="shared" ca="1" si="6"/>
        <v/>
      </c>
      <c r="H65" s="135" t="str">
        <f t="shared" ca="1" si="2"/>
        <v/>
      </c>
      <c r="I65" s="135" t="str">
        <f t="shared" ca="1" si="3"/>
        <v/>
      </c>
      <c r="J65" s="52" t="str">
        <f t="shared" ca="1" si="4"/>
        <v/>
      </c>
    </row>
    <row r="66" spans="2:10" x14ac:dyDescent="0.25">
      <c r="B66" s="40">
        <f>'ריכוז נתונים'!C66</f>
        <v>50</v>
      </c>
      <c r="C66" s="40" t="str">
        <f ca="1">תערוכות!C66</f>
        <v/>
      </c>
      <c r="D66" s="67" t="str">
        <f ca="1">IF(C66="","",'ריכוז נתונים'!BA66)</f>
        <v/>
      </c>
      <c r="E66" s="68" t="str">
        <f t="shared" ca="1" si="5"/>
        <v/>
      </c>
      <c r="F66" s="67" t="str">
        <f ca="1">IF(E66="","",'ריכוז נתונים'!BB66)</f>
        <v/>
      </c>
      <c r="G66" s="68" t="str">
        <f t="shared" ca="1" si="6"/>
        <v/>
      </c>
      <c r="H66" s="135" t="str">
        <f t="shared" ca="1" si="2"/>
        <v/>
      </c>
      <c r="I66" s="135" t="str">
        <f t="shared" ca="1" si="3"/>
        <v/>
      </c>
      <c r="J66" s="52" t="str">
        <f t="shared" ca="1" si="4"/>
        <v/>
      </c>
    </row>
    <row r="67" spans="2:10" x14ac:dyDescent="0.25">
      <c r="B67" s="40">
        <f>'ריכוז נתונים'!C67</f>
        <v>51</v>
      </c>
      <c r="C67" s="40" t="str">
        <f ca="1">תערוכות!C67</f>
        <v/>
      </c>
      <c r="D67" s="67" t="str">
        <f ca="1">IF(C67="","",'ריכוז נתונים'!BA67)</f>
        <v/>
      </c>
      <c r="E67" s="68" t="str">
        <f t="shared" ca="1" si="5"/>
        <v/>
      </c>
      <c r="F67" s="67" t="str">
        <f ca="1">IF(E67="","",'ריכוז נתונים'!BB67)</f>
        <v/>
      </c>
      <c r="G67" s="68" t="str">
        <f t="shared" ca="1" si="6"/>
        <v/>
      </c>
      <c r="H67" s="135" t="str">
        <f t="shared" ca="1" si="2"/>
        <v/>
      </c>
      <c r="I67" s="135" t="str">
        <f t="shared" ca="1" si="3"/>
        <v/>
      </c>
      <c r="J67" s="52" t="str">
        <f t="shared" ca="1" si="4"/>
        <v/>
      </c>
    </row>
    <row r="68" spans="2:10" x14ac:dyDescent="0.25">
      <c r="B68" s="40">
        <f>'ריכוז נתונים'!C68</f>
        <v>52</v>
      </c>
      <c r="C68" s="40" t="str">
        <f ca="1">תערוכות!C68</f>
        <v>עמותת הנני</v>
      </c>
      <c r="D68" s="67">
        <f ca="1">IF(C68="","",'ריכוז נתונים'!BA68)</f>
        <v>7</v>
      </c>
      <c r="E68" s="68">
        <f t="shared" ca="1" si="5"/>
        <v>3</v>
      </c>
      <c r="F68" s="67">
        <f ca="1">IF(E68="","",'ריכוז נתונים'!BB68)</f>
        <v>0</v>
      </c>
      <c r="G68" s="68">
        <f t="shared" ca="1" si="6"/>
        <v>0</v>
      </c>
      <c r="H68" s="135">
        <f t="shared" ca="1" si="2"/>
        <v>0</v>
      </c>
      <c r="I68" s="135">
        <f t="shared" ca="1" si="3"/>
        <v>0</v>
      </c>
      <c r="J68" s="52">
        <f t="shared" ca="1" si="4"/>
        <v>0</v>
      </c>
    </row>
    <row r="69" spans="2:10" x14ac:dyDescent="0.25">
      <c r="B69" s="40">
        <f>'ריכוז נתונים'!C69</f>
        <v>53</v>
      </c>
      <c r="C69" s="40" t="str">
        <f ca="1">תערוכות!C69</f>
        <v/>
      </c>
      <c r="D69" s="67" t="str">
        <f ca="1">IF(C69="","",'ריכוז נתונים'!BA69)</f>
        <v/>
      </c>
      <c r="E69" s="68" t="str">
        <f t="shared" ca="1" si="5"/>
        <v/>
      </c>
      <c r="F69" s="67" t="str">
        <f ca="1">IF(E69="","",'ריכוז נתונים'!BB69)</f>
        <v/>
      </c>
      <c r="G69" s="68" t="str">
        <f t="shared" ca="1" si="6"/>
        <v/>
      </c>
      <c r="H69" s="135" t="str">
        <f t="shared" ca="1" si="2"/>
        <v/>
      </c>
      <c r="I69" s="135" t="str">
        <f t="shared" ca="1" si="3"/>
        <v/>
      </c>
      <c r="J69" s="52" t="str">
        <f t="shared" ca="1" si="4"/>
        <v/>
      </c>
    </row>
    <row r="70" spans="2:10" x14ac:dyDescent="0.25">
      <c r="B70" s="40">
        <f>'ריכוז נתונים'!C70</f>
        <v>54</v>
      </c>
      <c r="C70" s="40" t="str">
        <f ca="1">תערוכות!C70</f>
        <v/>
      </c>
      <c r="D70" s="67" t="str">
        <f ca="1">IF(C70="","",'ריכוז נתונים'!BA70)</f>
        <v/>
      </c>
      <c r="E70" s="68" t="str">
        <f t="shared" ca="1" si="5"/>
        <v/>
      </c>
      <c r="F70" s="67" t="str">
        <f ca="1">IF(E70="","",'ריכוז נתונים'!BB70)</f>
        <v/>
      </c>
      <c r="G70" s="68" t="str">
        <f t="shared" ca="1" si="6"/>
        <v/>
      </c>
      <c r="H70" s="135" t="str">
        <f t="shared" ca="1" si="2"/>
        <v/>
      </c>
      <c r="I70" s="135" t="str">
        <f t="shared" ca="1" si="3"/>
        <v/>
      </c>
      <c r="J70" s="52" t="str">
        <f t="shared" ca="1" si="4"/>
        <v/>
      </c>
    </row>
    <row r="71" spans="2:10" x14ac:dyDescent="0.25">
      <c r="B71" s="40">
        <f>'ריכוז נתונים'!C71</f>
        <v>55</v>
      </c>
      <c r="C71" s="40" t="str">
        <f ca="1">תערוכות!C71</f>
        <v/>
      </c>
      <c r="D71" s="67" t="str">
        <f ca="1">IF(C71="","",'ריכוז נתונים'!BA71)</f>
        <v/>
      </c>
      <c r="E71" s="68" t="str">
        <f t="shared" ca="1" si="5"/>
        <v/>
      </c>
      <c r="F71" s="67" t="str">
        <f ca="1">IF(E71="","",'ריכוז נתונים'!BB71)</f>
        <v/>
      </c>
      <c r="G71" s="68" t="str">
        <f t="shared" ca="1" si="6"/>
        <v/>
      </c>
      <c r="H71" s="135" t="str">
        <f t="shared" ca="1" si="2"/>
        <v/>
      </c>
      <c r="I71" s="135" t="str">
        <f t="shared" ca="1" si="3"/>
        <v/>
      </c>
      <c r="J71" s="52" t="str">
        <f t="shared" ca="1" si="4"/>
        <v/>
      </c>
    </row>
    <row r="72" spans="2:10" x14ac:dyDescent="0.25">
      <c r="B72" s="40">
        <f>'ריכוז נתונים'!C72</f>
        <v>56</v>
      </c>
      <c r="C72" s="40" t="str">
        <f ca="1">תערוכות!C72</f>
        <v/>
      </c>
      <c r="D72" s="67" t="str">
        <f ca="1">IF(C72="","",'ריכוז נתונים'!BA72)</f>
        <v/>
      </c>
      <c r="E72" s="68" t="str">
        <f t="shared" ca="1" si="5"/>
        <v/>
      </c>
      <c r="F72" s="67" t="str">
        <f ca="1">IF(E72="","",'ריכוז נתונים'!BB72)</f>
        <v/>
      </c>
      <c r="G72" s="68" t="str">
        <f t="shared" ca="1" si="6"/>
        <v/>
      </c>
      <c r="H72" s="135" t="str">
        <f t="shared" ca="1" si="2"/>
        <v/>
      </c>
      <c r="I72" s="135" t="str">
        <f t="shared" ca="1" si="3"/>
        <v/>
      </c>
      <c r="J72" s="52" t="str">
        <f t="shared" ca="1" si="4"/>
        <v/>
      </c>
    </row>
    <row r="73" spans="2:10" x14ac:dyDescent="0.25">
      <c r="B73" s="40">
        <f>'ריכוז נתונים'!C73</f>
        <v>57</v>
      </c>
      <c r="C73" s="40" t="str">
        <f ca="1">תערוכות!C73</f>
        <v/>
      </c>
      <c r="D73" s="67" t="str">
        <f ca="1">IF(C73="","",'ריכוז נתונים'!BA73)</f>
        <v/>
      </c>
      <c r="E73" s="68" t="str">
        <f t="shared" ca="1" si="5"/>
        <v/>
      </c>
      <c r="F73" s="67" t="str">
        <f ca="1">IF(E73="","",'ריכוז נתונים'!BB73)</f>
        <v/>
      </c>
      <c r="G73" s="68" t="str">
        <f t="shared" ca="1" si="6"/>
        <v/>
      </c>
      <c r="H73" s="135" t="str">
        <f t="shared" ca="1" si="2"/>
        <v/>
      </c>
      <c r="I73" s="135" t="str">
        <f t="shared" ca="1" si="3"/>
        <v/>
      </c>
      <c r="J73" s="52" t="str">
        <f t="shared" ca="1" si="4"/>
        <v/>
      </c>
    </row>
    <row r="74" spans="2:10" x14ac:dyDescent="0.25">
      <c r="B74" s="40">
        <f>'ריכוז נתונים'!C74</f>
        <v>58</v>
      </c>
      <c r="C74" s="40" t="str">
        <f ca="1">תערוכות!C74</f>
        <v/>
      </c>
      <c r="D74" s="67" t="str">
        <f ca="1">IF(C74="","",'ריכוז נתונים'!BA74)</f>
        <v/>
      </c>
      <c r="E74" s="68" t="str">
        <f t="shared" ca="1" si="5"/>
        <v/>
      </c>
      <c r="F74" s="67" t="str">
        <f ca="1">IF(E74="","",'ריכוז נתונים'!BB74)</f>
        <v/>
      </c>
      <c r="G74" s="68" t="str">
        <f t="shared" ca="1" si="6"/>
        <v/>
      </c>
      <c r="H74" s="135" t="str">
        <f t="shared" ca="1" si="2"/>
        <v/>
      </c>
      <c r="I74" s="135" t="str">
        <f t="shared" ca="1" si="3"/>
        <v/>
      </c>
      <c r="J74" s="52" t="str">
        <f t="shared" ca="1" si="4"/>
        <v/>
      </c>
    </row>
    <row r="75" spans="2:10" x14ac:dyDescent="0.25">
      <c r="B75" s="40">
        <f>'ריכוז נתונים'!C75</f>
        <v>59</v>
      </c>
      <c r="C75" s="40" t="str">
        <f ca="1">תערוכות!C75</f>
        <v/>
      </c>
      <c r="D75" s="67" t="str">
        <f ca="1">IF(C75="","",'ריכוז נתונים'!BA75)</f>
        <v/>
      </c>
      <c r="E75" s="68" t="str">
        <f t="shared" ca="1" si="5"/>
        <v/>
      </c>
      <c r="F75" s="67" t="str">
        <f ca="1">IF(E75="","",'ריכוז נתונים'!BB75)</f>
        <v/>
      </c>
      <c r="G75" s="68" t="str">
        <f t="shared" ca="1" si="6"/>
        <v/>
      </c>
      <c r="H75" s="135" t="str">
        <f t="shared" ca="1" si="2"/>
        <v/>
      </c>
      <c r="I75" s="135" t="str">
        <f t="shared" ca="1" si="3"/>
        <v/>
      </c>
      <c r="J75" s="52" t="str">
        <f t="shared" ca="1" si="4"/>
        <v/>
      </c>
    </row>
    <row r="76" spans="2:10" x14ac:dyDescent="0.25">
      <c r="B76" s="40">
        <f>'ריכוז נתונים'!C76</f>
        <v>60</v>
      </c>
      <c r="C76" s="40" t="str">
        <f ca="1">תערוכות!C76</f>
        <v>שרשרת הדורות</v>
      </c>
      <c r="D76" s="67">
        <f ca="1">IF(C76="","",'ריכוז נתונים'!BA76)</f>
        <v>9</v>
      </c>
      <c r="E76" s="68">
        <f t="shared" ca="1" si="5"/>
        <v>3</v>
      </c>
      <c r="F76" s="67">
        <f ca="1">IF(E76="","",'ריכוז נתונים'!BB76)</f>
        <v>0</v>
      </c>
      <c r="G76" s="68">
        <f t="shared" ca="1" si="6"/>
        <v>0</v>
      </c>
      <c r="H76" s="135">
        <f t="shared" ca="1" si="2"/>
        <v>0</v>
      </c>
      <c r="I76" s="135">
        <f t="shared" ca="1" si="3"/>
        <v>0</v>
      </c>
      <c r="J76" s="52">
        <f t="shared" ca="1" si="4"/>
        <v>0</v>
      </c>
    </row>
    <row r="77" spans="2:10" x14ac:dyDescent="0.25">
      <c r="B77" s="40">
        <f>'ריכוז נתונים'!C77</f>
        <v>61</v>
      </c>
      <c r="C77" s="40" t="str">
        <f ca="1">תערוכות!C77</f>
        <v>חיבה</v>
      </c>
      <c r="D77" s="67">
        <f ca="1">IF(C77="","",'ריכוז נתונים'!BA77)</f>
        <v>180</v>
      </c>
      <c r="E77" s="68">
        <f t="shared" ref="E77:E78" ca="1" si="7">IF(C77="","",IF(ISERROR(D77/1),D77,IFERROR(VLOOKUP(D77,$B$3:$D$5,3),0)))</f>
        <v>5</v>
      </c>
      <c r="F77" s="67" t="str">
        <f ca="1">IF(E77="","",'ריכוז נתונים'!BB77)</f>
        <v>טובה</v>
      </c>
      <c r="G77" s="68">
        <f t="shared" ref="G77:G78" ca="1" si="8">IF(E77="","",IFERROR(VLOOKUP(F77,$B$9:$D$11,3),0))</f>
        <v>1.1000000000000001</v>
      </c>
      <c r="H77" s="135">
        <f t="shared" ref="H77:H78" ca="1" si="9">IFERROR(E77*G77,"")</f>
        <v>5.5</v>
      </c>
      <c r="I77" s="135">
        <f t="shared" ref="I77:I78" ca="1" si="10">IFERROR(H77,0)</f>
        <v>5.5</v>
      </c>
      <c r="J77" s="52">
        <f t="shared" ca="1" si="4"/>
        <v>0.05</v>
      </c>
    </row>
    <row r="78" spans="2:10" hidden="1" x14ac:dyDescent="0.25">
      <c r="B78" s="40">
        <f>'ריכוז נתונים'!C78</f>
        <v>62</v>
      </c>
      <c r="C78" s="40" t="str">
        <f ca="1">תערוכות!C78</f>
        <v/>
      </c>
      <c r="D78" s="67" t="str">
        <f ca="1">IF(C78="","",'ריכוז נתונים'!BA78)</f>
        <v/>
      </c>
      <c r="E78" s="68" t="str">
        <f t="shared" ca="1" si="7"/>
        <v/>
      </c>
      <c r="F78" s="67" t="str">
        <f ca="1">IF(E78="","",'ריכוז נתונים'!BB78)</f>
        <v/>
      </c>
      <c r="G78" s="68" t="str">
        <f t="shared" ca="1" si="8"/>
        <v/>
      </c>
      <c r="H78" s="135" t="str">
        <f t="shared" ca="1" si="9"/>
        <v/>
      </c>
      <c r="I78" s="135" t="str">
        <f t="shared" ca="1" si="10"/>
        <v/>
      </c>
      <c r="J78" s="52" t="str">
        <f t="shared" ref="J78" ca="1" si="11">IF($C78="","",IF(ISERROR(H78),H78,IFERROR(MIN($D$6,I78/SUM(I$17:I$76)),0)))</f>
        <v/>
      </c>
    </row>
  </sheetData>
  <sheetProtection algorithmName="SHA-512" hashValue="c2bbkahueM9rkeTJRklyKfQGkYGKrXe8tvH3zAJ6U4xK2Nr+SadTaRyXEy5/0z72nG3wz5foE1lueZcIPgDUeg==" saltValue="nnBuQmKwrYUKrV8jLOakzQ==" spinCount="100000" sheet="1" scenarios="1" formatColumns="0" formatRows="0" autoFilter="0"/>
  <mergeCells count="12">
    <mergeCell ref="D15:I15"/>
    <mergeCell ref="B2:C2"/>
    <mergeCell ref="B8:C8"/>
    <mergeCell ref="B15:B16"/>
    <mergeCell ref="C15:C16"/>
    <mergeCell ref="B3:C3"/>
    <mergeCell ref="B4:C4"/>
    <mergeCell ref="B5:C5"/>
    <mergeCell ref="B9:C9"/>
    <mergeCell ref="B10:C10"/>
    <mergeCell ref="B11:C11"/>
    <mergeCell ref="B6:C6"/>
  </mergeCells>
  <pageMargins left="0.70866141732283472" right="0.70866141732283472" top="0.74803149606299213" bottom="0.74803149606299213" header="0.31496062992125984" footer="0.31496062992125984"/>
  <pageSetup paperSize="9" scale="63" orientation="portrait" r:id="rId1"/>
  <headerFooter>
    <oddFooter>&amp;C&amp;"David,מודגש"א. חפץ ושות'
ייעוץ כלכלי</oddFooter>
  </headerFooter>
  <rowBreaks count="1" manualBreakCount="1">
    <brk id="41"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גיליון8">
    <tabColor theme="6" tint="0.39997558519241921"/>
    <pageSetUpPr fitToPage="1"/>
  </sheetPr>
  <dimension ref="B2:O78"/>
  <sheetViews>
    <sheetView rightToLeft="1" view="pageBreakPreview" zoomScale="90" zoomScaleNormal="80" zoomScaleSheetLayoutView="90" workbookViewId="0"/>
  </sheetViews>
  <sheetFormatPr defaultColWidth="9.140625" defaultRowHeight="15.75" x14ac:dyDescent="0.25"/>
  <cols>
    <col min="1" max="1" width="9.140625" style="42"/>
    <col min="2" max="2" width="12.85546875" style="42" bestFit="1" customWidth="1"/>
    <col min="3" max="3" width="27.85546875" style="42" customWidth="1"/>
    <col min="4" max="4" width="13.85546875" style="42" customWidth="1"/>
    <col min="5" max="5" width="11.85546875" style="42" customWidth="1"/>
    <col min="6" max="6" width="10.5703125" style="42" bestFit="1" customWidth="1"/>
    <col min="7" max="7" width="9.140625" style="42"/>
    <col min="8" max="8" width="10.85546875" style="42" bestFit="1" customWidth="1"/>
    <col min="9" max="9" width="20.85546875" style="42" customWidth="1"/>
    <col min="10" max="11" width="9.140625" style="42"/>
    <col min="12" max="12" width="11.42578125" style="42" bestFit="1" customWidth="1"/>
    <col min="13" max="13" width="12.42578125" style="42" bestFit="1" customWidth="1"/>
    <col min="14" max="14" width="36" style="42" customWidth="1"/>
    <col min="15" max="15" width="10.85546875" style="42" bestFit="1" customWidth="1"/>
    <col min="16" max="16384" width="9.140625" style="42"/>
  </cols>
  <sheetData>
    <row r="2" spans="2:15" ht="35.25" customHeight="1" x14ac:dyDescent="0.25">
      <c r="B2" s="533" t="str">
        <f>פרמטרים!B73</f>
        <v>פרמטר</v>
      </c>
      <c r="C2" s="534"/>
      <c r="D2" s="24" t="str">
        <f>פרמטרים!C73</f>
        <v>משקל</v>
      </c>
      <c r="F2" s="533" t="str">
        <f>פרמטרים!B79</f>
        <v>תדירות הוצאת העלון</v>
      </c>
      <c r="G2" s="534"/>
      <c r="H2" s="26" t="str">
        <f>פרמטרים!C79</f>
        <v>ניקוד</v>
      </c>
      <c r="L2" s="538" t="str">
        <f>פרמטרים!B86</f>
        <v>מספר העמודים בעלון מעל:</v>
      </c>
      <c r="M2" s="539"/>
      <c r="O2" s="26" t="str">
        <f>פרמטרים!C86</f>
        <v>ניקוד</v>
      </c>
    </row>
    <row r="3" spans="2:15" ht="31.5" customHeight="1" x14ac:dyDescent="0.25">
      <c r="B3" s="536" t="str">
        <f>פרמטרים!B74</f>
        <v>תדירות הופעת העלון</v>
      </c>
      <c r="C3" s="537"/>
      <c r="D3" s="69">
        <f>פרמטרים!C74</f>
        <v>0.3</v>
      </c>
      <c r="F3" s="542" t="str">
        <f>פרמטרים!B80</f>
        <v>אחד בשנה</v>
      </c>
      <c r="G3" s="543"/>
      <c r="H3" s="45">
        <f>פרמטרים!C80</f>
        <v>4</v>
      </c>
      <c r="L3" s="536">
        <f>פרמטרים!B87</f>
        <v>12</v>
      </c>
      <c r="M3" s="537"/>
      <c r="O3" s="45">
        <f>פרמטרים!C87</f>
        <v>5</v>
      </c>
    </row>
    <row r="4" spans="2:15" ht="15.75" customHeight="1" x14ac:dyDescent="0.25">
      <c r="B4" s="536" t="str">
        <f>פרמטרים!B75</f>
        <v>מספר עמודי תוכן</v>
      </c>
      <c r="C4" s="537"/>
      <c r="D4" s="69">
        <f>פרמטרים!C75</f>
        <v>0.3</v>
      </c>
      <c r="F4" s="542" t="str">
        <f>פרמטרים!B81</f>
        <v>שניים בשנה</v>
      </c>
      <c r="G4" s="543"/>
      <c r="H4" s="45">
        <f>פרמטרים!C81</f>
        <v>8</v>
      </c>
      <c r="L4" s="536">
        <f>פרמטרים!B88</f>
        <v>30</v>
      </c>
      <c r="M4" s="537"/>
      <c r="O4" s="45">
        <f>פרמטרים!C88</f>
        <v>10</v>
      </c>
    </row>
    <row r="5" spans="2:15" x14ac:dyDescent="0.25">
      <c r="B5" s="536" t="str">
        <f>פרמטרים!B76</f>
        <v>היקף מוכח של תפוצת העלון</v>
      </c>
      <c r="C5" s="537"/>
      <c r="D5" s="69">
        <f>פרמטרים!C76</f>
        <v>0.4</v>
      </c>
      <c r="F5" s="542" t="str">
        <f>פרמטרים!B82</f>
        <v>שלוש בשנה</v>
      </c>
      <c r="G5" s="543"/>
      <c r="H5" s="45">
        <f>פרמטרים!C82</f>
        <v>12</v>
      </c>
      <c r="L5" s="536">
        <f>פרמטרים!B89</f>
        <v>60</v>
      </c>
      <c r="M5" s="537"/>
      <c r="O5" s="45">
        <f>פרמטרים!C89</f>
        <v>15</v>
      </c>
    </row>
    <row r="6" spans="2:15" ht="15.75" customHeight="1" x14ac:dyDescent="0.25">
      <c r="F6" s="542" t="str">
        <f>פרמטרים!B83</f>
        <v>מעל 4 בשנה</v>
      </c>
      <c r="G6" s="543"/>
      <c r="H6" s="45">
        <f>פרמטרים!C83</f>
        <v>16</v>
      </c>
    </row>
    <row r="8" spans="2:15" ht="51" customHeight="1" x14ac:dyDescent="0.25">
      <c r="B8" s="536" t="str">
        <f>פרמטרים!B91</f>
        <v>מוסד שהוציא לאור גרסה מקוונת של עלון, יוכפל הניקוד שלו במקדם:</v>
      </c>
      <c r="C8" s="537"/>
      <c r="D8" s="45">
        <f>פרמטרים!C91</f>
        <v>1.1000000000000001</v>
      </c>
      <c r="F8" s="542" t="str">
        <f>פרמטרים!B93</f>
        <v>ניקוד מקסימאלי עבור היקף מוכח של תפוצת העלון</v>
      </c>
      <c r="G8" s="543"/>
      <c r="H8" s="45">
        <f>פרמטרים!C93</f>
        <v>60</v>
      </c>
    </row>
    <row r="10" spans="2:15" hidden="1" x14ac:dyDescent="0.25"/>
    <row r="11" spans="2:15" hidden="1" x14ac:dyDescent="0.25"/>
    <row r="12" spans="2:15" hidden="1" x14ac:dyDescent="0.25">
      <c r="N12" s="42" t="s">
        <v>178</v>
      </c>
    </row>
    <row r="13" spans="2:15" hidden="1" x14ac:dyDescent="0.25">
      <c r="N13" s="45" t="str">
        <f>'ריכוז נתונים'!$AP$14</f>
        <v>הזנה שגויה</v>
      </c>
    </row>
    <row r="14" spans="2:15" hidden="1" x14ac:dyDescent="0.25">
      <c r="N14" s="42" t="s">
        <v>31</v>
      </c>
    </row>
    <row r="15" spans="2:15" ht="15.75" customHeight="1" x14ac:dyDescent="0.25">
      <c r="B15" s="489" t="str">
        <f>'ריכוז נתונים'!C15:C16</f>
        <v>מספר סידורי</v>
      </c>
      <c r="C15" s="489" t="str">
        <f>'ריכוז נתונים'!D15:D16</f>
        <v>שם המוסד</v>
      </c>
      <c r="D15" s="479" t="str">
        <f ca="1">MID(CELL("filename",A1),FIND("]",CELL("filename",A1),1)+1,99)</f>
        <v>עלונים</v>
      </c>
      <c r="E15" s="535"/>
      <c r="F15" s="535"/>
      <c r="G15" s="535"/>
      <c r="H15" s="535"/>
      <c r="I15" s="535"/>
      <c r="J15" s="535"/>
      <c r="K15" s="535"/>
      <c r="L15" s="535"/>
      <c r="M15" s="535"/>
      <c r="N15" s="535"/>
      <c r="O15" s="480"/>
    </row>
    <row r="16" spans="2:15" ht="78.75" x14ac:dyDescent="0.25">
      <c r="B16" s="490"/>
      <c r="C16" s="490"/>
      <c r="D16" s="29" t="s">
        <v>179</v>
      </c>
      <c r="E16" s="29" t="str">
        <f>'ריכוז נתונים'!R16</f>
        <v>תדירות הוצאת העלון</v>
      </c>
      <c r="F16" s="29" t="str">
        <f>'ריכוז נתונים'!S16</f>
        <v>מספר עמודי התוכן</v>
      </c>
      <c r="G16" s="29" t="str">
        <f>'ריכוז נתונים'!T16</f>
        <v>היקף מוכח של תפוצה</v>
      </c>
      <c r="H16" s="26" t="s">
        <v>162</v>
      </c>
      <c r="I16" s="29" t="str">
        <f>'ריכוז נתונים'!BH16</f>
        <v>המוסד הגיש בקשה לקבלת תמיכה במוסדות ציבור- כתבי עת</v>
      </c>
      <c r="J16" s="29" t="s">
        <v>180</v>
      </c>
      <c r="K16" s="29" t="s">
        <v>181</v>
      </c>
      <c r="L16" s="429" t="s">
        <v>182</v>
      </c>
      <c r="M16" s="430" t="s">
        <v>79</v>
      </c>
      <c r="N16" s="29" t="s">
        <v>79</v>
      </c>
      <c r="O16" s="430" t="s">
        <v>175</v>
      </c>
    </row>
    <row r="17" spans="2:15" ht="60" x14ac:dyDescent="0.25">
      <c r="B17" s="40">
        <f>'ריכוז נתונים'!C17</f>
        <v>1</v>
      </c>
      <c r="C17" s="40" t="str">
        <f ca="1">'אתר אינטרנט'!C17</f>
        <v>מרכז מורשת בבל</v>
      </c>
      <c r="D17" s="67">
        <f ca="1">IF(C17="","",'ריכוז נתונים'!BG17)</f>
        <v>0</v>
      </c>
      <c r="E17" s="70">
        <f ca="1">IF(C17="","",'ריכוז נתונים'!BC17)</f>
        <v>0</v>
      </c>
      <c r="F17" s="67">
        <f ca="1">IF(C17="","",'ריכוז נתונים'!BD17)</f>
        <v>0</v>
      </c>
      <c r="G17" s="67">
        <f ca="1">IF(C17="","",'ריכוז נתונים'!BE17)</f>
        <v>0</v>
      </c>
      <c r="H17" s="67">
        <f ca="1">IF(D17="","",'ריכוז נתונים'!BF17)</f>
        <v>0</v>
      </c>
      <c r="I17" s="67">
        <f ca="1">IF(C17="","",'ריכוז נתונים'!BH17)</f>
        <v>0</v>
      </c>
      <c r="J17" s="71">
        <f t="shared" ref="J17:J48" ca="1" si="0">IF(C17="","",IFERROR(VLOOKUP(E17,$F$3:$H$6,3,FALSE),0))</f>
        <v>0</v>
      </c>
      <c r="K17" s="71">
        <f ca="1">IF(C17="","",IF(F17=$N$13,N13,IFERROR(VLOOKUP(F17,$L$3:$O$5,4),0)))</f>
        <v>0</v>
      </c>
      <c r="L17" s="72">
        <f ca="1">IF(C17="","",G17/MAX($G$17:$G$76,1)*$H$8)</f>
        <v>0</v>
      </c>
      <c r="M17" s="73" t="str">
        <f t="array" aca="1" ref="M17" ca="1">IF(C17="","",IF(I17="כן",0,IF(D17="כן",IF(OR(K17=$N$13,L17=$N$13),N13,SUMPRODUCT(J17:L17,TRANSPOSE($D$3:$D$5))*IF(H17=$N$14,$D$8,1)),"המוסד אינו עומד בקריטריון לקבלת ניקוד")))</f>
        <v>המוסד אינו עומד בקריטריון לקבלת ניקוד</v>
      </c>
      <c r="N17" s="68">
        <f t="shared" ref="N17:N76" ca="1" si="1">IF(M17="המוסד אינו עומד בקריטריון לקבלת ניקוד",0,IFERROR(M17,0))</f>
        <v>0</v>
      </c>
      <c r="O17" s="39">
        <f ca="1">IF($C17="","",IFERROR(IF(ISERROR(M17),M17,(N17/SUM(N$17:N$77))),0))</f>
        <v>0</v>
      </c>
    </row>
    <row r="18" spans="2:15" ht="60" x14ac:dyDescent="0.25">
      <c r="B18" s="40">
        <f>'ריכוז נתונים'!C18</f>
        <v>2</v>
      </c>
      <c r="C18" s="40" t="str">
        <f ca="1">'אתר אינטרנט'!C18</f>
        <v>מורשת יהודי צפון  אפריקה</v>
      </c>
      <c r="D18" s="67">
        <f ca="1">IF(C18="","",'ריכוז נתונים'!BG18)</f>
        <v>0</v>
      </c>
      <c r="E18" s="70">
        <f ca="1">IF(C18="","",'ריכוז נתונים'!BC18)</f>
        <v>0</v>
      </c>
      <c r="F18" s="67">
        <f ca="1">IF(C18="","",'ריכוז נתונים'!BD18)</f>
        <v>0</v>
      </c>
      <c r="G18" s="67">
        <f ca="1">IF(C18="","",'ריכוז נתונים'!BE18)</f>
        <v>0</v>
      </c>
      <c r="H18" s="67">
        <f ca="1">IF(D18="","",'ריכוז נתונים'!BF18)</f>
        <v>0</v>
      </c>
      <c r="I18" s="67">
        <f ca="1">IF(C18="","",'ריכוז נתונים'!BH18)</f>
        <v>0</v>
      </c>
      <c r="J18" s="71">
        <f t="shared" ca="1" si="0"/>
        <v>0</v>
      </c>
      <c r="K18" s="71">
        <f t="shared" ref="K18:K76" ca="1" si="2">IF(C18="","",IF(F18=$N$13,N14,IFERROR(VLOOKUP(F18,$L$3:$O$5,4),0)))</f>
        <v>0</v>
      </c>
      <c r="L18" s="72">
        <f t="shared" ref="L18:L76" ca="1" si="3">IF(C18="","",G18/MAX($G$17:$G$76,1)*$H$8)</f>
        <v>0</v>
      </c>
      <c r="M18" s="73" t="str">
        <f t="array" aca="1" ref="M18" ca="1">IF(C18="","",IF(I18="כן",0,IF(D18="כן",IF(OR(K18=$N$13,L18=$N$13),N14,SUMPRODUCT(J18:L18,TRANSPOSE($D$3:$D$5))*IF(H18=$N$14,$D$8,1)),"המוסד אינו עומד בקריטריון לקבלת ניקוד")))</f>
        <v>המוסד אינו עומד בקריטריון לקבלת ניקוד</v>
      </c>
      <c r="N18" s="68">
        <f t="shared" ca="1" si="1"/>
        <v>0</v>
      </c>
      <c r="O18" s="39">
        <f t="shared" ref="O18:O77" ca="1" si="4">IF($C18="","",IFERROR(IF(ISERROR(M18),M18,(N18/SUM(N$17:N$77))),0))</f>
        <v>0</v>
      </c>
    </row>
    <row r="19" spans="2:15" x14ac:dyDescent="0.25">
      <c r="B19" s="40">
        <f>'ריכוז נתונים'!C19</f>
        <v>3</v>
      </c>
      <c r="C19" s="40" t="str">
        <f ca="1">'אתר אינטרנט'!C19</f>
        <v>מורשת יהדות קוצין</v>
      </c>
      <c r="D19" s="67" t="str">
        <f ca="1">IF(C19="","",'ריכוז נתונים'!BG19)</f>
        <v>כן</v>
      </c>
      <c r="E19" s="70" t="str">
        <f ca="1">IF(C19="","",'ריכוז נתונים'!BC19)</f>
        <v>אחד בשנה</v>
      </c>
      <c r="F19" s="67">
        <f ca="1">IF(C19="","",'ריכוז נתונים'!BD19)</f>
        <v>34</v>
      </c>
      <c r="G19" s="67">
        <f ca="1">IF(C19="","",'ריכוז נתונים'!BE19)</f>
        <v>700</v>
      </c>
      <c r="H19" s="67" t="str">
        <f ca="1">IF(D19="","",'ריכוז נתונים'!BF19)</f>
        <v>כן</v>
      </c>
      <c r="I19" s="67" t="str">
        <f ca="1">IF(C19="","",'ריכוז נתונים'!BH19)</f>
        <v>לא</v>
      </c>
      <c r="J19" s="71">
        <f t="shared" ca="1" si="0"/>
        <v>4</v>
      </c>
      <c r="K19" s="71">
        <f t="shared" ca="1" si="2"/>
        <v>10</v>
      </c>
      <c r="L19" s="72">
        <f t="shared" ca="1" si="3"/>
        <v>3.5</v>
      </c>
      <c r="M19" s="73">
        <f t="array" aca="1" ref="M19" ca="1">IF(C19="","",IF(I19="כן",0,IF(D19="כן",IF(OR(K19=$N$13,L19=$N$13),N15,SUMPRODUCT(J19:L19,TRANSPOSE($D$3:$D$5))*IF(H19=$N$14,$D$8,1)),"המוסד אינו עומד בקריטריון לקבלת ניקוד")))</f>
        <v>6.160000000000001</v>
      </c>
      <c r="N19" s="68">
        <f t="shared" ca="1" si="1"/>
        <v>6.160000000000001</v>
      </c>
      <c r="O19" s="39">
        <f t="shared" ca="1" si="4"/>
        <v>5.9485872105374982E-2</v>
      </c>
    </row>
    <row r="20" spans="2:15" ht="60" x14ac:dyDescent="0.25">
      <c r="B20" s="40">
        <f>'ריכוז נתונים'!C20</f>
        <v>4</v>
      </c>
      <c r="C20" s="40" t="str">
        <f ca="1">'אתר אינטרנט'!C20</f>
        <v>הפדרציה העולמית של יהדות תוניס</v>
      </c>
      <c r="D20" s="67">
        <f ca="1">IF(C20="","",'ריכוז נתונים'!BG20)</f>
        <v>0</v>
      </c>
      <c r="E20" s="70">
        <f ca="1">IF(C20="","",'ריכוז נתונים'!BC20)</f>
        <v>0</v>
      </c>
      <c r="F20" s="67">
        <f ca="1">IF(C20="","",'ריכוז נתונים'!BD20)</f>
        <v>0</v>
      </c>
      <c r="G20" s="67">
        <f ca="1">IF(C20="","",'ריכוז נתונים'!BE20)</f>
        <v>0</v>
      </c>
      <c r="H20" s="67">
        <f ca="1">IF(D20="","",'ריכוז נתונים'!BF20)</f>
        <v>0</v>
      </c>
      <c r="I20" s="67">
        <f ca="1">IF(C20="","",'ריכוז נתונים'!BH20)</f>
        <v>0</v>
      </c>
      <c r="J20" s="71">
        <f t="shared" ca="1" si="0"/>
        <v>0</v>
      </c>
      <c r="K20" s="71">
        <f t="shared" ca="1" si="2"/>
        <v>0</v>
      </c>
      <c r="L20" s="72">
        <f t="shared" ca="1" si="3"/>
        <v>0</v>
      </c>
      <c r="M20" s="73" t="str">
        <f t="array" aca="1" ref="M20" ca="1">IF(C20="","",IF(I20="כן",0,IF(D20="כן",IF(OR(K20=$N$13,L20=$N$13),N16,SUMPRODUCT(J20:L20,TRANSPOSE($D$3:$D$5))*IF(H20=$N$14,$D$8,1)),"המוסד אינו עומד בקריטריון לקבלת ניקוד")))</f>
        <v>המוסד אינו עומד בקריטריון לקבלת ניקוד</v>
      </c>
      <c r="N20" s="68">
        <f t="shared" ca="1" si="1"/>
        <v>0</v>
      </c>
      <c r="O20" s="39">
        <f t="shared" ca="1" si="4"/>
        <v>0</v>
      </c>
    </row>
    <row r="21" spans="2:15" ht="60" x14ac:dyDescent="0.25">
      <c r="B21" s="40">
        <f>'ריכוז נתונים'!C21</f>
        <v>5</v>
      </c>
      <c r="C21" s="40" t="str">
        <f ca="1">'אתר אינטרנט'!C21</f>
        <v>התאחדות עולי מצרים</v>
      </c>
      <c r="D21" s="67">
        <f ca="1">IF(C21="","",'ריכוז נתונים'!BG21)</f>
        <v>0</v>
      </c>
      <c r="E21" s="70">
        <f ca="1">IF(C21="","",'ריכוז נתונים'!BC21)</f>
        <v>0</v>
      </c>
      <c r="F21" s="67">
        <f ca="1">IF(C21="","",'ריכוז נתונים'!BD21)</f>
        <v>0</v>
      </c>
      <c r="G21" s="67">
        <f ca="1">IF(C21="","",'ריכוז נתונים'!BE21)</f>
        <v>0</v>
      </c>
      <c r="H21" s="67">
        <f ca="1">IF(D21="","",'ריכוז נתונים'!BF21)</f>
        <v>0</v>
      </c>
      <c r="I21" s="67">
        <f ca="1">IF(C21="","",'ריכוז נתונים'!BH21)</f>
        <v>0</v>
      </c>
      <c r="J21" s="71">
        <f t="shared" ca="1" si="0"/>
        <v>0</v>
      </c>
      <c r="K21" s="71">
        <f t="shared" ca="1" si="2"/>
        <v>0</v>
      </c>
      <c r="L21" s="72">
        <f t="shared" ca="1" si="3"/>
        <v>0</v>
      </c>
      <c r="M21" s="73" t="str">
        <f t="array" aca="1" ref="M21" ca="1">IF(C21="","",IF(I21="כן",0,IF(D21="כן",IF(OR(K21=$N$13,L21=$N$13),N17,SUMPRODUCT(J21:L21,TRANSPOSE($D$3:$D$5))*IF(H21=$N$14,$D$8,1)),"המוסד אינו עומד בקריטריון לקבלת ניקוד")))</f>
        <v>המוסד אינו עומד בקריטריון לקבלת ניקוד</v>
      </c>
      <c r="N21" s="68">
        <f t="shared" ca="1" si="1"/>
        <v>0</v>
      </c>
      <c r="O21" s="39">
        <f t="shared" ca="1" si="4"/>
        <v>0</v>
      </c>
    </row>
    <row r="22" spans="2:15" x14ac:dyDescent="0.25">
      <c r="B22" s="40">
        <f>'ריכוז נתונים'!C22</f>
        <v>6</v>
      </c>
      <c r="C22" s="40" t="str">
        <f ca="1">'אתר אינטרנט'!C22</f>
        <v>יהודים יוצאי לוב</v>
      </c>
      <c r="D22" s="67" t="str">
        <f ca="1">IF(C22="","",'ריכוז נתונים'!BG22)</f>
        <v>כן</v>
      </c>
      <c r="E22" s="70" t="str">
        <f ca="1">IF(C22="","",'ריכוז נתונים'!BC22)</f>
        <v>מעל 4 בשנה</v>
      </c>
      <c r="F22" s="67">
        <f ca="1">IF(C22="","",'ריכוז נתונים'!BD22)</f>
        <v>46</v>
      </c>
      <c r="G22" s="67">
        <f ca="1">IF(C22="","",'ריכוז נתונים'!BE22)</f>
        <v>5000</v>
      </c>
      <c r="H22" s="67" t="str">
        <f ca="1">IF(D22="","",'ריכוז נתונים'!BF22)</f>
        <v>כן</v>
      </c>
      <c r="I22" s="67" t="str">
        <f ca="1">IF(C22="","",'ריכוז נתונים'!BH22)</f>
        <v>לא</v>
      </c>
      <c r="J22" s="71">
        <f t="shared" ca="1" si="0"/>
        <v>16</v>
      </c>
      <c r="K22" s="71">
        <f t="shared" ca="1" si="2"/>
        <v>10</v>
      </c>
      <c r="L22" s="72">
        <f t="shared" ca="1" si="3"/>
        <v>25</v>
      </c>
      <c r="M22" s="73">
        <f t="array" aca="1" ref="M22" ca="1">IF(C22="","",IF(I22="כן",0,IF(D22="כן",IF(OR(K22=$N$13,L22=$N$13),N18,SUMPRODUCT(J22:L22,TRANSPOSE($D$3:$D$5))*IF(H22=$N$14,$D$8,1)),"המוסד אינו עומד בקריטריון לקבלת ניקוד")))</f>
        <v>19.580000000000002</v>
      </c>
      <c r="N22" s="68">
        <f t="shared" ca="1" si="1"/>
        <v>19.580000000000002</v>
      </c>
      <c r="O22" s="39">
        <f t="shared" ca="1" si="4"/>
        <v>0.18908009347779903</v>
      </c>
    </row>
    <row r="23" spans="2:15" x14ac:dyDescent="0.25">
      <c r="B23" s="40">
        <f>'ריכוז נתונים'!C23</f>
        <v>7</v>
      </c>
      <c r="C23" s="40" t="str">
        <f ca="1">'אתר אינטרנט'!C23</f>
        <v>הפדרציה העולמית של יהדות מרוקו</v>
      </c>
      <c r="D23" s="67" t="str">
        <f ca="1">IF(C23="","",'ריכוז נתונים'!BG23)</f>
        <v>כן</v>
      </c>
      <c r="E23" s="70" t="str">
        <f ca="1">IF(C23="","",'ריכוז נתונים'!BC23)</f>
        <v>שלוש בשנה</v>
      </c>
      <c r="F23" s="67">
        <f ca="1">IF(C23="","",'ריכוז נתונים'!BD23)</f>
        <v>70</v>
      </c>
      <c r="G23" s="67">
        <f ca="1">IF(C23="","",'ריכוז נתונים'!BE23)</f>
        <v>150</v>
      </c>
      <c r="H23" s="67" t="str">
        <f ca="1">IF(D23="","",'ריכוז נתונים'!BF23)</f>
        <v>כן</v>
      </c>
      <c r="I23" s="67" t="str">
        <f ca="1">IF(C23="","",'ריכוז נתונים'!BH23)</f>
        <v>לא</v>
      </c>
      <c r="J23" s="71">
        <f t="shared" ca="1" si="0"/>
        <v>12</v>
      </c>
      <c r="K23" s="71">
        <f t="shared" ca="1" si="2"/>
        <v>15</v>
      </c>
      <c r="L23" s="72">
        <f t="shared" ca="1" si="3"/>
        <v>0.75</v>
      </c>
      <c r="M23" s="73">
        <f t="array" aca="1" ref="M23" ca="1">IF(C23="","",IF(I23="כן",0,IF(D23="כן",IF(OR(K23=$N$13,L23=$N$13),N19,SUMPRODUCT(J23:L23,TRANSPOSE($D$3:$D$5))*IF(H23=$N$14,$D$8,1)),"המוסד אינו עומד בקריטריון לקבלת ניקוד")))</f>
        <v>9.240000000000002</v>
      </c>
      <c r="N23" s="68">
        <f t="shared" ca="1" si="1"/>
        <v>9.240000000000002</v>
      </c>
      <c r="O23" s="39">
        <f t="shared" ca="1" si="4"/>
        <v>8.9228808158062473E-2</v>
      </c>
    </row>
    <row r="24" spans="2:15" ht="60" x14ac:dyDescent="0.25">
      <c r="B24" s="40">
        <f>'ריכוז נתונים'!C24</f>
        <v>8</v>
      </c>
      <c r="C24" s="40" t="str">
        <f ca="1">'אתר אינטרנט'!C24</f>
        <v>אורות הגליל</v>
      </c>
      <c r="D24" s="67">
        <f ca="1">IF(C24="","",'ריכוז נתונים'!BG24)</f>
        <v>0</v>
      </c>
      <c r="E24" s="70">
        <f ca="1">IF(C24="","",'ריכוז נתונים'!BC24)</f>
        <v>0</v>
      </c>
      <c r="F24" s="67">
        <f ca="1">IF(C24="","",'ריכוז נתונים'!BD24)</f>
        <v>0</v>
      </c>
      <c r="G24" s="67">
        <f ca="1">IF(C24="","",'ריכוז נתונים'!BE24)</f>
        <v>0</v>
      </c>
      <c r="H24" s="67">
        <f ca="1">IF(D24="","",'ריכוז נתונים'!BF24)</f>
        <v>0</v>
      </c>
      <c r="I24" s="67">
        <f ca="1">IF(C24="","",'ריכוז נתונים'!BH24)</f>
        <v>0</v>
      </c>
      <c r="J24" s="71">
        <f t="shared" ca="1" si="0"/>
        <v>0</v>
      </c>
      <c r="K24" s="71">
        <f t="shared" ca="1" si="2"/>
        <v>0</v>
      </c>
      <c r="L24" s="72">
        <f t="shared" ca="1" si="3"/>
        <v>0</v>
      </c>
      <c r="M24" s="73" t="str">
        <f t="array" aca="1" ref="M24" ca="1">IF(C24="","",IF(I24="כן",0,IF(D24="כן",IF(OR(K24=$N$13,L24=$N$13),N20,SUMPRODUCT(J24:L24,TRANSPOSE($D$3:$D$5))*IF(H24=$N$14,$D$8,1)),"המוסד אינו עומד בקריטריון לקבלת ניקוד")))</f>
        <v>המוסד אינו עומד בקריטריון לקבלת ניקוד</v>
      </c>
      <c r="N24" s="68">
        <f t="shared" ca="1" si="1"/>
        <v>0</v>
      </c>
      <c r="O24" s="39">
        <f t="shared" ca="1" si="4"/>
        <v>0</v>
      </c>
    </row>
    <row r="25" spans="2:15" ht="60" x14ac:dyDescent="0.25">
      <c r="B25" s="40">
        <f>'ריכוז נתונים'!C25</f>
        <v>9</v>
      </c>
      <c r="C25" s="40" t="str">
        <f ca="1">'אתר אינטרנט'!C25</f>
        <v>אלמז</v>
      </c>
      <c r="D25" s="67" t="str">
        <f ca="1">IF(C25="","",'ריכוז נתונים'!BG25)</f>
        <v>לא</v>
      </c>
      <c r="E25" s="70" t="str">
        <f ca="1">IF(C25="","",'ריכוז נתונים'!BC25)</f>
        <v>שניים בשנה</v>
      </c>
      <c r="F25" s="67">
        <f ca="1">IF(C25="","",'ריכוז נתונים'!BD25)</f>
        <v>16</v>
      </c>
      <c r="G25" s="67">
        <f ca="1">IF(C25="","",'ריכוז נתונים'!BE25)</f>
        <v>200</v>
      </c>
      <c r="H25" s="67" t="str">
        <f ca="1">IF(D25="","",'ריכוז נתונים'!BF25)</f>
        <v>לא</v>
      </c>
      <c r="I25" s="67" t="str">
        <f ca="1">IF(C25="","",'ריכוז נתונים'!BH25)</f>
        <v>לא</v>
      </c>
      <c r="J25" s="71">
        <f t="shared" ca="1" si="0"/>
        <v>8</v>
      </c>
      <c r="K25" s="71">
        <f t="shared" ca="1" si="2"/>
        <v>5</v>
      </c>
      <c r="L25" s="72">
        <f t="shared" ca="1" si="3"/>
        <v>1</v>
      </c>
      <c r="M25" s="73" t="str">
        <f t="array" aca="1" ref="M25" ca="1">IF(C25="","",IF(I25="כן",0,IF(D25="כן",IF(OR(K25=$N$13,L25=$N$13),N21,SUMPRODUCT(J25:L25,TRANSPOSE($D$3:$D$5))*IF(H25=$N$14,$D$8,1)),"המוסד אינו עומד בקריטריון לקבלת ניקוד")))</f>
        <v>המוסד אינו עומד בקריטריון לקבלת ניקוד</v>
      </c>
      <c r="N25" s="68">
        <f t="shared" ca="1" si="1"/>
        <v>0</v>
      </c>
      <c r="O25" s="39">
        <f t="shared" ca="1" si="4"/>
        <v>0</v>
      </c>
    </row>
    <row r="26" spans="2:15" x14ac:dyDescent="0.25">
      <c r="B26" s="40">
        <f>'ריכוז נתונים'!C26</f>
        <v>10</v>
      </c>
      <c r="C26" s="40" t="str">
        <f ca="1">'אתר אינטרנט'!C26</f>
        <v>קונגרס יהודי בוכרה</v>
      </c>
      <c r="D26" s="67" t="str">
        <f ca="1">IF(C26="","",'ריכוז נתונים'!BG26)</f>
        <v>כן</v>
      </c>
      <c r="E26" s="70" t="str">
        <f ca="1">IF(C26="","",'ריכוז נתונים'!BC26)</f>
        <v>מעל 4 בשנה</v>
      </c>
      <c r="F26" s="67">
        <f ca="1">IF(C26="","",'ריכוז נתונים'!BD26)</f>
        <v>40</v>
      </c>
      <c r="G26" s="67">
        <f ca="1">IF(C26="","",'ריכוז נתונים'!BE26)</f>
        <v>12000</v>
      </c>
      <c r="H26" s="67" t="str">
        <f ca="1">IF(D26="","",'ריכוז נתונים'!BF26)</f>
        <v>כן</v>
      </c>
      <c r="I26" s="67" t="str">
        <f ca="1">IF(C26="","",'ריכוז נתונים'!BH26)</f>
        <v>לא</v>
      </c>
      <c r="J26" s="71">
        <f t="shared" ca="1" si="0"/>
        <v>16</v>
      </c>
      <c r="K26" s="71">
        <f t="shared" ca="1" si="2"/>
        <v>10</v>
      </c>
      <c r="L26" s="72">
        <f t="shared" ca="1" si="3"/>
        <v>60</v>
      </c>
      <c r="M26" s="73">
        <f t="array" aca="1" ref="M26" ca="1">IF(C26="","",IF(I26="כן",0,IF(D26="כן",IF(OR(K26=$N$13,L26=$N$13),N22,SUMPRODUCT(J26:L26,TRANSPOSE($D$3:$D$5))*IF(H26=$N$14,$D$8,1)),"המוסד אינו עומד בקריטריון לקבלת ניקוד")))</f>
        <v>34.980000000000004</v>
      </c>
      <c r="N26" s="68">
        <f t="shared" ca="1" si="1"/>
        <v>34.980000000000004</v>
      </c>
      <c r="O26" s="39">
        <f t="shared" ca="1" si="4"/>
        <v>0.33779477374123651</v>
      </c>
    </row>
    <row r="27" spans="2:15" ht="60" x14ac:dyDescent="0.25">
      <c r="B27" s="40">
        <f>'ריכוז נתונים'!C27</f>
        <v>11</v>
      </c>
      <c r="C27" s="40" t="str">
        <f ca="1">'אתר אינטרנט'!C27</f>
        <v>יהדות שאלוניקי יוון</v>
      </c>
      <c r="D27" s="67">
        <f ca="1">IF(C27="","",'ריכוז נתונים'!BG27)</f>
        <v>0</v>
      </c>
      <c r="E27" s="70">
        <f ca="1">IF(C27="","",'ריכוז נתונים'!BC27)</f>
        <v>0</v>
      </c>
      <c r="F27" s="67">
        <f ca="1">IF(C27="","",'ריכוז נתונים'!BD27)</f>
        <v>0</v>
      </c>
      <c r="G27" s="67">
        <f ca="1">IF(C27="","",'ריכוז נתונים'!BE27)</f>
        <v>0</v>
      </c>
      <c r="H27" s="67">
        <f ca="1">IF(D27="","",'ריכוז נתונים'!BF27)</f>
        <v>0</v>
      </c>
      <c r="I27" s="67">
        <f ca="1">IF(C27="","",'ריכוז נתונים'!BH27)</f>
        <v>0</v>
      </c>
      <c r="J27" s="71">
        <f t="shared" ca="1" si="0"/>
        <v>0</v>
      </c>
      <c r="K27" s="71">
        <f t="shared" ca="1" si="2"/>
        <v>0</v>
      </c>
      <c r="L27" s="72">
        <f t="shared" ca="1" si="3"/>
        <v>0</v>
      </c>
      <c r="M27" s="73" t="str">
        <f t="array" aca="1" ref="M27" ca="1">IF(C27="","",IF(I27="כן",0,IF(D27="כן",IF(OR(K27=$N$13,L27=$N$13),N23,SUMPRODUCT(J27:L27,TRANSPOSE($D$3:$D$5))*IF(H27=$N$14,$D$8,1)),"המוסד אינו עומד בקריטריון לקבלת ניקוד")))</f>
        <v>המוסד אינו עומד בקריטריון לקבלת ניקוד</v>
      </c>
      <c r="N27" s="68">
        <f t="shared" ca="1" si="1"/>
        <v>0</v>
      </c>
      <c r="O27" s="39">
        <f t="shared" ca="1" si="4"/>
        <v>0</v>
      </c>
    </row>
    <row r="28" spans="2:15" x14ac:dyDescent="0.25">
      <c r="B28" s="40">
        <f>'ריכוז נתונים'!C28</f>
        <v>12</v>
      </c>
      <c r="C28" s="40" t="str">
        <f ca="1">'אתר אינטרנט'!C28</f>
        <v/>
      </c>
      <c r="D28" s="67" t="str">
        <f ca="1">IF(C28="","",'ריכוז נתונים'!BG28)</f>
        <v/>
      </c>
      <c r="E28" s="70" t="str">
        <f ca="1">IF(C28="","",'ריכוז נתונים'!BC28)</f>
        <v/>
      </c>
      <c r="F28" s="67" t="str">
        <f ca="1">IF(C28="","",'ריכוז נתונים'!BD28)</f>
        <v/>
      </c>
      <c r="G28" s="67" t="str">
        <f ca="1">IF(C28="","",'ריכוז נתונים'!BE28)</f>
        <v/>
      </c>
      <c r="H28" s="67" t="str">
        <f ca="1">IF(D28="","",'ריכוז נתונים'!BF28)</f>
        <v/>
      </c>
      <c r="I28" s="67" t="str">
        <f ca="1">IF(C28="","",'ריכוז נתונים'!BH28)</f>
        <v/>
      </c>
      <c r="J28" s="71" t="str">
        <f t="shared" ca="1" si="0"/>
        <v/>
      </c>
      <c r="K28" s="71" t="str">
        <f t="shared" ca="1" si="2"/>
        <v/>
      </c>
      <c r="L28" s="72" t="str">
        <f t="shared" ca="1" si="3"/>
        <v/>
      </c>
      <c r="M28" s="73" t="str">
        <f t="array" aca="1" ref="M28" ca="1">IF(C28="","",IF(I28="כן",0,IF(D28="כן",IF(OR(K28=$N$13,L28=$N$13),N24,SUMPRODUCT(J28:L28,TRANSPOSE($D$3:$D$5))*IF(H28=$N$14,$D$8,1)),"המוסד אינו עומד בקריטריון לקבלת ניקוד")))</f>
        <v/>
      </c>
      <c r="N28" s="68" t="str">
        <f t="shared" ca="1" si="1"/>
        <v/>
      </c>
      <c r="O28" s="39" t="str">
        <f t="shared" ca="1" si="4"/>
        <v/>
      </c>
    </row>
    <row r="29" spans="2:15" x14ac:dyDescent="0.25">
      <c r="B29" s="40">
        <f>'ריכוז נתונים'!C29</f>
        <v>13</v>
      </c>
      <c r="C29" s="40" t="str">
        <f ca="1">'אתר אינטרנט'!C29</f>
        <v/>
      </c>
      <c r="D29" s="67" t="str">
        <f ca="1">IF(C29="","",'ריכוז נתונים'!BG29)</f>
        <v/>
      </c>
      <c r="E29" s="70" t="str">
        <f ca="1">IF(C29="","",'ריכוז נתונים'!BC29)</f>
        <v/>
      </c>
      <c r="F29" s="67" t="str">
        <f ca="1">IF(C29="","",'ריכוז נתונים'!BD29)</f>
        <v/>
      </c>
      <c r="G29" s="67" t="str">
        <f ca="1">IF(C29="","",'ריכוז נתונים'!BE29)</f>
        <v/>
      </c>
      <c r="H29" s="67" t="str">
        <f ca="1">IF(D29="","",'ריכוז נתונים'!BF29)</f>
        <v/>
      </c>
      <c r="I29" s="67" t="str">
        <f ca="1">IF(C29="","",'ריכוז נתונים'!BH29)</f>
        <v/>
      </c>
      <c r="J29" s="71" t="str">
        <f t="shared" ca="1" si="0"/>
        <v/>
      </c>
      <c r="K29" s="71" t="str">
        <f t="shared" ca="1" si="2"/>
        <v/>
      </c>
      <c r="L29" s="72" t="str">
        <f t="shared" ca="1" si="3"/>
        <v/>
      </c>
      <c r="M29" s="73" t="str">
        <f t="array" aca="1" ref="M29" ca="1">IF(C29="","",IF(I29="כן",0,IF(D29="כן",IF(OR(K29=$N$13,L29=$N$13),N25,SUMPRODUCT(J29:L29,TRANSPOSE($D$3:$D$5))*IF(H29=$N$14,$D$8,1)),"המוסד אינו עומד בקריטריון לקבלת ניקוד")))</f>
        <v/>
      </c>
      <c r="N29" s="68" t="str">
        <f t="shared" ca="1" si="1"/>
        <v/>
      </c>
      <c r="O29" s="39" t="str">
        <f t="shared" ca="1" si="4"/>
        <v/>
      </c>
    </row>
    <row r="30" spans="2:15" x14ac:dyDescent="0.25">
      <c r="B30" s="40">
        <f>'ריכוז נתונים'!C30</f>
        <v>14</v>
      </c>
      <c r="C30" s="40" t="str">
        <f ca="1">'אתר אינטרנט'!C30</f>
        <v/>
      </c>
      <c r="D30" s="67" t="str">
        <f ca="1">IF(C30="","",'ריכוז נתונים'!BG30)</f>
        <v/>
      </c>
      <c r="E30" s="70" t="str">
        <f ca="1">IF(C30="","",'ריכוז נתונים'!BC30)</f>
        <v/>
      </c>
      <c r="F30" s="67" t="str">
        <f ca="1">IF(C30="","",'ריכוז נתונים'!BD30)</f>
        <v/>
      </c>
      <c r="G30" s="67" t="str">
        <f ca="1">IF(C30="","",'ריכוז נתונים'!BE30)</f>
        <v/>
      </c>
      <c r="H30" s="67" t="str">
        <f ca="1">IF(D30="","",'ריכוז נתונים'!BF30)</f>
        <v/>
      </c>
      <c r="I30" s="67" t="str">
        <f ca="1">IF(C30="","",'ריכוז נתונים'!BH30)</f>
        <v/>
      </c>
      <c r="J30" s="71" t="str">
        <f t="shared" ca="1" si="0"/>
        <v/>
      </c>
      <c r="K30" s="71" t="str">
        <f t="shared" ca="1" si="2"/>
        <v/>
      </c>
      <c r="L30" s="72" t="str">
        <f t="shared" ca="1" si="3"/>
        <v/>
      </c>
      <c r="M30" s="73" t="str">
        <f t="array" aca="1" ref="M30" ca="1">IF(C30="","",IF(I30="כן",0,IF(D30="כן",IF(OR(K30=$N$13,L30=$N$13),N26,SUMPRODUCT(J30:L30,TRANSPOSE($D$3:$D$5))*IF(H30=$N$14,$D$8,1)),"המוסד אינו עומד בקריטריון לקבלת ניקוד")))</f>
        <v/>
      </c>
      <c r="N30" s="68" t="str">
        <f t="shared" ca="1" si="1"/>
        <v/>
      </c>
      <c r="O30" s="39" t="str">
        <f t="shared" ca="1" si="4"/>
        <v/>
      </c>
    </row>
    <row r="31" spans="2:15" x14ac:dyDescent="0.25">
      <c r="B31" s="40">
        <f>'ריכוז נתונים'!C31</f>
        <v>15</v>
      </c>
      <c r="C31" s="40" t="str">
        <f ca="1">'אתר אינטרנט'!C31</f>
        <v xml:space="preserve">החברה לטיפוח חברה תרבות תיעוד </v>
      </c>
      <c r="D31" s="67" t="str">
        <f ca="1">IF(C31="","",'ריכוז נתונים'!BG31)</f>
        <v>כן</v>
      </c>
      <c r="E31" s="70" t="str">
        <f ca="1">IF(C31="","",'ריכוז נתונים'!BC31)</f>
        <v>מעל 4 בשנה</v>
      </c>
      <c r="F31" s="67">
        <f ca="1">IF(C31="","",'ריכוז נתונים'!BD31)</f>
        <v>16</v>
      </c>
      <c r="G31" s="67">
        <f ca="1">IF(C31="","",'ריכוז נתונים'!BE31)</f>
        <v>1000</v>
      </c>
      <c r="H31" s="67" t="str">
        <f ca="1">IF(D31="","",'ריכוז נתונים'!BF31)</f>
        <v>כן</v>
      </c>
      <c r="I31" s="67" t="str">
        <f ca="1">IF(C31="","",'ריכוז נתונים'!BH31)</f>
        <v>לא</v>
      </c>
      <c r="J31" s="71">
        <f t="shared" ca="1" si="0"/>
        <v>16</v>
      </c>
      <c r="K31" s="71">
        <f t="shared" ca="1" si="2"/>
        <v>5</v>
      </c>
      <c r="L31" s="72">
        <f t="shared" ca="1" si="3"/>
        <v>5</v>
      </c>
      <c r="M31" s="73">
        <f t="array" aca="1" ref="M31" ca="1">IF(C31="","",IF(I31="כן",0,IF(D31="כן",IF(OR(K31=$N$13,L31=$N$13),N27,SUMPRODUCT(J31:L31,TRANSPOSE($D$3:$D$5))*IF(H31=$N$14,$D$8,1)),"המוסד אינו עומד בקריטריון לקבלת ניקוד")))</f>
        <v>9.1300000000000008</v>
      </c>
      <c r="N31" s="68">
        <f t="shared" ca="1" si="1"/>
        <v>9.1300000000000008</v>
      </c>
      <c r="O31" s="39">
        <f t="shared" ca="1" si="4"/>
        <v>8.8166560441895053E-2</v>
      </c>
    </row>
    <row r="32" spans="2:15" x14ac:dyDescent="0.25">
      <c r="B32" s="40">
        <f>'ריכוז נתונים'!C32</f>
        <v>16</v>
      </c>
      <c r="C32" s="40" t="str">
        <f ca="1">'אתר אינטרנט'!C32</f>
        <v>עמותת אור שלום</v>
      </c>
      <c r="D32" s="67" t="str">
        <f ca="1">IF(C32="","",'ריכוז נתונים'!BG32)</f>
        <v>כן</v>
      </c>
      <c r="E32" s="70" t="str">
        <f ca="1">IF(C32="","",'ריכוז נתונים'!BC32)</f>
        <v>מעל 4 בשנה</v>
      </c>
      <c r="F32" s="67">
        <f ca="1">IF(C32="","",'ריכוז נתונים'!BD32)</f>
        <v>60</v>
      </c>
      <c r="G32" s="67">
        <f ca="1">IF(C32="","",'ריכוז נתונים'!BE32)</f>
        <v>2500</v>
      </c>
      <c r="H32" s="67" t="str">
        <f ca="1">IF(D32="","",'ריכוז נתונים'!BF32)</f>
        <v>כן</v>
      </c>
      <c r="I32" s="67" t="str">
        <f ca="1">IF(C32="","",'ריכוז נתונים'!BH32)</f>
        <v>לא</v>
      </c>
      <c r="J32" s="71">
        <f t="shared" ca="1" si="0"/>
        <v>16</v>
      </c>
      <c r="K32" s="71">
        <f t="shared" ca="1" si="2"/>
        <v>15</v>
      </c>
      <c r="L32" s="72">
        <f t="shared" ca="1" si="3"/>
        <v>12.5</v>
      </c>
      <c r="M32" s="73">
        <f t="array" aca="1" ref="M32" ca="1">IF(C32="","",IF(I32="כן",0,IF(D32="כן",IF(OR(K32=$N$13,L32=$N$13),N28,SUMPRODUCT(J32:L32,TRANSPOSE($D$3:$D$5))*IF(H32=$N$14,$D$8,1)),"המוסד אינו עומד בקריטריון לקבלת ניקוד")))</f>
        <v>15.730000000000002</v>
      </c>
      <c r="N32" s="68">
        <f t="shared" ca="1" si="1"/>
        <v>15.730000000000002</v>
      </c>
      <c r="O32" s="39">
        <f t="shared" ca="1" si="4"/>
        <v>0.15190142341193968</v>
      </c>
    </row>
    <row r="33" spans="2:15" x14ac:dyDescent="0.25">
      <c r="B33" s="40">
        <f>'ריכוז נתונים'!C33</f>
        <v>17</v>
      </c>
      <c r="C33" s="40" t="str">
        <f ca="1">'אתר אינטרנט'!C33</f>
        <v/>
      </c>
      <c r="D33" s="67" t="str">
        <f ca="1">IF(C33="","",'ריכוז נתונים'!BG33)</f>
        <v/>
      </c>
      <c r="E33" s="70" t="str">
        <f ca="1">IF(C33="","",'ריכוז נתונים'!BC33)</f>
        <v/>
      </c>
      <c r="F33" s="67" t="str">
        <f ca="1">IF(C33="","",'ריכוז נתונים'!BD33)</f>
        <v/>
      </c>
      <c r="G33" s="67" t="str">
        <f ca="1">IF(C33="","",'ריכוז נתונים'!BE33)</f>
        <v/>
      </c>
      <c r="H33" s="67" t="str">
        <f ca="1">IF(D33="","",'ריכוז נתונים'!BF33)</f>
        <v/>
      </c>
      <c r="I33" s="67" t="str">
        <f ca="1">IF(C33="","",'ריכוז נתונים'!BH33)</f>
        <v/>
      </c>
      <c r="J33" s="71" t="str">
        <f t="shared" ca="1" si="0"/>
        <v/>
      </c>
      <c r="K33" s="71" t="str">
        <f t="shared" ca="1" si="2"/>
        <v/>
      </c>
      <c r="L33" s="72" t="str">
        <f t="shared" ca="1" si="3"/>
        <v/>
      </c>
      <c r="M33" s="73" t="str">
        <f t="array" aca="1" ref="M33" ca="1">IF(C33="","",IF(I33="כן",0,IF(D33="כן",IF(OR(K33=$N$13,L33=$N$13),N29,SUMPRODUCT(J33:L33,TRANSPOSE($D$3:$D$5))*IF(H33=$N$14,$D$8,1)),"המוסד אינו עומד בקריטריון לקבלת ניקוד")))</f>
        <v/>
      </c>
      <c r="N33" s="68" t="str">
        <f t="shared" ca="1" si="1"/>
        <v/>
      </c>
      <c r="O33" s="39" t="str">
        <f t="shared" ca="1" si="4"/>
        <v/>
      </c>
    </row>
    <row r="34" spans="2:15" ht="60" x14ac:dyDescent="0.25">
      <c r="B34" s="40">
        <f>'ריכוז נתונים'!C34</f>
        <v>18</v>
      </c>
      <c r="C34" s="40" t="str">
        <f ca="1">'אתר אינטרנט'!C34</f>
        <v>ישיבת קרלין סטולין</v>
      </c>
      <c r="D34" s="67">
        <f ca="1">IF(C34="","",'ריכוז נתונים'!BG34)</f>
        <v>0</v>
      </c>
      <c r="E34" s="70">
        <f ca="1">IF(C34="","",'ריכוז נתונים'!BC34)</f>
        <v>0</v>
      </c>
      <c r="F34" s="67">
        <f ca="1">IF(C34="","",'ריכוז נתונים'!BD34)</f>
        <v>0</v>
      </c>
      <c r="G34" s="67">
        <f ca="1">IF(C34="","",'ריכוז נתונים'!BE34)</f>
        <v>0</v>
      </c>
      <c r="H34" s="67">
        <f ca="1">IF(D34="","",'ריכוז נתונים'!BF34)</f>
        <v>0</v>
      </c>
      <c r="I34" s="67">
        <f ca="1">IF(C34="","",'ריכוז נתונים'!BH34)</f>
        <v>0</v>
      </c>
      <c r="J34" s="71">
        <f t="shared" ca="1" si="0"/>
        <v>0</v>
      </c>
      <c r="K34" s="71">
        <f t="shared" ca="1" si="2"/>
        <v>0</v>
      </c>
      <c r="L34" s="72">
        <f t="shared" ca="1" si="3"/>
        <v>0</v>
      </c>
      <c r="M34" s="73" t="str">
        <f t="array" aca="1" ref="M34" ca="1">IF(C34="","",IF(I34="כן",0,IF(D34="כן",IF(OR(K34=$N$13,L34=$N$13),N30,SUMPRODUCT(J34:L34,TRANSPOSE($D$3:$D$5))*IF(H34=$N$14,$D$8,1)),"המוסד אינו עומד בקריטריון לקבלת ניקוד")))</f>
        <v>המוסד אינו עומד בקריטריון לקבלת ניקוד</v>
      </c>
      <c r="N34" s="68">
        <f t="shared" ca="1" si="1"/>
        <v>0</v>
      </c>
      <c r="O34" s="39">
        <f t="shared" ca="1" si="4"/>
        <v>0</v>
      </c>
    </row>
    <row r="35" spans="2:15" x14ac:dyDescent="0.25">
      <c r="B35" s="40">
        <f>'ריכוז נתונים'!C35</f>
        <v>19</v>
      </c>
      <c r="C35" s="40" t="str">
        <f ca="1">'אתר אינטרנט'!C35</f>
        <v/>
      </c>
      <c r="D35" s="67" t="str">
        <f ca="1">IF(C35="","",'ריכוז נתונים'!BG35)</f>
        <v/>
      </c>
      <c r="E35" s="70" t="str">
        <f ca="1">IF(C35="","",'ריכוז נתונים'!BC35)</f>
        <v/>
      </c>
      <c r="F35" s="67" t="str">
        <f ca="1">IF(C35="","",'ריכוז נתונים'!BD35)</f>
        <v/>
      </c>
      <c r="G35" s="67" t="str">
        <f ca="1">IF(C35="","",'ריכוז נתונים'!BE35)</f>
        <v/>
      </c>
      <c r="H35" s="67" t="str">
        <f ca="1">IF(D35="","",'ריכוז נתונים'!BF35)</f>
        <v/>
      </c>
      <c r="I35" s="67" t="str">
        <f ca="1">IF(C35="","",'ריכוז נתונים'!BH35)</f>
        <v/>
      </c>
      <c r="J35" s="71" t="str">
        <f t="shared" ca="1" si="0"/>
        <v/>
      </c>
      <c r="K35" s="71" t="str">
        <f t="shared" ca="1" si="2"/>
        <v/>
      </c>
      <c r="L35" s="72" t="str">
        <f t="shared" ca="1" si="3"/>
        <v/>
      </c>
      <c r="M35" s="73" t="str">
        <f t="array" aca="1" ref="M35" ca="1">IF(C35="","",IF(I35="כן",0,IF(D35="כן",IF(OR(K35=$N$13,L35=$N$13),N31,SUMPRODUCT(J35:L35,TRANSPOSE($D$3:$D$5))*IF(H35=$N$14,$D$8,1)),"המוסד אינו עומד בקריטריון לקבלת ניקוד")))</f>
        <v/>
      </c>
      <c r="N35" s="68" t="str">
        <f t="shared" ca="1" si="1"/>
        <v/>
      </c>
      <c r="O35" s="39" t="str">
        <f t="shared" ca="1" si="4"/>
        <v/>
      </c>
    </row>
    <row r="36" spans="2:15" x14ac:dyDescent="0.25">
      <c r="B36" s="40">
        <f>'ריכוז נתונים'!C36</f>
        <v>20</v>
      </c>
      <c r="C36" s="40" t="str">
        <f ca="1">'אתר אינטרנט'!C36</f>
        <v/>
      </c>
      <c r="D36" s="67" t="str">
        <f ca="1">IF(C36="","",'ריכוז נתונים'!BG36)</f>
        <v/>
      </c>
      <c r="E36" s="70" t="str">
        <f ca="1">IF(C36="","",'ריכוז נתונים'!BC36)</f>
        <v/>
      </c>
      <c r="F36" s="67" t="str">
        <f ca="1">IF(C36="","",'ריכוז נתונים'!BD36)</f>
        <v/>
      </c>
      <c r="G36" s="67" t="str">
        <f ca="1">IF(C36="","",'ריכוז נתונים'!BE36)</f>
        <v/>
      </c>
      <c r="H36" s="67" t="str">
        <f ca="1">IF(D36="","",'ריכוז נתונים'!BF36)</f>
        <v/>
      </c>
      <c r="I36" s="67" t="str">
        <f ca="1">IF(C36="","",'ריכוז נתונים'!BH36)</f>
        <v/>
      </c>
      <c r="J36" s="71" t="str">
        <f t="shared" ca="1" si="0"/>
        <v/>
      </c>
      <c r="K36" s="71" t="str">
        <f t="shared" ca="1" si="2"/>
        <v/>
      </c>
      <c r="L36" s="72" t="str">
        <f t="shared" ca="1" si="3"/>
        <v/>
      </c>
      <c r="M36" s="73" t="str">
        <f t="array" aca="1" ref="M36" ca="1">IF(C36="","",IF(I36="כן",0,IF(D36="כן",IF(OR(K36=$N$13,L36=$N$13),N32,SUMPRODUCT(J36:L36,TRANSPOSE($D$3:$D$5))*IF(H36=$N$14,$D$8,1)),"המוסד אינו עומד בקריטריון לקבלת ניקוד")))</f>
        <v/>
      </c>
      <c r="N36" s="68" t="str">
        <f t="shared" ca="1" si="1"/>
        <v/>
      </c>
      <c r="O36" s="39" t="str">
        <f t="shared" ca="1" si="4"/>
        <v/>
      </c>
    </row>
    <row r="37" spans="2:15" ht="60" x14ac:dyDescent="0.25">
      <c r="B37" s="40">
        <f>'ריכוז נתונים'!C37</f>
        <v>21</v>
      </c>
      <c r="C37" s="40" t="str">
        <f ca="1">'אתר אינטרנט'!C37</f>
        <v>ברית יוצאי מרוקו</v>
      </c>
      <c r="D37" s="67">
        <f ca="1">IF(C37="","",'ריכוז נתונים'!BG37)</f>
        <v>0</v>
      </c>
      <c r="E37" s="70">
        <f ca="1">IF(C37="","",'ריכוז נתונים'!BC37)</f>
        <v>0</v>
      </c>
      <c r="F37" s="67">
        <f ca="1">IF(C37="","",'ריכוז נתונים'!BD37)</f>
        <v>0</v>
      </c>
      <c r="G37" s="67">
        <f ca="1">IF(C37="","",'ריכוז נתונים'!BE37)</f>
        <v>0</v>
      </c>
      <c r="H37" s="67">
        <f ca="1">IF(D37="","",'ריכוז נתונים'!BF37)</f>
        <v>0</v>
      </c>
      <c r="I37" s="67">
        <f ca="1">IF(C37="","",'ריכוז נתונים'!BH37)</f>
        <v>0</v>
      </c>
      <c r="J37" s="71">
        <f t="shared" ca="1" si="0"/>
        <v>0</v>
      </c>
      <c r="K37" s="71">
        <f t="shared" ca="1" si="2"/>
        <v>0</v>
      </c>
      <c r="L37" s="72">
        <f t="shared" ca="1" si="3"/>
        <v>0</v>
      </c>
      <c r="M37" s="73" t="str">
        <f t="array" aca="1" ref="M37" ca="1">IF(C37="","",IF(I37="כן",0,IF(D37="כן",IF(OR(K37=$N$13,L37=$N$13),N33,SUMPRODUCT(J37:L37,TRANSPOSE($D$3:$D$5))*IF(H37=$N$14,$D$8,1)),"המוסד אינו עומד בקריטריון לקבלת ניקוד")))</f>
        <v>המוסד אינו עומד בקריטריון לקבלת ניקוד</v>
      </c>
      <c r="N37" s="68">
        <f t="shared" ca="1" si="1"/>
        <v>0</v>
      </c>
      <c r="O37" s="39">
        <f t="shared" ca="1" si="4"/>
        <v>0</v>
      </c>
    </row>
    <row r="38" spans="2:15" ht="60" x14ac:dyDescent="0.25">
      <c r="B38" s="40">
        <f>'ריכוז נתונים'!C38</f>
        <v>22</v>
      </c>
      <c r="C38" s="40" t="str">
        <f ca="1">'אתר אינטרנט'!C38</f>
        <v>הקם - בית הקונפדרציה</v>
      </c>
      <c r="D38" s="67">
        <f ca="1">IF(C38="","",'ריכוז נתונים'!BG38)</f>
        <v>0</v>
      </c>
      <c r="E38" s="70">
        <f ca="1">IF(C38="","",'ריכוז נתונים'!BC38)</f>
        <v>0</v>
      </c>
      <c r="F38" s="67">
        <f ca="1">IF(C38="","",'ריכוז נתונים'!BD38)</f>
        <v>0</v>
      </c>
      <c r="G38" s="67">
        <f ca="1">IF(C38="","",'ריכוז נתונים'!BE38)</f>
        <v>0</v>
      </c>
      <c r="H38" s="67">
        <f ca="1">IF(D38="","",'ריכוז נתונים'!BF38)</f>
        <v>0</v>
      </c>
      <c r="I38" s="67">
        <f ca="1">IF(C38="","",'ריכוז נתונים'!BH38)</f>
        <v>0</v>
      </c>
      <c r="J38" s="71">
        <f t="shared" ca="1" si="0"/>
        <v>0</v>
      </c>
      <c r="K38" s="71">
        <f t="shared" ca="1" si="2"/>
        <v>0</v>
      </c>
      <c r="L38" s="72">
        <f t="shared" ca="1" si="3"/>
        <v>0</v>
      </c>
      <c r="M38" s="73" t="str">
        <f t="array" aca="1" ref="M38" ca="1">IF(C38="","",IF(I38="כן",0,IF(D38="כן",IF(OR(K38=$N$13,L38=$N$13),N34,SUMPRODUCT(J38:L38,TRANSPOSE($D$3:$D$5))*IF(H38=$N$14,$D$8,1)),"המוסד אינו עומד בקריטריון לקבלת ניקוד")))</f>
        <v>המוסד אינו עומד בקריטריון לקבלת ניקוד</v>
      </c>
      <c r="N38" s="68">
        <f t="shared" ca="1" si="1"/>
        <v>0</v>
      </c>
      <c r="O38" s="39">
        <f t="shared" ca="1" si="4"/>
        <v>0</v>
      </c>
    </row>
    <row r="39" spans="2:15" ht="60" x14ac:dyDescent="0.25">
      <c r="B39" s="40">
        <f>'ריכוז נתונים'!C39</f>
        <v>23</v>
      </c>
      <c r="C39" s="40" t="str">
        <f ca="1">'אתר אינטרנט'!C39</f>
        <v>מוסיקה מזרח מערב</v>
      </c>
      <c r="D39" s="67">
        <f ca="1">IF(C39="","",'ריכוז נתונים'!BG39)</f>
        <v>0</v>
      </c>
      <c r="E39" s="70">
        <f ca="1">IF(C39="","",'ריכוז נתונים'!BC39)</f>
        <v>0</v>
      </c>
      <c r="F39" s="67">
        <f ca="1">IF(C39="","",'ריכוז נתונים'!BD39)</f>
        <v>0</v>
      </c>
      <c r="G39" s="67">
        <f ca="1">IF(C39="","",'ריכוז נתונים'!BE39)</f>
        <v>0</v>
      </c>
      <c r="H39" s="67">
        <f ca="1">IF(D39="","",'ריכוז נתונים'!BF39)</f>
        <v>0</v>
      </c>
      <c r="I39" s="67">
        <f ca="1">IF(C39="","",'ריכוז נתונים'!BH39)</f>
        <v>0</v>
      </c>
      <c r="J39" s="71">
        <f t="shared" ca="1" si="0"/>
        <v>0</v>
      </c>
      <c r="K39" s="71">
        <f t="shared" ca="1" si="2"/>
        <v>0</v>
      </c>
      <c r="L39" s="72">
        <f t="shared" ca="1" si="3"/>
        <v>0</v>
      </c>
      <c r="M39" s="73" t="str">
        <f t="array" aca="1" ref="M39" ca="1">IF(C39="","",IF(I39="כן",0,IF(D39="כן",IF(OR(K39=$N$13,L39=$N$13),N35,SUMPRODUCT(J39:L39,TRANSPOSE($D$3:$D$5))*IF(H39=$N$14,$D$8,1)),"המוסד אינו עומד בקריטריון לקבלת ניקוד")))</f>
        <v>המוסד אינו עומד בקריטריון לקבלת ניקוד</v>
      </c>
      <c r="N39" s="68">
        <f t="shared" ca="1" si="1"/>
        <v>0</v>
      </c>
      <c r="O39" s="39">
        <f t="shared" ca="1" si="4"/>
        <v>0</v>
      </c>
    </row>
    <row r="40" spans="2:15" x14ac:dyDescent="0.25">
      <c r="B40" s="40">
        <f>'ריכוז נתונים'!C40</f>
        <v>24</v>
      </c>
      <c r="C40" s="40" t="str">
        <f ca="1">'אתר אינטרנט'!C40</f>
        <v>אעלה בתמר</v>
      </c>
      <c r="D40" s="67" t="str">
        <f ca="1">IF(C40="","",'ריכוז נתונים'!BG40)</f>
        <v>כן</v>
      </c>
      <c r="E40" s="70" t="str">
        <f ca="1">IF(C40="","",'ריכוז נתונים'!BC40)</f>
        <v>מעל 4 בשנה</v>
      </c>
      <c r="F40" s="67">
        <f ca="1">IF(C40="","",'ריכוז נתונים'!BD40)</f>
        <v>36</v>
      </c>
      <c r="G40" s="67">
        <f ca="1">IF(C40="","",'ריכוז נתונים'!BE40)</f>
        <v>70</v>
      </c>
      <c r="H40" s="67" t="str">
        <f ca="1">IF(D40="","",'ריכוז נתונים'!BF40)</f>
        <v>כן</v>
      </c>
      <c r="I40" s="67" t="str">
        <f ca="1">IF(C40="","",'ריכוז נתונים'!BH40)</f>
        <v>לא</v>
      </c>
      <c r="J40" s="71">
        <f t="shared" ca="1" si="0"/>
        <v>16</v>
      </c>
      <c r="K40" s="71">
        <f t="shared" ca="1" si="2"/>
        <v>10</v>
      </c>
      <c r="L40" s="72">
        <f t="shared" ca="1" si="3"/>
        <v>0.35000000000000003</v>
      </c>
      <c r="M40" s="73">
        <f t="array" aca="1" ref="M40" ca="1">IF(C40="","",IF(I40="כן",0,IF(D40="כן",IF(OR(K40=$N$13,L40=$N$13),N36,SUMPRODUCT(J40:L40,TRANSPOSE($D$3:$D$5))*IF(H40=$N$14,$D$8,1)),"המוסד אינו עומד בקריטריון לקבלת ניקוד")))</f>
        <v>8.734</v>
      </c>
      <c r="N40" s="68">
        <f t="shared" ca="1" si="1"/>
        <v>8.734</v>
      </c>
      <c r="O40" s="39">
        <f t="shared" ca="1" si="4"/>
        <v>8.4342468663692369E-2</v>
      </c>
    </row>
    <row r="41" spans="2:15" x14ac:dyDescent="0.25">
      <c r="B41" s="40">
        <f>'ריכוז נתונים'!C41</f>
        <v>25</v>
      </c>
      <c r="C41" s="40" t="str">
        <f ca="1">'אתר אינטרנט'!C41</f>
        <v/>
      </c>
      <c r="D41" s="67" t="str">
        <f ca="1">IF(C41="","",'ריכוז נתונים'!BG41)</f>
        <v/>
      </c>
      <c r="E41" s="70" t="str">
        <f ca="1">IF(C41="","",'ריכוז נתונים'!BC41)</f>
        <v/>
      </c>
      <c r="F41" s="67" t="str">
        <f ca="1">IF(C41="","",'ריכוז נתונים'!BD41)</f>
        <v/>
      </c>
      <c r="G41" s="67" t="str">
        <f ca="1">IF(C41="","",'ריכוז נתונים'!BE41)</f>
        <v/>
      </c>
      <c r="H41" s="67" t="str">
        <f ca="1">IF(D41="","",'ריכוז נתונים'!BF41)</f>
        <v/>
      </c>
      <c r="I41" s="67" t="str">
        <f ca="1">IF(C41="","",'ריכוז נתונים'!BH41)</f>
        <v/>
      </c>
      <c r="J41" s="71" t="str">
        <f t="shared" ca="1" si="0"/>
        <v/>
      </c>
      <c r="K41" s="71" t="str">
        <f t="shared" ca="1" si="2"/>
        <v/>
      </c>
      <c r="L41" s="72" t="str">
        <f t="shared" ca="1" si="3"/>
        <v/>
      </c>
      <c r="M41" s="73" t="str">
        <f t="array" aca="1" ref="M41" ca="1">IF(C41="","",IF(I41="כן",0,IF(D41="כן",IF(OR(K41=$N$13,L41=$N$13),N37,SUMPRODUCT(J41:L41,TRANSPOSE($D$3:$D$5))*IF(H41=$N$14,$D$8,1)),"המוסד אינו עומד בקריטריון לקבלת ניקוד")))</f>
        <v/>
      </c>
      <c r="N41" s="68" t="str">
        <f t="shared" ca="1" si="1"/>
        <v/>
      </c>
      <c r="O41" s="39" t="str">
        <f t="shared" ca="1" si="4"/>
        <v/>
      </c>
    </row>
    <row r="42" spans="2:15" x14ac:dyDescent="0.25">
      <c r="B42" s="40">
        <f>'ריכוז נתונים'!C42</f>
        <v>26</v>
      </c>
      <c r="C42" s="40" t="str">
        <f ca="1">'אתר אינטרנט'!C42</f>
        <v/>
      </c>
      <c r="D42" s="67" t="str">
        <f ca="1">IF(C42="","",'ריכוז נתונים'!BG42)</f>
        <v/>
      </c>
      <c r="E42" s="70" t="str">
        <f ca="1">IF(C42="","",'ריכוז נתונים'!BC42)</f>
        <v/>
      </c>
      <c r="F42" s="67" t="str">
        <f ca="1">IF(C42="","",'ריכוז נתונים'!BD42)</f>
        <v/>
      </c>
      <c r="G42" s="67" t="str">
        <f ca="1">IF(C42="","",'ריכוז נתונים'!BE42)</f>
        <v/>
      </c>
      <c r="H42" s="67" t="str">
        <f ca="1">IF(D42="","",'ריכוז נתונים'!BF42)</f>
        <v/>
      </c>
      <c r="I42" s="67" t="str">
        <f ca="1">IF(C42="","",'ריכוז נתונים'!BH42)</f>
        <v/>
      </c>
      <c r="J42" s="71" t="str">
        <f t="shared" ca="1" si="0"/>
        <v/>
      </c>
      <c r="K42" s="71" t="str">
        <f t="shared" ca="1" si="2"/>
        <v/>
      </c>
      <c r="L42" s="72" t="str">
        <f t="shared" ca="1" si="3"/>
        <v/>
      </c>
      <c r="M42" s="73" t="str">
        <f t="array" aca="1" ref="M42" ca="1">IF(C42="","",IF(I42="כן",0,IF(D42="כן",IF(OR(K42=$N$13,L42=$N$13),N38,SUMPRODUCT(J42:L42,TRANSPOSE($D$3:$D$5))*IF(H42=$N$14,$D$8,1)),"המוסד אינו עומד בקריטריון לקבלת ניקוד")))</f>
        <v/>
      </c>
      <c r="N42" s="68" t="str">
        <f t="shared" ca="1" si="1"/>
        <v/>
      </c>
      <c r="O42" s="39" t="str">
        <f t="shared" ca="1" si="4"/>
        <v/>
      </c>
    </row>
    <row r="43" spans="2:15" ht="60" x14ac:dyDescent="0.25">
      <c r="B43" s="40">
        <f>'ריכוז נתונים'!C43</f>
        <v>27</v>
      </c>
      <c r="C43" s="40" t="str">
        <f ca="1">'אתר אינטרנט'!C43</f>
        <v>מכון הברמן</v>
      </c>
      <c r="D43" s="67" t="str">
        <f ca="1">IF(C43="","",'ריכוז נתונים'!BG43)</f>
        <v>לא</v>
      </c>
      <c r="E43" s="70" t="str">
        <f ca="1">IF(C43="","",'ריכוז נתונים'!BC43)</f>
        <v>שניים בשנה</v>
      </c>
      <c r="F43" s="67">
        <f ca="1">IF(C43="","",'ריכוז נתונים'!BD43)</f>
        <v>125</v>
      </c>
      <c r="G43" s="67">
        <f ca="1">IF(C43="","",'ריכוז נתונים'!BE43)</f>
        <v>500</v>
      </c>
      <c r="H43" s="67" t="str">
        <f ca="1">IF(D43="","",'ריכוז נתונים'!BF43)</f>
        <v>כן</v>
      </c>
      <c r="I43" s="67" t="str">
        <f ca="1">IF(C43="","",'ריכוז נתונים'!BH43)</f>
        <v>לא</v>
      </c>
      <c r="J43" s="71">
        <f t="shared" ca="1" si="0"/>
        <v>8</v>
      </c>
      <c r="K43" s="71">
        <f t="shared" ca="1" si="2"/>
        <v>15</v>
      </c>
      <c r="L43" s="72">
        <f t="shared" ca="1" si="3"/>
        <v>2.5</v>
      </c>
      <c r="M43" s="73" t="str">
        <f t="array" aca="1" ref="M43" ca="1">IF(C43="","",IF(I43="כן",0,IF(D43="כן",IF(OR(K43=$N$13,L43=$N$13),N39,SUMPRODUCT(J43:L43,TRANSPOSE($D$3:$D$5))*IF(H43=$N$14,$D$8,1)),"המוסד אינו עומד בקריטריון לקבלת ניקוד")))</f>
        <v>המוסד אינו עומד בקריטריון לקבלת ניקוד</v>
      </c>
      <c r="N43" s="68">
        <f t="shared" ca="1" si="1"/>
        <v>0</v>
      </c>
      <c r="O43" s="39">
        <f t="shared" ca="1" si="4"/>
        <v>0</v>
      </c>
    </row>
    <row r="44" spans="2:15" x14ac:dyDescent="0.25">
      <c r="B44" s="40">
        <f>'ריכוז נתונים'!C44</f>
        <v>28</v>
      </c>
      <c r="C44" s="40" t="str">
        <f ca="1">'אתר אינטרנט'!C44</f>
        <v/>
      </c>
      <c r="D44" s="67" t="str">
        <f ca="1">IF(C44="","",'ריכוז נתונים'!BG44)</f>
        <v/>
      </c>
      <c r="E44" s="70" t="str">
        <f ca="1">IF(C44="","",'ריכוז נתונים'!BC44)</f>
        <v/>
      </c>
      <c r="F44" s="67" t="str">
        <f ca="1">IF(C44="","",'ריכוז נתונים'!BD44)</f>
        <v/>
      </c>
      <c r="G44" s="67" t="str">
        <f ca="1">IF(C44="","",'ריכוז נתונים'!BE44)</f>
        <v/>
      </c>
      <c r="H44" s="67" t="str">
        <f ca="1">IF(D44="","",'ריכוז נתונים'!BF44)</f>
        <v/>
      </c>
      <c r="I44" s="67" t="str">
        <f ca="1">IF(C44="","",'ריכוז נתונים'!BH44)</f>
        <v/>
      </c>
      <c r="J44" s="71" t="str">
        <f t="shared" ca="1" si="0"/>
        <v/>
      </c>
      <c r="K44" s="71" t="str">
        <f t="shared" ca="1" si="2"/>
        <v/>
      </c>
      <c r="L44" s="72" t="str">
        <f t="shared" ca="1" si="3"/>
        <v/>
      </c>
      <c r="M44" s="73" t="str">
        <f t="array" aca="1" ref="M44" ca="1">IF(C44="","",IF(I44="כן",0,IF(D44="כן",IF(OR(K44=$N$13,L44=$N$13),N40,SUMPRODUCT(J44:L44,TRANSPOSE($D$3:$D$5))*IF(H44=$N$14,$D$8,1)),"המוסד אינו עומד בקריטריון לקבלת ניקוד")))</f>
        <v/>
      </c>
      <c r="N44" s="68" t="str">
        <f t="shared" ca="1" si="1"/>
        <v/>
      </c>
      <c r="O44" s="39" t="str">
        <f t="shared" ca="1" si="4"/>
        <v/>
      </c>
    </row>
    <row r="45" spans="2:15" x14ac:dyDescent="0.25">
      <c r="B45" s="40">
        <f>'ריכוז נתונים'!C45</f>
        <v>29</v>
      </c>
      <c r="C45" s="40" t="str">
        <f ca="1">'אתר אינטרנט'!C45</f>
        <v/>
      </c>
      <c r="D45" s="67" t="str">
        <f ca="1">IF(C45="","",'ריכוז נתונים'!BG45)</f>
        <v/>
      </c>
      <c r="E45" s="70" t="str">
        <f ca="1">IF(C45="","",'ריכוז נתונים'!BC45)</f>
        <v/>
      </c>
      <c r="F45" s="67" t="str">
        <f ca="1">IF(C45="","",'ריכוז נתונים'!BD45)</f>
        <v/>
      </c>
      <c r="G45" s="67" t="str">
        <f ca="1">IF(C45="","",'ריכוז נתונים'!BE45)</f>
        <v/>
      </c>
      <c r="H45" s="67" t="str">
        <f ca="1">IF(D45="","",'ריכוז נתונים'!BF45)</f>
        <v/>
      </c>
      <c r="I45" s="67" t="str">
        <f ca="1">IF(C45="","",'ריכוז נתונים'!BH45)</f>
        <v/>
      </c>
      <c r="J45" s="71" t="str">
        <f t="shared" ca="1" si="0"/>
        <v/>
      </c>
      <c r="K45" s="71" t="str">
        <f t="shared" ca="1" si="2"/>
        <v/>
      </c>
      <c r="L45" s="72" t="str">
        <f t="shared" ca="1" si="3"/>
        <v/>
      </c>
      <c r="M45" s="73" t="str">
        <f t="array" aca="1" ref="M45" ca="1">IF(C45="","",IF(I45="כן",0,IF(D45="כן",IF(OR(K45=$N$13,L45=$N$13),N41,SUMPRODUCT(J45:L45,TRANSPOSE($D$3:$D$5))*IF(H45=$N$14,$D$8,1)),"המוסד אינו עומד בקריטריון לקבלת ניקוד")))</f>
        <v/>
      </c>
      <c r="N45" s="68" t="str">
        <f t="shared" ca="1" si="1"/>
        <v/>
      </c>
      <c r="O45" s="39" t="str">
        <f t="shared" ca="1" si="4"/>
        <v/>
      </c>
    </row>
    <row r="46" spans="2:15" x14ac:dyDescent="0.25">
      <c r="B46" s="40">
        <f>'ריכוז נתונים'!C46</f>
        <v>30</v>
      </c>
      <c r="C46" s="40" t="str">
        <f ca="1">'אתר אינטרנט'!C46</f>
        <v/>
      </c>
      <c r="D46" s="67" t="str">
        <f ca="1">IF(C46="","",'ריכוז נתונים'!BG46)</f>
        <v/>
      </c>
      <c r="E46" s="70" t="str">
        <f ca="1">IF(C46="","",'ריכוז נתונים'!BC46)</f>
        <v/>
      </c>
      <c r="F46" s="67" t="str">
        <f ca="1">IF(C46="","",'ריכוז נתונים'!BD46)</f>
        <v/>
      </c>
      <c r="G46" s="67" t="str">
        <f ca="1">IF(C46="","",'ריכוז נתונים'!BE46)</f>
        <v/>
      </c>
      <c r="H46" s="67" t="str">
        <f ca="1">IF(D46="","",'ריכוז נתונים'!BF46)</f>
        <v/>
      </c>
      <c r="I46" s="67" t="str">
        <f ca="1">IF(C46="","",'ריכוז נתונים'!BH46)</f>
        <v/>
      </c>
      <c r="J46" s="71" t="str">
        <f t="shared" ca="1" si="0"/>
        <v/>
      </c>
      <c r="K46" s="71" t="str">
        <f t="shared" ca="1" si="2"/>
        <v/>
      </c>
      <c r="L46" s="72" t="str">
        <f t="shared" ca="1" si="3"/>
        <v/>
      </c>
      <c r="M46" s="73" t="str">
        <f t="array" aca="1" ref="M46" ca="1">IF(C46="","",IF(I46="כן",0,IF(D46="כן",IF(OR(K46=$N$13,L46=$N$13),N42,SUMPRODUCT(J46:L46,TRANSPOSE($D$3:$D$5))*IF(H46=$N$14,$D$8,1)),"המוסד אינו עומד בקריטריון לקבלת ניקוד")))</f>
        <v/>
      </c>
      <c r="N46" s="68" t="str">
        <f t="shared" ca="1" si="1"/>
        <v/>
      </c>
      <c r="O46" s="39" t="str">
        <f t="shared" ca="1" si="4"/>
        <v/>
      </c>
    </row>
    <row r="47" spans="2:15" ht="60" x14ac:dyDescent="0.25">
      <c r="B47" s="40">
        <f>'ריכוז נתונים'!C47</f>
        <v>31</v>
      </c>
      <c r="C47" s="40" t="str">
        <f ca="1">'אתר אינטרנט'!C47</f>
        <v>כולנא</v>
      </c>
      <c r="D47" s="67" t="str">
        <f ca="1">IF(C47="","",'ריכוז נתונים'!BG47)</f>
        <v>לא</v>
      </c>
      <c r="E47" s="70" t="str">
        <f ca="1">IF(C47="","",'ריכוז נתונים'!BC47)</f>
        <v>אחד בשנה</v>
      </c>
      <c r="F47" s="67">
        <f ca="1">IF(C47="","",'ריכוז נתונים'!BD47)</f>
        <v>80</v>
      </c>
      <c r="G47" s="67">
        <f ca="1">IF(C47="","",'ריכוז נתונים'!BE47)</f>
        <v>150</v>
      </c>
      <c r="H47" s="67" t="str">
        <f ca="1">IF(D47="","",'ריכוז נתונים'!BF47)</f>
        <v>לא</v>
      </c>
      <c r="I47" s="67" t="str">
        <f ca="1">IF(C47="","",'ריכוז נתונים'!BH47)</f>
        <v>לא</v>
      </c>
      <c r="J47" s="71">
        <f t="shared" ca="1" si="0"/>
        <v>4</v>
      </c>
      <c r="K47" s="71">
        <f t="shared" ca="1" si="2"/>
        <v>15</v>
      </c>
      <c r="L47" s="72">
        <f t="shared" ca="1" si="3"/>
        <v>0.75</v>
      </c>
      <c r="M47" s="73" t="str">
        <f t="array" aca="1" ref="M47" ca="1">IF(C47="","",IF(I47="כן",0,IF(D47="כן",IF(OR(K47=$N$13,L47=$N$13),N43,SUMPRODUCT(J47:L47,TRANSPOSE($D$3:$D$5))*IF(H47=$N$14,$D$8,1)),"המוסד אינו עומד בקריטריון לקבלת ניקוד")))</f>
        <v>המוסד אינו עומד בקריטריון לקבלת ניקוד</v>
      </c>
      <c r="N47" s="68">
        <f t="shared" ca="1" si="1"/>
        <v>0</v>
      </c>
      <c r="O47" s="39">
        <f t="shared" ca="1" si="4"/>
        <v>0</v>
      </c>
    </row>
    <row r="48" spans="2:15" x14ac:dyDescent="0.25">
      <c r="B48" s="40">
        <f>'ריכוז נתונים'!C48</f>
        <v>32</v>
      </c>
      <c r="C48" s="40" t="str">
        <f ca="1">'אתר אינטרנט'!C48</f>
        <v/>
      </c>
      <c r="D48" s="67" t="str">
        <f ca="1">IF(C48="","",'ריכוז נתונים'!BG48)</f>
        <v/>
      </c>
      <c r="E48" s="70" t="str">
        <f ca="1">IF(C48="","",'ריכוז נתונים'!BC48)</f>
        <v/>
      </c>
      <c r="F48" s="67" t="str">
        <f ca="1">IF(C48="","",'ריכוז נתונים'!BD48)</f>
        <v/>
      </c>
      <c r="G48" s="67" t="str">
        <f ca="1">IF(C48="","",'ריכוז נתונים'!BE48)</f>
        <v/>
      </c>
      <c r="H48" s="67" t="str">
        <f ca="1">IF(D48="","",'ריכוז נתונים'!BF48)</f>
        <v/>
      </c>
      <c r="I48" s="67" t="str">
        <f ca="1">IF(C48="","",'ריכוז נתונים'!BH48)</f>
        <v/>
      </c>
      <c r="J48" s="71" t="str">
        <f t="shared" ca="1" si="0"/>
        <v/>
      </c>
      <c r="K48" s="71" t="str">
        <f t="shared" ca="1" si="2"/>
        <v/>
      </c>
      <c r="L48" s="72" t="str">
        <f t="shared" ca="1" si="3"/>
        <v/>
      </c>
      <c r="M48" s="73" t="str">
        <f t="array" aca="1" ref="M48" ca="1">IF(C48="","",IF(I48="כן",0,IF(D48="כן",IF(OR(K48=$N$13,L48=$N$13),N44,SUMPRODUCT(J48:L48,TRANSPOSE($D$3:$D$5))*IF(H48=$N$14,$D$8,1)),"המוסד אינו עומד בקריטריון לקבלת ניקוד")))</f>
        <v/>
      </c>
      <c r="N48" s="68" t="str">
        <f t="shared" ca="1" si="1"/>
        <v/>
      </c>
      <c r="O48" s="39" t="str">
        <f t="shared" ca="1" si="4"/>
        <v/>
      </c>
    </row>
    <row r="49" spans="2:15" x14ac:dyDescent="0.25">
      <c r="B49" s="40">
        <f>'ריכוז נתונים'!C49</f>
        <v>33</v>
      </c>
      <c r="C49" s="40" t="str">
        <f ca="1">'אתר אינטרנט'!C49</f>
        <v/>
      </c>
      <c r="D49" s="67" t="str">
        <f ca="1">IF(C49="","",'ריכוז נתונים'!BG49)</f>
        <v/>
      </c>
      <c r="E49" s="70" t="str">
        <f ca="1">IF(C49="","",'ריכוז נתונים'!BC49)</f>
        <v/>
      </c>
      <c r="F49" s="67" t="str">
        <f ca="1">IF(C49="","",'ריכוז נתונים'!BD49)</f>
        <v/>
      </c>
      <c r="G49" s="67" t="str">
        <f ca="1">IF(C49="","",'ריכוז נתונים'!BE49)</f>
        <v/>
      </c>
      <c r="H49" s="67" t="str">
        <f ca="1">IF(D49="","",'ריכוז נתונים'!BF49)</f>
        <v/>
      </c>
      <c r="I49" s="67" t="str">
        <f ca="1">IF(C49="","",'ריכוז נתונים'!BH49)</f>
        <v/>
      </c>
      <c r="J49" s="71" t="str">
        <f t="shared" ref="J49:J76" ca="1" si="5">IF(C49="","",IFERROR(VLOOKUP(E49,$F$3:$H$6,3,FALSE),0))</f>
        <v/>
      </c>
      <c r="K49" s="71" t="str">
        <f t="shared" ca="1" si="2"/>
        <v/>
      </c>
      <c r="L49" s="72" t="str">
        <f t="shared" ca="1" si="3"/>
        <v/>
      </c>
      <c r="M49" s="73" t="str">
        <f t="array" aca="1" ref="M49" ca="1">IF(C49="","",IF(I49="כן",0,IF(D49="כן",IF(OR(K49=$N$13,L49=$N$13),N45,SUMPRODUCT(J49:L49,TRANSPOSE($D$3:$D$5))*IF(H49=$N$14,$D$8,1)),"המוסד אינו עומד בקריטריון לקבלת ניקוד")))</f>
        <v/>
      </c>
      <c r="N49" s="68" t="str">
        <f t="shared" ca="1" si="1"/>
        <v/>
      </c>
      <c r="O49" s="39" t="str">
        <f t="shared" ca="1" si="4"/>
        <v/>
      </c>
    </row>
    <row r="50" spans="2:15" x14ac:dyDescent="0.25">
      <c r="B50" s="40">
        <f>'ריכוז נתונים'!C50</f>
        <v>34</v>
      </c>
      <c r="C50" s="40" t="str">
        <f ca="1">'אתר אינטרנט'!C50</f>
        <v/>
      </c>
      <c r="D50" s="67" t="str">
        <f ca="1">IF(C50="","",'ריכוז נתונים'!BG50)</f>
        <v/>
      </c>
      <c r="E50" s="70" t="str">
        <f ca="1">IF(C50="","",'ריכוז נתונים'!BC50)</f>
        <v/>
      </c>
      <c r="F50" s="67" t="str">
        <f ca="1">IF(C50="","",'ריכוז נתונים'!BD50)</f>
        <v/>
      </c>
      <c r="G50" s="67" t="str">
        <f ca="1">IF(C50="","",'ריכוז נתונים'!BE50)</f>
        <v/>
      </c>
      <c r="H50" s="67" t="str">
        <f ca="1">IF(D50="","",'ריכוז נתונים'!BF50)</f>
        <v/>
      </c>
      <c r="I50" s="67" t="str">
        <f ca="1">IF(C50="","",'ריכוז נתונים'!BH50)</f>
        <v/>
      </c>
      <c r="J50" s="71" t="str">
        <f t="shared" ca="1" si="5"/>
        <v/>
      </c>
      <c r="K50" s="71" t="str">
        <f t="shared" ca="1" si="2"/>
        <v/>
      </c>
      <c r="L50" s="72" t="str">
        <f t="shared" ca="1" si="3"/>
        <v/>
      </c>
      <c r="M50" s="73" t="str">
        <f t="array" aca="1" ref="M50" ca="1">IF(C50="","",IF(I50="כן",0,IF(D50="כן",IF(OR(K50=$N$13,L50=$N$13),N46,SUMPRODUCT(J50:L50,TRANSPOSE($D$3:$D$5))*IF(H50=$N$14,$D$8,1)),"המוסד אינו עומד בקריטריון לקבלת ניקוד")))</f>
        <v/>
      </c>
      <c r="N50" s="68" t="str">
        <f t="shared" ca="1" si="1"/>
        <v/>
      </c>
      <c r="O50" s="39" t="str">
        <f t="shared" ca="1" si="4"/>
        <v/>
      </c>
    </row>
    <row r="51" spans="2:15" x14ac:dyDescent="0.25">
      <c r="B51" s="40">
        <f>'ריכוז נתונים'!C51</f>
        <v>35</v>
      </c>
      <c r="C51" s="40" t="str">
        <f ca="1">'אתר אינטרנט'!C51</f>
        <v/>
      </c>
      <c r="D51" s="67" t="str">
        <f ca="1">IF(C51="","",'ריכוז נתונים'!BG51)</f>
        <v/>
      </c>
      <c r="E51" s="70" t="str">
        <f ca="1">IF(C51="","",'ריכוז נתונים'!BC51)</f>
        <v/>
      </c>
      <c r="F51" s="67" t="str">
        <f ca="1">IF(C51="","",'ריכוז נתונים'!BD51)</f>
        <v/>
      </c>
      <c r="G51" s="67" t="str">
        <f ca="1">IF(C51="","",'ריכוז נתונים'!BE51)</f>
        <v/>
      </c>
      <c r="H51" s="67" t="str">
        <f ca="1">IF(D51="","",'ריכוז נתונים'!BF51)</f>
        <v/>
      </c>
      <c r="I51" s="67" t="str">
        <f ca="1">IF(C51="","",'ריכוז נתונים'!BH51)</f>
        <v/>
      </c>
      <c r="J51" s="71" t="str">
        <f t="shared" ca="1" si="5"/>
        <v/>
      </c>
      <c r="K51" s="71" t="str">
        <f t="shared" ca="1" si="2"/>
        <v/>
      </c>
      <c r="L51" s="72" t="str">
        <f t="shared" ca="1" si="3"/>
        <v/>
      </c>
      <c r="M51" s="73" t="str">
        <f t="array" aca="1" ref="M51" ca="1">IF(C51="","",IF(I51="כן",0,IF(D51="כן",IF(OR(K51=$N$13,L51=$N$13),N47,SUMPRODUCT(J51:L51,TRANSPOSE($D$3:$D$5))*IF(H51=$N$14,$D$8,1)),"המוסד אינו עומד בקריטריון לקבלת ניקוד")))</f>
        <v/>
      </c>
      <c r="N51" s="68" t="str">
        <f t="shared" ca="1" si="1"/>
        <v/>
      </c>
      <c r="O51" s="39" t="str">
        <f t="shared" ca="1" si="4"/>
        <v/>
      </c>
    </row>
    <row r="52" spans="2:15" x14ac:dyDescent="0.25">
      <c r="B52" s="40">
        <f>'ריכוז נתונים'!C52</f>
        <v>36</v>
      </c>
      <c r="C52" s="40" t="str">
        <f ca="1">'אתר אינטרנט'!C52</f>
        <v/>
      </c>
      <c r="D52" s="67" t="str">
        <f ca="1">IF(C52="","",'ריכוז נתונים'!BG52)</f>
        <v/>
      </c>
      <c r="E52" s="70" t="str">
        <f ca="1">IF(C52="","",'ריכוז נתונים'!BC52)</f>
        <v/>
      </c>
      <c r="F52" s="67" t="str">
        <f ca="1">IF(C52="","",'ריכוז נתונים'!BD52)</f>
        <v/>
      </c>
      <c r="G52" s="67" t="str">
        <f ca="1">IF(C52="","",'ריכוז נתונים'!BE52)</f>
        <v/>
      </c>
      <c r="H52" s="67" t="str">
        <f ca="1">IF(D52="","",'ריכוז נתונים'!BF52)</f>
        <v/>
      </c>
      <c r="I52" s="67" t="str">
        <f ca="1">IF(C52="","",'ריכוז נתונים'!BH52)</f>
        <v/>
      </c>
      <c r="J52" s="71" t="str">
        <f t="shared" ca="1" si="5"/>
        <v/>
      </c>
      <c r="K52" s="71" t="str">
        <f t="shared" ca="1" si="2"/>
        <v/>
      </c>
      <c r="L52" s="72" t="str">
        <f t="shared" ca="1" si="3"/>
        <v/>
      </c>
      <c r="M52" s="73" t="str">
        <f t="array" aca="1" ref="M52" ca="1">IF(C52="","",IF(I52="כן",0,IF(D52="כן",IF(OR(K52=$N$13,L52=$N$13),N48,SUMPRODUCT(J52:L52,TRANSPOSE($D$3:$D$5))*IF(H52=$N$14,$D$8,1)),"המוסד אינו עומד בקריטריון לקבלת ניקוד")))</f>
        <v/>
      </c>
      <c r="N52" s="68" t="str">
        <f t="shared" ca="1" si="1"/>
        <v/>
      </c>
      <c r="O52" s="39" t="str">
        <f t="shared" ca="1" si="4"/>
        <v/>
      </c>
    </row>
    <row r="53" spans="2:15" x14ac:dyDescent="0.25">
      <c r="B53" s="40">
        <f>'ריכוז נתונים'!C53</f>
        <v>37</v>
      </c>
      <c r="C53" s="40" t="str">
        <f ca="1">'אתר אינטרנט'!C53</f>
        <v/>
      </c>
      <c r="D53" s="67" t="str">
        <f ca="1">IF(C53="","",'ריכוז נתונים'!BG53)</f>
        <v/>
      </c>
      <c r="E53" s="70" t="str">
        <f ca="1">IF(C53="","",'ריכוז נתונים'!BC53)</f>
        <v/>
      </c>
      <c r="F53" s="67" t="str">
        <f ca="1">IF(C53="","",'ריכוז נתונים'!BD53)</f>
        <v/>
      </c>
      <c r="G53" s="67" t="str">
        <f ca="1">IF(C53="","",'ריכוז נתונים'!BE53)</f>
        <v/>
      </c>
      <c r="H53" s="67" t="str">
        <f ca="1">IF(D53="","",'ריכוז נתונים'!BF53)</f>
        <v/>
      </c>
      <c r="I53" s="67" t="str">
        <f ca="1">IF(C53="","",'ריכוז נתונים'!BH53)</f>
        <v/>
      </c>
      <c r="J53" s="71" t="str">
        <f t="shared" ca="1" si="5"/>
        <v/>
      </c>
      <c r="K53" s="71" t="str">
        <f t="shared" ca="1" si="2"/>
        <v/>
      </c>
      <c r="L53" s="72" t="str">
        <f t="shared" ca="1" si="3"/>
        <v/>
      </c>
      <c r="M53" s="73" t="str">
        <f t="array" aca="1" ref="M53" ca="1">IF(C53="","",IF(I53="כן",0,IF(D53="כן",IF(OR(K53=$N$13,L53=$N$13),N49,SUMPRODUCT(J53:L53,TRANSPOSE($D$3:$D$5))*IF(H53=$N$14,$D$8,1)),"המוסד אינו עומד בקריטריון לקבלת ניקוד")))</f>
        <v/>
      </c>
      <c r="N53" s="68" t="str">
        <f t="shared" ca="1" si="1"/>
        <v/>
      </c>
      <c r="O53" s="39" t="str">
        <f t="shared" ca="1" si="4"/>
        <v/>
      </c>
    </row>
    <row r="54" spans="2:15" x14ac:dyDescent="0.25">
      <c r="B54" s="40">
        <f>'ריכוז נתונים'!C54</f>
        <v>38</v>
      </c>
      <c r="C54" s="40" t="str">
        <f ca="1">'אתר אינטרנט'!C54</f>
        <v/>
      </c>
      <c r="D54" s="67" t="str">
        <f ca="1">IF(C54="","",'ריכוז נתונים'!BG54)</f>
        <v/>
      </c>
      <c r="E54" s="70" t="str">
        <f ca="1">IF(C54="","",'ריכוז נתונים'!BC54)</f>
        <v/>
      </c>
      <c r="F54" s="67" t="str">
        <f ca="1">IF(C54="","",'ריכוז נתונים'!BD54)</f>
        <v/>
      </c>
      <c r="G54" s="67" t="str">
        <f ca="1">IF(C54="","",'ריכוז נתונים'!BE54)</f>
        <v/>
      </c>
      <c r="H54" s="67" t="str">
        <f ca="1">IF(D54="","",'ריכוז נתונים'!BF54)</f>
        <v/>
      </c>
      <c r="I54" s="67" t="str">
        <f ca="1">IF(C54="","",'ריכוז נתונים'!BH54)</f>
        <v/>
      </c>
      <c r="J54" s="71" t="str">
        <f t="shared" ca="1" si="5"/>
        <v/>
      </c>
      <c r="K54" s="71" t="str">
        <f t="shared" ca="1" si="2"/>
        <v/>
      </c>
      <c r="L54" s="72" t="str">
        <f t="shared" ca="1" si="3"/>
        <v/>
      </c>
      <c r="M54" s="73" t="str">
        <f t="array" aca="1" ref="M54" ca="1">IF(C54="","",IF(I54="כן",0,IF(D54="כן",IF(OR(K54=$N$13,L54=$N$13),N50,SUMPRODUCT(J54:L54,TRANSPOSE($D$3:$D$5))*IF(H54=$N$14,$D$8,1)),"המוסד אינו עומד בקריטריון לקבלת ניקוד")))</f>
        <v/>
      </c>
      <c r="N54" s="68" t="str">
        <f t="shared" ca="1" si="1"/>
        <v/>
      </c>
      <c r="O54" s="39" t="str">
        <f t="shared" ca="1" si="4"/>
        <v/>
      </c>
    </row>
    <row r="55" spans="2:15" x14ac:dyDescent="0.25">
      <c r="B55" s="40">
        <f>'ריכוז נתונים'!C55</f>
        <v>39</v>
      </c>
      <c r="C55" s="40" t="str">
        <f ca="1">'אתר אינטרנט'!C55</f>
        <v/>
      </c>
      <c r="D55" s="67" t="str">
        <f ca="1">IF(C55="","",'ריכוז נתונים'!BG55)</f>
        <v/>
      </c>
      <c r="E55" s="70" t="str">
        <f ca="1">IF(C55="","",'ריכוז נתונים'!BC55)</f>
        <v/>
      </c>
      <c r="F55" s="67" t="str">
        <f ca="1">IF(C55="","",'ריכוז נתונים'!BD55)</f>
        <v/>
      </c>
      <c r="G55" s="67" t="str">
        <f ca="1">IF(C55="","",'ריכוז נתונים'!BE55)</f>
        <v/>
      </c>
      <c r="H55" s="67" t="str">
        <f ca="1">IF(D55="","",'ריכוז נתונים'!BF55)</f>
        <v/>
      </c>
      <c r="I55" s="67" t="str">
        <f ca="1">IF(C55="","",'ריכוז נתונים'!BH55)</f>
        <v/>
      </c>
      <c r="J55" s="71" t="str">
        <f t="shared" ca="1" si="5"/>
        <v/>
      </c>
      <c r="K55" s="71" t="str">
        <f t="shared" ca="1" si="2"/>
        <v/>
      </c>
      <c r="L55" s="72" t="str">
        <f t="shared" ca="1" si="3"/>
        <v/>
      </c>
      <c r="M55" s="73" t="str">
        <f t="array" aca="1" ref="M55" ca="1">IF(C55="","",IF(I55="כן",0,IF(D55="כן",IF(OR(K55=$N$13,L55=$N$13),N51,SUMPRODUCT(J55:L55,TRANSPOSE($D$3:$D$5))*IF(H55=$N$14,$D$8,1)),"המוסד אינו עומד בקריטריון לקבלת ניקוד")))</f>
        <v/>
      </c>
      <c r="N55" s="68" t="str">
        <f t="shared" ca="1" si="1"/>
        <v/>
      </c>
      <c r="O55" s="39" t="str">
        <f t="shared" ca="1" si="4"/>
        <v/>
      </c>
    </row>
    <row r="56" spans="2:15" x14ac:dyDescent="0.25">
      <c r="B56" s="40">
        <f>'ריכוז נתונים'!C56</f>
        <v>40</v>
      </c>
      <c r="C56" s="40" t="str">
        <f ca="1">'אתר אינטרנט'!C56</f>
        <v/>
      </c>
      <c r="D56" s="67" t="str">
        <f ca="1">IF(C56="","",'ריכוז נתונים'!BG56)</f>
        <v/>
      </c>
      <c r="E56" s="70" t="str">
        <f ca="1">IF(C56="","",'ריכוז נתונים'!BC56)</f>
        <v/>
      </c>
      <c r="F56" s="67" t="str">
        <f ca="1">IF(C56="","",'ריכוז נתונים'!BD56)</f>
        <v/>
      </c>
      <c r="G56" s="67" t="str">
        <f ca="1">IF(C56="","",'ריכוז נתונים'!BE56)</f>
        <v/>
      </c>
      <c r="H56" s="67" t="str">
        <f ca="1">IF(D56="","",'ריכוז נתונים'!BF56)</f>
        <v/>
      </c>
      <c r="I56" s="67" t="str">
        <f ca="1">IF(C56="","",'ריכוז נתונים'!BH56)</f>
        <v/>
      </c>
      <c r="J56" s="71" t="str">
        <f t="shared" ca="1" si="5"/>
        <v/>
      </c>
      <c r="K56" s="71" t="str">
        <f t="shared" ca="1" si="2"/>
        <v/>
      </c>
      <c r="L56" s="72" t="str">
        <f t="shared" ca="1" si="3"/>
        <v/>
      </c>
      <c r="M56" s="73" t="str">
        <f t="array" aca="1" ref="M56" ca="1">IF(C56="","",IF(I56="כן",0,IF(D56="כן",IF(OR(K56=$N$13,L56=$N$13),N52,SUMPRODUCT(J56:L56,TRANSPOSE($D$3:$D$5))*IF(H56=$N$14,$D$8,1)),"המוסד אינו עומד בקריטריון לקבלת ניקוד")))</f>
        <v/>
      </c>
      <c r="N56" s="68" t="str">
        <f t="shared" ca="1" si="1"/>
        <v/>
      </c>
      <c r="O56" s="39" t="str">
        <f t="shared" ca="1" si="4"/>
        <v/>
      </c>
    </row>
    <row r="57" spans="2:15" x14ac:dyDescent="0.25">
      <c r="B57" s="40">
        <f>'ריכוז נתונים'!C57</f>
        <v>41</v>
      </c>
      <c r="C57" s="40" t="str">
        <f ca="1">'אתר אינטרנט'!C57</f>
        <v/>
      </c>
      <c r="D57" s="67" t="str">
        <f ca="1">IF(C57="","",'ריכוז נתונים'!BG57)</f>
        <v/>
      </c>
      <c r="E57" s="70" t="str">
        <f ca="1">IF(C57="","",'ריכוז נתונים'!BC57)</f>
        <v/>
      </c>
      <c r="F57" s="67" t="str">
        <f ca="1">IF(C57="","",'ריכוז נתונים'!BD57)</f>
        <v/>
      </c>
      <c r="G57" s="67" t="str">
        <f ca="1">IF(C57="","",'ריכוז נתונים'!BE57)</f>
        <v/>
      </c>
      <c r="H57" s="67" t="str">
        <f ca="1">IF(D57="","",'ריכוז נתונים'!BF57)</f>
        <v/>
      </c>
      <c r="I57" s="67" t="str">
        <f ca="1">IF(C57="","",'ריכוז נתונים'!BH57)</f>
        <v/>
      </c>
      <c r="J57" s="71" t="str">
        <f t="shared" ca="1" si="5"/>
        <v/>
      </c>
      <c r="K57" s="71" t="str">
        <f t="shared" ca="1" si="2"/>
        <v/>
      </c>
      <c r="L57" s="72" t="str">
        <f t="shared" ca="1" si="3"/>
        <v/>
      </c>
      <c r="M57" s="73" t="str">
        <f t="array" aca="1" ref="M57" ca="1">IF(C57="","",IF(I57="כן",0,IF(D57="כן",IF(OR(K57=$N$13,L57=$N$13),N53,SUMPRODUCT(J57:L57,TRANSPOSE($D$3:$D$5))*IF(H57=$N$14,$D$8,1)),"המוסד אינו עומד בקריטריון לקבלת ניקוד")))</f>
        <v/>
      </c>
      <c r="N57" s="68" t="str">
        <f t="shared" ca="1" si="1"/>
        <v/>
      </c>
      <c r="O57" s="39" t="str">
        <f t="shared" ca="1" si="4"/>
        <v/>
      </c>
    </row>
    <row r="58" spans="2:15" x14ac:dyDescent="0.25">
      <c r="B58" s="40">
        <f>'ריכוז נתונים'!C58</f>
        <v>42</v>
      </c>
      <c r="C58" s="40" t="str">
        <f ca="1">'אתר אינטרנט'!C58</f>
        <v/>
      </c>
      <c r="D58" s="67" t="str">
        <f ca="1">IF(C58="","",'ריכוז נתונים'!BG58)</f>
        <v/>
      </c>
      <c r="E58" s="70" t="str">
        <f ca="1">IF(C58="","",'ריכוז נתונים'!BC58)</f>
        <v/>
      </c>
      <c r="F58" s="67" t="str">
        <f ca="1">IF(C58="","",'ריכוז נתונים'!BD58)</f>
        <v/>
      </c>
      <c r="G58" s="67" t="str">
        <f ca="1">IF(C58="","",'ריכוז נתונים'!BE58)</f>
        <v/>
      </c>
      <c r="H58" s="67" t="str">
        <f ca="1">IF(D58="","",'ריכוז נתונים'!BF58)</f>
        <v/>
      </c>
      <c r="I58" s="67" t="str">
        <f ca="1">IF(C58="","",'ריכוז נתונים'!BH58)</f>
        <v/>
      </c>
      <c r="J58" s="71" t="str">
        <f t="shared" ca="1" si="5"/>
        <v/>
      </c>
      <c r="K58" s="71" t="str">
        <f t="shared" ca="1" si="2"/>
        <v/>
      </c>
      <c r="L58" s="72" t="str">
        <f t="shared" ca="1" si="3"/>
        <v/>
      </c>
      <c r="M58" s="73" t="str">
        <f t="array" aca="1" ref="M58" ca="1">IF(C58="","",IF(I58="כן",0,IF(D58="כן",IF(OR(K58=$N$13,L58=$N$13),N54,SUMPRODUCT(J58:L58,TRANSPOSE($D$3:$D$5))*IF(H58=$N$14,$D$8,1)),"המוסד אינו עומד בקריטריון לקבלת ניקוד")))</f>
        <v/>
      </c>
      <c r="N58" s="68" t="str">
        <f t="shared" ca="1" si="1"/>
        <v/>
      </c>
      <c r="O58" s="39" t="str">
        <f t="shared" ca="1" si="4"/>
        <v/>
      </c>
    </row>
    <row r="59" spans="2:15" x14ac:dyDescent="0.25">
      <c r="B59" s="40">
        <f>'ריכוז נתונים'!C59</f>
        <v>43</v>
      </c>
      <c r="C59" s="40" t="str">
        <f ca="1">'אתר אינטרנט'!C59</f>
        <v/>
      </c>
      <c r="D59" s="67" t="str">
        <f ca="1">IF(C59="","",'ריכוז נתונים'!BG59)</f>
        <v/>
      </c>
      <c r="E59" s="70" t="str">
        <f ca="1">IF(C59="","",'ריכוז נתונים'!BC59)</f>
        <v/>
      </c>
      <c r="F59" s="67" t="str">
        <f ca="1">IF(C59="","",'ריכוז נתונים'!BD59)</f>
        <v/>
      </c>
      <c r="G59" s="67" t="str">
        <f ca="1">IF(C59="","",'ריכוז נתונים'!BE59)</f>
        <v/>
      </c>
      <c r="H59" s="67" t="str">
        <f ca="1">IF(D59="","",'ריכוז נתונים'!BF59)</f>
        <v/>
      </c>
      <c r="I59" s="67" t="str">
        <f ca="1">IF(C59="","",'ריכוז נתונים'!BH59)</f>
        <v/>
      </c>
      <c r="J59" s="71" t="str">
        <f t="shared" ca="1" si="5"/>
        <v/>
      </c>
      <c r="K59" s="71" t="str">
        <f t="shared" ca="1" si="2"/>
        <v/>
      </c>
      <c r="L59" s="72" t="str">
        <f t="shared" ca="1" si="3"/>
        <v/>
      </c>
      <c r="M59" s="73" t="str">
        <f t="array" aca="1" ref="M59" ca="1">IF(C59="","",IF(I59="כן",0,IF(D59="כן",IF(OR(K59=$N$13,L59=$N$13),N55,SUMPRODUCT(J59:L59,TRANSPOSE($D$3:$D$5))*IF(H59=$N$14,$D$8,1)),"המוסד אינו עומד בקריטריון לקבלת ניקוד")))</f>
        <v/>
      </c>
      <c r="N59" s="68" t="str">
        <f t="shared" ca="1" si="1"/>
        <v/>
      </c>
      <c r="O59" s="39" t="str">
        <f t="shared" ca="1" si="4"/>
        <v/>
      </c>
    </row>
    <row r="60" spans="2:15" x14ac:dyDescent="0.25">
      <c r="B60" s="40">
        <f>'ריכוז נתונים'!C60</f>
        <v>44</v>
      </c>
      <c r="C60" s="40" t="str">
        <f ca="1">'אתר אינטרנט'!C60</f>
        <v/>
      </c>
      <c r="D60" s="67" t="str">
        <f ca="1">IF(C60="","",'ריכוז נתונים'!BG60)</f>
        <v/>
      </c>
      <c r="E60" s="70" t="str">
        <f ca="1">IF(C60="","",'ריכוז נתונים'!BC60)</f>
        <v/>
      </c>
      <c r="F60" s="67" t="str">
        <f ca="1">IF(C60="","",'ריכוז נתונים'!BD60)</f>
        <v/>
      </c>
      <c r="G60" s="67" t="str">
        <f ca="1">IF(C60="","",'ריכוז נתונים'!BE60)</f>
        <v/>
      </c>
      <c r="H60" s="67" t="str">
        <f ca="1">IF(D60="","",'ריכוז נתונים'!BF60)</f>
        <v/>
      </c>
      <c r="I60" s="67" t="str">
        <f ca="1">IF(C60="","",'ריכוז נתונים'!BH60)</f>
        <v/>
      </c>
      <c r="J60" s="71" t="str">
        <f t="shared" ca="1" si="5"/>
        <v/>
      </c>
      <c r="K60" s="71" t="str">
        <f t="shared" ca="1" si="2"/>
        <v/>
      </c>
      <c r="L60" s="72" t="str">
        <f t="shared" ca="1" si="3"/>
        <v/>
      </c>
      <c r="M60" s="73" t="str">
        <f t="array" aca="1" ref="M60" ca="1">IF(C60="","",IF(I60="כן",0,IF(D60="כן",IF(OR(K60=$N$13,L60=$N$13),N56,SUMPRODUCT(J60:L60,TRANSPOSE($D$3:$D$5))*IF(H60=$N$14,$D$8,1)),"המוסד אינו עומד בקריטריון לקבלת ניקוד")))</f>
        <v/>
      </c>
      <c r="N60" s="68" t="str">
        <f t="shared" ca="1" si="1"/>
        <v/>
      </c>
      <c r="O60" s="39" t="str">
        <f t="shared" ca="1" si="4"/>
        <v/>
      </c>
    </row>
    <row r="61" spans="2:15" x14ac:dyDescent="0.25">
      <c r="B61" s="40">
        <f>'ריכוז נתונים'!C61</f>
        <v>45</v>
      </c>
      <c r="C61" s="40" t="str">
        <f ca="1">'אתר אינטרנט'!C61</f>
        <v/>
      </c>
      <c r="D61" s="67" t="str">
        <f ca="1">IF(C61="","",'ריכוז נתונים'!BG61)</f>
        <v/>
      </c>
      <c r="E61" s="70" t="str">
        <f ca="1">IF(C61="","",'ריכוז נתונים'!BC61)</f>
        <v/>
      </c>
      <c r="F61" s="67" t="str">
        <f ca="1">IF(C61="","",'ריכוז נתונים'!BD61)</f>
        <v/>
      </c>
      <c r="G61" s="67" t="str">
        <f ca="1">IF(C61="","",'ריכוז נתונים'!BE61)</f>
        <v/>
      </c>
      <c r="H61" s="67" t="str">
        <f ca="1">IF(D61="","",'ריכוז נתונים'!BF61)</f>
        <v/>
      </c>
      <c r="I61" s="67" t="str">
        <f ca="1">IF(C61="","",'ריכוז נתונים'!BH61)</f>
        <v/>
      </c>
      <c r="J61" s="71" t="str">
        <f t="shared" ca="1" si="5"/>
        <v/>
      </c>
      <c r="K61" s="71" t="str">
        <f t="shared" ca="1" si="2"/>
        <v/>
      </c>
      <c r="L61" s="72" t="str">
        <f t="shared" ca="1" si="3"/>
        <v/>
      </c>
      <c r="M61" s="73" t="str">
        <f t="array" aca="1" ref="M61" ca="1">IF(C61="","",IF(I61="כן",0,IF(D61="כן",IF(OR(K61=$N$13,L61=$N$13),N57,SUMPRODUCT(J61:L61,TRANSPOSE($D$3:$D$5))*IF(H61=$N$14,$D$8,1)),"המוסד אינו עומד בקריטריון לקבלת ניקוד")))</f>
        <v/>
      </c>
      <c r="N61" s="68" t="str">
        <f t="shared" ca="1" si="1"/>
        <v/>
      </c>
      <c r="O61" s="39" t="str">
        <f t="shared" ca="1" si="4"/>
        <v/>
      </c>
    </row>
    <row r="62" spans="2:15" ht="60" x14ac:dyDescent="0.25">
      <c r="B62" s="40">
        <f>'ריכוז נתונים'!C62</f>
        <v>46</v>
      </c>
      <c r="C62" s="40" t="str">
        <f ca="1">'אתר אינטרנט'!C62</f>
        <v>ענבל מרכז אתני</v>
      </c>
      <c r="D62" s="67">
        <f ca="1">IF(C62="","",'ריכוז נתונים'!BG62)</f>
        <v>0</v>
      </c>
      <c r="E62" s="70">
        <f ca="1">IF(C62="","",'ריכוז נתונים'!BC62)</f>
        <v>0</v>
      </c>
      <c r="F62" s="67">
        <f ca="1">IF(C62="","",'ריכוז נתונים'!BD62)</f>
        <v>0</v>
      </c>
      <c r="G62" s="67">
        <f ca="1">IF(C62="","",'ריכוז נתונים'!BE62)</f>
        <v>0</v>
      </c>
      <c r="H62" s="67">
        <f ca="1">IF(D62="","",'ריכוז נתונים'!BF62)</f>
        <v>0</v>
      </c>
      <c r="I62" s="67">
        <f ca="1">IF(C62="","",'ריכוז נתונים'!BH62)</f>
        <v>0</v>
      </c>
      <c r="J62" s="71">
        <f t="shared" ca="1" si="5"/>
        <v>0</v>
      </c>
      <c r="K62" s="71">
        <f t="shared" ca="1" si="2"/>
        <v>0</v>
      </c>
      <c r="L62" s="72">
        <f t="shared" ca="1" si="3"/>
        <v>0</v>
      </c>
      <c r="M62" s="73" t="str">
        <f t="array" aca="1" ref="M62" ca="1">IF(C62="","",IF(I62="כן",0,IF(D62="כן",IF(OR(K62=$N$13,L62=$N$13),N58,SUMPRODUCT(J62:L62,TRANSPOSE($D$3:$D$5))*IF(H62=$N$14,$D$8,1)),"המוסד אינו עומד בקריטריון לקבלת ניקוד")))</f>
        <v>המוסד אינו עומד בקריטריון לקבלת ניקוד</v>
      </c>
      <c r="N62" s="68">
        <f t="shared" ca="1" si="1"/>
        <v>0</v>
      </c>
      <c r="O62" s="39">
        <f t="shared" ca="1" si="4"/>
        <v>0</v>
      </c>
    </row>
    <row r="63" spans="2:15" ht="60" x14ac:dyDescent="0.25">
      <c r="B63" s="40">
        <f>'ריכוז נתונים'!C63</f>
        <v>47</v>
      </c>
      <c r="C63" s="40" t="str">
        <f ca="1">'אתר אינטרנט'!C63</f>
        <v>א.ב. חדשות השומרונים</v>
      </c>
      <c r="D63" s="67" t="str">
        <f ca="1">IF(C63="","",'ריכוז נתונים'!BG63)</f>
        <v>לא</v>
      </c>
      <c r="E63" s="70" t="str">
        <f ca="1">IF(C63="","",'ריכוז נתונים'!BC63)</f>
        <v>מעל 4 בשנה</v>
      </c>
      <c r="F63" s="67">
        <f ca="1">IF(C63="","",'ריכוז נתונים'!BD63)</f>
        <v>84</v>
      </c>
      <c r="G63" s="67">
        <f ca="1">IF(C63="","",'ריכוז נתונים'!BE63)</f>
        <v>300</v>
      </c>
      <c r="H63" s="67" t="str">
        <f ca="1">IF(D63="","",'ריכוז נתונים'!BF63)</f>
        <v>לא</v>
      </c>
      <c r="I63" s="67" t="str">
        <f ca="1">IF(C63="","",'ריכוז נתונים'!BH63)</f>
        <v>לא</v>
      </c>
      <c r="J63" s="71">
        <f t="shared" ca="1" si="5"/>
        <v>16</v>
      </c>
      <c r="K63" s="71">
        <f t="shared" ca="1" si="2"/>
        <v>15</v>
      </c>
      <c r="L63" s="72">
        <f t="shared" ca="1" si="3"/>
        <v>1.5</v>
      </c>
      <c r="M63" s="73" t="str">
        <f t="array" aca="1" ref="M63" ca="1">IF(C63="","",IF(I63="כן",0,IF(D63="כן",IF(OR(K63=$N$13,L63=$N$13),N59,SUMPRODUCT(J63:L63,TRANSPOSE($D$3:$D$5))*IF(H63=$N$14,$D$8,1)),"המוסד אינו עומד בקריטריון לקבלת ניקוד")))</f>
        <v>המוסד אינו עומד בקריטריון לקבלת ניקוד</v>
      </c>
      <c r="N63" s="68">
        <f t="shared" ca="1" si="1"/>
        <v>0</v>
      </c>
      <c r="O63" s="39">
        <f t="shared" ca="1" si="4"/>
        <v>0</v>
      </c>
    </row>
    <row r="64" spans="2:15" x14ac:dyDescent="0.25">
      <c r="B64" s="40">
        <f>'ריכוז נתונים'!C64</f>
        <v>48</v>
      </c>
      <c r="C64" s="40" t="str">
        <f ca="1">'אתר אינטרנט'!C64</f>
        <v/>
      </c>
      <c r="D64" s="67" t="str">
        <f ca="1">IF(C64="","",'ריכוז נתונים'!BG64)</f>
        <v/>
      </c>
      <c r="E64" s="70" t="str">
        <f ca="1">IF(C64="","",'ריכוז נתונים'!BC64)</f>
        <v/>
      </c>
      <c r="F64" s="67" t="str">
        <f ca="1">IF(C64="","",'ריכוז נתונים'!BD64)</f>
        <v/>
      </c>
      <c r="G64" s="67" t="str">
        <f ca="1">IF(C64="","",'ריכוז נתונים'!BE64)</f>
        <v/>
      </c>
      <c r="H64" s="67" t="str">
        <f ca="1">IF(D64="","",'ריכוז נתונים'!BF64)</f>
        <v/>
      </c>
      <c r="I64" s="67" t="str">
        <f ca="1">IF(C64="","",'ריכוז נתונים'!BH64)</f>
        <v/>
      </c>
      <c r="J64" s="71" t="str">
        <f t="shared" ca="1" si="5"/>
        <v/>
      </c>
      <c r="K64" s="71" t="str">
        <f t="shared" ca="1" si="2"/>
        <v/>
      </c>
      <c r="L64" s="72" t="str">
        <f t="shared" ca="1" si="3"/>
        <v/>
      </c>
      <c r="M64" s="73" t="str">
        <f t="array" aca="1" ref="M64" ca="1">IF(C64="","",IF(I64="כן",0,IF(D64="כן",IF(OR(K64=$N$13,L64=$N$13),N60,SUMPRODUCT(J64:L64,TRANSPOSE($D$3:$D$5))*IF(H64=$N$14,$D$8,1)),"המוסד אינו עומד בקריטריון לקבלת ניקוד")))</f>
        <v/>
      </c>
      <c r="N64" s="68" t="str">
        <f t="shared" ca="1" si="1"/>
        <v/>
      </c>
      <c r="O64" s="39" t="str">
        <f t="shared" ca="1" si="4"/>
        <v/>
      </c>
    </row>
    <row r="65" spans="2:15" x14ac:dyDescent="0.25">
      <c r="B65" s="40">
        <f>'ריכוז נתונים'!C65</f>
        <v>49</v>
      </c>
      <c r="C65" s="40" t="str">
        <f ca="1">'אתר אינטרנט'!C65</f>
        <v/>
      </c>
      <c r="D65" s="67" t="str">
        <f ca="1">IF(C65="","",'ריכוז נתונים'!BG65)</f>
        <v/>
      </c>
      <c r="E65" s="70" t="str">
        <f ca="1">IF(C65="","",'ריכוז נתונים'!BC65)</f>
        <v/>
      </c>
      <c r="F65" s="67" t="str">
        <f ca="1">IF(C65="","",'ריכוז נתונים'!BD65)</f>
        <v/>
      </c>
      <c r="G65" s="67" t="str">
        <f ca="1">IF(C65="","",'ריכוז נתונים'!BE65)</f>
        <v/>
      </c>
      <c r="H65" s="67" t="str">
        <f ca="1">IF(D65="","",'ריכוז נתונים'!BF65)</f>
        <v/>
      </c>
      <c r="I65" s="67" t="str">
        <f ca="1">IF(C65="","",'ריכוז נתונים'!BH65)</f>
        <v/>
      </c>
      <c r="J65" s="71" t="str">
        <f t="shared" ca="1" si="5"/>
        <v/>
      </c>
      <c r="K65" s="71" t="str">
        <f t="shared" ca="1" si="2"/>
        <v/>
      </c>
      <c r="L65" s="72" t="str">
        <f t="shared" ca="1" si="3"/>
        <v/>
      </c>
      <c r="M65" s="73" t="str">
        <f t="array" aca="1" ref="M65" ca="1">IF(C65="","",IF(I65="כן",0,IF(D65="כן",IF(OR(K65=$N$13,L65=$N$13),N61,SUMPRODUCT(J65:L65,TRANSPOSE($D$3:$D$5))*IF(H65=$N$14,$D$8,1)),"המוסד אינו עומד בקריטריון לקבלת ניקוד")))</f>
        <v/>
      </c>
      <c r="N65" s="68" t="str">
        <f t="shared" ca="1" si="1"/>
        <v/>
      </c>
      <c r="O65" s="39" t="str">
        <f t="shared" ca="1" si="4"/>
        <v/>
      </c>
    </row>
    <row r="66" spans="2:15" x14ac:dyDescent="0.25">
      <c r="B66" s="40">
        <f>'ריכוז נתונים'!C66</f>
        <v>50</v>
      </c>
      <c r="C66" s="40" t="str">
        <f ca="1">'אתר אינטרנט'!C66</f>
        <v/>
      </c>
      <c r="D66" s="67" t="str">
        <f ca="1">IF(C66="","",'ריכוז נתונים'!BG66)</f>
        <v/>
      </c>
      <c r="E66" s="70" t="str">
        <f ca="1">IF(C66="","",'ריכוז נתונים'!BC66)</f>
        <v/>
      </c>
      <c r="F66" s="67" t="str">
        <f ca="1">IF(C66="","",'ריכוז נתונים'!BD66)</f>
        <v/>
      </c>
      <c r="G66" s="67" t="str">
        <f ca="1">IF(C66="","",'ריכוז נתונים'!BE66)</f>
        <v/>
      </c>
      <c r="H66" s="67" t="str">
        <f ca="1">IF(D66="","",'ריכוז נתונים'!BF66)</f>
        <v/>
      </c>
      <c r="I66" s="67" t="str">
        <f ca="1">IF(C66="","",'ריכוז נתונים'!BH66)</f>
        <v/>
      </c>
      <c r="J66" s="71" t="str">
        <f t="shared" ca="1" si="5"/>
        <v/>
      </c>
      <c r="K66" s="71" t="str">
        <f t="shared" ca="1" si="2"/>
        <v/>
      </c>
      <c r="L66" s="72" t="str">
        <f t="shared" ca="1" si="3"/>
        <v/>
      </c>
      <c r="M66" s="73" t="str">
        <f t="array" aca="1" ref="M66" ca="1">IF(C66="","",IF(I66="כן",0,IF(D66="כן",IF(OR(K66=$N$13,L66=$N$13),N62,SUMPRODUCT(J66:L66,TRANSPOSE($D$3:$D$5))*IF(H66=$N$14,$D$8,1)),"המוסד אינו עומד בקריטריון לקבלת ניקוד")))</f>
        <v/>
      </c>
      <c r="N66" s="68" t="str">
        <f t="shared" ca="1" si="1"/>
        <v/>
      </c>
      <c r="O66" s="39" t="str">
        <f t="shared" ca="1" si="4"/>
        <v/>
      </c>
    </row>
    <row r="67" spans="2:15" x14ac:dyDescent="0.25">
      <c r="B67" s="40">
        <f>'ריכוז נתונים'!C67</f>
        <v>51</v>
      </c>
      <c r="C67" s="40" t="str">
        <f ca="1">'אתר אינטרנט'!C67</f>
        <v/>
      </c>
      <c r="D67" s="67" t="str">
        <f ca="1">IF(C67="","",'ריכוז נתונים'!BG67)</f>
        <v/>
      </c>
      <c r="E67" s="70" t="str">
        <f ca="1">IF(C67="","",'ריכוז נתונים'!BC67)</f>
        <v/>
      </c>
      <c r="F67" s="67" t="str">
        <f ca="1">IF(C67="","",'ריכוז נתונים'!BD67)</f>
        <v/>
      </c>
      <c r="G67" s="67" t="str">
        <f ca="1">IF(C67="","",'ריכוז נתונים'!BE67)</f>
        <v/>
      </c>
      <c r="H67" s="67" t="str">
        <f ca="1">IF(D67="","",'ריכוז נתונים'!BF67)</f>
        <v/>
      </c>
      <c r="I67" s="67" t="str">
        <f ca="1">IF(C67="","",'ריכוז נתונים'!BH67)</f>
        <v/>
      </c>
      <c r="J67" s="71" t="str">
        <f t="shared" ca="1" si="5"/>
        <v/>
      </c>
      <c r="K67" s="71" t="str">
        <f t="shared" ca="1" si="2"/>
        <v/>
      </c>
      <c r="L67" s="72" t="str">
        <f t="shared" ca="1" si="3"/>
        <v/>
      </c>
      <c r="M67" s="73" t="str">
        <f t="array" aca="1" ref="M67" ca="1">IF(C67="","",IF(I67="כן",0,IF(D67="כן",IF(OR(K67=$N$13,L67=$N$13),N63,SUMPRODUCT(J67:L67,TRANSPOSE($D$3:$D$5))*IF(H67=$N$14,$D$8,1)),"המוסד אינו עומד בקריטריון לקבלת ניקוד")))</f>
        <v/>
      </c>
      <c r="N67" s="68" t="str">
        <f t="shared" ca="1" si="1"/>
        <v/>
      </c>
      <c r="O67" s="39" t="str">
        <f t="shared" ca="1" si="4"/>
        <v/>
      </c>
    </row>
    <row r="68" spans="2:15" ht="60" x14ac:dyDescent="0.25">
      <c r="B68" s="40">
        <f>'ריכוז נתונים'!C68</f>
        <v>52</v>
      </c>
      <c r="C68" s="40" t="str">
        <f ca="1">'אתר אינטרנט'!C68</f>
        <v>עמותת הנני</v>
      </c>
      <c r="D68" s="67">
        <f ca="1">IF(C68="","",'ריכוז נתונים'!BG68)</f>
        <v>0</v>
      </c>
      <c r="E68" s="70">
        <f ca="1">IF(C68="","",'ריכוז נתונים'!BC68)</f>
        <v>0</v>
      </c>
      <c r="F68" s="67">
        <f ca="1">IF(C68="","",'ריכוז נתונים'!BD68)</f>
        <v>0</v>
      </c>
      <c r="G68" s="67">
        <f ca="1">IF(C68="","",'ריכוז נתונים'!BE68)</f>
        <v>0</v>
      </c>
      <c r="H68" s="67">
        <f ca="1">IF(D68="","",'ריכוז נתונים'!BF68)</f>
        <v>0</v>
      </c>
      <c r="I68" s="67">
        <f ca="1">IF(C68="","",'ריכוז נתונים'!BH68)</f>
        <v>0</v>
      </c>
      <c r="J68" s="71">
        <f t="shared" ca="1" si="5"/>
        <v>0</v>
      </c>
      <c r="K68" s="71">
        <f t="shared" ca="1" si="2"/>
        <v>0</v>
      </c>
      <c r="L68" s="72">
        <f t="shared" ca="1" si="3"/>
        <v>0</v>
      </c>
      <c r="M68" s="73" t="str">
        <f t="array" aca="1" ref="M68" ca="1">IF(C68="","",IF(I68="כן",0,IF(D68="כן",IF(OR(K68=$N$13,L68=$N$13),N64,SUMPRODUCT(J68:L68,TRANSPOSE($D$3:$D$5))*IF(H68=$N$14,$D$8,1)),"המוסד אינו עומד בקריטריון לקבלת ניקוד")))</f>
        <v>המוסד אינו עומד בקריטריון לקבלת ניקוד</v>
      </c>
      <c r="N68" s="68">
        <f t="shared" ca="1" si="1"/>
        <v>0</v>
      </c>
      <c r="O68" s="39">
        <f t="shared" ca="1" si="4"/>
        <v>0</v>
      </c>
    </row>
    <row r="69" spans="2:15" x14ac:dyDescent="0.25">
      <c r="B69" s="40">
        <f>'ריכוז נתונים'!C69</f>
        <v>53</v>
      </c>
      <c r="C69" s="40" t="str">
        <f ca="1">'אתר אינטרנט'!C69</f>
        <v/>
      </c>
      <c r="D69" s="67" t="str">
        <f ca="1">IF(C69="","",'ריכוז נתונים'!BG69)</f>
        <v/>
      </c>
      <c r="E69" s="70" t="str">
        <f ca="1">IF(C69="","",'ריכוז נתונים'!BC69)</f>
        <v/>
      </c>
      <c r="F69" s="67" t="str">
        <f ca="1">IF(C69="","",'ריכוז נתונים'!BD69)</f>
        <v/>
      </c>
      <c r="G69" s="67" t="str">
        <f ca="1">IF(C69="","",'ריכוז נתונים'!BE69)</f>
        <v/>
      </c>
      <c r="H69" s="67" t="str">
        <f ca="1">IF(D69="","",'ריכוז נתונים'!BF69)</f>
        <v/>
      </c>
      <c r="I69" s="67" t="str">
        <f ca="1">IF(C69="","",'ריכוז נתונים'!BH69)</f>
        <v/>
      </c>
      <c r="J69" s="71" t="str">
        <f t="shared" ca="1" si="5"/>
        <v/>
      </c>
      <c r="K69" s="71" t="str">
        <f t="shared" ca="1" si="2"/>
        <v/>
      </c>
      <c r="L69" s="72" t="str">
        <f t="shared" ca="1" si="3"/>
        <v/>
      </c>
      <c r="M69" s="73" t="str">
        <f t="array" aca="1" ref="M69" ca="1">IF(C69="","",IF(I69="כן",0,IF(D69="כן",IF(OR(K69=$N$13,L69=$N$13),N65,SUMPRODUCT(J69:L69,TRANSPOSE($D$3:$D$5))*IF(H69=$N$14,$D$8,1)),"המוסד אינו עומד בקריטריון לקבלת ניקוד")))</f>
        <v/>
      </c>
      <c r="N69" s="68" t="str">
        <f t="shared" ca="1" si="1"/>
        <v/>
      </c>
      <c r="O69" s="39" t="str">
        <f t="shared" ca="1" si="4"/>
        <v/>
      </c>
    </row>
    <row r="70" spans="2:15" x14ac:dyDescent="0.25">
      <c r="B70" s="40">
        <f>'ריכוז נתונים'!C70</f>
        <v>54</v>
      </c>
      <c r="C70" s="40" t="str">
        <f ca="1">'אתר אינטרנט'!C70</f>
        <v/>
      </c>
      <c r="D70" s="67" t="str">
        <f ca="1">IF(C70="","",'ריכוז נתונים'!BG70)</f>
        <v/>
      </c>
      <c r="E70" s="70" t="str">
        <f ca="1">IF(C70="","",'ריכוז נתונים'!BC70)</f>
        <v/>
      </c>
      <c r="F70" s="67" t="str">
        <f ca="1">IF(C70="","",'ריכוז נתונים'!BD70)</f>
        <v/>
      </c>
      <c r="G70" s="67" t="str">
        <f ca="1">IF(C70="","",'ריכוז נתונים'!BE70)</f>
        <v/>
      </c>
      <c r="H70" s="67" t="str">
        <f ca="1">IF(D70="","",'ריכוז נתונים'!BF70)</f>
        <v/>
      </c>
      <c r="I70" s="67" t="str">
        <f ca="1">IF(C70="","",'ריכוז נתונים'!BH70)</f>
        <v/>
      </c>
      <c r="J70" s="71" t="str">
        <f t="shared" ca="1" si="5"/>
        <v/>
      </c>
      <c r="K70" s="71" t="str">
        <f t="shared" ca="1" si="2"/>
        <v/>
      </c>
      <c r="L70" s="72" t="str">
        <f t="shared" ca="1" si="3"/>
        <v/>
      </c>
      <c r="M70" s="73" t="str">
        <f t="array" aca="1" ref="M70" ca="1">IF(C70="","",IF(I70="כן",0,IF(D70="כן",IF(OR(K70=$N$13,L70=$N$13),N66,SUMPRODUCT(J70:L70,TRANSPOSE($D$3:$D$5))*IF(H70=$N$14,$D$8,1)),"המוסד אינו עומד בקריטריון לקבלת ניקוד")))</f>
        <v/>
      </c>
      <c r="N70" s="68" t="str">
        <f t="shared" ca="1" si="1"/>
        <v/>
      </c>
      <c r="O70" s="39" t="str">
        <f t="shared" ca="1" si="4"/>
        <v/>
      </c>
    </row>
    <row r="71" spans="2:15" x14ac:dyDescent="0.25">
      <c r="B71" s="40">
        <f>'ריכוז נתונים'!C71</f>
        <v>55</v>
      </c>
      <c r="C71" s="40" t="str">
        <f ca="1">'אתר אינטרנט'!C71</f>
        <v/>
      </c>
      <c r="D71" s="67" t="str">
        <f ca="1">IF(C71="","",'ריכוז נתונים'!BG71)</f>
        <v/>
      </c>
      <c r="E71" s="70" t="str">
        <f ca="1">IF(C71="","",'ריכוז נתונים'!BC71)</f>
        <v/>
      </c>
      <c r="F71" s="67" t="str">
        <f ca="1">IF(C71="","",'ריכוז נתונים'!BD71)</f>
        <v/>
      </c>
      <c r="G71" s="67" t="str">
        <f ca="1">IF(C71="","",'ריכוז נתונים'!BE71)</f>
        <v/>
      </c>
      <c r="H71" s="67" t="str">
        <f ca="1">IF(D71="","",'ריכוז נתונים'!BF71)</f>
        <v/>
      </c>
      <c r="I71" s="67" t="str">
        <f ca="1">IF(C71="","",'ריכוז נתונים'!BH71)</f>
        <v/>
      </c>
      <c r="J71" s="71" t="str">
        <f t="shared" ca="1" si="5"/>
        <v/>
      </c>
      <c r="K71" s="71" t="str">
        <f t="shared" ca="1" si="2"/>
        <v/>
      </c>
      <c r="L71" s="72" t="str">
        <f t="shared" ca="1" si="3"/>
        <v/>
      </c>
      <c r="M71" s="73" t="str">
        <f t="array" aca="1" ref="M71" ca="1">IF(C71="","",IF(I71="כן",0,IF(D71="כן",IF(OR(K71=$N$13,L71=$N$13),N67,SUMPRODUCT(J71:L71,TRANSPOSE($D$3:$D$5))*IF(H71=$N$14,$D$8,1)),"המוסד אינו עומד בקריטריון לקבלת ניקוד")))</f>
        <v/>
      </c>
      <c r="N71" s="68" t="str">
        <f t="shared" ca="1" si="1"/>
        <v/>
      </c>
      <c r="O71" s="39" t="str">
        <f t="shared" ca="1" si="4"/>
        <v/>
      </c>
    </row>
    <row r="72" spans="2:15" x14ac:dyDescent="0.25">
      <c r="B72" s="40">
        <f>'ריכוז נתונים'!C72</f>
        <v>56</v>
      </c>
      <c r="C72" s="40" t="str">
        <f ca="1">'אתר אינטרנט'!C72</f>
        <v/>
      </c>
      <c r="D72" s="67" t="str">
        <f ca="1">IF(C72="","",'ריכוז נתונים'!BG72)</f>
        <v/>
      </c>
      <c r="E72" s="70" t="str">
        <f ca="1">IF(C72="","",'ריכוז נתונים'!BC72)</f>
        <v/>
      </c>
      <c r="F72" s="67" t="str">
        <f ca="1">IF(C72="","",'ריכוז נתונים'!BD72)</f>
        <v/>
      </c>
      <c r="G72" s="67" t="str">
        <f ca="1">IF(C72="","",'ריכוז נתונים'!BE72)</f>
        <v/>
      </c>
      <c r="H72" s="67" t="str">
        <f ca="1">IF(D72="","",'ריכוז נתונים'!BF72)</f>
        <v/>
      </c>
      <c r="I72" s="67" t="str">
        <f ca="1">IF(C72="","",'ריכוז נתונים'!BH72)</f>
        <v/>
      </c>
      <c r="J72" s="71" t="str">
        <f t="shared" ca="1" si="5"/>
        <v/>
      </c>
      <c r="K72" s="71" t="str">
        <f t="shared" ca="1" si="2"/>
        <v/>
      </c>
      <c r="L72" s="72" t="str">
        <f t="shared" ca="1" si="3"/>
        <v/>
      </c>
      <c r="M72" s="73" t="str">
        <f t="array" aca="1" ref="M72" ca="1">IF(C72="","",IF(I72="כן",0,IF(D72="כן",IF(OR(K72=$N$13,L72=$N$13),N68,SUMPRODUCT(J72:L72,TRANSPOSE($D$3:$D$5))*IF(H72=$N$14,$D$8,1)),"המוסד אינו עומד בקריטריון לקבלת ניקוד")))</f>
        <v/>
      </c>
      <c r="N72" s="68" t="str">
        <f t="shared" ca="1" si="1"/>
        <v/>
      </c>
      <c r="O72" s="39" t="str">
        <f t="shared" ca="1" si="4"/>
        <v/>
      </c>
    </row>
    <row r="73" spans="2:15" x14ac:dyDescent="0.25">
      <c r="B73" s="40">
        <f>'ריכוז נתונים'!C73</f>
        <v>57</v>
      </c>
      <c r="C73" s="40" t="str">
        <f ca="1">'אתר אינטרנט'!C73</f>
        <v/>
      </c>
      <c r="D73" s="67" t="str">
        <f ca="1">IF(C73="","",'ריכוז נתונים'!BG73)</f>
        <v/>
      </c>
      <c r="E73" s="70" t="str">
        <f ca="1">IF(C73="","",'ריכוז נתונים'!BC73)</f>
        <v/>
      </c>
      <c r="F73" s="67" t="str">
        <f ca="1">IF(C73="","",'ריכוז נתונים'!BD73)</f>
        <v/>
      </c>
      <c r="G73" s="67" t="str">
        <f ca="1">IF(C73="","",'ריכוז נתונים'!BE73)</f>
        <v/>
      </c>
      <c r="H73" s="67" t="str">
        <f ca="1">IF(D73="","",'ריכוז נתונים'!BF73)</f>
        <v/>
      </c>
      <c r="I73" s="67" t="str">
        <f ca="1">IF(C73="","",'ריכוז נתונים'!BH73)</f>
        <v/>
      </c>
      <c r="J73" s="71" t="str">
        <f t="shared" ca="1" si="5"/>
        <v/>
      </c>
      <c r="K73" s="71" t="str">
        <f t="shared" ca="1" si="2"/>
        <v/>
      </c>
      <c r="L73" s="72" t="str">
        <f t="shared" ca="1" si="3"/>
        <v/>
      </c>
      <c r="M73" s="73" t="str">
        <f t="array" aca="1" ref="M73" ca="1">IF(C73="","",IF(I73="כן",0,IF(D73="כן",IF(OR(K73=$N$13,L73=$N$13),N69,SUMPRODUCT(J73:L73,TRANSPOSE($D$3:$D$5))*IF(H73=$N$14,$D$8,1)),"המוסד אינו עומד בקריטריון לקבלת ניקוד")))</f>
        <v/>
      </c>
      <c r="N73" s="68" t="str">
        <f t="shared" ca="1" si="1"/>
        <v/>
      </c>
      <c r="O73" s="39" t="str">
        <f t="shared" ca="1" si="4"/>
        <v/>
      </c>
    </row>
    <row r="74" spans="2:15" x14ac:dyDescent="0.25">
      <c r="B74" s="40">
        <f>'ריכוז נתונים'!C74</f>
        <v>58</v>
      </c>
      <c r="C74" s="40" t="str">
        <f ca="1">'אתר אינטרנט'!C74</f>
        <v/>
      </c>
      <c r="D74" s="67" t="str">
        <f ca="1">IF(C74="","",'ריכוז נתונים'!BG74)</f>
        <v/>
      </c>
      <c r="E74" s="70" t="str">
        <f ca="1">IF(C74="","",'ריכוז נתונים'!BC74)</f>
        <v/>
      </c>
      <c r="F74" s="67" t="str">
        <f ca="1">IF(C74="","",'ריכוז נתונים'!BD74)</f>
        <v/>
      </c>
      <c r="G74" s="67" t="str">
        <f ca="1">IF(C74="","",'ריכוז נתונים'!BE74)</f>
        <v/>
      </c>
      <c r="H74" s="67" t="str">
        <f ca="1">IF(D74="","",'ריכוז נתונים'!BF74)</f>
        <v/>
      </c>
      <c r="I74" s="67" t="str">
        <f ca="1">IF(C74="","",'ריכוז נתונים'!BH74)</f>
        <v/>
      </c>
      <c r="J74" s="71" t="str">
        <f t="shared" ca="1" si="5"/>
        <v/>
      </c>
      <c r="K74" s="71" t="str">
        <f t="shared" ca="1" si="2"/>
        <v/>
      </c>
      <c r="L74" s="72" t="str">
        <f t="shared" ca="1" si="3"/>
        <v/>
      </c>
      <c r="M74" s="73" t="str">
        <f t="array" aca="1" ref="M74" ca="1">IF(C74="","",IF(I74="כן",0,IF(D74="כן",IF(OR(K74=$N$13,L74=$N$13),N70,SUMPRODUCT(J74:L74,TRANSPOSE($D$3:$D$5))*IF(H74=$N$14,$D$8,1)),"המוסד אינו עומד בקריטריון לקבלת ניקוד")))</f>
        <v/>
      </c>
      <c r="N74" s="68" t="str">
        <f t="shared" ca="1" si="1"/>
        <v/>
      </c>
      <c r="O74" s="39" t="str">
        <f t="shared" ca="1" si="4"/>
        <v/>
      </c>
    </row>
    <row r="75" spans="2:15" x14ac:dyDescent="0.25">
      <c r="B75" s="40">
        <f>'ריכוז נתונים'!C75</f>
        <v>59</v>
      </c>
      <c r="C75" s="40" t="str">
        <f ca="1">'אתר אינטרנט'!C75</f>
        <v/>
      </c>
      <c r="D75" s="67" t="str">
        <f ca="1">IF(C75="","",'ריכוז נתונים'!BG75)</f>
        <v/>
      </c>
      <c r="E75" s="70" t="str">
        <f ca="1">IF(C75="","",'ריכוז נתונים'!BC75)</f>
        <v/>
      </c>
      <c r="F75" s="67" t="str">
        <f ca="1">IF(C75="","",'ריכוז נתונים'!BD75)</f>
        <v/>
      </c>
      <c r="G75" s="67" t="str">
        <f ca="1">IF(C75="","",'ריכוז נתונים'!BE75)</f>
        <v/>
      </c>
      <c r="H75" s="67" t="str">
        <f ca="1">IF(D75="","",'ריכוז נתונים'!BF75)</f>
        <v/>
      </c>
      <c r="I75" s="67" t="str">
        <f ca="1">IF(C75="","",'ריכוז נתונים'!BH75)</f>
        <v/>
      </c>
      <c r="J75" s="71" t="str">
        <f t="shared" ca="1" si="5"/>
        <v/>
      </c>
      <c r="K75" s="71" t="str">
        <f t="shared" ca="1" si="2"/>
        <v/>
      </c>
      <c r="L75" s="72" t="str">
        <f t="shared" ca="1" si="3"/>
        <v/>
      </c>
      <c r="M75" s="73" t="str">
        <f t="array" aca="1" ref="M75" ca="1">IF(C75="","",IF(I75="כן",0,IF(D75="כן",IF(OR(K75=$N$13,L75=$N$13),N71,SUMPRODUCT(J75:L75,TRANSPOSE($D$3:$D$5))*IF(H75=$N$14,$D$8,1)),"המוסד אינו עומד בקריטריון לקבלת ניקוד")))</f>
        <v/>
      </c>
      <c r="N75" s="68" t="str">
        <f t="shared" ca="1" si="1"/>
        <v/>
      </c>
      <c r="O75" s="39" t="str">
        <f t="shared" ca="1" si="4"/>
        <v/>
      </c>
    </row>
    <row r="76" spans="2:15" ht="60" x14ac:dyDescent="0.25">
      <c r="B76" s="40">
        <f>'ריכוז נתונים'!C76</f>
        <v>60</v>
      </c>
      <c r="C76" s="40" t="str">
        <f ca="1">'אתר אינטרנט'!C76</f>
        <v>שרשרת הדורות</v>
      </c>
      <c r="D76" s="67">
        <f ca="1">IF(C76="","",'ריכוז נתונים'!BG76)</f>
        <v>0</v>
      </c>
      <c r="E76" s="70">
        <f ca="1">IF(C76="","",'ריכוז נתונים'!BC76)</f>
        <v>0</v>
      </c>
      <c r="F76" s="67">
        <f ca="1">IF(C76="","",'ריכוז נתונים'!BD76)</f>
        <v>0</v>
      </c>
      <c r="G76" s="67">
        <f ca="1">IF(C76="","",'ריכוז נתונים'!BE76)</f>
        <v>0</v>
      </c>
      <c r="H76" s="67">
        <f ca="1">IF(D76="","",'ריכוז נתונים'!BF76)</f>
        <v>0</v>
      </c>
      <c r="I76" s="67">
        <f ca="1">IF(C76="","",'ריכוז נתונים'!BH76)</f>
        <v>0</v>
      </c>
      <c r="J76" s="71">
        <f t="shared" ca="1" si="5"/>
        <v>0</v>
      </c>
      <c r="K76" s="71">
        <f t="shared" ca="1" si="2"/>
        <v>0</v>
      </c>
      <c r="L76" s="72">
        <f t="shared" ca="1" si="3"/>
        <v>0</v>
      </c>
      <c r="M76" s="73" t="str">
        <f t="array" aca="1" ref="M76" ca="1">IF(C76="","",IF(I76="כן",0,IF(D76="כן",IF(OR(K76=$N$13,L76=$N$13),N72,SUMPRODUCT(J76:L76,TRANSPOSE($D$3:$D$5))*IF(H76=$N$14,$D$8,1)),"המוסד אינו עומד בקריטריון לקבלת ניקוד")))</f>
        <v>המוסד אינו עומד בקריטריון לקבלת ניקוד</v>
      </c>
      <c r="N76" s="68">
        <f t="shared" ca="1" si="1"/>
        <v>0</v>
      </c>
      <c r="O76" s="39">
        <f t="shared" ca="1" si="4"/>
        <v>0</v>
      </c>
    </row>
    <row r="77" spans="2:15" ht="60" x14ac:dyDescent="0.25">
      <c r="B77" s="40">
        <f>'ריכוז נתונים'!C77</f>
        <v>61</v>
      </c>
      <c r="C77" s="40" t="str">
        <f ca="1">'אתר אינטרנט'!C77</f>
        <v>חיבה</v>
      </c>
      <c r="D77" s="67">
        <f ca="1">IF(C77="","",'ריכוז נתונים'!BG77)</f>
        <v>0</v>
      </c>
      <c r="E77" s="70">
        <f ca="1">IF(C77="","",'ריכוז נתונים'!BC77)</f>
        <v>0</v>
      </c>
      <c r="F77" s="67">
        <f ca="1">IF(C77="","",'ריכוז נתונים'!BD77)</f>
        <v>0</v>
      </c>
      <c r="G77" s="67">
        <f ca="1">IF(C77="","",'ריכוז נתונים'!BE77)</f>
        <v>0</v>
      </c>
      <c r="H77" s="67">
        <f ca="1">IF(D77="","",'ריכוז נתונים'!BF77)</f>
        <v>0</v>
      </c>
      <c r="I77" s="67">
        <f ca="1">IF(C77="","",'ריכוז נתונים'!BH77)</f>
        <v>0</v>
      </c>
      <c r="J77" s="71">
        <f t="shared" ref="J77:J78" ca="1" si="6">IF(C77="","",IFERROR(VLOOKUP(E77,$F$3:$H$6,3,FALSE),0))</f>
        <v>0</v>
      </c>
      <c r="K77" s="71">
        <f t="shared" ref="K77:K78" ca="1" si="7">IF(C77="","",IF(F77=$N$13,N73,IFERROR(VLOOKUP(F77,$L$3:$O$5,4),0)))</f>
        <v>0</v>
      </c>
      <c r="L77" s="72">
        <f t="shared" ref="L77:L78" ca="1" si="8">IF(C77="","",G77/MAX($G$17:$G$76,1)*$H$8)</f>
        <v>0</v>
      </c>
      <c r="M77" s="73" t="str">
        <f t="array" aca="1" ref="M77" ca="1">IF(C77="","",IF(I77="כן",0,IF(D77="כן",IF(OR(K77=$N$13,L77=$N$13),N73,SUMPRODUCT(J77:L77,TRANSPOSE($D$3:$D$5))*IF(H77=$N$14,$D$8,1)),"המוסד אינו עומד בקריטריון לקבלת ניקוד")))</f>
        <v>המוסד אינו עומד בקריטריון לקבלת ניקוד</v>
      </c>
      <c r="N77" s="68">
        <f t="shared" ref="N77:N78" ca="1" si="9">IF(M77="המוסד אינו עומד בקריטריון לקבלת ניקוד",0,IFERROR(M77,0))</f>
        <v>0</v>
      </c>
      <c r="O77" s="39">
        <f t="shared" ca="1" si="4"/>
        <v>0</v>
      </c>
    </row>
    <row r="78" spans="2:15" hidden="1" x14ac:dyDescent="0.25">
      <c r="B78" s="40">
        <f>'ריכוז נתונים'!C78</f>
        <v>62</v>
      </c>
      <c r="C78" s="40" t="str">
        <f ca="1">'אתר אינטרנט'!C78</f>
        <v/>
      </c>
      <c r="D78" s="67" t="str">
        <f ca="1">IF(C78="","",'ריכוז נתונים'!BG78)</f>
        <v/>
      </c>
      <c r="E78" s="70" t="str">
        <f ca="1">IF(C78="","",'ריכוז נתונים'!BC78)</f>
        <v/>
      </c>
      <c r="F78" s="67" t="str">
        <f ca="1">IF(C78="","",'ריכוז נתונים'!BD78)</f>
        <v/>
      </c>
      <c r="G78" s="67" t="str">
        <f ca="1">IF(C78="","",'ריכוז נתונים'!BE78)</f>
        <v/>
      </c>
      <c r="H78" s="67" t="str">
        <f ca="1">IF(D78="","",'ריכוז נתונים'!BF78)</f>
        <v/>
      </c>
      <c r="I78" s="67" t="str">
        <f ca="1">IF(C78="","",'ריכוז נתונים'!BH78)</f>
        <v/>
      </c>
      <c r="J78" s="71" t="str">
        <f t="shared" ca="1" si="6"/>
        <v/>
      </c>
      <c r="K78" s="71" t="str">
        <f t="shared" ca="1" si="7"/>
        <v/>
      </c>
      <c r="L78" s="72" t="str">
        <f t="shared" ca="1" si="8"/>
        <v/>
      </c>
      <c r="M78" s="73" t="str">
        <f t="array" aca="1" ref="M78" ca="1">IF(C78="","",IF(I78="כן",0,IF(D78="כן",IF(OR(K78=$N$13,L78=$N$13),N74,SUMPRODUCT(J78:L78,TRANSPOSE($D$3:$D$5))*IF(H78=$N$14,$D$8,1)),"המוסד אינו עומד בקריטריון לקבלת ניקוד")))</f>
        <v/>
      </c>
      <c r="N78" s="68" t="str">
        <f t="shared" ca="1" si="9"/>
        <v/>
      </c>
      <c r="O78" s="39" t="str">
        <f t="shared" ref="O78" ca="1" si="10">IF($C78="","",IFERROR(IF(ISERROR(M78),M78,(N78/SUM(N$17:N$76))),0))</f>
        <v/>
      </c>
    </row>
  </sheetData>
  <sheetProtection algorithmName="SHA-512" hashValue="PU44TwMHZXdb+p7EVfLs2Y9INEVVmEsViiaXw0W5Qd+nnSDQKQjzgzmPrKTTpGPXqQQLme6SHw7SfK7BfvMxtQ==" saltValue="0j0SAsGDx+I+EB6vFS5FCQ==" spinCount="100000" sheet="1" scenarios="1" formatColumns="0" formatRows="0" autoFilter="0"/>
  <mergeCells count="18">
    <mergeCell ref="B15:B16"/>
    <mergeCell ref="C15:C16"/>
    <mergeCell ref="D15:O15"/>
    <mergeCell ref="B3:C3"/>
    <mergeCell ref="B4:C4"/>
    <mergeCell ref="B5:C5"/>
    <mergeCell ref="F3:G3"/>
    <mergeCell ref="F4:G4"/>
    <mergeCell ref="F5:G5"/>
    <mergeCell ref="F6:G6"/>
    <mergeCell ref="L3:M3"/>
    <mergeCell ref="L4:M4"/>
    <mergeCell ref="L5:M5"/>
    <mergeCell ref="B8:C8"/>
    <mergeCell ref="B2:C2"/>
    <mergeCell ref="F2:G2"/>
    <mergeCell ref="L2:M2"/>
    <mergeCell ref="F8:G8"/>
  </mergeCell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rowBreaks count="1" manualBreakCount="1">
    <brk id="4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גיליון9">
    <tabColor theme="6" tint="0.39997558519241921"/>
    <pageSetUpPr fitToPage="1"/>
  </sheetPr>
  <dimension ref="B2:G78"/>
  <sheetViews>
    <sheetView rightToLeft="1" view="pageBreakPreview" zoomScale="90" zoomScaleNormal="80" zoomScaleSheetLayoutView="90" workbookViewId="0"/>
  </sheetViews>
  <sheetFormatPr defaultColWidth="9.140625" defaultRowHeight="15.75" x14ac:dyDescent="0.25"/>
  <cols>
    <col min="2" max="2" width="12.85546875" bestFit="1" customWidth="1"/>
    <col min="3" max="3" width="30" customWidth="1"/>
    <col min="4" max="4" width="16.140625" bestFit="1" customWidth="1"/>
    <col min="5" max="5" width="9.85546875" bestFit="1" customWidth="1"/>
    <col min="6" max="6" width="9.85546875" hidden="1" customWidth="1"/>
    <col min="7" max="7" width="10.5703125" bestFit="1" customWidth="1"/>
  </cols>
  <sheetData>
    <row r="2" spans="2:7" x14ac:dyDescent="0.25">
      <c r="B2" s="477" t="str">
        <f>פרמטרים!B96</f>
        <v>ספרי עיון</v>
      </c>
      <c r="C2" s="487"/>
      <c r="D2" s="478"/>
    </row>
    <row r="3" spans="2:7" x14ac:dyDescent="0.25">
      <c r="B3" s="533" t="str">
        <f>פרמטרים!B97</f>
        <v>מספר העמודים בספר העיון גדול מ:</v>
      </c>
      <c r="C3" s="534"/>
      <c r="D3" s="24" t="str">
        <f>פרמטרים!C97</f>
        <v>ניקוד</v>
      </c>
    </row>
    <row r="4" spans="2:7" x14ac:dyDescent="0.25">
      <c r="B4" s="536">
        <f>פרמטרים!B98</f>
        <v>150</v>
      </c>
      <c r="C4" s="537"/>
      <c r="D4" s="44">
        <f>פרמטרים!C98</f>
        <v>1</v>
      </c>
    </row>
    <row r="5" spans="2:7" x14ac:dyDescent="0.25">
      <c r="B5" s="536">
        <f>פרמטרים!B99</f>
        <v>300</v>
      </c>
      <c r="C5" s="537"/>
      <c r="D5" s="44">
        <f>פרמטרים!C99</f>
        <v>2</v>
      </c>
    </row>
    <row r="7" spans="2:7" hidden="1" x14ac:dyDescent="0.25"/>
    <row r="8" spans="2:7" hidden="1" x14ac:dyDescent="0.25"/>
    <row r="9" spans="2:7" hidden="1" x14ac:dyDescent="0.25"/>
    <row r="10" spans="2:7" hidden="1" x14ac:dyDescent="0.25"/>
    <row r="11" spans="2:7" hidden="1" x14ac:dyDescent="0.25"/>
    <row r="12" spans="2:7" hidden="1" x14ac:dyDescent="0.25">
      <c r="F12" t="s">
        <v>178</v>
      </c>
    </row>
    <row r="13" spans="2:7" ht="31.5" hidden="1" x14ac:dyDescent="0.25">
      <c r="F13" s="45" t="str">
        <f>'ריכוז נתונים'!$AP$14</f>
        <v>הזנה שגויה</v>
      </c>
    </row>
    <row r="15" spans="2:7" x14ac:dyDescent="0.25">
      <c r="B15" s="489" t="str">
        <f>'ריכוז נתונים'!C15:C16</f>
        <v>מספר סידורי</v>
      </c>
      <c r="C15" s="489" t="str">
        <f>'ריכוז נתונים'!D15:D16</f>
        <v>שם המוסד</v>
      </c>
      <c r="D15" s="479" t="str">
        <f ca="1">MID(CELL("filename",A1),FIND("]",CELL("filename",A1),1)+1,99)</f>
        <v>ספרי עיון</v>
      </c>
      <c r="E15" s="535"/>
      <c r="F15" s="535"/>
      <c r="G15" s="480"/>
    </row>
    <row r="16" spans="2:7" x14ac:dyDescent="0.25">
      <c r="B16" s="504"/>
      <c r="C16" s="504"/>
      <c r="D16" s="29" t="str">
        <f>'ריכוז נתונים'!BI16</f>
        <v>ניקוד ספרי עיון</v>
      </c>
      <c r="E16" s="29" t="s">
        <v>79</v>
      </c>
      <c r="F16" s="29" t="s">
        <v>79</v>
      </c>
      <c r="G16" s="29" t="s">
        <v>175</v>
      </c>
    </row>
    <row r="17" spans="2:7" x14ac:dyDescent="0.25">
      <c r="B17" s="7">
        <f>'ריכוז נתונים'!C17</f>
        <v>1</v>
      </c>
      <c r="C17" s="7" t="str">
        <f ca="1">עלונים!C17</f>
        <v>מרכז מורשת בבל</v>
      </c>
      <c r="D17" s="67">
        <f ca="1">IF(C17="","",'ריכוז נתונים'!BI17)</f>
        <v>1</v>
      </c>
      <c r="E17" s="68">
        <f ca="1">IF(C17="","",D17)</f>
        <v>1</v>
      </c>
      <c r="F17" s="68">
        <f ca="1">IFERROR(E17,0)</f>
        <v>1</v>
      </c>
      <c r="G17" s="8">
        <f ca="1">IF($C17="","",IFERROR(IF(ISERROR(E17),E17,(F17/SUM(F$17:F$77))),0))</f>
        <v>5.2631578947368418E-2</v>
      </c>
    </row>
    <row r="18" spans="2:7" x14ac:dyDescent="0.25">
      <c r="B18" s="7">
        <f>'ריכוז נתונים'!C18</f>
        <v>2</v>
      </c>
      <c r="C18" s="7" t="str">
        <f ca="1">עלונים!C18</f>
        <v>מורשת יהודי צפון  אפריקה</v>
      </c>
      <c r="D18" s="67">
        <f ca="1">IF(C18="","",'ריכוז נתונים'!BI18)</f>
        <v>0</v>
      </c>
      <c r="E18" s="68">
        <f t="shared" ref="E18:E76" ca="1" si="0">IF(C18="","",D18)</f>
        <v>0</v>
      </c>
      <c r="F18" s="68">
        <f t="shared" ref="F18:F76" ca="1" si="1">IFERROR(E18,0)</f>
        <v>0</v>
      </c>
      <c r="G18" s="8">
        <f t="shared" ref="G18:G77" ca="1" si="2">IF($C18="","",IFERROR(IF(ISERROR(E18),E18,(F18/SUM(F$17:F$77))),0))</f>
        <v>0</v>
      </c>
    </row>
    <row r="19" spans="2:7" x14ac:dyDescent="0.25">
      <c r="B19" s="7">
        <f>'ריכוז נתונים'!C19</f>
        <v>3</v>
      </c>
      <c r="C19" s="7" t="str">
        <f ca="1">עלונים!C19</f>
        <v>מורשת יהדות קוצין</v>
      </c>
      <c r="D19" s="67">
        <f ca="1">IF(C19="","",'ריכוז נתונים'!BI19)</f>
        <v>1</v>
      </c>
      <c r="E19" s="68">
        <f t="shared" ca="1" si="0"/>
        <v>1</v>
      </c>
      <c r="F19" s="68">
        <f t="shared" ca="1" si="1"/>
        <v>1</v>
      </c>
      <c r="G19" s="8">
        <f t="shared" ca="1" si="2"/>
        <v>5.2631578947368418E-2</v>
      </c>
    </row>
    <row r="20" spans="2:7" x14ac:dyDescent="0.25">
      <c r="B20" s="7">
        <f>'ריכוז נתונים'!C20</f>
        <v>4</v>
      </c>
      <c r="C20" s="7" t="str">
        <f ca="1">עלונים!C20</f>
        <v>הפדרציה העולמית של יהדות תוניס</v>
      </c>
      <c r="D20" s="67">
        <f ca="1">IF(C20="","",'ריכוז נתונים'!BI20)</f>
        <v>0</v>
      </c>
      <c r="E20" s="68">
        <f t="shared" ca="1" si="0"/>
        <v>0</v>
      </c>
      <c r="F20" s="68">
        <f t="shared" ca="1" si="1"/>
        <v>0</v>
      </c>
      <c r="G20" s="8">
        <f t="shared" ca="1" si="2"/>
        <v>0</v>
      </c>
    </row>
    <row r="21" spans="2:7" x14ac:dyDescent="0.25">
      <c r="B21" s="7">
        <f>'ריכוז נתונים'!C21</f>
        <v>5</v>
      </c>
      <c r="C21" s="7" t="str">
        <f ca="1">עלונים!C21</f>
        <v>התאחדות עולי מצרים</v>
      </c>
      <c r="D21" s="67">
        <f ca="1">IF(C21="","",'ריכוז נתונים'!BI21)</f>
        <v>1</v>
      </c>
      <c r="E21" s="68">
        <f t="shared" ca="1" si="0"/>
        <v>1</v>
      </c>
      <c r="F21" s="68">
        <f t="shared" ca="1" si="1"/>
        <v>1</v>
      </c>
      <c r="G21" s="8">
        <f t="shared" ca="1" si="2"/>
        <v>5.2631578947368418E-2</v>
      </c>
    </row>
    <row r="22" spans="2:7" x14ac:dyDescent="0.25">
      <c r="B22" s="7">
        <f>'ריכוז נתונים'!C22</f>
        <v>6</v>
      </c>
      <c r="C22" s="7" t="str">
        <f ca="1">עלונים!C22</f>
        <v>יהודים יוצאי לוב</v>
      </c>
      <c r="D22" s="67">
        <f ca="1">IF(C22="","",'ריכוז נתונים'!BI22)</f>
        <v>0</v>
      </c>
      <c r="E22" s="68">
        <f t="shared" ca="1" si="0"/>
        <v>0</v>
      </c>
      <c r="F22" s="68">
        <f t="shared" ca="1" si="1"/>
        <v>0</v>
      </c>
      <c r="G22" s="8">
        <f t="shared" ca="1" si="2"/>
        <v>0</v>
      </c>
    </row>
    <row r="23" spans="2:7" x14ac:dyDescent="0.25">
      <c r="B23" s="7">
        <f>'ריכוז נתונים'!C23</f>
        <v>7</v>
      </c>
      <c r="C23" s="7" t="str">
        <f ca="1">עלונים!C23</f>
        <v>הפדרציה העולמית של יהדות מרוקו</v>
      </c>
      <c r="D23" s="67">
        <f ca="1">IF(C23="","",'ריכוז נתונים'!BI23)</f>
        <v>0</v>
      </c>
      <c r="E23" s="68">
        <f t="shared" ca="1" si="0"/>
        <v>0</v>
      </c>
      <c r="F23" s="68">
        <f t="shared" ca="1" si="1"/>
        <v>0</v>
      </c>
      <c r="G23" s="8">
        <f t="shared" ca="1" si="2"/>
        <v>0</v>
      </c>
    </row>
    <row r="24" spans="2:7" x14ac:dyDescent="0.25">
      <c r="B24" s="7">
        <f>'ריכוז נתונים'!C24</f>
        <v>8</v>
      </c>
      <c r="C24" s="7" t="str">
        <f ca="1">עלונים!C24</f>
        <v>אורות הגליל</v>
      </c>
      <c r="D24" s="67">
        <f ca="1">IF(C24="","",'ריכוז נתונים'!BI24)</f>
        <v>0</v>
      </c>
      <c r="E24" s="68">
        <f t="shared" ca="1" si="0"/>
        <v>0</v>
      </c>
      <c r="F24" s="68">
        <f t="shared" ca="1" si="1"/>
        <v>0</v>
      </c>
      <c r="G24" s="8">
        <f t="shared" ca="1" si="2"/>
        <v>0</v>
      </c>
    </row>
    <row r="25" spans="2:7" x14ac:dyDescent="0.25">
      <c r="B25" s="7">
        <f>'ריכוז נתונים'!C25</f>
        <v>9</v>
      </c>
      <c r="C25" s="7" t="str">
        <f ca="1">עלונים!C25</f>
        <v>אלמז</v>
      </c>
      <c r="D25" s="67">
        <f ca="1">IF(C25="","",'ריכוז נתונים'!BI25)</f>
        <v>0</v>
      </c>
      <c r="E25" s="68">
        <f t="shared" ca="1" si="0"/>
        <v>0</v>
      </c>
      <c r="F25" s="68">
        <f t="shared" ca="1" si="1"/>
        <v>0</v>
      </c>
      <c r="G25" s="8">
        <f t="shared" ca="1" si="2"/>
        <v>0</v>
      </c>
    </row>
    <row r="26" spans="2:7" x14ac:dyDescent="0.25">
      <c r="B26" s="7">
        <f>'ריכוז נתונים'!C26</f>
        <v>10</v>
      </c>
      <c r="C26" s="7" t="str">
        <f ca="1">עלונים!C26</f>
        <v>קונגרס יהודי בוכרה</v>
      </c>
      <c r="D26" s="67">
        <f ca="1">IF(C26="","",'ריכוז נתונים'!BI26)</f>
        <v>0</v>
      </c>
      <c r="E26" s="68">
        <f t="shared" ca="1" si="0"/>
        <v>0</v>
      </c>
      <c r="F26" s="68">
        <f t="shared" ca="1" si="1"/>
        <v>0</v>
      </c>
      <c r="G26" s="8">
        <f t="shared" ca="1" si="2"/>
        <v>0</v>
      </c>
    </row>
    <row r="27" spans="2:7" x14ac:dyDescent="0.25">
      <c r="B27" s="7">
        <f>'ריכוז נתונים'!C27</f>
        <v>11</v>
      </c>
      <c r="C27" s="7" t="str">
        <f ca="1">עלונים!C27</f>
        <v>יהדות שאלוניקי יוון</v>
      </c>
      <c r="D27" s="67">
        <f ca="1">IF(C27="","",'ריכוז נתונים'!BI27)</f>
        <v>0</v>
      </c>
      <c r="E27" s="68">
        <f t="shared" ca="1" si="0"/>
        <v>0</v>
      </c>
      <c r="F27" s="68">
        <f t="shared" ca="1" si="1"/>
        <v>0</v>
      </c>
      <c r="G27" s="8">
        <f t="shared" ca="1" si="2"/>
        <v>0</v>
      </c>
    </row>
    <row r="28" spans="2:7" x14ac:dyDescent="0.25">
      <c r="B28" s="7">
        <f>'ריכוז נתונים'!C28</f>
        <v>12</v>
      </c>
      <c r="C28" s="7" t="str">
        <f ca="1">עלונים!C28</f>
        <v/>
      </c>
      <c r="D28" s="67" t="str">
        <f ca="1">IF(C28="","",'ריכוז נתונים'!BI28)</f>
        <v/>
      </c>
      <c r="E28" s="68" t="str">
        <f t="shared" ca="1" si="0"/>
        <v/>
      </c>
      <c r="F28" s="68" t="str">
        <f t="shared" ca="1" si="1"/>
        <v/>
      </c>
      <c r="G28" s="8" t="str">
        <f t="shared" ca="1" si="2"/>
        <v/>
      </c>
    </row>
    <row r="29" spans="2:7" x14ac:dyDescent="0.25">
      <c r="B29" s="7">
        <f>'ריכוז נתונים'!C29</f>
        <v>13</v>
      </c>
      <c r="C29" s="7" t="str">
        <f ca="1">עלונים!C29</f>
        <v/>
      </c>
      <c r="D29" s="67" t="str">
        <f ca="1">IF(C29="","",'ריכוז נתונים'!BI29)</f>
        <v/>
      </c>
      <c r="E29" s="68" t="str">
        <f t="shared" ca="1" si="0"/>
        <v/>
      </c>
      <c r="F29" s="68" t="str">
        <f t="shared" ca="1" si="1"/>
        <v/>
      </c>
      <c r="G29" s="8" t="str">
        <f t="shared" ca="1" si="2"/>
        <v/>
      </c>
    </row>
    <row r="30" spans="2:7" x14ac:dyDescent="0.25">
      <c r="B30" s="7">
        <f>'ריכוז נתונים'!C30</f>
        <v>14</v>
      </c>
      <c r="C30" s="7" t="str">
        <f ca="1">עלונים!C30</f>
        <v/>
      </c>
      <c r="D30" s="67" t="str">
        <f ca="1">IF(C30="","",'ריכוז נתונים'!BI30)</f>
        <v/>
      </c>
      <c r="E30" s="68" t="str">
        <f t="shared" ca="1" si="0"/>
        <v/>
      </c>
      <c r="F30" s="68" t="str">
        <f t="shared" ca="1" si="1"/>
        <v/>
      </c>
      <c r="G30" s="8" t="str">
        <f t="shared" ca="1" si="2"/>
        <v/>
      </c>
    </row>
    <row r="31" spans="2:7" x14ac:dyDescent="0.25">
      <c r="B31" s="7">
        <f>'ריכוז נתונים'!C31</f>
        <v>15</v>
      </c>
      <c r="C31" s="7" t="str">
        <f ca="1">עלונים!C31</f>
        <v xml:space="preserve">החברה לטיפוח חברה תרבות תיעוד </v>
      </c>
      <c r="D31" s="67">
        <f ca="1">IF(C31="","",'ריכוז נתונים'!BI31)</f>
        <v>9</v>
      </c>
      <c r="E31" s="68">
        <f t="shared" ca="1" si="0"/>
        <v>9</v>
      </c>
      <c r="F31" s="68">
        <f t="shared" ca="1" si="1"/>
        <v>9</v>
      </c>
      <c r="G31" s="8">
        <f t="shared" ca="1" si="2"/>
        <v>0.47368421052631576</v>
      </c>
    </row>
    <row r="32" spans="2:7" x14ac:dyDescent="0.25">
      <c r="B32" s="7">
        <f>'ריכוז נתונים'!C32</f>
        <v>16</v>
      </c>
      <c r="C32" s="7" t="str">
        <f ca="1">עלונים!C32</f>
        <v>עמותת אור שלום</v>
      </c>
      <c r="D32" s="67">
        <f ca="1">IF(C32="","",'ריכוז נתונים'!BI32)</f>
        <v>1</v>
      </c>
      <c r="E32" s="68">
        <f t="shared" ca="1" si="0"/>
        <v>1</v>
      </c>
      <c r="F32" s="68">
        <f t="shared" ca="1" si="1"/>
        <v>1</v>
      </c>
      <c r="G32" s="8">
        <f t="shared" ca="1" si="2"/>
        <v>5.2631578947368418E-2</v>
      </c>
    </row>
    <row r="33" spans="2:7" x14ac:dyDescent="0.25">
      <c r="B33" s="7">
        <f>'ריכוז נתונים'!C33</f>
        <v>17</v>
      </c>
      <c r="C33" s="7" t="str">
        <f ca="1">עלונים!C33</f>
        <v/>
      </c>
      <c r="D33" s="67" t="str">
        <f ca="1">IF(C33="","",'ריכוז נתונים'!BI33)</f>
        <v/>
      </c>
      <c r="E33" s="68" t="str">
        <f t="shared" ca="1" si="0"/>
        <v/>
      </c>
      <c r="F33" s="68" t="str">
        <f t="shared" ca="1" si="1"/>
        <v/>
      </c>
      <c r="G33" s="8" t="str">
        <f t="shared" ca="1" si="2"/>
        <v/>
      </c>
    </row>
    <row r="34" spans="2:7" x14ac:dyDescent="0.25">
      <c r="B34" s="7">
        <f>'ריכוז נתונים'!C34</f>
        <v>18</v>
      </c>
      <c r="C34" s="7" t="str">
        <f ca="1">עלונים!C34</f>
        <v>ישיבת קרלין סטולין</v>
      </c>
      <c r="D34" s="67">
        <f ca="1">IF(C34="","",'ריכוז נתונים'!BI34)</f>
        <v>0</v>
      </c>
      <c r="E34" s="68">
        <f t="shared" ca="1" si="0"/>
        <v>0</v>
      </c>
      <c r="F34" s="68">
        <f t="shared" ca="1" si="1"/>
        <v>0</v>
      </c>
      <c r="G34" s="8">
        <f t="shared" ca="1" si="2"/>
        <v>0</v>
      </c>
    </row>
    <row r="35" spans="2:7" x14ac:dyDescent="0.25">
      <c r="B35" s="7">
        <f>'ריכוז נתונים'!C35</f>
        <v>19</v>
      </c>
      <c r="C35" s="7" t="str">
        <f ca="1">עלונים!C35</f>
        <v/>
      </c>
      <c r="D35" s="67" t="str">
        <f ca="1">IF(C35="","",'ריכוז נתונים'!BI35)</f>
        <v/>
      </c>
      <c r="E35" s="68" t="str">
        <f t="shared" ca="1" si="0"/>
        <v/>
      </c>
      <c r="F35" s="68" t="str">
        <f t="shared" ca="1" si="1"/>
        <v/>
      </c>
      <c r="G35" s="8" t="str">
        <f t="shared" ca="1" si="2"/>
        <v/>
      </c>
    </row>
    <row r="36" spans="2:7" x14ac:dyDescent="0.25">
      <c r="B36" s="7">
        <f>'ריכוז נתונים'!C36</f>
        <v>20</v>
      </c>
      <c r="C36" s="7" t="str">
        <f ca="1">עלונים!C36</f>
        <v/>
      </c>
      <c r="D36" s="67" t="str">
        <f ca="1">IF(C36="","",'ריכוז נתונים'!BI36)</f>
        <v/>
      </c>
      <c r="E36" s="68" t="str">
        <f t="shared" ca="1" si="0"/>
        <v/>
      </c>
      <c r="F36" s="68" t="str">
        <f t="shared" ca="1" si="1"/>
        <v/>
      </c>
      <c r="G36" s="8" t="str">
        <f t="shared" ca="1" si="2"/>
        <v/>
      </c>
    </row>
    <row r="37" spans="2:7" x14ac:dyDescent="0.25">
      <c r="B37" s="7">
        <f>'ריכוז נתונים'!C37</f>
        <v>21</v>
      </c>
      <c r="C37" s="7" t="str">
        <f ca="1">עלונים!C37</f>
        <v>ברית יוצאי מרוקו</v>
      </c>
      <c r="D37" s="67">
        <f ca="1">IF(C37="","",'ריכוז נתונים'!BI37)</f>
        <v>0</v>
      </c>
      <c r="E37" s="68">
        <f t="shared" ca="1" si="0"/>
        <v>0</v>
      </c>
      <c r="F37" s="68">
        <f t="shared" ca="1" si="1"/>
        <v>0</v>
      </c>
      <c r="G37" s="8">
        <f t="shared" ca="1" si="2"/>
        <v>0</v>
      </c>
    </row>
    <row r="38" spans="2:7" x14ac:dyDescent="0.25">
      <c r="B38" s="7">
        <f>'ריכוז נתונים'!C38</f>
        <v>22</v>
      </c>
      <c r="C38" s="7" t="str">
        <f ca="1">עלונים!C38</f>
        <v>הקם - בית הקונפדרציה</v>
      </c>
      <c r="D38" s="67">
        <f ca="1">IF(C38="","",'ריכוז נתונים'!BI38)</f>
        <v>0</v>
      </c>
      <c r="E38" s="68">
        <f t="shared" ca="1" si="0"/>
        <v>0</v>
      </c>
      <c r="F38" s="68">
        <f t="shared" ca="1" si="1"/>
        <v>0</v>
      </c>
      <c r="G38" s="8">
        <f t="shared" ca="1" si="2"/>
        <v>0</v>
      </c>
    </row>
    <row r="39" spans="2:7" x14ac:dyDescent="0.25">
      <c r="B39" s="7">
        <f>'ריכוז נתונים'!C39</f>
        <v>23</v>
      </c>
      <c r="C39" s="7" t="str">
        <f ca="1">עלונים!C39</f>
        <v>מוסיקה מזרח מערב</v>
      </c>
      <c r="D39" s="67">
        <f ca="1">IF(C39="","",'ריכוז נתונים'!BI39)</f>
        <v>0</v>
      </c>
      <c r="E39" s="68">
        <f t="shared" ca="1" si="0"/>
        <v>0</v>
      </c>
      <c r="F39" s="68">
        <f t="shared" ca="1" si="1"/>
        <v>0</v>
      </c>
      <c r="G39" s="8">
        <f t="shared" ca="1" si="2"/>
        <v>0</v>
      </c>
    </row>
    <row r="40" spans="2:7" x14ac:dyDescent="0.25">
      <c r="B40" s="7">
        <f>'ריכוז נתונים'!C40</f>
        <v>24</v>
      </c>
      <c r="C40" s="7" t="str">
        <f ca="1">עלונים!C40</f>
        <v>אעלה בתמר</v>
      </c>
      <c r="D40" s="67">
        <f ca="1">IF(C40="","",'ריכוז נתונים'!BI40)</f>
        <v>5</v>
      </c>
      <c r="E40" s="68">
        <f t="shared" ca="1" si="0"/>
        <v>5</v>
      </c>
      <c r="F40" s="68">
        <f t="shared" ca="1" si="1"/>
        <v>5</v>
      </c>
      <c r="G40" s="8">
        <f t="shared" ca="1" si="2"/>
        <v>0.26315789473684209</v>
      </c>
    </row>
    <row r="41" spans="2:7" x14ac:dyDescent="0.25">
      <c r="B41" s="7">
        <f>'ריכוז נתונים'!C41</f>
        <v>25</v>
      </c>
      <c r="C41" s="7" t="str">
        <f ca="1">עלונים!C41</f>
        <v/>
      </c>
      <c r="D41" s="67" t="str">
        <f ca="1">IF(C41="","",'ריכוז נתונים'!BI41)</f>
        <v/>
      </c>
      <c r="E41" s="68" t="str">
        <f t="shared" ca="1" si="0"/>
        <v/>
      </c>
      <c r="F41" s="68" t="str">
        <f t="shared" ca="1" si="1"/>
        <v/>
      </c>
      <c r="G41" s="8" t="str">
        <f t="shared" ca="1" si="2"/>
        <v/>
      </c>
    </row>
    <row r="42" spans="2:7" x14ac:dyDescent="0.25">
      <c r="B42" s="7">
        <f>'ריכוז נתונים'!C42</f>
        <v>26</v>
      </c>
      <c r="C42" s="7" t="str">
        <f ca="1">עלונים!C42</f>
        <v/>
      </c>
      <c r="D42" s="67" t="str">
        <f ca="1">IF(C42="","",'ריכוז נתונים'!BI42)</f>
        <v/>
      </c>
      <c r="E42" s="68" t="str">
        <f t="shared" ca="1" si="0"/>
        <v/>
      </c>
      <c r="F42" s="68" t="str">
        <f t="shared" ca="1" si="1"/>
        <v/>
      </c>
      <c r="G42" s="8" t="str">
        <f t="shared" ca="1" si="2"/>
        <v/>
      </c>
    </row>
    <row r="43" spans="2:7" x14ac:dyDescent="0.25">
      <c r="B43" s="7">
        <f>'ריכוז נתונים'!C43</f>
        <v>27</v>
      </c>
      <c r="C43" s="7" t="str">
        <f ca="1">עלונים!C43</f>
        <v>מכון הברמן</v>
      </c>
      <c r="D43" s="67">
        <f ca="1">IF(C43="","",'ריכוז נתונים'!BI43)</f>
        <v>0</v>
      </c>
      <c r="E43" s="68">
        <f t="shared" ca="1" si="0"/>
        <v>0</v>
      </c>
      <c r="F43" s="68">
        <f t="shared" ca="1" si="1"/>
        <v>0</v>
      </c>
      <c r="G43" s="8">
        <f t="shared" ca="1" si="2"/>
        <v>0</v>
      </c>
    </row>
    <row r="44" spans="2:7" x14ac:dyDescent="0.25">
      <c r="B44" s="7">
        <f>'ריכוז נתונים'!C44</f>
        <v>28</v>
      </c>
      <c r="C44" s="7" t="str">
        <f ca="1">עלונים!C44</f>
        <v/>
      </c>
      <c r="D44" s="67" t="str">
        <f ca="1">IF(C44="","",'ריכוז נתונים'!BI44)</f>
        <v/>
      </c>
      <c r="E44" s="68" t="str">
        <f t="shared" ca="1" si="0"/>
        <v/>
      </c>
      <c r="F44" s="68" t="str">
        <f t="shared" ca="1" si="1"/>
        <v/>
      </c>
      <c r="G44" s="8" t="str">
        <f t="shared" ca="1" si="2"/>
        <v/>
      </c>
    </row>
    <row r="45" spans="2:7" x14ac:dyDescent="0.25">
      <c r="B45" s="7">
        <f>'ריכוז נתונים'!C45</f>
        <v>29</v>
      </c>
      <c r="C45" s="7" t="str">
        <f ca="1">עלונים!C45</f>
        <v/>
      </c>
      <c r="D45" s="67" t="str">
        <f ca="1">IF(C45="","",'ריכוז נתונים'!BI45)</f>
        <v/>
      </c>
      <c r="E45" s="68" t="str">
        <f t="shared" ca="1" si="0"/>
        <v/>
      </c>
      <c r="F45" s="68" t="str">
        <f t="shared" ca="1" si="1"/>
        <v/>
      </c>
      <c r="G45" s="8" t="str">
        <f t="shared" ca="1" si="2"/>
        <v/>
      </c>
    </row>
    <row r="46" spans="2:7" x14ac:dyDescent="0.25">
      <c r="B46" s="7">
        <f>'ריכוז נתונים'!C46</f>
        <v>30</v>
      </c>
      <c r="C46" s="7" t="str">
        <f ca="1">עלונים!C46</f>
        <v/>
      </c>
      <c r="D46" s="67" t="str">
        <f ca="1">IF(C46="","",'ריכוז נתונים'!BI46)</f>
        <v/>
      </c>
      <c r="E46" s="68" t="str">
        <f t="shared" ca="1" si="0"/>
        <v/>
      </c>
      <c r="F46" s="68" t="str">
        <f t="shared" ca="1" si="1"/>
        <v/>
      </c>
      <c r="G46" s="8" t="str">
        <f t="shared" ca="1" si="2"/>
        <v/>
      </c>
    </row>
    <row r="47" spans="2:7" x14ac:dyDescent="0.25">
      <c r="B47" s="7">
        <f>'ריכוז נתונים'!C47</f>
        <v>31</v>
      </c>
      <c r="C47" s="7" t="str">
        <f ca="1">עלונים!C47</f>
        <v>כולנא</v>
      </c>
      <c r="D47" s="67">
        <f ca="1">IF(C47="","",'ריכוז נתונים'!BI47)</f>
        <v>0</v>
      </c>
      <c r="E47" s="68">
        <f t="shared" ca="1" si="0"/>
        <v>0</v>
      </c>
      <c r="F47" s="68">
        <f t="shared" ca="1" si="1"/>
        <v>0</v>
      </c>
      <c r="G47" s="8">
        <f t="shared" ca="1" si="2"/>
        <v>0</v>
      </c>
    </row>
    <row r="48" spans="2:7" x14ac:dyDescent="0.25">
      <c r="B48" s="7">
        <f>'ריכוז נתונים'!C48</f>
        <v>32</v>
      </c>
      <c r="C48" s="7" t="str">
        <f ca="1">עלונים!C48</f>
        <v/>
      </c>
      <c r="D48" s="67" t="str">
        <f ca="1">IF(C48="","",'ריכוז נתונים'!BI48)</f>
        <v/>
      </c>
      <c r="E48" s="68" t="str">
        <f t="shared" ca="1" si="0"/>
        <v/>
      </c>
      <c r="F48" s="68" t="str">
        <f t="shared" ca="1" si="1"/>
        <v/>
      </c>
      <c r="G48" s="8" t="str">
        <f t="shared" ca="1" si="2"/>
        <v/>
      </c>
    </row>
    <row r="49" spans="2:7" x14ac:dyDescent="0.25">
      <c r="B49" s="7">
        <f>'ריכוז נתונים'!C49</f>
        <v>33</v>
      </c>
      <c r="C49" s="7" t="str">
        <f ca="1">עלונים!C49</f>
        <v/>
      </c>
      <c r="D49" s="67" t="str">
        <f ca="1">IF(C49="","",'ריכוז נתונים'!BI49)</f>
        <v/>
      </c>
      <c r="E49" s="68" t="str">
        <f t="shared" ca="1" si="0"/>
        <v/>
      </c>
      <c r="F49" s="68" t="str">
        <f t="shared" ca="1" si="1"/>
        <v/>
      </c>
      <c r="G49" s="8" t="str">
        <f t="shared" ca="1" si="2"/>
        <v/>
      </c>
    </row>
    <row r="50" spans="2:7" x14ac:dyDescent="0.25">
      <c r="B50" s="7">
        <f>'ריכוז נתונים'!C50</f>
        <v>34</v>
      </c>
      <c r="C50" s="7" t="str">
        <f ca="1">עלונים!C50</f>
        <v/>
      </c>
      <c r="D50" s="67" t="str">
        <f ca="1">IF(C50="","",'ריכוז נתונים'!BI50)</f>
        <v/>
      </c>
      <c r="E50" s="68" t="str">
        <f t="shared" ca="1" si="0"/>
        <v/>
      </c>
      <c r="F50" s="68" t="str">
        <f t="shared" ca="1" si="1"/>
        <v/>
      </c>
      <c r="G50" s="8" t="str">
        <f t="shared" ca="1" si="2"/>
        <v/>
      </c>
    </row>
    <row r="51" spans="2:7" x14ac:dyDescent="0.25">
      <c r="B51" s="7">
        <f>'ריכוז נתונים'!C51</f>
        <v>35</v>
      </c>
      <c r="C51" s="7" t="str">
        <f ca="1">עלונים!C51</f>
        <v/>
      </c>
      <c r="D51" s="67" t="str">
        <f ca="1">IF(C51="","",'ריכוז נתונים'!BI51)</f>
        <v/>
      </c>
      <c r="E51" s="68" t="str">
        <f t="shared" ca="1" si="0"/>
        <v/>
      </c>
      <c r="F51" s="68" t="str">
        <f t="shared" ca="1" si="1"/>
        <v/>
      </c>
      <c r="G51" s="8" t="str">
        <f t="shared" ca="1" si="2"/>
        <v/>
      </c>
    </row>
    <row r="52" spans="2:7" x14ac:dyDescent="0.25">
      <c r="B52" s="7">
        <f>'ריכוז נתונים'!C52</f>
        <v>36</v>
      </c>
      <c r="C52" s="7" t="str">
        <f ca="1">עלונים!C52</f>
        <v/>
      </c>
      <c r="D52" s="67" t="str">
        <f ca="1">IF(C52="","",'ריכוז נתונים'!BI52)</f>
        <v/>
      </c>
      <c r="E52" s="68" t="str">
        <f t="shared" ca="1" si="0"/>
        <v/>
      </c>
      <c r="F52" s="68" t="str">
        <f t="shared" ca="1" si="1"/>
        <v/>
      </c>
      <c r="G52" s="8" t="str">
        <f t="shared" ca="1" si="2"/>
        <v/>
      </c>
    </row>
    <row r="53" spans="2:7" x14ac:dyDescent="0.25">
      <c r="B53" s="7">
        <f>'ריכוז נתונים'!C53</f>
        <v>37</v>
      </c>
      <c r="C53" s="7" t="str">
        <f ca="1">עלונים!C53</f>
        <v/>
      </c>
      <c r="D53" s="67" t="str">
        <f ca="1">IF(C53="","",'ריכוז נתונים'!BI53)</f>
        <v/>
      </c>
      <c r="E53" s="68" t="str">
        <f t="shared" ca="1" si="0"/>
        <v/>
      </c>
      <c r="F53" s="68" t="str">
        <f t="shared" ca="1" si="1"/>
        <v/>
      </c>
      <c r="G53" s="8" t="str">
        <f t="shared" ca="1" si="2"/>
        <v/>
      </c>
    </row>
    <row r="54" spans="2:7" x14ac:dyDescent="0.25">
      <c r="B54" s="7">
        <f>'ריכוז נתונים'!C54</f>
        <v>38</v>
      </c>
      <c r="C54" s="7" t="str">
        <f ca="1">עלונים!C54</f>
        <v/>
      </c>
      <c r="D54" s="67" t="str">
        <f ca="1">IF(C54="","",'ריכוז נתונים'!BI54)</f>
        <v/>
      </c>
      <c r="E54" s="68" t="str">
        <f t="shared" ca="1" si="0"/>
        <v/>
      </c>
      <c r="F54" s="68" t="str">
        <f t="shared" ca="1" si="1"/>
        <v/>
      </c>
      <c r="G54" s="8" t="str">
        <f t="shared" ca="1" si="2"/>
        <v/>
      </c>
    </row>
    <row r="55" spans="2:7" x14ac:dyDescent="0.25">
      <c r="B55" s="7">
        <f>'ריכוז נתונים'!C55</f>
        <v>39</v>
      </c>
      <c r="C55" s="7" t="str">
        <f ca="1">עלונים!C55</f>
        <v/>
      </c>
      <c r="D55" s="67" t="str">
        <f ca="1">IF(C55="","",'ריכוז נתונים'!BI55)</f>
        <v/>
      </c>
      <c r="E55" s="68" t="str">
        <f t="shared" ca="1" si="0"/>
        <v/>
      </c>
      <c r="F55" s="68" t="str">
        <f t="shared" ca="1" si="1"/>
        <v/>
      </c>
      <c r="G55" s="8" t="str">
        <f t="shared" ca="1" si="2"/>
        <v/>
      </c>
    </row>
    <row r="56" spans="2:7" x14ac:dyDescent="0.25">
      <c r="B56" s="7">
        <f>'ריכוז נתונים'!C56</f>
        <v>40</v>
      </c>
      <c r="C56" s="7" t="str">
        <f ca="1">עלונים!C56</f>
        <v/>
      </c>
      <c r="D56" s="67" t="str">
        <f ca="1">IF(C56="","",'ריכוז נתונים'!BI56)</f>
        <v/>
      </c>
      <c r="E56" s="68" t="str">
        <f t="shared" ca="1" si="0"/>
        <v/>
      </c>
      <c r="F56" s="68" t="str">
        <f t="shared" ca="1" si="1"/>
        <v/>
      </c>
      <c r="G56" s="8" t="str">
        <f t="shared" ca="1" si="2"/>
        <v/>
      </c>
    </row>
    <row r="57" spans="2:7" x14ac:dyDescent="0.25">
      <c r="B57" s="7">
        <f>'ריכוז נתונים'!C57</f>
        <v>41</v>
      </c>
      <c r="C57" s="7" t="str">
        <f ca="1">עלונים!C57</f>
        <v/>
      </c>
      <c r="D57" s="67" t="str">
        <f ca="1">IF(C57="","",'ריכוז נתונים'!BI57)</f>
        <v/>
      </c>
      <c r="E57" s="68" t="str">
        <f t="shared" ca="1" si="0"/>
        <v/>
      </c>
      <c r="F57" s="68" t="str">
        <f t="shared" ca="1" si="1"/>
        <v/>
      </c>
      <c r="G57" s="8" t="str">
        <f t="shared" ca="1" si="2"/>
        <v/>
      </c>
    </row>
    <row r="58" spans="2:7" x14ac:dyDescent="0.25">
      <c r="B58" s="7">
        <f>'ריכוז נתונים'!C58</f>
        <v>42</v>
      </c>
      <c r="C58" s="7" t="str">
        <f ca="1">עלונים!C58</f>
        <v/>
      </c>
      <c r="D58" s="67" t="str">
        <f ca="1">IF(C58="","",'ריכוז נתונים'!BI58)</f>
        <v/>
      </c>
      <c r="E58" s="68" t="str">
        <f t="shared" ca="1" si="0"/>
        <v/>
      </c>
      <c r="F58" s="68" t="str">
        <f t="shared" ca="1" si="1"/>
        <v/>
      </c>
      <c r="G58" s="8" t="str">
        <f t="shared" ca="1" si="2"/>
        <v/>
      </c>
    </row>
    <row r="59" spans="2:7" x14ac:dyDescent="0.25">
      <c r="B59" s="7">
        <f>'ריכוז נתונים'!C59</f>
        <v>43</v>
      </c>
      <c r="C59" s="7" t="str">
        <f ca="1">עלונים!C59</f>
        <v/>
      </c>
      <c r="D59" s="67" t="str">
        <f ca="1">IF(C59="","",'ריכוז נתונים'!BI59)</f>
        <v/>
      </c>
      <c r="E59" s="68" t="str">
        <f t="shared" ca="1" si="0"/>
        <v/>
      </c>
      <c r="F59" s="68" t="str">
        <f t="shared" ca="1" si="1"/>
        <v/>
      </c>
      <c r="G59" s="8" t="str">
        <f t="shared" ca="1" si="2"/>
        <v/>
      </c>
    </row>
    <row r="60" spans="2:7" x14ac:dyDescent="0.25">
      <c r="B60" s="7">
        <f>'ריכוז נתונים'!C60</f>
        <v>44</v>
      </c>
      <c r="C60" s="7" t="str">
        <f ca="1">עלונים!C60</f>
        <v/>
      </c>
      <c r="D60" s="67" t="str">
        <f ca="1">IF(C60="","",'ריכוז נתונים'!BI60)</f>
        <v/>
      </c>
      <c r="E60" s="68" t="str">
        <f t="shared" ca="1" si="0"/>
        <v/>
      </c>
      <c r="F60" s="68" t="str">
        <f t="shared" ca="1" si="1"/>
        <v/>
      </c>
      <c r="G60" s="8" t="str">
        <f t="shared" ca="1" si="2"/>
        <v/>
      </c>
    </row>
    <row r="61" spans="2:7" x14ac:dyDescent="0.25">
      <c r="B61" s="7">
        <f>'ריכוז נתונים'!C61</f>
        <v>45</v>
      </c>
      <c r="C61" s="7" t="str">
        <f ca="1">עלונים!C61</f>
        <v/>
      </c>
      <c r="D61" s="67" t="str">
        <f ca="1">IF(C61="","",'ריכוז נתונים'!BI61)</f>
        <v/>
      </c>
      <c r="E61" s="68" t="str">
        <f t="shared" ca="1" si="0"/>
        <v/>
      </c>
      <c r="F61" s="68" t="str">
        <f t="shared" ca="1" si="1"/>
        <v/>
      </c>
      <c r="G61" s="8" t="str">
        <f t="shared" ca="1" si="2"/>
        <v/>
      </c>
    </row>
    <row r="62" spans="2:7" x14ac:dyDescent="0.25">
      <c r="B62" s="7">
        <f>'ריכוז נתונים'!C62</f>
        <v>46</v>
      </c>
      <c r="C62" s="7" t="str">
        <f ca="1">עלונים!C62</f>
        <v>ענבל מרכז אתני</v>
      </c>
      <c r="D62" s="67">
        <f ca="1">IF(C62="","",'ריכוז נתונים'!BI62)</f>
        <v>0</v>
      </c>
      <c r="E62" s="68">
        <f t="shared" ca="1" si="0"/>
        <v>0</v>
      </c>
      <c r="F62" s="68">
        <f t="shared" ca="1" si="1"/>
        <v>0</v>
      </c>
      <c r="G62" s="8">
        <f t="shared" ca="1" si="2"/>
        <v>0</v>
      </c>
    </row>
    <row r="63" spans="2:7" x14ac:dyDescent="0.25">
      <c r="B63" s="7">
        <f>'ריכוז נתונים'!C63</f>
        <v>47</v>
      </c>
      <c r="C63" s="7" t="str">
        <f ca="1">עלונים!C63</f>
        <v>א.ב. חדשות השומרונים</v>
      </c>
      <c r="D63" s="67">
        <f ca="1">IF(C63="","",'ריכוז נתונים'!BI63)</f>
        <v>1</v>
      </c>
      <c r="E63" s="68">
        <f t="shared" ca="1" si="0"/>
        <v>1</v>
      </c>
      <c r="F63" s="68">
        <f t="shared" ca="1" si="1"/>
        <v>1</v>
      </c>
      <c r="G63" s="8">
        <f t="shared" ca="1" si="2"/>
        <v>5.2631578947368418E-2</v>
      </c>
    </row>
    <row r="64" spans="2:7" x14ac:dyDescent="0.25">
      <c r="B64" s="7">
        <f>'ריכוז נתונים'!C64</f>
        <v>48</v>
      </c>
      <c r="C64" s="7" t="str">
        <f ca="1">עלונים!C64</f>
        <v/>
      </c>
      <c r="D64" s="67" t="str">
        <f ca="1">IF(C64="","",'ריכוז נתונים'!BI64)</f>
        <v/>
      </c>
      <c r="E64" s="68" t="str">
        <f t="shared" ca="1" si="0"/>
        <v/>
      </c>
      <c r="F64" s="68" t="str">
        <f t="shared" ca="1" si="1"/>
        <v/>
      </c>
      <c r="G64" s="8" t="str">
        <f t="shared" ca="1" si="2"/>
        <v/>
      </c>
    </row>
    <row r="65" spans="2:7" x14ac:dyDescent="0.25">
      <c r="B65" s="7">
        <f>'ריכוז נתונים'!C65</f>
        <v>49</v>
      </c>
      <c r="C65" s="7" t="str">
        <f ca="1">עלונים!C65</f>
        <v/>
      </c>
      <c r="D65" s="67" t="str">
        <f ca="1">IF(C65="","",'ריכוז נתונים'!BI65)</f>
        <v/>
      </c>
      <c r="E65" s="68" t="str">
        <f t="shared" ca="1" si="0"/>
        <v/>
      </c>
      <c r="F65" s="68" t="str">
        <f t="shared" ca="1" si="1"/>
        <v/>
      </c>
      <c r="G65" s="8" t="str">
        <f t="shared" ca="1" si="2"/>
        <v/>
      </c>
    </row>
    <row r="66" spans="2:7" x14ac:dyDescent="0.25">
      <c r="B66" s="7">
        <f>'ריכוז נתונים'!C66</f>
        <v>50</v>
      </c>
      <c r="C66" s="7" t="str">
        <f ca="1">עלונים!C66</f>
        <v/>
      </c>
      <c r="D66" s="67" t="str">
        <f ca="1">IF(C66="","",'ריכוז נתונים'!BI66)</f>
        <v/>
      </c>
      <c r="E66" s="68" t="str">
        <f t="shared" ca="1" si="0"/>
        <v/>
      </c>
      <c r="F66" s="68" t="str">
        <f t="shared" ca="1" si="1"/>
        <v/>
      </c>
      <c r="G66" s="8" t="str">
        <f t="shared" ca="1" si="2"/>
        <v/>
      </c>
    </row>
    <row r="67" spans="2:7" x14ac:dyDescent="0.25">
      <c r="B67" s="7">
        <f>'ריכוז נתונים'!C67</f>
        <v>51</v>
      </c>
      <c r="C67" s="7" t="str">
        <f ca="1">עלונים!C67</f>
        <v/>
      </c>
      <c r="D67" s="67" t="str">
        <f ca="1">IF(C67="","",'ריכוז נתונים'!BI67)</f>
        <v/>
      </c>
      <c r="E67" s="68" t="str">
        <f t="shared" ca="1" si="0"/>
        <v/>
      </c>
      <c r="F67" s="68" t="str">
        <f t="shared" ca="1" si="1"/>
        <v/>
      </c>
      <c r="G67" s="8" t="str">
        <f t="shared" ca="1" si="2"/>
        <v/>
      </c>
    </row>
    <row r="68" spans="2:7" x14ac:dyDescent="0.25">
      <c r="B68" s="7">
        <f>'ריכוז נתונים'!C68</f>
        <v>52</v>
      </c>
      <c r="C68" s="7" t="str">
        <f ca="1">עלונים!C68</f>
        <v>עמותת הנני</v>
      </c>
      <c r="D68" s="67">
        <f ca="1">IF(C68="","",'ריכוז נתונים'!BI68)</f>
        <v>0</v>
      </c>
      <c r="E68" s="68">
        <f t="shared" ca="1" si="0"/>
        <v>0</v>
      </c>
      <c r="F68" s="68">
        <f t="shared" ca="1" si="1"/>
        <v>0</v>
      </c>
      <c r="G68" s="8">
        <f t="shared" ca="1" si="2"/>
        <v>0</v>
      </c>
    </row>
    <row r="69" spans="2:7" x14ac:dyDescent="0.25">
      <c r="B69" s="7">
        <f>'ריכוז נתונים'!C69</f>
        <v>53</v>
      </c>
      <c r="C69" s="7" t="str">
        <f ca="1">עלונים!C69</f>
        <v/>
      </c>
      <c r="D69" s="67" t="str">
        <f ca="1">IF(C69="","",'ריכוז נתונים'!BI69)</f>
        <v/>
      </c>
      <c r="E69" s="68" t="str">
        <f t="shared" ca="1" si="0"/>
        <v/>
      </c>
      <c r="F69" s="68" t="str">
        <f t="shared" ca="1" si="1"/>
        <v/>
      </c>
      <c r="G69" s="8" t="str">
        <f t="shared" ca="1" si="2"/>
        <v/>
      </c>
    </row>
    <row r="70" spans="2:7" x14ac:dyDescent="0.25">
      <c r="B70" s="7">
        <f>'ריכוז נתונים'!C70</f>
        <v>54</v>
      </c>
      <c r="C70" s="7" t="str">
        <f ca="1">עלונים!C70</f>
        <v/>
      </c>
      <c r="D70" s="67" t="str">
        <f ca="1">IF(C70="","",'ריכוז נתונים'!BI70)</f>
        <v/>
      </c>
      <c r="E70" s="68" t="str">
        <f t="shared" ca="1" si="0"/>
        <v/>
      </c>
      <c r="F70" s="68" t="str">
        <f t="shared" ca="1" si="1"/>
        <v/>
      </c>
      <c r="G70" s="8" t="str">
        <f t="shared" ca="1" si="2"/>
        <v/>
      </c>
    </row>
    <row r="71" spans="2:7" x14ac:dyDescent="0.25">
      <c r="B71" s="7">
        <f>'ריכוז נתונים'!C71</f>
        <v>55</v>
      </c>
      <c r="C71" s="7" t="str">
        <f ca="1">עלונים!C71</f>
        <v/>
      </c>
      <c r="D71" s="67" t="str">
        <f ca="1">IF(C71="","",'ריכוז נתונים'!BI71)</f>
        <v/>
      </c>
      <c r="E71" s="68" t="str">
        <f t="shared" ca="1" si="0"/>
        <v/>
      </c>
      <c r="F71" s="68" t="str">
        <f t="shared" ca="1" si="1"/>
        <v/>
      </c>
      <c r="G71" s="8" t="str">
        <f t="shared" ca="1" si="2"/>
        <v/>
      </c>
    </row>
    <row r="72" spans="2:7" x14ac:dyDescent="0.25">
      <c r="B72" s="7">
        <f>'ריכוז נתונים'!C72</f>
        <v>56</v>
      </c>
      <c r="C72" s="7" t="str">
        <f ca="1">עלונים!C72</f>
        <v/>
      </c>
      <c r="D72" s="67" t="str">
        <f ca="1">IF(C72="","",'ריכוז נתונים'!BI72)</f>
        <v/>
      </c>
      <c r="E72" s="68" t="str">
        <f t="shared" ca="1" si="0"/>
        <v/>
      </c>
      <c r="F72" s="68" t="str">
        <f t="shared" ca="1" si="1"/>
        <v/>
      </c>
      <c r="G72" s="8" t="str">
        <f t="shared" ca="1" si="2"/>
        <v/>
      </c>
    </row>
    <row r="73" spans="2:7" x14ac:dyDescent="0.25">
      <c r="B73" s="7">
        <f>'ריכוז נתונים'!C73</f>
        <v>57</v>
      </c>
      <c r="C73" s="7" t="str">
        <f ca="1">עלונים!C73</f>
        <v/>
      </c>
      <c r="D73" s="67" t="str">
        <f ca="1">IF(C73="","",'ריכוז נתונים'!BI73)</f>
        <v/>
      </c>
      <c r="E73" s="68" t="str">
        <f t="shared" ca="1" si="0"/>
        <v/>
      </c>
      <c r="F73" s="68" t="str">
        <f t="shared" ca="1" si="1"/>
        <v/>
      </c>
      <c r="G73" s="8" t="str">
        <f t="shared" ca="1" si="2"/>
        <v/>
      </c>
    </row>
    <row r="74" spans="2:7" x14ac:dyDescent="0.25">
      <c r="B74" s="7">
        <f>'ריכוז נתונים'!C74</f>
        <v>58</v>
      </c>
      <c r="C74" s="7" t="str">
        <f ca="1">עלונים!C74</f>
        <v/>
      </c>
      <c r="D74" s="67" t="str">
        <f ca="1">IF(C74="","",'ריכוז נתונים'!BI74)</f>
        <v/>
      </c>
      <c r="E74" s="68" t="str">
        <f t="shared" ca="1" si="0"/>
        <v/>
      </c>
      <c r="F74" s="68" t="str">
        <f t="shared" ca="1" si="1"/>
        <v/>
      </c>
      <c r="G74" s="8" t="str">
        <f t="shared" ca="1" si="2"/>
        <v/>
      </c>
    </row>
    <row r="75" spans="2:7" x14ac:dyDescent="0.25">
      <c r="B75" s="7">
        <f>'ריכוז נתונים'!C75</f>
        <v>59</v>
      </c>
      <c r="C75" s="7" t="str">
        <f ca="1">עלונים!C75</f>
        <v/>
      </c>
      <c r="D75" s="67" t="str">
        <f ca="1">IF(C75="","",'ריכוז נתונים'!BI75)</f>
        <v/>
      </c>
      <c r="E75" s="68" t="str">
        <f t="shared" ca="1" si="0"/>
        <v/>
      </c>
      <c r="F75" s="68" t="str">
        <f t="shared" ca="1" si="1"/>
        <v/>
      </c>
      <c r="G75" s="8" t="str">
        <f t="shared" ca="1" si="2"/>
        <v/>
      </c>
    </row>
    <row r="76" spans="2:7" x14ac:dyDescent="0.25">
      <c r="B76" s="7">
        <f>'ריכוז נתונים'!C76</f>
        <v>60</v>
      </c>
      <c r="C76" s="7" t="str">
        <f ca="1">עלונים!C76</f>
        <v>שרשרת הדורות</v>
      </c>
      <c r="D76" s="67">
        <f ca="1">IF(C76="","",'ריכוז נתונים'!BI76)</f>
        <v>0</v>
      </c>
      <c r="E76" s="68">
        <f t="shared" ca="1" si="0"/>
        <v>0</v>
      </c>
      <c r="F76" s="68">
        <f t="shared" ca="1" si="1"/>
        <v>0</v>
      </c>
      <c r="G76" s="8">
        <f t="shared" ca="1" si="2"/>
        <v>0</v>
      </c>
    </row>
    <row r="77" spans="2:7" x14ac:dyDescent="0.25">
      <c r="B77" s="7">
        <f>'ריכוז נתונים'!C77</f>
        <v>61</v>
      </c>
      <c r="C77" s="7" t="str">
        <f ca="1">עלונים!C77</f>
        <v>חיבה</v>
      </c>
      <c r="D77" s="67">
        <f ca="1">IF(C77="","",'ריכוז נתונים'!BI77)</f>
        <v>0</v>
      </c>
      <c r="E77" s="68">
        <f t="shared" ref="E77:E78" ca="1" si="3">IF(C77="","",D77)</f>
        <v>0</v>
      </c>
      <c r="F77" s="68">
        <f t="shared" ref="F77:F78" ca="1" si="4">IFERROR(E77,0)</f>
        <v>0</v>
      </c>
      <c r="G77" s="8">
        <f t="shared" ca="1" si="2"/>
        <v>0</v>
      </c>
    </row>
    <row r="78" spans="2:7" hidden="1" x14ac:dyDescent="0.25">
      <c r="B78" s="7">
        <f>'ריכוז נתונים'!C78</f>
        <v>62</v>
      </c>
      <c r="C78" s="7" t="str">
        <f ca="1">עלונים!C78</f>
        <v/>
      </c>
      <c r="D78" s="67" t="str">
        <f ca="1">IF(C78="","",'ריכוז נתונים'!BI78)</f>
        <v/>
      </c>
      <c r="E78" s="68" t="str">
        <f t="shared" ca="1" si="3"/>
        <v/>
      </c>
      <c r="F78" s="68" t="str">
        <f t="shared" ca="1" si="4"/>
        <v/>
      </c>
      <c r="G78" s="8" t="str">
        <f t="shared" ref="G78" ca="1" si="5">IF($C78="","",IFERROR(IF(ISERROR(E78),E78,(F78/SUM(F$17:F$76))),0))</f>
        <v/>
      </c>
    </row>
  </sheetData>
  <sheetProtection algorithmName="SHA-512" hashValue="1jdmuMBNnMLkLdsA/RuC4nM+35bLhcVT4kuonRzoAHurAobgIDJXjWZD1UHOdskgKIsdy1QgXXt5sla3mPLaOA==" saltValue="wCC63rwf29FmzFdtNc3gLg==" spinCount="100000" sheet="1" scenarios="1" formatColumns="0" formatRows="0" autoFilter="0"/>
  <mergeCells count="7">
    <mergeCell ref="B3:C3"/>
    <mergeCell ref="B2:D2"/>
    <mergeCell ref="B15:B16"/>
    <mergeCell ref="C15:C16"/>
    <mergeCell ref="D15:G15"/>
    <mergeCell ref="B4:C4"/>
    <mergeCell ref="B5:C5"/>
  </mergeCells>
  <pageMargins left="0.70866141732283472" right="0.70866141732283472" top="0.74803149606299213" bottom="0.74803149606299213" header="0.31496062992125984" footer="0.31496062992125984"/>
  <pageSetup paperSize="9" scale="76" orientation="portrait" r:id="rId1"/>
  <headerFooter>
    <oddFooter>&amp;C&amp;"David,מודגש"א. חפץ ושות'
ייעוץ כלכלי</oddFooter>
  </headerFooter>
  <rowBreaks count="1" manualBreakCount="1">
    <brk id="4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גיליון10">
    <tabColor theme="6" tint="0.39997558519241921"/>
    <pageSetUpPr fitToPage="1"/>
  </sheetPr>
  <dimension ref="B2:H78"/>
  <sheetViews>
    <sheetView rightToLeft="1" view="pageBreakPreview" zoomScaleNormal="80" zoomScaleSheetLayoutView="100" workbookViewId="0"/>
  </sheetViews>
  <sheetFormatPr defaultColWidth="9.140625" defaultRowHeight="15.75" x14ac:dyDescent="0.25"/>
  <cols>
    <col min="2" max="2" width="12.85546875" bestFit="1" customWidth="1"/>
    <col min="3" max="3" width="27.85546875" customWidth="1"/>
    <col min="4" max="4" width="13.85546875" customWidth="1"/>
    <col min="5" max="5" width="11.85546875" customWidth="1"/>
    <col min="6" max="7" width="18.140625" customWidth="1"/>
    <col min="8" max="8" width="13.140625" bestFit="1" customWidth="1"/>
  </cols>
  <sheetData>
    <row r="2" spans="2:8" hidden="1" x14ac:dyDescent="0.25"/>
    <row r="3" spans="2:8" hidden="1" x14ac:dyDescent="0.25"/>
    <row r="4" spans="2:8" hidden="1" x14ac:dyDescent="0.25"/>
    <row r="5" spans="2:8" hidden="1" x14ac:dyDescent="0.25"/>
    <row r="6" spans="2:8" hidden="1" x14ac:dyDescent="0.25"/>
    <row r="7" spans="2:8" hidden="1" x14ac:dyDescent="0.25"/>
    <row r="8" spans="2:8" hidden="1" x14ac:dyDescent="0.25"/>
    <row r="9" spans="2:8" hidden="1" x14ac:dyDescent="0.25"/>
    <row r="10" spans="2:8" hidden="1" x14ac:dyDescent="0.25"/>
    <row r="11" spans="2:8" hidden="1" x14ac:dyDescent="0.25"/>
    <row r="12" spans="2:8" hidden="1" x14ac:dyDescent="0.25"/>
    <row r="13" spans="2:8" hidden="1" x14ac:dyDescent="0.25"/>
    <row r="15" spans="2:8" ht="15.75" customHeight="1" x14ac:dyDescent="0.25">
      <c r="B15" s="489" t="s">
        <v>145</v>
      </c>
      <c r="C15" s="489" t="s">
        <v>146</v>
      </c>
      <c r="D15" s="479" t="str">
        <f ca="1">MID(CELL("filename",A1),FIND("]",CELL("filename",A1),1)+1,99)</f>
        <v>הכנסות עצמיות</v>
      </c>
      <c r="E15" s="535"/>
      <c r="F15" s="535"/>
      <c r="G15" s="535"/>
      <c r="H15" s="480"/>
    </row>
    <row r="16" spans="2:8" ht="78.75" x14ac:dyDescent="0.25">
      <c r="B16" s="490"/>
      <c r="C16" s="490"/>
      <c r="D16" s="29" t="str">
        <f>'ריכוז נתונים'!Y16</f>
        <v>ההכנסות העצמיות של המוסד בשנת ההערכה (₪)</v>
      </c>
      <c r="E16" s="29" t="str">
        <f>'ריכוז נתונים'!Z16</f>
        <v>סך ההכנסות של המוסד בשנת ההערכה (₪)</v>
      </c>
      <c r="F16" s="29" t="s">
        <v>183</v>
      </c>
      <c r="G16" s="29" t="s">
        <v>79</v>
      </c>
      <c r="H16" s="29" t="s">
        <v>175</v>
      </c>
    </row>
    <row r="17" spans="2:8" x14ac:dyDescent="0.25">
      <c r="B17" s="7">
        <v>1</v>
      </c>
      <c r="C17" s="7" t="str">
        <f ca="1">'ספרי עיון'!C17</f>
        <v>מרכז מורשת בבל</v>
      </c>
      <c r="D17" s="67">
        <f ca="1">IF(C17="","",'ריכוז נתונים'!BJ17)</f>
        <v>2907338</v>
      </c>
      <c r="E17" s="67">
        <f ca="1">IF(D17="","",'ריכוז נתונים'!BK17)</f>
        <v>3953224</v>
      </c>
      <c r="F17" s="22">
        <f ca="1">IF(C17="","",IFERROR(D17/E17,'גיליון עזר'!$B$9))</f>
        <v>0.73543467306684362</v>
      </c>
      <c r="G17" s="95">
        <f ca="1">IF(F17="","",IFERROR(F17/SUM($F$17:$F$78)*100,0))</f>
        <v>6.8215462330050265</v>
      </c>
      <c r="H17" s="287">
        <f ca="1">IF($C17="","",IF(F17='גיליון עזר'!$B$9,F17,IF(ISERROR(F17),F17,(G17/SUM(G$17:G$77)))))</f>
        <v>6.8215462330050256E-2</v>
      </c>
    </row>
    <row r="18" spans="2:8" x14ac:dyDescent="0.25">
      <c r="B18" s="7">
        <v>2</v>
      </c>
      <c r="C18" s="7" t="str">
        <f ca="1">'ספרי עיון'!C18</f>
        <v>מורשת יהודי צפון  אפריקה</v>
      </c>
      <c r="D18" s="67">
        <f ca="1">IF(C18="","",'ריכוז נתונים'!BJ18)</f>
        <v>290570</v>
      </c>
      <c r="E18" s="67">
        <f ca="1">IF(D18="","",'ריכוז נתונים'!BK18)</f>
        <v>610299</v>
      </c>
      <c r="F18" s="22">
        <f ca="1">IF(C18="","",IFERROR(D18/E18,'גיליון עזר'!$B$9))</f>
        <v>0.47611088990806144</v>
      </c>
      <c r="G18" s="95">
        <f t="shared" ref="G18:G78" ca="1" si="0">IF(F18="","",IFERROR(F18/SUM($F$17:$F$78)*100,0))</f>
        <v>4.4161807519915701</v>
      </c>
      <c r="H18" s="287">
        <f ca="1">IF($C18="","",IF(F18='גיליון עזר'!$B$9,F18,IF(ISERROR(F18),F18,(G18/SUM(G$17:G$77)))))</f>
        <v>4.4161807519915698E-2</v>
      </c>
    </row>
    <row r="19" spans="2:8" x14ac:dyDescent="0.25">
      <c r="B19" s="7">
        <v>3</v>
      </c>
      <c r="C19" s="7" t="str">
        <f ca="1">'ספרי עיון'!C19</f>
        <v>מורשת יהדות קוצין</v>
      </c>
      <c r="D19" s="67">
        <f ca="1">IF(C19="","",'ריכוז נתונים'!BJ19)</f>
        <v>311889</v>
      </c>
      <c r="E19" s="67">
        <f ca="1">IF(D19="","",'ריכוז נתונים'!BK19)</f>
        <v>580402</v>
      </c>
      <c r="F19" s="22">
        <f ca="1">IF(C19="","",IFERROR(D19/E19,'גיליון עזר'!$B$9))</f>
        <v>0.53736720411025463</v>
      </c>
      <c r="G19" s="95">
        <f t="shared" ca="1" si="0"/>
        <v>4.9843655203969126</v>
      </c>
      <c r="H19" s="287">
        <f ca="1">IF($C19="","",IF(F19='גיליון עזר'!$B$9,F19,IF(ISERROR(F19),F19,(G19/SUM(G$17:G$77)))))</f>
        <v>4.984365520396912E-2</v>
      </c>
    </row>
    <row r="20" spans="2:8" x14ac:dyDescent="0.25">
      <c r="B20" s="7">
        <v>4</v>
      </c>
      <c r="C20" s="7" t="str">
        <f ca="1">'ספרי עיון'!C20</f>
        <v>הפדרציה העולמית של יהדות תוניס</v>
      </c>
      <c r="D20" s="67">
        <f ca="1">IF(C20="","",'ריכוז נתונים'!BJ20)</f>
        <v>0</v>
      </c>
      <c r="E20" s="67">
        <f ca="1">IF(D20="","",'ריכוז נתונים'!BK20)</f>
        <v>0</v>
      </c>
      <c r="F20" s="22" t="str">
        <f ca="1">IF(C20="","",IFERROR(D20/E20,'גיליון עזר'!$B$9))</f>
        <v>נא הזן הכנסות</v>
      </c>
      <c r="G20" s="95">
        <f t="shared" ca="1" si="0"/>
        <v>0</v>
      </c>
      <c r="H20" s="287" t="str">
        <f ca="1">IF($C20="","",IF(F20='גיליון עזר'!$B$9,F20,IF(ISERROR(F20),F20,(G20/SUM(G$17:G$77)))))</f>
        <v>נא הזן הכנסות</v>
      </c>
    </row>
    <row r="21" spans="2:8" x14ac:dyDescent="0.25">
      <c r="B21" s="7">
        <v>5</v>
      </c>
      <c r="C21" s="7" t="str">
        <f ca="1">'ספרי עיון'!C21</f>
        <v>התאחדות עולי מצרים</v>
      </c>
      <c r="D21" s="67">
        <f ca="1">IF(C21="","",'ריכוז נתונים'!BJ21)</f>
        <v>118163</v>
      </c>
      <c r="E21" s="67">
        <f ca="1">IF(D21="","",'ריכוז נתונים'!BK21)</f>
        <v>328163</v>
      </c>
      <c r="F21" s="22">
        <f ca="1">IF(C21="","",IFERROR(D21/E21,'גיליון עזר'!$B$9))</f>
        <v>0.36007410951265073</v>
      </c>
      <c r="G21" s="95">
        <f t="shared" ca="1" si="0"/>
        <v>3.3398781364302264</v>
      </c>
      <c r="H21" s="287">
        <f ca="1">IF($C21="","",IF(F21='גיליון עזר'!$B$9,F21,IF(ISERROR(F21),F21,(G21/SUM(G$17:G$77)))))</f>
        <v>3.3398781364302257E-2</v>
      </c>
    </row>
    <row r="22" spans="2:8" x14ac:dyDescent="0.25">
      <c r="B22" s="7">
        <v>6</v>
      </c>
      <c r="C22" s="7" t="str">
        <f ca="1">'ספרי עיון'!C22</f>
        <v>יהודים יוצאי לוב</v>
      </c>
      <c r="D22" s="67">
        <f ca="1">IF(C22="","",'ריכוז נתונים'!BJ22)</f>
        <v>1053857</v>
      </c>
      <c r="E22" s="67">
        <f ca="1">IF(D22="","",'ריכוז נתונים'!BK22)</f>
        <v>1913966</v>
      </c>
      <c r="F22" s="22">
        <f ca="1">IF(C22="","",IFERROR(D22/E22,'גיליון עזר'!$B$9))</f>
        <v>0.55061427423475651</v>
      </c>
      <c r="G22" s="95">
        <f t="shared" ca="1" si="0"/>
        <v>5.1072391142258722</v>
      </c>
      <c r="H22" s="287">
        <f ca="1">IF($C22="","",IF(F22='גיליון עזר'!$B$9,F22,IF(ISERROR(F22),F22,(G22/SUM(G$17:G$77)))))</f>
        <v>5.1072391142258713E-2</v>
      </c>
    </row>
    <row r="23" spans="2:8" x14ac:dyDescent="0.25">
      <c r="B23" s="7">
        <v>7</v>
      </c>
      <c r="C23" s="7" t="str">
        <f ca="1">'ספרי עיון'!C23</f>
        <v>הפדרציה העולמית של יהדות מרוקו</v>
      </c>
      <c r="D23" s="67">
        <f ca="1">IF(C23="","",'ריכוז נתונים'!BJ23)</f>
        <v>338238</v>
      </c>
      <c r="E23" s="67">
        <f ca="1">IF(D23="","",'ריכוז נתונים'!BK23)</f>
        <v>794993</v>
      </c>
      <c r="F23" s="22">
        <f ca="1">IF(C23="","",IFERROR(D23/E23,'גיליון עזר'!$B$9))</f>
        <v>0.4254603499653456</v>
      </c>
      <c r="G23" s="95">
        <f t="shared" ca="1" si="0"/>
        <v>3.9463701588833224</v>
      </c>
      <c r="H23" s="287">
        <f ca="1">IF($C23="","",IF(F23='גיליון עזר'!$B$9,F23,IF(ISERROR(F23),F23,(G23/SUM(G$17:G$77)))))</f>
        <v>3.9463701588833222E-2</v>
      </c>
    </row>
    <row r="24" spans="2:8" x14ac:dyDescent="0.25">
      <c r="B24" s="7">
        <v>8</v>
      </c>
      <c r="C24" s="7" t="str">
        <f ca="1">'ספרי עיון'!C24</f>
        <v>אורות הגליל</v>
      </c>
      <c r="D24" s="67">
        <f ca="1">IF(C24="","",'ריכוז נתונים'!BJ24)</f>
        <v>227310</v>
      </c>
      <c r="E24" s="67">
        <f ca="1">IF(D24="","",'ריכוז נתונים'!BK24)</f>
        <v>538632</v>
      </c>
      <c r="F24" s="22">
        <f ca="1">IF(C24="","",IFERROR(D24/E24,'גיליון עזר'!$B$9))</f>
        <v>0.42201354542619079</v>
      </c>
      <c r="G24" s="95">
        <f t="shared" ca="1" si="0"/>
        <v>3.9143992206327147</v>
      </c>
      <c r="H24" s="287">
        <f ca="1">IF($C24="","",IF(F24='גיליון עזר'!$B$9,F24,IF(ISERROR(F24),F24,(G24/SUM(G$17:G$77)))))</f>
        <v>3.9143992206327138E-2</v>
      </c>
    </row>
    <row r="25" spans="2:8" x14ac:dyDescent="0.25">
      <c r="B25" s="7">
        <v>9</v>
      </c>
      <c r="C25" s="7" t="str">
        <f ca="1">'ספרי עיון'!C25</f>
        <v>אלמז</v>
      </c>
      <c r="D25" s="67">
        <f ca="1">IF(C25="","",'ריכוז נתונים'!BJ25)</f>
        <v>95748</v>
      </c>
      <c r="E25" s="67">
        <f ca="1">IF(D25="","",'ריכוז נתונים'!BK25)</f>
        <v>296291</v>
      </c>
      <c r="F25" s="22">
        <f ca="1">IF(C25="","",IFERROR(D25/E25,'גיליון עזר'!$B$9))</f>
        <v>0.32315527640056568</v>
      </c>
      <c r="G25" s="95">
        <f t="shared" ca="1" si="0"/>
        <v>2.9974363993654376</v>
      </c>
      <c r="H25" s="287">
        <f ca="1">IF($C25="","",IF(F25='גיליון עזר'!$B$9,F25,IF(ISERROR(F25),F25,(G25/SUM(G$17:G$77)))))</f>
        <v>2.9974363993654371E-2</v>
      </c>
    </row>
    <row r="26" spans="2:8" x14ac:dyDescent="0.25">
      <c r="B26" s="7">
        <v>10</v>
      </c>
      <c r="C26" s="7" t="str">
        <f ca="1">'ספרי עיון'!C26</f>
        <v>קונגרס יהודי בוכרה</v>
      </c>
      <c r="D26" s="67">
        <f ca="1">IF(C26="","",'ריכוז נתונים'!BJ26)</f>
        <v>2231514</v>
      </c>
      <c r="E26" s="67">
        <f ca="1">IF(D26="","",'ריכוז נתונים'!BK26)</f>
        <v>3331514</v>
      </c>
      <c r="F26" s="22">
        <f ca="1">IF(C26="","",IFERROR(D26/E26,'גיליון עזר'!$B$9))</f>
        <v>0.66981978764009398</v>
      </c>
      <c r="G26" s="95">
        <f t="shared" ca="1" si="0"/>
        <v>6.2129334072792837</v>
      </c>
      <c r="H26" s="287">
        <f ca="1">IF($C26="","",IF(F26='גיליון עזר'!$B$9,F26,IF(ISERROR(F26),F26,(G26/SUM(G$17:G$77)))))</f>
        <v>6.2129334072792829E-2</v>
      </c>
    </row>
    <row r="27" spans="2:8" x14ac:dyDescent="0.25">
      <c r="B27" s="7">
        <v>11</v>
      </c>
      <c r="C27" s="7" t="str">
        <f ca="1">'ספרי עיון'!C27</f>
        <v>יהדות שאלוניקי יוון</v>
      </c>
      <c r="D27" s="67">
        <f ca="1">IF(C27="","",'ריכוז נתונים'!BJ27)</f>
        <v>710115</v>
      </c>
      <c r="E27" s="67">
        <f ca="1">IF(D27="","",'ריכוז נתונים'!BK27)</f>
        <v>1114167</v>
      </c>
      <c r="F27" s="22">
        <f ca="1">IF(C27="","",IFERROR(D27/E27,'גיליון עזר'!$B$9))</f>
        <v>0.63735059465950794</v>
      </c>
      <c r="G27" s="95">
        <f t="shared" ca="1" si="0"/>
        <v>5.9117644398959648</v>
      </c>
      <c r="H27" s="287">
        <f ca="1">IF($C27="","",IF(F27='גיליון עזר'!$B$9,F27,IF(ISERROR(F27),F27,(G27/SUM(G$17:G$77)))))</f>
        <v>5.911764439895964E-2</v>
      </c>
    </row>
    <row r="28" spans="2:8" x14ac:dyDescent="0.25">
      <c r="B28" s="7">
        <v>12</v>
      </c>
      <c r="C28" s="7" t="str">
        <f ca="1">'ספרי עיון'!C28</f>
        <v/>
      </c>
      <c r="D28" s="67" t="str">
        <f ca="1">IF(C28="","",'ריכוז נתונים'!BJ28)</f>
        <v/>
      </c>
      <c r="E28" s="67" t="str">
        <f ca="1">IF(D28="","",'ריכוז נתונים'!BK28)</f>
        <v/>
      </c>
      <c r="F28" s="22" t="str">
        <f ca="1">IF(C28="","",IFERROR(D28/E28,'גיליון עזר'!$B$9))</f>
        <v/>
      </c>
      <c r="G28" s="95" t="str">
        <f t="shared" ca="1" si="0"/>
        <v/>
      </c>
      <c r="H28" s="287" t="str">
        <f ca="1">IF($C28="","",IF(F28='גיליון עזר'!$B$9,F28,IF(ISERROR(F28),F28,(G28/SUM(G$17:G$77)))))</f>
        <v/>
      </c>
    </row>
    <row r="29" spans="2:8" x14ac:dyDescent="0.25">
      <c r="B29" s="7">
        <v>13</v>
      </c>
      <c r="C29" s="7" t="str">
        <f ca="1">'ספרי עיון'!C29</f>
        <v/>
      </c>
      <c r="D29" s="67" t="str">
        <f ca="1">IF(C29="","",'ריכוז נתונים'!BJ29)</f>
        <v/>
      </c>
      <c r="E29" s="67" t="str">
        <f ca="1">IF(D29="","",'ריכוז נתונים'!BK29)</f>
        <v/>
      </c>
      <c r="F29" s="22" t="str">
        <f ca="1">IF(C29="","",IFERROR(D29/E29,'גיליון עזר'!$B$9))</f>
        <v/>
      </c>
      <c r="G29" s="95" t="str">
        <f t="shared" ca="1" si="0"/>
        <v/>
      </c>
      <c r="H29" s="287" t="str">
        <f ca="1">IF($C29="","",IF(F29='גיליון עזר'!$B$9,F29,IF(ISERROR(F29),F29,(G29/SUM(G$17:G$77)))))</f>
        <v/>
      </c>
    </row>
    <row r="30" spans="2:8" x14ac:dyDescent="0.25">
      <c r="B30" s="7">
        <v>14</v>
      </c>
      <c r="C30" s="7" t="str">
        <f ca="1">'ספרי עיון'!C30</f>
        <v/>
      </c>
      <c r="D30" s="67" t="str">
        <f ca="1">IF(C30="","",'ריכוז נתונים'!BJ30)</f>
        <v/>
      </c>
      <c r="E30" s="67" t="str">
        <f ca="1">IF(D30="","",'ריכוז נתונים'!BK30)</f>
        <v/>
      </c>
      <c r="F30" s="22" t="str">
        <f ca="1">IF(C30="","",IFERROR(D30/E30,'גיליון עזר'!$B$9))</f>
        <v/>
      </c>
      <c r="G30" s="95" t="str">
        <f t="shared" ca="1" si="0"/>
        <v/>
      </c>
      <c r="H30" s="287" t="str">
        <f ca="1">IF($C30="","",IF(F30='גיליון עזר'!$B$9,F30,IF(ISERROR(F30),F30,(G30/SUM(G$17:G$77)))))</f>
        <v/>
      </c>
    </row>
    <row r="31" spans="2:8" x14ac:dyDescent="0.25">
      <c r="B31" s="7">
        <v>15</v>
      </c>
      <c r="C31" s="7" t="str">
        <f ca="1">'ספרי עיון'!C31</f>
        <v xml:space="preserve">החברה לטיפוח חברה תרבות תיעוד </v>
      </c>
      <c r="D31" s="67">
        <f ca="1">IF(C31="","",'ריכוז נתונים'!BJ31)</f>
        <v>3002870</v>
      </c>
      <c r="E31" s="67">
        <f ca="1">IF(D31="","",'ריכוז נתונים'!BK31)</f>
        <v>5103322</v>
      </c>
      <c r="F31" s="22">
        <f ca="1">IF(C31="","",IFERROR(D31/E31,'גיליון עזר'!$B$9))</f>
        <v>0.58841476199228659</v>
      </c>
      <c r="G31" s="95">
        <f t="shared" ca="1" si="0"/>
        <v>5.4578586652362118</v>
      </c>
      <c r="H31" s="287">
        <f ca="1">IF($C31="","",IF(F31='גיליון עזר'!$B$9,F31,IF(ISERROR(F31),F31,(G31/SUM(G$17:G$77)))))</f>
        <v>5.4578586652362107E-2</v>
      </c>
    </row>
    <row r="32" spans="2:8" x14ac:dyDescent="0.25">
      <c r="B32" s="7">
        <v>16</v>
      </c>
      <c r="C32" s="7" t="str">
        <f ca="1">'ספרי עיון'!C32</f>
        <v>עמותת אור שלום</v>
      </c>
      <c r="D32" s="67">
        <f ca="1">IF(C32="","",'ריכוז נתונים'!BJ32)</f>
        <v>258650</v>
      </c>
      <c r="E32" s="67">
        <f ca="1">IF(D32="","",'ריכוז נתונים'!BK32)</f>
        <v>849541</v>
      </c>
      <c r="F32" s="22">
        <f ca="1">IF(C32="","",IFERROR(D32/E32,'גיליון עזר'!$B$9))</f>
        <v>0.30445852525069422</v>
      </c>
      <c r="G32" s="95">
        <f t="shared" ca="1" si="0"/>
        <v>2.8240141267331462</v>
      </c>
      <c r="H32" s="287">
        <f ca="1">IF($C32="","",IF(F32='גיליון עזר'!$B$9,F32,IF(ISERROR(F32),F32,(G32/SUM(G$17:G$77)))))</f>
        <v>2.8240141267331459E-2</v>
      </c>
    </row>
    <row r="33" spans="2:8" x14ac:dyDescent="0.25">
      <c r="B33" s="7">
        <v>17</v>
      </c>
      <c r="C33" s="7" t="str">
        <f ca="1">'ספרי עיון'!C33</f>
        <v/>
      </c>
      <c r="D33" s="67" t="str">
        <f ca="1">IF(C33="","",'ריכוז נתונים'!BJ33)</f>
        <v/>
      </c>
      <c r="E33" s="67" t="str">
        <f ca="1">IF(D33="","",'ריכוז נתונים'!BK33)</f>
        <v/>
      </c>
      <c r="F33" s="22" t="str">
        <f ca="1">IF(C33="","",IFERROR(D33/E33,'גיליון עזר'!$B$9))</f>
        <v/>
      </c>
      <c r="G33" s="95" t="str">
        <f t="shared" ca="1" si="0"/>
        <v/>
      </c>
      <c r="H33" s="287" t="str">
        <f ca="1">IF($C33="","",IF(F33='גיליון עזר'!$B$9,F33,IF(ISERROR(F33),F33,(G33/SUM(G$17:G$77)))))</f>
        <v/>
      </c>
    </row>
    <row r="34" spans="2:8" x14ac:dyDescent="0.25">
      <c r="B34" s="7">
        <v>18</v>
      </c>
      <c r="C34" s="7" t="str">
        <f ca="1">'ספרי עיון'!C34</f>
        <v>ישיבת קרלין סטולין</v>
      </c>
      <c r="D34" s="67">
        <f ca="1">IF(C34="","",'ריכוז נתונים'!BJ34)</f>
        <v>508401</v>
      </c>
      <c r="E34" s="67">
        <f ca="1">IF(D34="","",'ריכוז נתונים'!BK34)</f>
        <v>1041932</v>
      </c>
      <c r="F34" s="22">
        <f ca="1">IF(C34="","",IFERROR(D34/E34,'גיליון עזר'!$B$9))</f>
        <v>0.48794067175209133</v>
      </c>
      <c r="G34" s="95">
        <f t="shared" ca="1" si="0"/>
        <v>4.5259082461262921</v>
      </c>
      <c r="H34" s="287">
        <f ca="1">IF($C34="","",IF(F34='גיליון עזר'!$B$9,F34,IF(ISERROR(F34),F34,(G34/SUM(G$17:G$77)))))</f>
        <v>4.5259082461262916E-2</v>
      </c>
    </row>
    <row r="35" spans="2:8" x14ac:dyDescent="0.25">
      <c r="B35" s="7">
        <v>19</v>
      </c>
      <c r="C35" s="7" t="str">
        <f ca="1">'ספרי עיון'!C35</f>
        <v/>
      </c>
      <c r="D35" s="67" t="str">
        <f ca="1">IF(C35="","",'ריכוז נתונים'!BJ35)</f>
        <v/>
      </c>
      <c r="E35" s="67" t="str">
        <f ca="1">IF(D35="","",'ריכוז נתונים'!BK35)</f>
        <v/>
      </c>
      <c r="F35" s="22" t="str">
        <f ca="1">IF(C35="","",IFERROR(D35/E35,'גיליון עזר'!$B$9))</f>
        <v/>
      </c>
      <c r="G35" s="95" t="str">
        <f t="shared" ca="1" si="0"/>
        <v/>
      </c>
      <c r="H35" s="287" t="str">
        <f ca="1">IF($C35="","",IF(F35='גיליון עזר'!$B$9,F35,IF(ISERROR(F35),F35,(G35/SUM(G$17:G$77)))))</f>
        <v/>
      </c>
    </row>
    <row r="36" spans="2:8" x14ac:dyDescent="0.25">
      <c r="B36" s="7">
        <v>20</v>
      </c>
      <c r="C36" s="7" t="str">
        <f ca="1">'ספרי עיון'!C36</f>
        <v/>
      </c>
      <c r="D36" s="67" t="str">
        <f ca="1">IF(C36="","",'ריכוז נתונים'!BJ36)</f>
        <v/>
      </c>
      <c r="E36" s="67" t="str">
        <f ca="1">IF(D36="","",'ריכוז נתונים'!BK36)</f>
        <v/>
      </c>
      <c r="F36" s="22" t="str">
        <f ca="1">IF(C36="","",IFERROR(D36/E36,'גיליון עזר'!$B$9))</f>
        <v/>
      </c>
      <c r="G36" s="95" t="str">
        <f t="shared" ca="1" si="0"/>
        <v/>
      </c>
      <c r="H36" s="287" t="str">
        <f ca="1">IF($C36="","",IF(F36='גיליון עזר'!$B$9,F36,IF(ISERROR(F36),F36,(G36/SUM(G$17:G$77)))))</f>
        <v/>
      </c>
    </row>
    <row r="37" spans="2:8" x14ac:dyDescent="0.25">
      <c r="B37" s="7">
        <v>21</v>
      </c>
      <c r="C37" s="7" t="str">
        <f ca="1">'ספרי עיון'!C37</f>
        <v>ברית יוצאי מרוקו</v>
      </c>
      <c r="D37" s="67">
        <f ca="1">IF(C37="","",'ריכוז נתונים'!BJ37)</f>
        <v>1304803</v>
      </c>
      <c r="E37" s="67">
        <f ca="1">IF(D37="","",'ריכוז נתונים'!BK37)</f>
        <v>1517219</v>
      </c>
      <c r="F37" s="22">
        <f ca="1">IF(C37="","",IFERROR(D37/E37,'גיליון עזר'!$B$9))</f>
        <v>0.85999648040263144</v>
      </c>
      <c r="G37" s="95">
        <f t="shared" ca="1" si="0"/>
        <v>7.9769229900790206</v>
      </c>
      <c r="H37" s="287">
        <f ca="1">IF($C37="","",IF(F37='גיליון עזר'!$B$9,F37,IF(ISERROR(F37),F37,(G37/SUM(G$17:G$77)))))</f>
        <v>7.9769229900790189E-2</v>
      </c>
    </row>
    <row r="38" spans="2:8" x14ac:dyDescent="0.25">
      <c r="B38" s="7">
        <v>22</v>
      </c>
      <c r="C38" s="7" t="str">
        <f ca="1">'ספרי עיון'!C38</f>
        <v>הקם - בית הקונפדרציה</v>
      </c>
      <c r="D38" s="67">
        <f ca="1">IF(C38="","",'ריכוז נתונים'!BJ38)</f>
        <v>413936</v>
      </c>
      <c r="E38" s="67">
        <f ca="1">IF(D38="","",'ריכוז נתונים'!BK38)</f>
        <v>1429932</v>
      </c>
      <c r="F38" s="22">
        <f ca="1">IF(C38="","",IFERROR(D38/E38,'גיליון עזר'!$B$9))</f>
        <v>0.28947949972446241</v>
      </c>
      <c r="G38" s="95">
        <f t="shared" ca="1" si="0"/>
        <v>2.6850757289466367</v>
      </c>
      <c r="H38" s="287">
        <f ca="1">IF($C38="","",IF(F38='גיליון עזר'!$B$9,F38,IF(ISERROR(F38),F38,(G38/SUM(G$17:G$77)))))</f>
        <v>2.6850757289466363E-2</v>
      </c>
    </row>
    <row r="39" spans="2:8" x14ac:dyDescent="0.25">
      <c r="B39" s="7">
        <v>23</v>
      </c>
      <c r="C39" s="7" t="str">
        <f ca="1">'ספרי עיון'!C39</f>
        <v>מוסיקה מזרח מערב</v>
      </c>
      <c r="D39" s="67">
        <f ca="1">IF(C39="","",'ריכוז נתונים'!BJ39)</f>
        <v>130448</v>
      </c>
      <c r="E39" s="67">
        <f ca="1">IF(D39="","",'ריכוז נתונים'!BK39)</f>
        <v>1216380</v>
      </c>
      <c r="F39" s="22">
        <f ca="1">IF(C39="","",IFERROR(D39/E39,'גיליון עזר'!$B$9))</f>
        <v>0.10724280241371939</v>
      </c>
      <c r="G39" s="95">
        <f t="shared" ca="1" si="0"/>
        <v>0.99473381064767719</v>
      </c>
      <c r="H39" s="287">
        <f ca="1">IF($C39="","",IF(F39='גיליון עזר'!$B$9,F39,IF(ISERROR(F39),F39,(G39/SUM(G$17:G$77)))))</f>
        <v>9.9473381064767701E-3</v>
      </c>
    </row>
    <row r="40" spans="2:8" x14ac:dyDescent="0.25">
      <c r="B40" s="7">
        <v>24</v>
      </c>
      <c r="C40" s="7" t="str">
        <f ca="1">'ספרי עיון'!C40</f>
        <v>אעלה בתמר</v>
      </c>
      <c r="D40" s="67">
        <f ca="1">IF(C40="","",'ריכוז נתונים'!BJ40)</f>
        <v>1443660</v>
      </c>
      <c r="E40" s="67">
        <f ca="1">IF(D40="","",'ריכוז נתונים'!BK40)</f>
        <v>3074858</v>
      </c>
      <c r="F40" s="22">
        <f ca="1">IF(C40="","",IFERROR(D40/E40,'גיליון עזר'!$B$9))</f>
        <v>0.46950460801767108</v>
      </c>
      <c r="G40" s="95">
        <f t="shared" ca="1" si="0"/>
        <v>4.3549039873869919</v>
      </c>
      <c r="H40" s="287">
        <f ca="1">IF($C40="","",IF(F40='גיליון עזר'!$B$9,F40,IF(ISERROR(F40),F40,(G40/SUM(G$17:G$77)))))</f>
        <v>4.3549039873869912E-2</v>
      </c>
    </row>
    <row r="41" spans="2:8" x14ac:dyDescent="0.25">
      <c r="B41" s="7">
        <v>25</v>
      </c>
      <c r="C41" s="7" t="str">
        <f ca="1">'ספרי עיון'!C41</f>
        <v/>
      </c>
      <c r="D41" s="67" t="str">
        <f ca="1">IF(C41="","",'ריכוז נתונים'!BJ41)</f>
        <v/>
      </c>
      <c r="E41" s="67" t="str">
        <f ca="1">IF(D41="","",'ריכוז נתונים'!BK41)</f>
        <v/>
      </c>
      <c r="F41" s="22" t="str">
        <f ca="1">IF(C41="","",IFERROR(D41/E41,'גיליון עזר'!$B$9))</f>
        <v/>
      </c>
      <c r="G41" s="95" t="str">
        <f t="shared" ca="1" si="0"/>
        <v/>
      </c>
      <c r="H41" s="287" t="str">
        <f ca="1">IF($C41="","",IF(F41='גיליון עזר'!$B$9,F41,IF(ISERROR(F41),F41,(G41/SUM(G$17:G$77)))))</f>
        <v/>
      </c>
    </row>
    <row r="42" spans="2:8" x14ac:dyDescent="0.25">
      <c r="B42" s="7">
        <v>26</v>
      </c>
      <c r="C42" s="7" t="str">
        <f ca="1">'ספרי עיון'!C42</f>
        <v/>
      </c>
      <c r="D42" s="67" t="str">
        <f ca="1">IF(C42="","",'ריכוז נתונים'!BJ42)</f>
        <v/>
      </c>
      <c r="E42" s="67" t="str">
        <f ca="1">IF(D42="","",'ריכוז נתונים'!BK42)</f>
        <v/>
      </c>
      <c r="F42" s="22" t="str">
        <f ca="1">IF(C42="","",IFERROR(D42/E42,'גיליון עזר'!$B$9))</f>
        <v/>
      </c>
      <c r="G42" s="95" t="str">
        <f t="shared" ca="1" si="0"/>
        <v/>
      </c>
      <c r="H42" s="287" t="str">
        <f ca="1">IF($C42="","",IF(F42='גיליון עזר'!$B$9,F42,IF(ISERROR(F42),F42,(G42/SUM(G$17:G$77)))))</f>
        <v/>
      </c>
    </row>
    <row r="43" spans="2:8" x14ac:dyDescent="0.25">
      <c r="B43" s="7">
        <v>27</v>
      </c>
      <c r="C43" s="7" t="str">
        <f ca="1">'ספרי עיון'!C43</f>
        <v>מכון הברמן</v>
      </c>
      <c r="D43" s="67">
        <f ca="1">IF(C43="","",'ריכוז נתונים'!BJ43)</f>
        <v>118648</v>
      </c>
      <c r="E43" s="67">
        <f ca="1">IF(D43="","",'ריכוז נתונים'!BK43)</f>
        <v>502396</v>
      </c>
      <c r="F43" s="22">
        <f ca="1">IF(C43="","",IFERROR(D43/E43,'גיליון עזר'!$B$9))</f>
        <v>0.23616430067118369</v>
      </c>
      <c r="G43" s="95">
        <f t="shared" ca="1" si="0"/>
        <v>2.1905490108260857</v>
      </c>
      <c r="H43" s="287">
        <f ca="1">IF($C43="","",IF(F43='גיליון עזר'!$B$9,F43,IF(ISERROR(F43),F43,(G43/SUM(G$17:G$77)))))</f>
        <v>2.1905490108260855E-2</v>
      </c>
    </row>
    <row r="44" spans="2:8" x14ac:dyDescent="0.25">
      <c r="B44" s="7">
        <v>28</v>
      </c>
      <c r="C44" s="7" t="str">
        <f ca="1">'ספרי עיון'!C44</f>
        <v/>
      </c>
      <c r="D44" s="67" t="str">
        <f ca="1">IF(C44="","",'ריכוז נתונים'!BJ44)</f>
        <v/>
      </c>
      <c r="E44" s="67" t="str">
        <f ca="1">IF(D44="","",'ריכוז נתונים'!BK44)</f>
        <v/>
      </c>
      <c r="F44" s="22" t="str">
        <f ca="1">IF(C44="","",IFERROR(D44/E44,'גיליון עזר'!$B$9))</f>
        <v/>
      </c>
      <c r="G44" s="95" t="str">
        <f t="shared" ca="1" si="0"/>
        <v/>
      </c>
      <c r="H44" s="287" t="str">
        <f ca="1">IF($C44="","",IF(F44='גיליון עזר'!$B$9,F44,IF(ISERROR(F44),F44,(G44/SUM(G$17:G$77)))))</f>
        <v/>
      </c>
    </row>
    <row r="45" spans="2:8" x14ac:dyDescent="0.25">
      <c r="B45" s="7">
        <v>29</v>
      </c>
      <c r="C45" s="7" t="str">
        <f ca="1">'ספרי עיון'!C45</f>
        <v/>
      </c>
      <c r="D45" s="67" t="str">
        <f ca="1">IF(C45="","",'ריכוז נתונים'!BJ45)</f>
        <v/>
      </c>
      <c r="E45" s="67" t="str">
        <f ca="1">IF(D45="","",'ריכוז נתונים'!BK45)</f>
        <v/>
      </c>
      <c r="F45" s="22" t="str">
        <f ca="1">IF(C45="","",IFERROR(D45/E45,'גיליון עזר'!$B$9))</f>
        <v/>
      </c>
      <c r="G45" s="95" t="str">
        <f t="shared" ca="1" si="0"/>
        <v/>
      </c>
      <c r="H45" s="287" t="str">
        <f ca="1">IF($C45="","",IF(F45='גיליון עזר'!$B$9,F45,IF(ISERROR(F45),F45,(G45/SUM(G$17:G$77)))))</f>
        <v/>
      </c>
    </row>
    <row r="46" spans="2:8" x14ac:dyDescent="0.25">
      <c r="B46" s="7">
        <v>30</v>
      </c>
      <c r="C46" s="7" t="str">
        <f ca="1">'ספרי עיון'!C46</f>
        <v/>
      </c>
      <c r="D46" s="67" t="str">
        <f ca="1">IF(C46="","",'ריכוז נתונים'!BJ46)</f>
        <v/>
      </c>
      <c r="E46" s="67" t="str">
        <f ca="1">IF(D46="","",'ריכוז נתונים'!BK46)</f>
        <v/>
      </c>
      <c r="F46" s="22" t="str">
        <f ca="1">IF(C46="","",IFERROR(D46/E46,'גיליון עזר'!$B$9))</f>
        <v/>
      </c>
      <c r="G46" s="95" t="str">
        <f t="shared" ca="1" si="0"/>
        <v/>
      </c>
      <c r="H46" s="287" t="str">
        <f ca="1">IF($C46="","",IF(F46='גיליון עזר'!$B$9,F46,IF(ISERROR(F46),F46,(G46/SUM(G$17:G$77)))))</f>
        <v/>
      </c>
    </row>
    <row r="47" spans="2:8" x14ac:dyDescent="0.25">
      <c r="B47" s="7">
        <v>31</v>
      </c>
      <c r="C47" s="7" t="str">
        <f ca="1">'ספרי עיון'!C47</f>
        <v>כולנא</v>
      </c>
      <c r="D47" s="67">
        <f ca="1">IF(C47="","",'ריכוז נתונים'!BJ47)</f>
        <v>120000</v>
      </c>
      <c r="E47" s="67">
        <f ca="1">IF(D47="","",'ריכוז נתונים'!BK47)</f>
        <v>1750000</v>
      </c>
      <c r="F47" s="22">
        <f ca="1">IF(C47="","",IFERROR(D47/E47,'גיליון עזר'!$B$9))</f>
        <v>6.8571428571428575E-2</v>
      </c>
      <c r="G47" s="95">
        <f t="shared" ca="1" si="0"/>
        <v>0.63603632979742164</v>
      </c>
      <c r="H47" s="287">
        <f ca="1">IF($C47="","",IF(F47='גיליון עזר'!$B$9,F47,IF(ISERROR(F47),F47,(G47/SUM(G$17:G$77)))))</f>
        <v>6.3603632979742156E-3</v>
      </c>
    </row>
    <row r="48" spans="2:8" x14ac:dyDescent="0.25">
      <c r="B48" s="7">
        <v>32</v>
      </c>
      <c r="C48" s="7" t="str">
        <f ca="1">'ספרי עיון'!C48</f>
        <v/>
      </c>
      <c r="D48" s="67" t="str">
        <f ca="1">IF(C48="","",'ריכוז נתונים'!BJ48)</f>
        <v/>
      </c>
      <c r="E48" s="67" t="str">
        <f ca="1">IF(D48="","",'ריכוז נתונים'!BK48)</f>
        <v/>
      </c>
      <c r="F48" s="22" t="str">
        <f ca="1">IF(C48="","",IFERROR(D48/E48,'גיליון עזר'!$B$9))</f>
        <v/>
      </c>
      <c r="G48" s="95" t="str">
        <f t="shared" ca="1" si="0"/>
        <v/>
      </c>
      <c r="H48" s="287" t="str">
        <f ca="1">IF($C48="","",IF(F48='גיליון עזר'!$B$9,F48,IF(ISERROR(F48),F48,(G48/SUM(G$17:G$77)))))</f>
        <v/>
      </c>
    </row>
    <row r="49" spans="2:8" x14ac:dyDescent="0.25">
      <c r="B49" s="7">
        <v>33</v>
      </c>
      <c r="C49" s="7" t="str">
        <f ca="1">'ספרי עיון'!C49</f>
        <v/>
      </c>
      <c r="D49" s="67" t="str">
        <f ca="1">IF(C49="","",'ריכוז נתונים'!BJ49)</f>
        <v/>
      </c>
      <c r="E49" s="67" t="str">
        <f ca="1">IF(D49="","",'ריכוז נתונים'!BK49)</f>
        <v/>
      </c>
      <c r="F49" s="22" t="str">
        <f ca="1">IF(C49="","",IFERROR(D49/E49,'גיליון עזר'!$B$9))</f>
        <v/>
      </c>
      <c r="G49" s="95" t="str">
        <f t="shared" ca="1" si="0"/>
        <v/>
      </c>
      <c r="H49" s="287" t="str">
        <f ca="1">IF($C49="","",IF(F49='גיליון עזר'!$B$9,F49,IF(ISERROR(F49),F49,(G49/SUM(G$17:G$77)))))</f>
        <v/>
      </c>
    </row>
    <row r="50" spans="2:8" x14ac:dyDescent="0.25">
      <c r="B50" s="7">
        <v>34</v>
      </c>
      <c r="C50" s="7" t="str">
        <f ca="1">'ספרי עיון'!C50</f>
        <v/>
      </c>
      <c r="D50" s="67" t="str">
        <f ca="1">IF(C50="","",'ריכוז נתונים'!BJ50)</f>
        <v/>
      </c>
      <c r="E50" s="67" t="str">
        <f ca="1">IF(D50="","",'ריכוז נתונים'!BK50)</f>
        <v/>
      </c>
      <c r="F50" s="22" t="str">
        <f ca="1">IF(C50="","",IFERROR(D50/E50,'גיליון עזר'!$B$9))</f>
        <v/>
      </c>
      <c r="G50" s="95" t="str">
        <f t="shared" ca="1" si="0"/>
        <v/>
      </c>
      <c r="H50" s="287" t="str">
        <f ca="1">IF($C50="","",IF(F50='גיליון עזר'!$B$9,F50,IF(ISERROR(F50),F50,(G50/SUM(G$17:G$77)))))</f>
        <v/>
      </c>
    </row>
    <row r="51" spans="2:8" x14ac:dyDescent="0.25">
      <c r="B51" s="7">
        <v>35</v>
      </c>
      <c r="C51" s="7" t="str">
        <f ca="1">'ספרי עיון'!C51</f>
        <v/>
      </c>
      <c r="D51" s="67" t="str">
        <f ca="1">IF(C51="","",'ריכוז נתונים'!BJ51)</f>
        <v/>
      </c>
      <c r="E51" s="67" t="str">
        <f ca="1">IF(D51="","",'ריכוז נתונים'!BK51)</f>
        <v/>
      </c>
      <c r="F51" s="22" t="str">
        <f ca="1">IF(C51="","",IFERROR(D51/E51,'גיליון עזר'!$B$9))</f>
        <v/>
      </c>
      <c r="G51" s="95" t="str">
        <f t="shared" ca="1" si="0"/>
        <v/>
      </c>
      <c r="H51" s="287" t="str">
        <f ca="1">IF($C51="","",IF(F51='גיליון עזר'!$B$9,F51,IF(ISERROR(F51),F51,(G51/SUM(G$17:G$77)))))</f>
        <v/>
      </c>
    </row>
    <row r="52" spans="2:8" x14ac:dyDescent="0.25">
      <c r="B52" s="7">
        <v>36</v>
      </c>
      <c r="C52" s="7" t="str">
        <f ca="1">'ספרי עיון'!C52</f>
        <v/>
      </c>
      <c r="D52" s="67" t="str">
        <f ca="1">IF(C52="","",'ריכוז נתונים'!BJ52)</f>
        <v/>
      </c>
      <c r="E52" s="67" t="str">
        <f ca="1">IF(D52="","",'ריכוז נתונים'!BK52)</f>
        <v/>
      </c>
      <c r="F52" s="22" t="str">
        <f ca="1">IF(C52="","",IFERROR(D52/E52,'גיליון עזר'!$B$9))</f>
        <v/>
      </c>
      <c r="G52" s="95" t="str">
        <f t="shared" ca="1" si="0"/>
        <v/>
      </c>
      <c r="H52" s="287" t="str">
        <f ca="1">IF($C52="","",IF(F52='גיליון עזר'!$B$9,F52,IF(ISERROR(F52),F52,(G52/SUM(G$17:G$77)))))</f>
        <v/>
      </c>
    </row>
    <row r="53" spans="2:8" x14ac:dyDescent="0.25">
      <c r="B53" s="7">
        <v>37</v>
      </c>
      <c r="C53" s="7" t="str">
        <f ca="1">'ספרי עיון'!C53</f>
        <v/>
      </c>
      <c r="D53" s="67" t="str">
        <f ca="1">IF(C53="","",'ריכוז נתונים'!BJ53)</f>
        <v/>
      </c>
      <c r="E53" s="67" t="str">
        <f ca="1">IF(D53="","",'ריכוז נתונים'!BK53)</f>
        <v/>
      </c>
      <c r="F53" s="22" t="str">
        <f ca="1">IF(C53="","",IFERROR(D53/E53,'גיליון עזר'!$B$9))</f>
        <v/>
      </c>
      <c r="G53" s="95" t="str">
        <f t="shared" ca="1" si="0"/>
        <v/>
      </c>
      <c r="H53" s="287" t="str">
        <f ca="1">IF($C53="","",IF(F53='גיליון עזר'!$B$9,F53,IF(ISERROR(F53),F53,(G53/SUM(G$17:G$77)))))</f>
        <v/>
      </c>
    </row>
    <row r="54" spans="2:8" x14ac:dyDescent="0.25">
      <c r="B54" s="7">
        <v>38</v>
      </c>
      <c r="C54" s="7" t="str">
        <f ca="1">'ספרי עיון'!C54</f>
        <v/>
      </c>
      <c r="D54" s="67" t="str">
        <f ca="1">IF(C54="","",'ריכוז נתונים'!BJ54)</f>
        <v/>
      </c>
      <c r="E54" s="67" t="str">
        <f ca="1">IF(D54="","",'ריכוז נתונים'!BK54)</f>
        <v/>
      </c>
      <c r="F54" s="22" t="str">
        <f ca="1">IF(C54="","",IFERROR(D54/E54,'גיליון עזר'!$B$9))</f>
        <v/>
      </c>
      <c r="G54" s="95" t="str">
        <f t="shared" ca="1" si="0"/>
        <v/>
      </c>
      <c r="H54" s="287" t="str">
        <f ca="1">IF($C54="","",IF(F54='גיליון עזר'!$B$9,F54,IF(ISERROR(F54),F54,(G54/SUM(G$17:G$77)))))</f>
        <v/>
      </c>
    </row>
    <row r="55" spans="2:8" x14ac:dyDescent="0.25">
      <c r="B55" s="7">
        <v>39</v>
      </c>
      <c r="C55" s="7" t="str">
        <f ca="1">'ספרי עיון'!C55</f>
        <v/>
      </c>
      <c r="D55" s="67" t="str">
        <f ca="1">IF(C55="","",'ריכוז נתונים'!BJ55)</f>
        <v/>
      </c>
      <c r="E55" s="67" t="str">
        <f ca="1">IF(D55="","",'ריכוז נתונים'!BK55)</f>
        <v/>
      </c>
      <c r="F55" s="22" t="str">
        <f ca="1">IF(C55="","",IFERROR(D55/E55,'גיליון עזר'!$B$9))</f>
        <v/>
      </c>
      <c r="G55" s="95" t="str">
        <f t="shared" ca="1" si="0"/>
        <v/>
      </c>
      <c r="H55" s="287" t="str">
        <f ca="1">IF($C55="","",IF(F55='גיליון עזר'!$B$9,F55,IF(ISERROR(F55),F55,(G55/SUM(G$17:G$77)))))</f>
        <v/>
      </c>
    </row>
    <row r="56" spans="2:8" x14ac:dyDescent="0.25">
      <c r="B56" s="7">
        <v>40</v>
      </c>
      <c r="C56" s="7" t="str">
        <f ca="1">'ספרי עיון'!C56</f>
        <v/>
      </c>
      <c r="D56" s="67" t="str">
        <f ca="1">IF(C56="","",'ריכוז נתונים'!BJ56)</f>
        <v/>
      </c>
      <c r="E56" s="67" t="str">
        <f ca="1">IF(D56="","",'ריכוז נתונים'!BK56)</f>
        <v/>
      </c>
      <c r="F56" s="22" t="str">
        <f ca="1">IF(C56="","",IFERROR(D56/E56,'גיליון עזר'!$B$9))</f>
        <v/>
      </c>
      <c r="G56" s="95" t="str">
        <f t="shared" ca="1" si="0"/>
        <v/>
      </c>
      <c r="H56" s="287" t="str">
        <f ca="1">IF($C56="","",IF(F56='גיליון עזר'!$B$9,F56,IF(ISERROR(F56),F56,(G56/SUM(G$17:G$77)))))</f>
        <v/>
      </c>
    </row>
    <row r="57" spans="2:8" x14ac:dyDescent="0.25">
      <c r="B57" s="7">
        <v>41</v>
      </c>
      <c r="C57" s="7" t="str">
        <f ca="1">'ספרי עיון'!C57</f>
        <v/>
      </c>
      <c r="D57" s="67" t="str">
        <f ca="1">IF(C57="","",'ריכוז נתונים'!BJ57)</f>
        <v/>
      </c>
      <c r="E57" s="67" t="str">
        <f ca="1">IF(D57="","",'ריכוז נתונים'!BK57)</f>
        <v/>
      </c>
      <c r="F57" s="22" t="str">
        <f ca="1">IF(C57="","",IFERROR(D57/E57,'גיליון עזר'!$B$9))</f>
        <v/>
      </c>
      <c r="G57" s="95" t="str">
        <f t="shared" ca="1" si="0"/>
        <v/>
      </c>
      <c r="H57" s="287" t="str">
        <f ca="1">IF($C57="","",IF(F57='גיליון עזר'!$B$9,F57,IF(ISERROR(F57),F57,(G57/SUM(G$17:G$77)))))</f>
        <v/>
      </c>
    </row>
    <row r="58" spans="2:8" x14ac:dyDescent="0.25">
      <c r="B58" s="7">
        <v>42</v>
      </c>
      <c r="C58" s="7" t="str">
        <f ca="1">'ספרי עיון'!C58</f>
        <v/>
      </c>
      <c r="D58" s="67" t="str">
        <f ca="1">IF(C58="","",'ריכוז נתונים'!BJ58)</f>
        <v/>
      </c>
      <c r="E58" s="67" t="str">
        <f ca="1">IF(D58="","",'ריכוז נתונים'!BK58)</f>
        <v/>
      </c>
      <c r="F58" s="22" t="str">
        <f ca="1">IF(C58="","",IFERROR(D58/E58,'גיליון עזר'!$B$9))</f>
        <v/>
      </c>
      <c r="G58" s="95" t="str">
        <f t="shared" ca="1" si="0"/>
        <v/>
      </c>
      <c r="H58" s="287" t="str">
        <f ca="1">IF($C58="","",IF(F58='גיליון עזר'!$B$9,F58,IF(ISERROR(F58),F58,(G58/SUM(G$17:G$77)))))</f>
        <v/>
      </c>
    </row>
    <row r="59" spans="2:8" x14ac:dyDescent="0.25">
      <c r="B59" s="7">
        <v>43</v>
      </c>
      <c r="C59" s="7" t="str">
        <f ca="1">'ספרי עיון'!C59</f>
        <v/>
      </c>
      <c r="D59" s="67" t="str">
        <f ca="1">IF(C59="","",'ריכוז נתונים'!BJ59)</f>
        <v/>
      </c>
      <c r="E59" s="67" t="str">
        <f ca="1">IF(D59="","",'ריכוז נתונים'!BK59)</f>
        <v/>
      </c>
      <c r="F59" s="22" t="str">
        <f ca="1">IF(C59="","",IFERROR(D59/E59,'גיליון עזר'!$B$9))</f>
        <v/>
      </c>
      <c r="G59" s="95" t="str">
        <f t="shared" ca="1" si="0"/>
        <v/>
      </c>
      <c r="H59" s="287" t="str">
        <f ca="1">IF($C59="","",IF(F59='גיליון עזר'!$B$9,F59,IF(ISERROR(F59),F59,(G59/SUM(G$17:G$77)))))</f>
        <v/>
      </c>
    </row>
    <row r="60" spans="2:8" x14ac:dyDescent="0.25">
      <c r="B60" s="7">
        <v>44</v>
      </c>
      <c r="C60" s="7" t="str">
        <f ca="1">'ספרי עיון'!C60</f>
        <v/>
      </c>
      <c r="D60" s="67" t="str">
        <f ca="1">IF(C60="","",'ריכוז נתונים'!BJ60)</f>
        <v/>
      </c>
      <c r="E60" s="67" t="str">
        <f ca="1">IF(D60="","",'ריכוז נתונים'!BK60)</f>
        <v/>
      </c>
      <c r="F60" s="22" t="str">
        <f ca="1">IF(C60="","",IFERROR(D60/E60,'גיליון עזר'!$B$9))</f>
        <v/>
      </c>
      <c r="G60" s="95" t="str">
        <f t="shared" ca="1" si="0"/>
        <v/>
      </c>
      <c r="H60" s="287" t="str">
        <f ca="1">IF($C60="","",IF(F60='גיליון עזר'!$B$9,F60,IF(ISERROR(F60),F60,(G60/SUM(G$17:G$77)))))</f>
        <v/>
      </c>
    </row>
    <row r="61" spans="2:8" x14ac:dyDescent="0.25">
      <c r="B61" s="7">
        <v>45</v>
      </c>
      <c r="C61" s="7" t="str">
        <f ca="1">'ספרי עיון'!C61</f>
        <v/>
      </c>
      <c r="D61" s="67" t="str">
        <f ca="1">IF(C61="","",'ריכוז נתונים'!BJ61)</f>
        <v/>
      </c>
      <c r="E61" s="67" t="str">
        <f ca="1">IF(D61="","",'ריכוז נתונים'!BK61)</f>
        <v/>
      </c>
      <c r="F61" s="22" t="str">
        <f ca="1">IF(C61="","",IFERROR(D61/E61,'גיליון עזר'!$B$9))</f>
        <v/>
      </c>
      <c r="G61" s="95" t="str">
        <f t="shared" ca="1" si="0"/>
        <v/>
      </c>
      <c r="H61" s="287" t="str">
        <f ca="1">IF($C61="","",IF(F61='גיליון עזר'!$B$9,F61,IF(ISERROR(F61),F61,(G61/SUM(G$17:G$77)))))</f>
        <v/>
      </c>
    </row>
    <row r="62" spans="2:8" x14ac:dyDescent="0.25">
      <c r="B62" s="7">
        <v>46</v>
      </c>
      <c r="C62" s="7" t="str">
        <f ca="1">'ספרי עיון'!C62</f>
        <v>ענבל מרכז אתני</v>
      </c>
      <c r="D62" s="67">
        <f ca="1">IF(C62="","",'ריכוז נתונים'!BJ62)</f>
        <v>898664</v>
      </c>
      <c r="E62" s="67">
        <f ca="1">IF(D62="","",'ריכוז נתונים'!BK62)</f>
        <v>2003570</v>
      </c>
      <c r="F62" s="22">
        <f ca="1">IF(C62="","",IFERROR(D62/E62,'גיליון עזר'!$B$9))</f>
        <v>0.44853137150186917</v>
      </c>
      <c r="G62" s="95">
        <f t="shared" ca="1" si="0"/>
        <v>4.1603661068820186</v>
      </c>
      <c r="H62" s="287">
        <f ca="1">IF($C62="","",IF(F62='גיליון עזר'!$B$9,F62,IF(ISERROR(F62),F62,(G62/SUM(G$17:G$77)))))</f>
        <v>4.1603661068820179E-2</v>
      </c>
    </row>
    <row r="63" spans="2:8" x14ac:dyDescent="0.25">
      <c r="B63" s="7">
        <v>47</v>
      </c>
      <c r="C63" s="7" t="str">
        <f ca="1">'ספרי עיון'!C63</f>
        <v>א.ב. חדשות השומרונים</v>
      </c>
      <c r="D63" s="67">
        <f ca="1">IF(C63="","",'ריכוז נתונים'!BJ63)</f>
        <v>61698</v>
      </c>
      <c r="E63" s="67">
        <f ca="1">IF(D63="","",'ריכוז נתונים'!BK63)</f>
        <v>259498</v>
      </c>
      <c r="F63" s="22">
        <f ca="1">IF(C63="","",IFERROR(D63/E63,'גיליון עזר'!$B$9))</f>
        <v>0.23775905787327842</v>
      </c>
      <c r="G63" s="95">
        <f t="shared" ca="1" si="0"/>
        <v>2.2053412287931029</v>
      </c>
      <c r="H63" s="287">
        <f ca="1">IF($C63="","",IF(F63='גיליון עזר'!$B$9,F63,IF(ISERROR(F63),F63,(G63/SUM(G$17:G$77)))))</f>
        <v>2.2053412287931024E-2</v>
      </c>
    </row>
    <row r="64" spans="2:8" x14ac:dyDescent="0.25">
      <c r="B64" s="7">
        <v>48</v>
      </c>
      <c r="C64" s="7" t="str">
        <f ca="1">'ספרי עיון'!C64</f>
        <v/>
      </c>
      <c r="D64" s="67" t="str">
        <f ca="1">IF(C64="","",'ריכוז נתונים'!BJ64)</f>
        <v/>
      </c>
      <c r="E64" s="67" t="str">
        <f ca="1">IF(D64="","",'ריכוז נתונים'!BK64)</f>
        <v/>
      </c>
      <c r="F64" s="22" t="str">
        <f ca="1">IF(C64="","",IFERROR(D64/E64,'גיליון עזר'!$B$9))</f>
        <v/>
      </c>
      <c r="G64" s="95" t="str">
        <f t="shared" ca="1" si="0"/>
        <v/>
      </c>
      <c r="H64" s="287" t="str">
        <f ca="1">IF($C64="","",IF(F64='גיליון עזר'!$B$9,F64,IF(ISERROR(F64),F64,(G64/SUM(G$17:G$77)))))</f>
        <v/>
      </c>
    </row>
    <row r="65" spans="2:8" x14ac:dyDescent="0.25">
      <c r="B65" s="7">
        <v>49</v>
      </c>
      <c r="C65" s="7" t="str">
        <f ca="1">'ספרי עיון'!C65</f>
        <v/>
      </c>
      <c r="D65" s="67" t="str">
        <f ca="1">IF(C65="","",'ריכוז נתונים'!BJ65)</f>
        <v/>
      </c>
      <c r="E65" s="67" t="str">
        <f ca="1">IF(D65="","",'ריכוז נתונים'!BK65)</f>
        <v/>
      </c>
      <c r="F65" s="22" t="str">
        <f ca="1">IF(C65="","",IFERROR(D65/E65,'גיליון עזר'!$B$9))</f>
        <v/>
      </c>
      <c r="G65" s="95" t="str">
        <f t="shared" ca="1" si="0"/>
        <v/>
      </c>
      <c r="H65" s="287" t="str">
        <f ca="1">IF($C65="","",IF(F65='גיליון עזר'!$B$9,F65,IF(ISERROR(F65),F65,(G65/SUM(G$17:G$77)))))</f>
        <v/>
      </c>
    </row>
    <row r="66" spans="2:8" x14ac:dyDescent="0.25">
      <c r="B66" s="7">
        <v>50</v>
      </c>
      <c r="C66" s="7" t="str">
        <f ca="1">'ספרי עיון'!C66</f>
        <v/>
      </c>
      <c r="D66" s="67" t="str">
        <f ca="1">IF(C66="","",'ריכוז נתונים'!BJ66)</f>
        <v/>
      </c>
      <c r="E66" s="67" t="str">
        <f ca="1">IF(D66="","",'ריכוז נתונים'!BK66)</f>
        <v/>
      </c>
      <c r="F66" s="22" t="str">
        <f ca="1">IF(C66="","",IFERROR(D66/E66,'גיליון עזר'!$B$9))</f>
        <v/>
      </c>
      <c r="G66" s="95" t="str">
        <f t="shared" ca="1" si="0"/>
        <v/>
      </c>
      <c r="H66" s="287" t="str">
        <f ca="1">IF($C66="","",IF(F66='גיליון עזר'!$B$9,F66,IF(ISERROR(F66),F66,(G66/SUM(G$17:G$77)))))</f>
        <v/>
      </c>
    </row>
    <row r="67" spans="2:8" x14ac:dyDescent="0.25">
      <c r="B67" s="7">
        <v>51</v>
      </c>
      <c r="C67" s="7" t="str">
        <f ca="1">'ספרי עיון'!C67</f>
        <v/>
      </c>
      <c r="D67" s="67" t="str">
        <f ca="1">IF(C67="","",'ריכוז נתונים'!BJ67)</f>
        <v/>
      </c>
      <c r="E67" s="67" t="str">
        <f ca="1">IF(D67="","",'ריכוז נתונים'!BK67)</f>
        <v/>
      </c>
      <c r="F67" s="22" t="str">
        <f ca="1">IF(C67="","",IFERROR(D67/E67,'גיליון עזר'!$B$9))</f>
        <v/>
      </c>
      <c r="G67" s="95" t="str">
        <f t="shared" ca="1" si="0"/>
        <v/>
      </c>
      <c r="H67" s="287" t="str">
        <f ca="1">IF($C67="","",IF(F67='גיליון עזר'!$B$9,F67,IF(ISERROR(F67),F67,(G67/SUM(G$17:G$77)))))</f>
        <v/>
      </c>
    </row>
    <row r="68" spans="2:8" x14ac:dyDescent="0.25">
      <c r="B68" s="7">
        <v>52</v>
      </c>
      <c r="C68" s="7" t="str">
        <f ca="1">'ספרי עיון'!C68</f>
        <v>עמותת הנני</v>
      </c>
      <c r="D68" s="67">
        <f ca="1">IF(C68="","",'ריכוז נתונים'!BJ68)</f>
        <v>104493</v>
      </c>
      <c r="E68" s="67">
        <f ca="1">IF(D68="","",'ריכוז נתונים'!BK68)</f>
        <v>713227</v>
      </c>
      <c r="F68" s="22">
        <f ca="1">IF(C68="","",IFERROR(D68/E68,'גיליון עזר'!$B$9))</f>
        <v>0.14650735319891142</v>
      </c>
      <c r="G68" s="95">
        <f t="shared" ca="1" si="0"/>
        <v>1.3589333219141482</v>
      </c>
      <c r="H68" s="287">
        <f ca="1">IF($C68="","",IF(F68='גיליון עזר'!$B$9,F68,IF(ISERROR(F68),F68,(G68/SUM(G$17:G$77)))))</f>
        <v>1.358933321914148E-2</v>
      </c>
    </row>
    <row r="69" spans="2:8" x14ac:dyDescent="0.25">
      <c r="B69" s="7">
        <v>53</v>
      </c>
      <c r="C69" s="7" t="str">
        <f ca="1">'ספרי עיון'!C69</f>
        <v/>
      </c>
      <c r="D69" s="67" t="str">
        <f ca="1">IF(C69="","",'ריכוז נתונים'!BJ69)</f>
        <v/>
      </c>
      <c r="E69" s="67" t="str">
        <f ca="1">IF(D69="","",'ריכוז נתונים'!BK69)</f>
        <v/>
      </c>
      <c r="F69" s="22" t="str">
        <f ca="1">IF(C69="","",IFERROR(D69/E69,'גיליון עזר'!$B$9))</f>
        <v/>
      </c>
      <c r="G69" s="95" t="str">
        <f t="shared" ca="1" si="0"/>
        <v/>
      </c>
      <c r="H69" s="287" t="str">
        <f ca="1">IF($C69="","",IF(F69='גיליון עזר'!$B$9,F69,IF(ISERROR(F69),F69,(G69/SUM(G$17:G$77)))))</f>
        <v/>
      </c>
    </row>
    <row r="70" spans="2:8" x14ac:dyDescent="0.25">
      <c r="B70" s="7">
        <v>54</v>
      </c>
      <c r="C70" s="7" t="str">
        <f ca="1">'ספרי עיון'!C70</f>
        <v/>
      </c>
      <c r="D70" s="67" t="str">
        <f ca="1">IF(C70="","",'ריכוז נתונים'!BJ70)</f>
        <v/>
      </c>
      <c r="E70" s="67" t="str">
        <f ca="1">IF(D70="","",'ריכוז נתונים'!BK70)</f>
        <v/>
      </c>
      <c r="F70" s="22" t="str">
        <f ca="1">IF(C70="","",IFERROR(D70/E70,'גיליון עזר'!$B$9))</f>
        <v/>
      </c>
      <c r="G70" s="95" t="str">
        <f t="shared" ca="1" si="0"/>
        <v/>
      </c>
      <c r="H70" s="287" t="str">
        <f ca="1">IF($C70="","",IF(F70='גיליון עזר'!$B$9,F70,IF(ISERROR(F70),F70,(G70/SUM(G$17:G$77)))))</f>
        <v/>
      </c>
    </row>
    <row r="71" spans="2:8" x14ac:dyDescent="0.25">
      <c r="B71" s="7">
        <v>55</v>
      </c>
      <c r="C71" s="7" t="str">
        <f ca="1">'ספרי עיון'!C71</f>
        <v/>
      </c>
      <c r="D71" s="67" t="str">
        <f ca="1">IF(C71="","",'ריכוז נתונים'!BJ71)</f>
        <v/>
      </c>
      <c r="E71" s="67" t="str">
        <f ca="1">IF(D71="","",'ריכוז נתונים'!BK71)</f>
        <v/>
      </c>
      <c r="F71" s="22" t="str">
        <f ca="1">IF(C71="","",IFERROR(D71/E71,'גיליון עזר'!$B$9))</f>
        <v/>
      </c>
      <c r="G71" s="95" t="str">
        <f t="shared" ca="1" si="0"/>
        <v/>
      </c>
      <c r="H71" s="287" t="str">
        <f ca="1">IF($C71="","",IF(F71='גיליון עזר'!$B$9,F71,IF(ISERROR(F71),F71,(G71/SUM(G$17:G$77)))))</f>
        <v/>
      </c>
    </row>
    <row r="72" spans="2:8" x14ac:dyDescent="0.25">
      <c r="B72" s="7">
        <v>56</v>
      </c>
      <c r="C72" s="7" t="str">
        <f ca="1">'ספרי עיון'!C72</f>
        <v/>
      </c>
      <c r="D72" s="67" t="str">
        <f ca="1">IF(C72="","",'ריכוז נתונים'!BJ72)</f>
        <v/>
      </c>
      <c r="E72" s="67" t="str">
        <f ca="1">IF(D72="","",'ריכוז נתונים'!BK72)</f>
        <v/>
      </c>
      <c r="F72" s="22" t="str">
        <f ca="1">IF(C72="","",IFERROR(D72/E72,'גיליון עזר'!$B$9))</f>
        <v/>
      </c>
      <c r="G72" s="95" t="str">
        <f t="shared" ca="1" si="0"/>
        <v/>
      </c>
      <c r="H72" s="287" t="str">
        <f ca="1">IF($C72="","",IF(F72='גיליון עזר'!$B$9,F72,IF(ISERROR(F72),F72,(G72/SUM(G$17:G$77)))))</f>
        <v/>
      </c>
    </row>
    <row r="73" spans="2:8" x14ac:dyDescent="0.25">
      <c r="B73" s="7">
        <v>57</v>
      </c>
      <c r="C73" s="7" t="str">
        <f ca="1">'ספרי עיון'!C73</f>
        <v/>
      </c>
      <c r="D73" s="67" t="str">
        <f ca="1">IF(C73="","",'ריכוז נתונים'!BJ73)</f>
        <v/>
      </c>
      <c r="E73" s="67" t="str">
        <f ca="1">IF(D73="","",'ריכוז נתונים'!BK73)</f>
        <v/>
      </c>
      <c r="F73" s="22" t="str">
        <f ca="1">IF(C73="","",IFERROR(D73/E73,'גיליון עזר'!$B$9))</f>
        <v/>
      </c>
      <c r="G73" s="95" t="str">
        <f t="shared" ca="1" si="0"/>
        <v/>
      </c>
      <c r="H73" s="287" t="str">
        <f ca="1">IF($C73="","",IF(F73='גיליון עזר'!$B$9,F73,IF(ISERROR(F73),F73,(G73/SUM(G$17:G$77)))))</f>
        <v/>
      </c>
    </row>
    <row r="74" spans="2:8" x14ac:dyDescent="0.25">
      <c r="B74" s="7">
        <v>58</v>
      </c>
      <c r="C74" s="7" t="str">
        <f ca="1">'ספרי עיון'!C74</f>
        <v/>
      </c>
      <c r="D74" s="67" t="str">
        <f ca="1">IF(C74="","",'ריכוז נתונים'!BJ74)</f>
        <v/>
      </c>
      <c r="E74" s="67" t="str">
        <f ca="1">IF(D74="","",'ריכוז נתונים'!BK74)</f>
        <v/>
      </c>
      <c r="F74" s="22" t="str">
        <f ca="1">IF(C74="","",IFERROR(D74/E74,'גיליון עזר'!$B$9))</f>
        <v/>
      </c>
      <c r="G74" s="95" t="str">
        <f t="shared" ca="1" si="0"/>
        <v/>
      </c>
      <c r="H74" s="287" t="str">
        <f ca="1">IF($C74="","",IF(F74='גיליון עזר'!$B$9,F74,IF(ISERROR(F74),F74,(G74/SUM(G$17:G$77)))))</f>
        <v/>
      </c>
    </row>
    <row r="75" spans="2:8" x14ac:dyDescent="0.25">
      <c r="B75" s="7">
        <v>59</v>
      </c>
      <c r="C75" s="7" t="str">
        <f ca="1">'ספרי עיון'!C75</f>
        <v/>
      </c>
      <c r="D75" s="67" t="str">
        <f ca="1">IF(C75="","",'ריכוז נתונים'!BJ75)</f>
        <v/>
      </c>
      <c r="E75" s="67" t="str">
        <f ca="1">IF(D75="","",'ריכוז נתונים'!BK75)</f>
        <v/>
      </c>
      <c r="F75" s="22" t="str">
        <f ca="1">IF(C75="","",IFERROR(D75/E75,'גיליון עזר'!$B$9))</f>
        <v/>
      </c>
      <c r="G75" s="95" t="str">
        <f t="shared" ca="1" si="0"/>
        <v/>
      </c>
      <c r="H75" s="287" t="str">
        <f ca="1">IF($C75="","",IF(F75='גיליון עזר'!$B$9,F75,IF(ISERROR(F75),F75,(G75/SUM(G$17:G$77)))))</f>
        <v/>
      </c>
    </row>
    <row r="76" spans="2:8" x14ac:dyDescent="0.25">
      <c r="B76" s="7">
        <v>60</v>
      </c>
      <c r="C76" s="7" t="str">
        <f ca="1">'ספרי עיון'!C76</f>
        <v>שרשרת הדורות</v>
      </c>
      <c r="D76" s="67">
        <f ca="1">IF(C76="","",'ריכוז נתונים'!BJ76)</f>
        <v>372269</v>
      </c>
      <c r="E76" s="67">
        <f ca="1">IF(D76="","",'ריכוז נתונים'!BK76)</f>
        <v>501310</v>
      </c>
      <c r="F76" s="22">
        <f ca="1">IF(C76="","",IFERROR(D76/E76,'גיליון עזר'!$B$9))</f>
        <v>0.74259240789132475</v>
      </c>
      <c r="G76" s="95">
        <f t="shared" ca="1" si="0"/>
        <v>6.8879380157383263</v>
      </c>
      <c r="H76" s="287">
        <f ca="1">IF($C76="","",IF(F76='גיליון עזר'!$B$9,F76,IF(ISERROR(F76),F76,(G76/SUM(G$17:G$77)))))</f>
        <v>6.8879380157383249E-2</v>
      </c>
    </row>
    <row r="77" spans="2:8" x14ac:dyDescent="0.25">
      <c r="B77" s="7">
        <v>61</v>
      </c>
      <c r="C77" s="7" t="str">
        <f ca="1">'ספרי עיון'!C77</f>
        <v>חיבה</v>
      </c>
      <c r="D77" s="67">
        <f ca="1">IF(C77="","",'ריכוז נתונים'!BJ77)</f>
        <v>668471</v>
      </c>
      <c r="E77" s="67">
        <f ca="1">IF(D77="","",'ריכוז נתונים'!BK77)</f>
        <v>1018248</v>
      </c>
      <c r="F77" s="22">
        <f ca="1">IF(C77="","",IFERROR(D77/E77,'גיליון עזר'!$B$9))</f>
        <v>0.65649134591965808</v>
      </c>
      <c r="G77" s="95">
        <f t="shared" ca="1" si="0"/>
        <v>6.0893050487865867</v>
      </c>
      <c r="H77" s="287">
        <f ca="1">IF($C77="","",IF(F77='גיליון עזר'!$B$9,F77,IF(ISERROR(F77),F77,(G77/SUM(G$17:G$77)))))</f>
        <v>6.0893050487865856E-2</v>
      </c>
    </row>
    <row r="78" spans="2:8" hidden="1" x14ac:dyDescent="0.25">
      <c r="B78" s="7">
        <v>62</v>
      </c>
      <c r="C78" s="7" t="str">
        <f ca="1">'ספרי עיון'!C78</f>
        <v/>
      </c>
      <c r="D78" s="67" t="str">
        <f ca="1">IF(C78="","",'ריכוז נתונים'!BJ78)</f>
        <v/>
      </c>
      <c r="E78" s="67" t="str">
        <f ca="1">IF(D78="","",'ריכוז נתונים'!BK78)</f>
        <v/>
      </c>
      <c r="F78" s="22" t="str">
        <f ca="1">IF(C78="","",IFERROR(D78/E78,'גיליון עזר'!$B$9))</f>
        <v/>
      </c>
      <c r="G78" s="95" t="str">
        <f t="shared" ca="1" si="0"/>
        <v/>
      </c>
      <c r="H78" s="287" t="str">
        <f ca="1">IF($C78="","",IF(F78='גיליון עזר'!$B$9,F78,IF(ISERROR(F78),F78,(G78/SUM(G$17:G$76)))))</f>
        <v/>
      </c>
    </row>
  </sheetData>
  <sheetProtection algorithmName="SHA-512" hashValue="UZ76Z3H2Qr6+H5nrC8sq7vehi0b3mTRO9TFOvV//rl172fRjZbGIwpbOXL/hn8n+WeBJLHR1pCkWnQpkTcIUjg==" saltValue="s+TbxXCmMhSyE+cs+Sp5Ew==" spinCount="100000" sheet="1" scenarios="1" formatColumns="0" formatRows="0" autoFilter="0"/>
  <mergeCells count="3">
    <mergeCell ref="B15:B16"/>
    <mergeCell ref="C15:C16"/>
    <mergeCell ref="D15:H15"/>
  </mergeCells>
  <pageMargins left="0.70866141732283472" right="0.70866141732283472" top="0.74803149606299213" bottom="0.74803149606299213" header="0.31496062992125984" footer="0.31496062992125984"/>
  <pageSetup paperSize="9" scale="74" orientation="portrait" r:id="rId1"/>
  <headerFooter>
    <oddFooter>&amp;C&amp;"David,מודגש"א. חפץ ושות'
ייעוץ כלכלי</oddFooter>
  </headerFooter>
  <rowBreaks count="1" manualBreakCount="1">
    <brk id="45"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גיליון78">
    <tabColor theme="6" tint="0.39997558519241921"/>
    <pageSetUpPr fitToPage="1"/>
  </sheetPr>
  <dimension ref="B2:G78"/>
  <sheetViews>
    <sheetView rightToLeft="1" view="pageBreakPreview" zoomScale="90" zoomScaleNormal="100" zoomScaleSheetLayoutView="90" workbookViewId="0"/>
  </sheetViews>
  <sheetFormatPr defaultColWidth="9.140625" defaultRowHeight="15.75" x14ac:dyDescent="0.25"/>
  <cols>
    <col min="2" max="2" width="12.85546875" bestFit="1" customWidth="1"/>
    <col min="3" max="3" width="30" customWidth="1"/>
    <col min="4" max="4" width="36" bestFit="1" customWidth="1"/>
    <col min="5" max="5" width="9.85546875" bestFit="1" customWidth="1"/>
    <col min="6" max="6" width="7" hidden="1" customWidth="1"/>
    <col min="7" max="7" width="10.5703125" bestFit="1" customWidth="1"/>
  </cols>
  <sheetData>
    <row r="2" spans="2:7" ht="15.75" customHeight="1" x14ac:dyDescent="0.25"/>
    <row r="4" spans="2:7" ht="47.25" x14ac:dyDescent="0.25">
      <c r="C4" s="26" t="str">
        <f>פרמטרים!B102</f>
        <v>היקף החומר הארכיוני בתחום המורשת אשר ברשותו הועלה לאתר האינטרנט של המוסד:</v>
      </c>
      <c r="D4" s="24" t="str">
        <f>פרמטרים!C102</f>
        <v>ניקוד</v>
      </c>
    </row>
    <row r="5" spans="2:7" x14ac:dyDescent="0.25">
      <c r="C5" s="10" t="str">
        <f>פרמטרים!B103</f>
        <v>מעל 20%</v>
      </c>
      <c r="D5" s="44">
        <f>פרמטרים!C103</f>
        <v>1</v>
      </c>
    </row>
    <row r="6" spans="2:7" x14ac:dyDescent="0.25">
      <c r="C6" s="10" t="str">
        <f>פרמטרים!B104</f>
        <v>מעל 50%</v>
      </c>
      <c r="D6" s="44">
        <f>פרמטרים!C104</f>
        <v>2</v>
      </c>
    </row>
    <row r="7" spans="2:7" hidden="1" x14ac:dyDescent="0.25">
      <c r="C7" s="10">
        <f>פרמטרים!B105</f>
        <v>0</v>
      </c>
      <c r="D7" s="9">
        <v>0</v>
      </c>
    </row>
    <row r="8" spans="2:7" hidden="1" x14ac:dyDescent="0.25">
      <c r="C8" s="10">
        <f>פרמטרים!B106</f>
        <v>0</v>
      </c>
      <c r="D8" s="9">
        <v>0</v>
      </c>
    </row>
    <row r="9" spans="2:7" hidden="1" x14ac:dyDescent="0.25">
      <c r="C9" s="10" t="str">
        <f>פרמטרים!B107</f>
        <v>עמידה בתוכנית העבודה</v>
      </c>
      <c r="D9" s="9">
        <v>0</v>
      </c>
    </row>
    <row r="10" spans="2:7" ht="31.5" hidden="1" x14ac:dyDescent="0.25">
      <c r="C10" s="10" t="str">
        <f>פרמטרים!B108</f>
        <v>סטייה מתוכנית העבודה בשיעור של עד:</v>
      </c>
      <c r="D10" s="9">
        <v>0</v>
      </c>
    </row>
    <row r="11" spans="2:7" hidden="1" x14ac:dyDescent="0.25">
      <c r="C11" s="10">
        <f>פרמטרים!B109</f>
        <v>0.15</v>
      </c>
      <c r="D11" s="9">
        <v>0</v>
      </c>
    </row>
    <row r="12" spans="2:7" hidden="1" x14ac:dyDescent="0.25">
      <c r="C12" s="10">
        <f>פרמטרים!B110</f>
        <v>0.1</v>
      </c>
      <c r="D12" s="9">
        <v>5</v>
      </c>
    </row>
    <row r="13" spans="2:7" hidden="1" x14ac:dyDescent="0.25">
      <c r="C13" s="10">
        <f>פרמטרים!B111</f>
        <v>0.05</v>
      </c>
      <c r="D13" s="9">
        <v>0</v>
      </c>
    </row>
    <row r="15" spans="2:7" x14ac:dyDescent="0.25">
      <c r="B15" s="489" t="str">
        <f>'הכנסות עצמיות'!B15:B16</f>
        <v>מספר סידורי</v>
      </c>
      <c r="C15" s="489" t="str">
        <f>'הכנסות עצמיות'!C15:C16</f>
        <v>שם המוסד</v>
      </c>
      <c r="D15" s="479" t="str">
        <f ca="1">MID(CELL("filename",A1),FIND("]",CELL("filename",A1),1)+1,99)</f>
        <v>תיעוד ושימור</v>
      </c>
      <c r="E15" s="535"/>
      <c r="F15" s="535"/>
      <c r="G15" s="535"/>
    </row>
    <row r="16" spans="2:7" ht="48" customHeight="1" x14ac:dyDescent="0.25">
      <c r="B16" s="490">
        <v>0</v>
      </c>
      <c r="C16" s="490">
        <v>0</v>
      </c>
      <c r="D16" s="29" t="str">
        <f>C4</f>
        <v>היקף החומר הארכיוני בתחום המורשת אשר ברשותו הועלה לאתר האינטרנט של המוסד:</v>
      </c>
      <c r="E16" s="29" t="s">
        <v>79</v>
      </c>
      <c r="F16" s="29" t="s">
        <v>79</v>
      </c>
      <c r="G16" s="29" t="s">
        <v>175</v>
      </c>
    </row>
    <row r="17" spans="2:7" x14ac:dyDescent="0.25">
      <c r="B17" s="7">
        <f>'הכנסות עצמיות'!B17</f>
        <v>1</v>
      </c>
      <c r="C17" s="7" t="str">
        <f ca="1">'הכנסות עצמיות'!C17</f>
        <v>מרכז מורשת בבל</v>
      </c>
      <c r="D17" s="67" t="str">
        <f ca="1">IF(C17="","",'ריכוז נתונים'!BL17)</f>
        <v/>
      </c>
      <c r="E17" s="68" t="str">
        <f ca="1">IF(C17="","",IFERROR(VLOOKUP(D17,$C$5:$D$6,2,FALSE),""))</f>
        <v/>
      </c>
      <c r="F17" s="102">
        <f ca="1">IFERROR(E17/1,0)</f>
        <v>0</v>
      </c>
      <c r="G17" s="8" t="str">
        <f ca="1">IF(C17="","",IF(ISERROR(E17/1),E17,IFERROR(F17/SUM($F$17:$F$77),0)))</f>
        <v/>
      </c>
    </row>
    <row r="18" spans="2:7" x14ac:dyDescent="0.25">
      <c r="B18" s="7">
        <f>'הכנסות עצמיות'!B18</f>
        <v>2</v>
      </c>
      <c r="C18" s="7" t="str">
        <f ca="1">'הכנסות עצמיות'!C18</f>
        <v>מורשת יהודי צפון  אפריקה</v>
      </c>
      <c r="D18" s="67" t="str">
        <f ca="1">IF(C18="","",'ריכוז נתונים'!BL18)</f>
        <v>מעל 20%</v>
      </c>
      <c r="E18" s="68">
        <f t="shared" ref="E18:E76" ca="1" si="0">IF(C18="","",IFERROR(VLOOKUP(D18,$C$5:$D$6,2,FALSE),""))</f>
        <v>1</v>
      </c>
      <c r="F18" s="102">
        <f t="shared" ref="F18:F76" ca="1" si="1">IFERROR(E18/1,0)</f>
        <v>1</v>
      </c>
      <c r="G18" s="8">
        <f t="shared" ref="G18:G77" ca="1" si="2">IF(C18="","",IF(ISERROR(E18/1),E18,IFERROR(F18/SUM($F$17:$F$77),0)))</f>
        <v>5.2631578947368418E-2</v>
      </c>
    </row>
    <row r="19" spans="2:7" x14ac:dyDescent="0.25">
      <c r="B19" s="7">
        <f>'הכנסות עצמיות'!B19</f>
        <v>3</v>
      </c>
      <c r="C19" s="7" t="str">
        <f ca="1">'הכנסות עצמיות'!C19</f>
        <v>מורשת יהדות קוצין</v>
      </c>
      <c r="D19" s="67" t="str">
        <f ca="1">IF(C19="","",'ריכוז נתונים'!BL19)</f>
        <v>מעל 50%</v>
      </c>
      <c r="E19" s="68">
        <f t="shared" ca="1" si="0"/>
        <v>2</v>
      </c>
      <c r="F19" s="102">
        <f t="shared" ca="1" si="1"/>
        <v>2</v>
      </c>
      <c r="G19" s="8">
        <f t="shared" ca="1" si="2"/>
        <v>0.10526315789473684</v>
      </c>
    </row>
    <row r="20" spans="2:7" x14ac:dyDescent="0.25">
      <c r="B20" s="7">
        <f>'הכנסות עצמיות'!B20</f>
        <v>4</v>
      </c>
      <c r="C20" s="7" t="str">
        <f ca="1">'הכנסות עצמיות'!C20</f>
        <v>הפדרציה העולמית של יהדות תוניס</v>
      </c>
      <c r="D20" s="67" t="str">
        <f ca="1">IF(C20="","",'ריכוז נתונים'!BL20)</f>
        <v/>
      </c>
      <c r="E20" s="68" t="str">
        <f t="shared" ca="1" si="0"/>
        <v/>
      </c>
      <c r="F20" s="102">
        <f t="shared" ca="1" si="1"/>
        <v>0</v>
      </c>
      <c r="G20" s="8" t="str">
        <f t="shared" ca="1" si="2"/>
        <v/>
      </c>
    </row>
    <row r="21" spans="2:7" x14ac:dyDescent="0.25">
      <c r="B21" s="7">
        <f>'הכנסות עצמיות'!B21</f>
        <v>5</v>
      </c>
      <c r="C21" s="7" t="str">
        <f ca="1">'הכנסות עצמיות'!C21</f>
        <v>התאחדות עולי מצרים</v>
      </c>
      <c r="D21" s="67" t="str">
        <f ca="1">IF(C21="","",'ריכוז נתונים'!BL21)</f>
        <v>מעל 50%</v>
      </c>
      <c r="E21" s="68">
        <f t="shared" ca="1" si="0"/>
        <v>2</v>
      </c>
      <c r="F21" s="102">
        <f t="shared" ca="1" si="1"/>
        <v>2</v>
      </c>
      <c r="G21" s="8">
        <f t="shared" ca="1" si="2"/>
        <v>0.10526315789473684</v>
      </c>
    </row>
    <row r="22" spans="2:7" x14ac:dyDescent="0.25">
      <c r="B22" s="7">
        <f>'הכנסות עצמיות'!B22</f>
        <v>6</v>
      </c>
      <c r="C22" s="7" t="str">
        <f ca="1">'הכנסות עצמיות'!C22</f>
        <v>יהודים יוצאי לוב</v>
      </c>
      <c r="D22" s="67" t="str">
        <f ca="1">IF(C22="","",'ריכוז נתונים'!BL22)</f>
        <v/>
      </c>
      <c r="E22" s="68" t="str">
        <f t="shared" ca="1" si="0"/>
        <v/>
      </c>
      <c r="F22" s="102">
        <f t="shared" ca="1" si="1"/>
        <v>0</v>
      </c>
      <c r="G22" s="8" t="str">
        <f t="shared" ca="1" si="2"/>
        <v/>
      </c>
    </row>
    <row r="23" spans="2:7" ht="15.75" customHeight="1" x14ac:dyDescent="0.25">
      <c r="B23" s="7">
        <f>'הכנסות עצמיות'!B23</f>
        <v>7</v>
      </c>
      <c r="C23" s="7" t="str">
        <f ca="1">'הכנסות עצמיות'!C23</f>
        <v>הפדרציה העולמית של יהדות מרוקו</v>
      </c>
      <c r="D23" s="67" t="str">
        <f ca="1">IF(C23="","",'ריכוז נתונים'!BL23)</f>
        <v/>
      </c>
      <c r="E23" s="68" t="str">
        <f t="shared" ca="1" si="0"/>
        <v/>
      </c>
      <c r="F23" s="102">
        <f t="shared" ca="1" si="1"/>
        <v>0</v>
      </c>
      <c r="G23" s="8" t="str">
        <f t="shared" ca="1" si="2"/>
        <v/>
      </c>
    </row>
    <row r="24" spans="2:7" x14ac:dyDescent="0.25">
      <c r="B24" s="7">
        <f>'הכנסות עצמיות'!B24</f>
        <v>8</v>
      </c>
      <c r="C24" s="7" t="str">
        <f ca="1">'הכנסות עצמיות'!C24</f>
        <v>אורות הגליל</v>
      </c>
      <c r="D24" s="67" t="str">
        <f ca="1">IF(C24="","",'ריכוז נתונים'!BL24)</f>
        <v>מעל 50%</v>
      </c>
      <c r="E24" s="68">
        <f t="shared" ca="1" si="0"/>
        <v>2</v>
      </c>
      <c r="F24" s="102">
        <f t="shared" ca="1" si="1"/>
        <v>2</v>
      </c>
      <c r="G24" s="8">
        <f t="shared" ca="1" si="2"/>
        <v>0.10526315789473684</v>
      </c>
    </row>
    <row r="25" spans="2:7" x14ac:dyDescent="0.25">
      <c r="B25" s="7">
        <f>'הכנסות עצמיות'!B25</f>
        <v>9</v>
      </c>
      <c r="C25" s="7" t="str">
        <f ca="1">'הכנסות עצמיות'!C25</f>
        <v>אלמז</v>
      </c>
      <c r="D25" s="67" t="str">
        <f ca="1">IF(C25="","",'ריכוז נתונים'!BL25)</f>
        <v/>
      </c>
      <c r="E25" s="68" t="str">
        <f t="shared" ca="1" si="0"/>
        <v/>
      </c>
      <c r="F25" s="102">
        <f t="shared" ca="1" si="1"/>
        <v>0</v>
      </c>
      <c r="G25" s="8" t="str">
        <f t="shared" ca="1" si="2"/>
        <v/>
      </c>
    </row>
    <row r="26" spans="2:7" x14ac:dyDescent="0.25">
      <c r="B26" s="7">
        <f>'הכנסות עצמיות'!B26</f>
        <v>10</v>
      </c>
      <c r="C26" s="7" t="str">
        <f ca="1">'הכנסות עצמיות'!C26</f>
        <v>קונגרס יהודי בוכרה</v>
      </c>
      <c r="D26" s="67" t="str">
        <f ca="1">IF(C26="","",'ריכוז נתונים'!BL26)</f>
        <v>מעל 20%</v>
      </c>
      <c r="E26" s="68">
        <f t="shared" ca="1" si="0"/>
        <v>1</v>
      </c>
      <c r="F26" s="102">
        <f t="shared" ca="1" si="1"/>
        <v>1</v>
      </c>
      <c r="G26" s="8">
        <f t="shared" ca="1" si="2"/>
        <v>5.2631578947368418E-2</v>
      </c>
    </row>
    <row r="27" spans="2:7" x14ac:dyDescent="0.25">
      <c r="B27" s="7">
        <f>'הכנסות עצמיות'!B27</f>
        <v>11</v>
      </c>
      <c r="C27" s="7" t="str">
        <f ca="1">'הכנסות עצמיות'!C27</f>
        <v>יהדות שאלוניקי יוון</v>
      </c>
      <c r="D27" s="67" t="str">
        <f ca="1">IF(C27="","",'ריכוז נתונים'!BL27)</f>
        <v/>
      </c>
      <c r="E27" s="68" t="str">
        <f t="shared" ca="1" si="0"/>
        <v/>
      </c>
      <c r="F27" s="102">
        <f t="shared" ca="1" si="1"/>
        <v>0</v>
      </c>
      <c r="G27" s="8" t="str">
        <f t="shared" ca="1" si="2"/>
        <v/>
      </c>
    </row>
    <row r="28" spans="2:7" x14ac:dyDescent="0.25">
      <c r="B28" s="7">
        <f>'הכנסות עצמיות'!B28</f>
        <v>12</v>
      </c>
      <c r="C28" s="7" t="str">
        <f ca="1">'הכנסות עצמיות'!C28</f>
        <v/>
      </c>
      <c r="D28" s="67" t="str">
        <f ca="1">IF(C28="","",'ריכוז נתונים'!BL28)</f>
        <v/>
      </c>
      <c r="E28" s="68" t="str">
        <f t="shared" ca="1" si="0"/>
        <v/>
      </c>
      <c r="F28" s="102">
        <f t="shared" ca="1" si="1"/>
        <v>0</v>
      </c>
      <c r="G28" s="8" t="str">
        <f t="shared" ca="1" si="2"/>
        <v/>
      </c>
    </row>
    <row r="29" spans="2:7" x14ac:dyDescent="0.25">
      <c r="B29" s="7">
        <f>'הכנסות עצמיות'!B29</f>
        <v>13</v>
      </c>
      <c r="C29" s="7" t="str">
        <f ca="1">'הכנסות עצמיות'!C29</f>
        <v/>
      </c>
      <c r="D29" s="67" t="str">
        <f ca="1">IF(C29="","",'ריכוז נתונים'!BL29)</f>
        <v/>
      </c>
      <c r="E29" s="68" t="str">
        <f t="shared" ca="1" si="0"/>
        <v/>
      </c>
      <c r="F29" s="102">
        <f t="shared" ca="1" si="1"/>
        <v>0</v>
      </c>
      <c r="G29" s="8" t="str">
        <f t="shared" ca="1" si="2"/>
        <v/>
      </c>
    </row>
    <row r="30" spans="2:7" x14ac:dyDescent="0.25">
      <c r="B30" s="7">
        <f>'הכנסות עצמיות'!B30</f>
        <v>14</v>
      </c>
      <c r="C30" s="7" t="str">
        <f ca="1">'הכנסות עצמיות'!C30</f>
        <v/>
      </c>
      <c r="D30" s="67" t="str">
        <f ca="1">IF(C30="","",'ריכוז נתונים'!BL30)</f>
        <v/>
      </c>
      <c r="E30" s="68" t="str">
        <f t="shared" ca="1" si="0"/>
        <v/>
      </c>
      <c r="F30" s="102">
        <f t="shared" ca="1" si="1"/>
        <v>0</v>
      </c>
      <c r="G30" s="8" t="str">
        <f t="shared" ca="1" si="2"/>
        <v/>
      </c>
    </row>
    <row r="31" spans="2:7" ht="15.75" customHeight="1" x14ac:dyDescent="0.25">
      <c r="B31" s="7">
        <f>'הכנסות עצמיות'!B31</f>
        <v>15</v>
      </c>
      <c r="C31" s="7" t="str">
        <f ca="1">'הכנסות עצמיות'!C31</f>
        <v xml:space="preserve">החברה לטיפוח חברה תרבות תיעוד </v>
      </c>
      <c r="D31" s="67" t="str">
        <f ca="1">IF(C31="","",'ריכוז נתונים'!BL31)</f>
        <v>מעל 50%</v>
      </c>
      <c r="E31" s="68">
        <f t="shared" ca="1" si="0"/>
        <v>2</v>
      </c>
      <c r="F31" s="102">
        <f t="shared" ca="1" si="1"/>
        <v>2</v>
      </c>
      <c r="G31" s="8">
        <f t="shared" ca="1" si="2"/>
        <v>0.10526315789473684</v>
      </c>
    </row>
    <row r="32" spans="2:7" x14ac:dyDescent="0.25">
      <c r="B32" s="7">
        <f>'הכנסות עצמיות'!B32</f>
        <v>16</v>
      </c>
      <c r="C32" s="7" t="str">
        <f ca="1">'הכנסות עצמיות'!C32</f>
        <v>עמותת אור שלום</v>
      </c>
      <c r="D32" s="67" t="str">
        <f ca="1">IF(C32="","",'ריכוז נתונים'!BL32)</f>
        <v>מעל 50%</v>
      </c>
      <c r="E32" s="68">
        <f t="shared" ca="1" si="0"/>
        <v>2</v>
      </c>
      <c r="F32" s="102">
        <f t="shared" ca="1" si="1"/>
        <v>2</v>
      </c>
      <c r="G32" s="8">
        <f t="shared" ca="1" si="2"/>
        <v>0.10526315789473684</v>
      </c>
    </row>
    <row r="33" spans="2:7" x14ac:dyDescent="0.25">
      <c r="B33" s="7">
        <f>'הכנסות עצמיות'!B33</f>
        <v>17</v>
      </c>
      <c r="C33" s="7" t="str">
        <f ca="1">'הכנסות עצמיות'!C33</f>
        <v/>
      </c>
      <c r="D33" s="67" t="str">
        <f ca="1">IF(C33="","",'ריכוז נתונים'!BL33)</f>
        <v/>
      </c>
      <c r="E33" s="68" t="str">
        <f t="shared" ca="1" si="0"/>
        <v/>
      </c>
      <c r="F33" s="102">
        <f t="shared" ca="1" si="1"/>
        <v>0</v>
      </c>
      <c r="G33" s="8" t="str">
        <f t="shared" ca="1" si="2"/>
        <v/>
      </c>
    </row>
    <row r="34" spans="2:7" x14ac:dyDescent="0.25">
      <c r="B34" s="7">
        <f>'הכנסות עצמיות'!B34</f>
        <v>18</v>
      </c>
      <c r="C34" s="7" t="str">
        <f ca="1">'הכנסות עצמיות'!C34</f>
        <v>ישיבת קרלין סטולין</v>
      </c>
      <c r="D34" s="67" t="str">
        <f ca="1">IF(C34="","",'ריכוז נתונים'!BL34)</f>
        <v/>
      </c>
      <c r="E34" s="68" t="str">
        <f t="shared" ca="1" si="0"/>
        <v/>
      </c>
      <c r="F34" s="102">
        <f t="shared" ca="1" si="1"/>
        <v>0</v>
      </c>
      <c r="G34" s="8" t="str">
        <f t="shared" ca="1" si="2"/>
        <v/>
      </c>
    </row>
    <row r="35" spans="2:7" x14ac:dyDescent="0.25">
      <c r="B35" s="7">
        <f>'הכנסות עצמיות'!B35</f>
        <v>19</v>
      </c>
      <c r="C35" s="7" t="str">
        <f ca="1">'הכנסות עצמיות'!C35</f>
        <v/>
      </c>
      <c r="D35" s="67" t="str">
        <f ca="1">IF(C35="","",'ריכוז נתונים'!BL35)</f>
        <v/>
      </c>
      <c r="E35" s="68" t="str">
        <f t="shared" ca="1" si="0"/>
        <v/>
      </c>
      <c r="F35" s="102">
        <f t="shared" ca="1" si="1"/>
        <v>0</v>
      </c>
      <c r="G35" s="8" t="str">
        <f t="shared" ca="1" si="2"/>
        <v/>
      </c>
    </row>
    <row r="36" spans="2:7" x14ac:dyDescent="0.25">
      <c r="B36" s="7">
        <f>'הכנסות עצמיות'!B36</f>
        <v>20</v>
      </c>
      <c r="C36" s="7" t="str">
        <f ca="1">'הכנסות עצמיות'!C36</f>
        <v/>
      </c>
      <c r="D36" s="67" t="str">
        <f ca="1">IF(C36="","",'ריכוז נתונים'!BL36)</f>
        <v/>
      </c>
      <c r="E36" s="68" t="str">
        <f t="shared" ca="1" si="0"/>
        <v/>
      </c>
      <c r="F36" s="102">
        <f t="shared" ca="1" si="1"/>
        <v>0</v>
      </c>
      <c r="G36" s="8" t="str">
        <f t="shared" ca="1" si="2"/>
        <v/>
      </c>
    </row>
    <row r="37" spans="2:7" x14ac:dyDescent="0.25">
      <c r="B37" s="7">
        <f>'הכנסות עצמיות'!B37</f>
        <v>21</v>
      </c>
      <c r="C37" s="7" t="str">
        <f ca="1">'הכנסות עצמיות'!C37</f>
        <v>ברית יוצאי מרוקו</v>
      </c>
      <c r="D37" s="67" t="str">
        <f ca="1">IF(C37="","",'ריכוז נתונים'!BL37)</f>
        <v/>
      </c>
      <c r="E37" s="68" t="str">
        <f t="shared" ca="1" si="0"/>
        <v/>
      </c>
      <c r="F37" s="102">
        <f t="shared" ca="1" si="1"/>
        <v>0</v>
      </c>
      <c r="G37" s="8" t="str">
        <f t="shared" ca="1" si="2"/>
        <v/>
      </c>
    </row>
    <row r="38" spans="2:7" x14ac:dyDescent="0.25">
      <c r="B38" s="7">
        <f>'הכנסות עצמיות'!B38</f>
        <v>22</v>
      </c>
      <c r="C38" s="7" t="str">
        <f ca="1">'הכנסות עצמיות'!C38</f>
        <v>הקם - בית הקונפדרציה</v>
      </c>
      <c r="D38" s="67" t="str">
        <f ca="1">IF(C38="","",'ריכוז נתונים'!BL38)</f>
        <v>מעל 50%</v>
      </c>
      <c r="E38" s="68">
        <f t="shared" ca="1" si="0"/>
        <v>2</v>
      </c>
      <c r="F38" s="102">
        <f t="shared" ca="1" si="1"/>
        <v>2</v>
      </c>
      <c r="G38" s="8">
        <f t="shared" ca="1" si="2"/>
        <v>0.10526315789473684</v>
      </c>
    </row>
    <row r="39" spans="2:7" x14ac:dyDescent="0.25">
      <c r="B39" s="7">
        <f>'הכנסות עצמיות'!B39</f>
        <v>23</v>
      </c>
      <c r="C39" s="7" t="str">
        <f ca="1">'הכנסות עצמיות'!C39</f>
        <v>מוסיקה מזרח מערב</v>
      </c>
      <c r="D39" s="67" t="str">
        <f ca="1">IF(C39="","",'ריכוז נתונים'!BL39)</f>
        <v>מעל 50%</v>
      </c>
      <c r="E39" s="68">
        <f t="shared" ca="1" si="0"/>
        <v>2</v>
      </c>
      <c r="F39" s="102">
        <f t="shared" ca="1" si="1"/>
        <v>2</v>
      </c>
      <c r="G39" s="8">
        <f t="shared" ca="1" si="2"/>
        <v>0.10526315789473684</v>
      </c>
    </row>
    <row r="40" spans="2:7" x14ac:dyDescent="0.25">
      <c r="B40" s="7">
        <f>'הכנסות עצמיות'!B40</f>
        <v>24</v>
      </c>
      <c r="C40" s="7" t="str">
        <f ca="1">'הכנסות עצמיות'!C40</f>
        <v>אעלה בתמר</v>
      </c>
      <c r="D40" s="67" t="str">
        <f ca="1">IF(C40="","",'ריכוז נתונים'!BL40)</f>
        <v>מעל 20%</v>
      </c>
      <c r="E40" s="68">
        <f t="shared" ca="1" si="0"/>
        <v>1</v>
      </c>
      <c r="F40" s="102">
        <f t="shared" ca="1" si="1"/>
        <v>1</v>
      </c>
      <c r="G40" s="8">
        <f t="shared" ca="1" si="2"/>
        <v>5.2631578947368418E-2</v>
      </c>
    </row>
    <row r="41" spans="2:7" x14ac:dyDescent="0.25">
      <c r="B41" s="7">
        <f>'הכנסות עצמיות'!B41</f>
        <v>25</v>
      </c>
      <c r="C41" s="7" t="str">
        <f ca="1">'הכנסות עצמיות'!C41</f>
        <v/>
      </c>
      <c r="D41" s="67" t="str">
        <f ca="1">IF(C41="","",'ריכוז נתונים'!BL41)</f>
        <v/>
      </c>
      <c r="E41" s="68" t="str">
        <f t="shared" ca="1" si="0"/>
        <v/>
      </c>
      <c r="F41" s="102">
        <f t="shared" ca="1" si="1"/>
        <v>0</v>
      </c>
      <c r="G41" s="8" t="str">
        <f t="shared" ca="1" si="2"/>
        <v/>
      </c>
    </row>
    <row r="42" spans="2:7" x14ac:dyDescent="0.25">
      <c r="B42" s="7">
        <f>'הכנסות עצמיות'!B42</f>
        <v>26</v>
      </c>
      <c r="C42" s="7" t="str">
        <f ca="1">'הכנסות עצמיות'!C42</f>
        <v/>
      </c>
      <c r="D42" s="67" t="str">
        <f ca="1">IF(C42="","",'ריכוז נתונים'!BL42)</f>
        <v/>
      </c>
      <c r="E42" s="68" t="str">
        <f t="shared" ca="1" si="0"/>
        <v/>
      </c>
      <c r="F42" s="102">
        <f t="shared" ca="1" si="1"/>
        <v>0</v>
      </c>
      <c r="G42" s="8" t="str">
        <f t="shared" ca="1" si="2"/>
        <v/>
      </c>
    </row>
    <row r="43" spans="2:7" x14ac:dyDescent="0.25">
      <c r="B43" s="7">
        <f>'הכנסות עצמיות'!B43</f>
        <v>27</v>
      </c>
      <c r="C43" s="7" t="str">
        <f ca="1">'הכנסות עצמיות'!C43</f>
        <v>מכון הברמן</v>
      </c>
      <c r="D43" s="67" t="str">
        <f ca="1">IF(C43="","",'ריכוז נתונים'!BL43)</f>
        <v>מעל 20%</v>
      </c>
      <c r="E43" s="68">
        <f t="shared" ca="1" si="0"/>
        <v>1</v>
      </c>
      <c r="F43" s="102">
        <f t="shared" ca="1" si="1"/>
        <v>1</v>
      </c>
      <c r="G43" s="8">
        <f t="shared" ca="1" si="2"/>
        <v>5.2631578947368418E-2</v>
      </c>
    </row>
    <row r="44" spans="2:7" x14ac:dyDescent="0.25">
      <c r="B44" s="7">
        <f>'הכנסות עצמיות'!B44</f>
        <v>28</v>
      </c>
      <c r="C44" s="7" t="str">
        <f ca="1">'הכנסות עצמיות'!C44</f>
        <v/>
      </c>
      <c r="D44" s="67" t="str">
        <f ca="1">IF(C44="","",'ריכוז נתונים'!BL44)</f>
        <v/>
      </c>
      <c r="E44" s="68" t="str">
        <f t="shared" ca="1" si="0"/>
        <v/>
      </c>
      <c r="F44" s="102">
        <f t="shared" ca="1" si="1"/>
        <v>0</v>
      </c>
      <c r="G44" s="8" t="str">
        <f t="shared" ca="1" si="2"/>
        <v/>
      </c>
    </row>
    <row r="45" spans="2:7" x14ac:dyDescent="0.25">
      <c r="B45" s="7">
        <f>'הכנסות עצמיות'!B45</f>
        <v>29</v>
      </c>
      <c r="C45" s="7" t="str">
        <f ca="1">'הכנסות עצמיות'!C45</f>
        <v/>
      </c>
      <c r="D45" s="67" t="str">
        <f ca="1">IF(C45="","",'ריכוז נתונים'!BL45)</f>
        <v/>
      </c>
      <c r="E45" s="68" t="str">
        <f t="shared" ca="1" si="0"/>
        <v/>
      </c>
      <c r="F45" s="102">
        <f t="shared" ca="1" si="1"/>
        <v>0</v>
      </c>
      <c r="G45" s="8" t="str">
        <f t="shared" ca="1" si="2"/>
        <v/>
      </c>
    </row>
    <row r="46" spans="2:7" x14ac:dyDescent="0.25">
      <c r="B46" s="7">
        <f>'הכנסות עצמיות'!B46</f>
        <v>30</v>
      </c>
      <c r="C46" s="7" t="str">
        <f ca="1">'הכנסות עצמיות'!C46</f>
        <v/>
      </c>
      <c r="D46" s="67" t="str">
        <f ca="1">IF(C46="","",'ריכוז נתונים'!BL46)</f>
        <v/>
      </c>
      <c r="E46" s="68" t="str">
        <f t="shared" ca="1" si="0"/>
        <v/>
      </c>
      <c r="F46" s="102">
        <f t="shared" ca="1" si="1"/>
        <v>0</v>
      </c>
      <c r="G46" s="8" t="str">
        <f t="shared" ca="1" si="2"/>
        <v/>
      </c>
    </row>
    <row r="47" spans="2:7" x14ac:dyDescent="0.25">
      <c r="B47" s="7">
        <f>'הכנסות עצמיות'!B47</f>
        <v>31</v>
      </c>
      <c r="C47" s="7" t="str">
        <f ca="1">'הכנסות עצמיות'!C47</f>
        <v>כולנא</v>
      </c>
      <c r="D47" s="67" t="str">
        <f ca="1">IF(C47="","",'ריכוז נתונים'!BL47)</f>
        <v/>
      </c>
      <c r="E47" s="68" t="str">
        <f t="shared" ca="1" si="0"/>
        <v/>
      </c>
      <c r="F47" s="102">
        <f t="shared" ca="1" si="1"/>
        <v>0</v>
      </c>
      <c r="G47" s="8" t="str">
        <f t="shared" ca="1" si="2"/>
        <v/>
      </c>
    </row>
    <row r="48" spans="2:7" x14ac:dyDescent="0.25">
      <c r="B48" s="7">
        <f>'הכנסות עצמיות'!B48</f>
        <v>32</v>
      </c>
      <c r="C48" s="7" t="str">
        <f ca="1">'הכנסות עצמיות'!C48</f>
        <v/>
      </c>
      <c r="D48" s="67" t="str">
        <f ca="1">IF(C48="","",'ריכוז נתונים'!BL48)</f>
        <v/>
      </c>
      <c r="E48" s="68" t="str">
        <f t="shared" ca="1" si="0"/>
        <v/>
      </c>
      <c r="F48" s="102">
        <f t="shared" ca="1" si="1"/>
        <v>0</v>
      </c>
      <c r="G48" s="8" t="str">
        <f t="shared" ca="1" si="2"/>
        <v/>
      </c>
    </row>
    <row r="49" spans="2:7" x14ac:dyDescent="0.25">
      <c r="B49" s="7">
        <f>'הכנסות עצמיות'!B49</f>
        <v>33</v>
      </c>
      <c r="C49" s="7" t="str">
        <f ca="1">'הכנסות עצמיות'!C49</f>
        <v/>
      </c>
      <c r="D49" s="67" t="str">
        <f ca="1">IF(C49="","",'ריכוז נתונים'!BL49)</f>
        <v/>
      </c>
      <c r="E49" s="68" t="str">
        <f t="shared" ca="1" si="0"/>
        <v/>
      </c>
      <c r="F49" s="102">
        <f t="shared" ca="1" si="1"/>
        <v>0</v>
      </c>
      <c r="G49" s="8" t="str">
        <f t="shared" ca="1" si="2"/>
        <v/>
      </c>
    </row>
    <row r="50" spans="2:7" x14ac:dyDescent="0.25">
      <c r="B50" s="7">
        <f>'הכנסות עצמיות'!B50</f>
        <v>34</v>
      </c>
      <c r="C50" s="7" t="str">
        <f ca="1">'הכנסות עצמיות'!C50</f>
        <v/>
      </c>
      <c r="D50" s="67" t="str">
        <f ca="1">IF(C50="","",'ריכוז נתונים'!BL50)</f>
        <v/>
      </c>
      <c r="E50" s="68" t="str">
        <f t="shared" ca="1" si="0"/>
        <v/>
      </c>
      <c r="F50" s="102">
        <f t="shared" ca="1" si="1"/>
        <v>0</v>
      </c>
      <c r="G50" s="8" t="str">
        <f t="shared" ca="1" si="2"/>
        <v/>
      </c>
    </row>
    <row r="51" spans="2:7" x14ac:dyDescent="0.25">
      <c r="B51" s="7">
        <f>'הכנסות עצמיות'!B51</f>
        <v>35</v>
      </c>
      <c r="C51" s="7" t="str">
        <f ca="1">'הכנסות עצמיות'!C51</f>
        <v/>
      </c>
      <c r="D51" s="67" t="str">
        <f ca="1">IF(C51="","",'ריכוז נתונים'!BL51)</f>
        <v/>
      </c>
      <c r="E51" s="68" t="str">
        <f t="shared" ca="1" si="0"/>
        <v/>
      </c>
      <c r="F51" s="102">
        <f t="shared" ca="1" si="1"/>
        <v>0</v>
      </c>
      <c r="G51" s="8" t="str">
        <f t="shared" ca="1" si="2"/>
        <v/>
      </c>
    </row>
    <row r="52" spans="2:7" x14ac:dyDescent="0.25">
      <c r="B52" s="7">
        <f>'הכנסות עצמיות'!B52</f>
        <v>36</v>
      </c>
      <c r="C52" s="7" t="str">
        <f ca="1">'הכנסות עצמיות'!C52</f>
        <v/>
      </c>
      <c r="D52" s="67" t="str">
        <f ca="1">IF(C52="","",'ריכוז נתונים'!BL52)</f>
        <v/>
      </c>
      <c r="E52" s="68" t="str">
        <f t="shared" ca="1" si="0"/>
        <v/>
      </c>
      <c r="F52" s="102">
        <f t="shared" ca="1" si="1"/>
        <v>0</v>
      </c>
      <c r="G52" s="8" t="str">
        <f t="shared" ca="1" si="2"/>
        <v/>
      </c>
    </row>
    <row r="53" spans="2:7" x14ac:dyDescent="0.25">
      <c r="B53" s="7">
        <f>'הכנסות עצמיות'!B53</f>
        <v>37</v>
      </c>
      <c r="C53" s="7" t="str">
        <f ca="1">'הכנסות עצמיות'!C53</f>
        <v/>
      </c>
      <c r="D53" s="67" t="str">
        <f ca="1">IF(C53="","",'ריכוז נתונים'!BL53)</f>
        <v/>
      </c>
      <c r="E53" s="68" t="str">
        <f t="shared" ca="1" si="0"/>
        <v/>
      </c>
      <c r="F53" s="102">
        <f t="shared" ca="1" si="1"/>
        <v>0</v>
      </c>
      <c r="G53" s="8" t="str">
        <f t="shared" ca="1" si="2"/>
        <v/>
      </c>
    </row>
    <row r="54" spans="2:7" x14ac:dyDescent="0.25">
      <c r="B54" s="7">
        <f>'הכנסות עצמיות'!B54</f>
        <v>38</v>
      </c>
      <c r="C54" s="7" t="str">
        <f ca="1">'הכנסות עצמיות'!C54</f>
        <v/>
      </c>
      <c r="D54" s="67" t="str">
        <f ca="1">IF(C54="","",'ריכוז נתונים'!BL54)</f>
        <v/>
      </c>
      <c r="E54" s="68" t="str">
        <f t="shared" ca="1" si="0"/>
        <v/>
      </c>
      <c r="F54" s="102">
        <f t="shared" ca="1" si="1"/>
        <v>0</v>
      </c>
      <c r="G54" s="8" t="str">
        <f t="shared" ca="1" si="2"/>
        <v/>
      </c>
    </row>
    <row r="55" spans="2:7" x14ac:dyDescent="0.25">
      <c r="B55" s="7">
        <f>'הכנסות עצמיות'!B55</f>
        <v>39</v>
      </c>
      <c r="C55" s="7" t="str">
        <f ca="1">'הכנסות עצמיות'!C55</f>
        <v/>
      </c>
      <c r="D55" s="67" t="str">
        <f ca="1">IF(C55="","",'ריכוז נתונים'!BL55)</f>
        <v/>
      </c>
      <c r="E55" s="68" t="str">
        <f t="shared" ca="1" si="0"/>
        <v/>
      </c>
      <c r="F55" s="102">
        <f t="shared" ca="1" si="1"/>
        <v>0</v>
      </c>
      <c r="G55" s="8" t="str">
        <f t="shared" ca="1" si="2"/>
        <v/>
      </c>
    </row>
    <row r="56" spans="2:7" x14ac:dyDescent="0.25">
      <c r="B56" s="7">
        <f>'הכנסות עצמיות'!B56</f>
        <v>40</v>
      </c>
      <c r="C56" s="7" t="str">
        <f ca="1">'הכנסות עצמיות'!C56</f>
        <v/>
      </c>
      <c r="D56" s="67" t="str">
        <f ca="1">IF(C56="","",'ריכוז נתונים'!BL56)</f>
        <v/>
      </c>
      <c r="E56" s="68" t="str">
        <f t="shared" ca="1" si="0"/>
        <v/>
      </c>
      <c r="F56" s="102">
        <f t="shared" ca="1" si="1"/>
        <v>0</v>
      </c>
      <c r="G56" s="8" t="str">
        <f t="shared" ca="1" si="2"/>
        <v/>
      </c>
    </row>
    <row r="57" spans="2:7" x14ac:dyDescent="0.25">
      <c r="B57" s="7">
        <f>'הכנסות עצמיות'!B57</f>
        <v>41</v>
      </c>
      <c r="C57" s="7" t="str">
        <f ca="1">'הכנסות עצמיות'!C57</f>
        <v/>
      </c>
      <c r="D57" s="67" t="str">
        <f ca="1">IF(C57="","",'ריכוז נתונים'!BL57)</f>
        <v/>
      </c>
      <c r="E57" s="68" t="str">
        <f t="shared" ca="1" si="0"/>
        <v/>
      </c>
      <c r="F57" s="102">
        <f t="shared" ca="1" si="1"/>
        <v>0</v>
      </c>
      <c r="G57" s="8" t="str">
        <f t="shared" ca="1" si="2"/>
        <v/>
      </c>
    </row>
    <row r="58" spans="2:7" x14ac:dyDescent="0.25">
      <c r="B58" s="7">
        <f>'הכנסות עצמיות'!B58</f>
        <v>42</v>
      </c>
      <c r="C58" s="7" t="str">
        <f ca="1">'הכנסות עצמיות'!C58</f>
        <v/>
      </c>
      <c r="D58" s="67" t="str">
        <f ca="1">IF(C58="","",'ריכוז נתונים'!BL58)</f>
        <v/>
      </c>
      <c r="E58" s="68" t="str">
        <f t="shared" ca="1" si="0"/>
        <v/>
      </c>
      <c r="F58" s="102">
        <f t="shared" ca="1" si="1"/>
        <v>0</v>
      </c>
      <c r="G58" s="8" t="str">
        <f t="shared" ca="1" si="2"/>
        <v/>
      </c>
    </row>
    <row r="59" spans="2:7" x14ac:dyDescent="0.25">
      <c r="B59" s="7">
        <f>'הכנסות עצמיות'!B59</f>
        <v>43</v>
      </c>
      <c r="C59" s="7" t="str">
        <f ca="1">'הכנסות עצמיות'!C59</f>
        <v/>
      </c>
      <c r="D59" s="67" t="str">
        <f ca="1">IF(C59="","",'ריכוז נתונים'!BL59)</f>
        <v/>
      </c>
      <c r="E59" s="68" t="str">
        <f t="shared" ca="1" si="0"/>
        <v/>
      </c>
      <c r="F59" s="102">
        <f t="shared" ca="1" si="1"/>
        <v>0</v>
      </c>
      <c r="G59" s="8" t="str">
        <f t="shared" ca="1" si="2"/>
        <v/>
      </c>
    </row>
    <row r="60" spans="2:7" x14ac:dyDescent="0.25">
      <c r="B60" s="7">
        <f>'הכנסות עצמיות'!B60</f>
        <v>44</v>
      </c>
      <c r="C60" s="7" t="str">
        <f ca="1">'הכנסות עצמיות'!C60</f>
        <v/>
      </c>
      <c r="D60" s="67" t="str">
        <f ca="1">IF(C60="","",'ריכוז נתונים'!BL60)</f>
        <v/>
      </c>
      <c r="E60" s="68" t="str">
        <f t="shared" ca="1" si="0"/>
        <v/>
      </c>
      <c r="F60" s="102">
        <f t="shared" ca="1" si="1"/>
        <v>0</v>
      </c>
      <c r="G60" s="8" t="str">
        <f t="shared" ca="1" si="2"/>
        <v/>
      </c>
    </row>
    <row r="61" spans="2:7" x14ac:dyDescent="0.25">
      <c r="B61" s="7">
        <f>'הכנסות עצמיות'!B61</f>
        <v>45</v>
      </c>
      <c r="C61" s="7" t="str">
        <f ca="1">'הכנסות עצמיות'!C61</f>
        <v/>
      </c>
      <c r="D61" s="67" t="str">
        <f ca="1">IF(C61="","",'ריכוז נתונים'!BL61)</f>
        <v/>
      </c>
      <c r="E61" s="68" t="str">
        <f t="shared" ca="1" si="0"/>
        <v/>
      </c>
      <c r="F61" s="102">
        <f t="shared" ca="1" si="1"/>
        <v>0</v>
      </c>
      <c r="G61" s="8" t="str">
        <f t="shared" ca="1" si="2"/>
        <v/>
      </c>
    </row>
    <row r="62" spans="2:7" x14ac:dyDescent="0.25">
      <c r="B62" s="7">
        <f>'הכנסות עצמיות'!B62</f>
        <v>46</v>
      </c>
      <c r="C62" s="7" t="str">
        <f ca="1">'הכנסות עצמיות'!C62</f>
        <v>ענבל מרכז אתני</v>
      </c>
      <c r="D62" s="67" t="str">
        <f ca="1">IF(C62="","",'ריכוז נתונים'!BL62)</f>
        <v/>
      </c>
      <c r="E62" s="68" t="str">
        <f t="shared" ca="1" si="0"/>
        <v/>
      </c>
      <c r="F62" s="102">
        <f t="shared" ca="1" si="1"/>
        <v>0</v>
      </c>
      <c r="G62" s="8" t="str">
        <f t="shared" ca="1" si="2"/>
        <v/>
      </c>
    </row>
    <row r="63" spans="2:7" x14ac:dyDescent="0.25">
      <c r="B63" s="7">
        <f>'הכנסות עצמיות'!B63</f>
        <v>47</v>
      </c>
      <c r="C63" s="7" t="str">
        <f ca="1">'הכנסות עצמיות'!C63</f>
        <v>א.ב. חדשות השומרונים</v>
      </c>
      <c r="D63" s="67" t="str">
        <f ca="1">IF(C63="","",'ריכוז נתונים'!BL63)</f>
        <v>מעל 20%</v>
      </c>
      <c r="E63" s="68">
        <f t="shared" ca="1" si="0"/>
        <v>1</v>
      </c>
      <c r="F63" s="102">
        <f t="shared" ca="1" si="1"/>
        <v>1</v>
      </c>
      <c r="G63" s="8">
        <f t="shared" ca="1" si="2"/>
        <v>5.2631578947368418E-2</v>
      </c>
    </row>
    <row r="64" spans="2:7" x14ac:dyDescent="0.25">
      <c r="B64" s="7">
        <f>'הכנסות עצמיות'!B64</f>
        <v>48</v>
      </c>
      <c r="C64" s="7" t="str">
        <f ca="1">'הכנסות עצמיות'!C64</f>
        <v/>
      </c>
      <c r="D64" s="67" t="str">
        <f ca="1">IF(C64="","",'ריכוז נתונים'!BL64)</f>
        <v/>
      </c>
      <c r="E64" s="68" t="str">
        <f t="shared" ca="1" si="0"/>
        <v/>
      </c>
      <c r="F64" s="102">
        <f t="shared" ca="1" si="1"/>
        <v>0</v>
      </c>
      <c r="G64" s="8" t="str">
        <f t="shared" ca="1" si="2"/>
        <v/>
      </c>
    </row>
    <row r="65" spans="2:7" x14ac:dyDescent="0.25">
      <c r="B65" s="7">
        <f>'הכנסות עצמיות'!B65</f>
        <v>49</v>
      </c>
      <c r="C65" s="7" t="str">
        <f ca="1">'הכנסות עצמיות'!C65</f>
        <v/>
      </c>
      <c r="D65" s="67" t="str">
        <f ca="1">IF(C65="","",'ריכוז נתונים'!BL65)</f>
        <v/>
      </c>
      <c r="E65" s="68" t="str">
        <f t="shared" ca="1" si="0"/>
        <v/>
      </c>
      <c r="F65" s="102">
        <f t="shared" ca="1" si="1"/>
        <v>0</v>
      </c>
      <c r="G65" s="8" t="str">
        <f t="shared" ca="1" si="2"/>
        <v/>
      </c>
    </row>
    <row r="66" spans="2:7" x14ac:dyDescent="0.25">
      <c r="B66" s="7">
        <f>'הכנסות עצמיות'!B66</f>
        <v>50</v>
      </c>
      <c r="C66" s="7" t="str">
        <f ca="1">'הכנסות עצמיות'!C66</f>
        <v/>
      </c>
      <c r="D66" s="67" t="str">
        <f ca="1">IF(C66="","",'ריכוז נתונים'!BL66)</f>
        <v/>
      </c>
      <c r="E66" s="68" t="str">
        <f t="shared" ca="1" si="0"/>
        <v/>
      </c>
      <c r="F66" s="102">
        <f t="shared" ca="1" si="1"/>
        <v>0</v>
      </c>
      <c r="G66" s="8" t="str">
        <f t="shared" ca="1" si="2"/>
        <v/>
      </c>
    </row>
    <row r="67" spans="2:7" x14ac:dyDescent="0.25">
      <c r="B67" s="7">
        <f>'הכנסות עצמיות'!B67</f>
        <v>51</v>
      </c>
      <c r="C67" s="7" t="str">
        <f ca="1">'הכנסות עצמיות'!C67</f>
        <v/>
      </c>
      <c r="D67" s="67" t="str">
        <f ca="1">IF(C67="","",'ריכוז נתונים'!BL67)</f>
        <v/>
      </c>
      <c r="E67" s="68" t="str">
        <f t="shared" ca="1" si="0"/>
        <v/>
      </c>
      <c r="F67" s="102">
        <f t="shared" ca="1" si="1"/>
        <v>0</v>
      </c>
      <c r="G67" s="8" t="str">
        <f t="shared" ca="1" si="2"/>
        <v/>
      </c>
    </row>
    <row r="68" spans="2:7" x14ac:dyDescent="0.25">
      <c r="B68" s="7">
        <f>'הכנסות עצמיות'!B68</f>
        <v>52</v>
      </c>
      <c r="C68" s="7" t="str">
        <f ca="1">'הכנסות עצמיות'!C68</f>
        <v>עמותת הנני</v>
      </c>
      <c r="D68" s="67" t="str">
        <f ca="1">IF(C68="","",'ריכוז נתונים'!BL68)</f>
        <v/>
      </c>
      <c r="E68" s="68" t="str">
        <f t="shared" ca="1" si="0"/>
        <v/>
      </c>
      <c r="F68" s="102">
        <f t="shared" ca="1" si="1"/>
        <v>0</v>
      </c>
      <c r="G68" s="8" t="str">
        <f t="shared" ca="1" si="2"/>
        <v/>
      </c>
    </row>
    <row r="69" spans="2:7" x14ac:dyDescent="0.25">
      <c r="B69" s="7">
        <f>'הכנסות עצמיות'!B69</f>
        <v>53</v>
      </c>
      <c r="C69" s="7" t="str">
        <f ca="1">'הכנסות עצמיות'!C69</f>
        <v/>
      </c>
      <c r="D69" s="67" t="str">
        <f ca="1">IF(C69="","",'ריכוז נתונים'!BL69)</f>
        <v/>
      </c>
      <c r="E69" s="68" t="str">
        <f t="shared" ca="1" si="0"/>
        <v/>
      </c>
      <c r="F69" s="102">
        <f t="shared" ca="1" si="1"/>
        <v>0</v>
      </c>
      <c r="G69" s="8" t="str">
        <f t="shared" ca="1" si="2"/>
        <v/>
      </c>
    </row>
    <row r="70" spans="2:7" x14ac:dyDescent="0.25">
      <c r="B70" s="7">
        <f>'הכנסות עצמיות'!B70</f>
        <v>54</v>
      </c>
      <c r="C70" s="7" t="str">
        <f ca="1">'הכנסות עצמיות'!C70</f>
        <v/>
      </c>
      <c r="D70" s="67" t="str">
        <f ca="1">IF(C70="","",'ריכוז נתונים'!BL70)</f>
        <v/>
      </c>
      <c r="E70" s="68" t="str">
        <f t="shared" ca="1" si="0"/>
        <v/>
      </c>
      <c r="F70" s="102">
        <f t="shared" ca="1" si="1"/>
        <v>0</v>
      </c>
      <c r="G70" s="8" t="str">
        <f t="shared" ca="1" si="2"/>
        <v/>
      </c>
    </row>
    <row r="71" spans="2:7" x14ac:dyDescent="0.25">
      <c r="B71" s="7">
        <f>'הכנסות עצמיות'!B71</f>
        <v>55</v>
      </c>
      <c r="C71" s="7" t="str">
        <f ca="1">'הכנסות עצמיות'!C71</f>
        <v/>
      </c>
      <c r="D71" s="67" t="str">
        <f ca="1">IF(C71="","",'ריכוז נתונים'!BL71)</f>
        <v/>
      </c>
      <c r="E71" s="68" t="str">
        <f t="shared" ca="1" si="0"/>
        <v/>
      </c>
      <c r="F71" s="102">
        <f t="shared" ca="1" si="1"/>
        <v>0</v>
      </c>
      <c r="G71" s="8" t="str">
        <f t="shared" ca="1" si="2"/>
        <v/>
      </c>
    </row>
    <row r="72" spans="2:7" x14ac:dyDescent="0.25">
      <c r="B72" s="7">
        <f>'הכנסות עצמיות'!B72</f>
        <v>56</v>
      </c>
      <c r="C72" s="7" t="str">
        <f ca="1">'הכנסות עצמיות'!C72</f>
        <v/>
      </c>
      <c r="D72" s="67" t="str">
        <f ca="1">IF(C72="","",'ריכוז נתונים'!BL72)</f>
        <v/>
      </c>
      <c r="E72" s="68" t="str">
        <f t="shared" ca="1" si="0"/>
        <v/>
      </c>
      <c r="F72" s="102">
        <f t="shared" ca="1" si="1"/>
        <v>0</v>
      </c>
      <c r="G72" s="8" t="str">
        <f t="shared" ca="1" si="2"/>
        <v/>
      </c>
    </row>
    <row r="73" spans="2:7" x14ac:dyDescent="0.25">
      <c r="B73" s="7">
        <f>'הכנסות עצמיות'!B73</f>
        <v>57</v>
      </c>
      <c r="C73" s="7" t="str">
        <f ca="1">'הכנסות עצמיות'!C73</f>
        <v/>
      </c>
      <c r="D73" s="67" t="str">
        <f ca="1">IF(C73="","",'ריכוז נתונים'!BL73)</f>
        <v/>
      </c>
      <c r="E73" s="68" t="str">
        <f t="shared" ca="1" si="0"/>
        <v/>
      </c>
      <c r="F73" s="102">
        <f t="shared" ca="1" si="1"/>
        <v>0</v>
      </c>
      <c r="G73" s="8" t="str">
        <f t="shared" ca="1" si="2"/>
        <v/>
      </c>
    </row>
    <row r="74" spans="2:7" x14ac:dyDescent="0.25">
      <c r="B74" s="7">
        <f>'הכנסות עצמיות'!B74</f>
        <v>58</v>
      </c>
      <c r="C74" s="7" t="str">
        <f ca="1">'הכנסות עצמיות'!C74</f>
        <v/>
      </c>
      <c r="D74" s="67" t="str">
        <f ca="1">IF(C74="","",'ריכוז נתונים'!BL74)</f>
        <v/>
      </c>
      <c r="E74" s="68" t="str">
        <f t="shared" ca="1" si="0"/>
        <v/>
      </c>
      <c r="F74" s="102">
        <f t="shared" ca="1" si="1"/>
        <v>0</v>
      </c>
      <c r="G74" s="8" t="str">
        <f t="shared" ca="1" si="2"/>
        <v/>
      </c>
    </row>
    <row r="75" spans="2:7" x14ac:dyDescent="0.25">
      <c r="B75" s="7">
        <f>'הכנסות עצמיות'!B75</f>
        <v>59</v>
      </c>
      <c r="C75" s="7" t="str">
        <f ca="1">'הכנסות עצמיות'!C75</f>
        <v/>
      </c>
      <c r="D75" s="67" t="str">
        <f ca="1">IF(C75="","",'ריכוז נתונים'!BL75)</f>
        <v/>
      </c>
      <c r="E75" s="68" t="str">
        <f t="shared" ca="1" si="0"/>
        <v/>
      </c>
      <c r="F75" s="102">
        <f t="shared" ca="1" si="1"/>
        <v>0</v>
      </c>
      <c r="G75" s="8" t="str">
        <f t="shared" ca="1" si="2"/>
        <v/>
      </c>
    </row>
    <row r="76" spans="2:7" x14ac:dyDescent="0.25">
      <c r="B76" s="7">
        <f>'הכנסות עצמיות'!B76</f>
        <v>60</v>
      </c>
      <c r="C76" s="7" t="str">
        <f ca="1">'הכנסות עצמיות'!C76</f>
        <v>שרשרת הדורות</v>
      </c>
      <c r="D76" s="67" t="str">
        <f ca="1">IF(C76="","",'ריכוז נתונים'!BL76)</f>
        <v/>
      </c>
      <c r="E76" s="68" t="str">
        <f t="shared" ca="1" si="0"/>
        <v/>
      </c>
      <c r="F76" s="102">
        <f t="shared" ca="1" si="1"/>
        <v>0</v>
      </c>
      <c r="G76" s="8" t="str">
        <f t="shared" ca="1" si="2"/>
        <v/>
      </c>
    </row>
    <row r="77" spans="2:7" x14ac:dyDescent="0.25">
      <c r="B77" s="7">
        <f>'הכנסות עצמיות'!B77</f>
        <v>61</v>
      </c>
      <c r="C77" s="7" t="str">
        <f ca="1">'הכנסות עצמיות'!C77</f>
        <v>חיבה</v>
      </c>
      <c r="D77" s="67" t="str">
        <f ca="1">IF(C77="","",'ריכוז נתונים'!BL77)</f>
        <v/>
      </c>
      <c r="E77" s="68" t="str">
        <f t="shared" ref="E77:E78" ca="1" si="3">IF(C77="","",IFERROR(VLOOKUP(D77,$C$5:$D$6,2,FALSE),""))</f>
        <v/>
      </c>
      <c r="F77" s="102">
        <f t="shared" ref="F77:F78" ca="1" si="4">IFERROR(E77/1,0)</f>
        <v>0</v>
      </c>
      <c r="G77" s="8" t="str">
        <f t="shared" ca="1" si="2"/>
        <v/>
      </c>
    </row>
    <row r="78" spans="2:7" x14ac:dyDescent="0.25">
      <c r="B78" s="7">
        <f>'הכנסות עצמיות'!B78</f>
        <v>62</v>
      </c>
      <c r="C78" s="7" t="str">
        <f ca="1">'הכנסות עצמיות'!C78</f>
        <v/>
      </c>
      <c r="D78" s="67" t="str">
        <f ca="1">IF(C78="","",'ריכוז נתונים'!BL78)</f>
        <v/>
      </c>
      <c r="E78" s="68" t="str">
        <f t="shared" ca="1" si="3"/>
        <v/>
      </c>
      <c r="F78" s="102">
        <f t="shared" ca="1" si="4"/>
        <v>0</v>
      </c>
      <c r="G78" s="8" t="str">
        <f t="shared" ref="G78" ca="1" si="5">IF(C78="","",IF(ISERROR(E78/1),E78,IFERROR(F78/SUM($F$17:$F$76),0)))</f>
        <v/>
      </c>
    </row>
  </sheetData>
  <sheetProtection algorithmName="SHA-512" hashValue="n22J9f8tvkKJG7ACJcexj2tyJKDF46KBqPDJgJi+Ov/+uZS+I+wbLYCDR6ttFOGhqwFWhZ3HBIq1+vhk60Ezxg==" saltValue="rYZ0O03gP/PD3riMKWEGeA==" spinCount="100000" sheet="1" scenarios="1" formatColumns="0" formatRows="0" autoFilter="0"/>
  <mergeCells count="3">
    <mergeCell ref="B15:B16"/>
    <mergeCell ref="C15:C16"/>
    <mergeCell ref="D15:G15"/>
  </mergeCells>
  <pageMargins left="0.70866141732283472" right="0.70866141732283472" top="0.74803149606299213" bottom="0.74803149606299213" header="0.31496062992125984" footer="0.31496062992125984"/>
  <pageSetup paperSize="9" scale="74" orientation="portrait" r:id="rId1"/>
  <headerFooter>
    <oddFooter>&amp;C&amp;"David,מודגש"א. חפץ ושות'
ייעוץ כלכלי</oddFooter>
  </headerFooter>
  <rowBreaks count="1" manualBreakCount="1">
    <brk id="45"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גיליון11">
    <tabColor theme="6" tint="0.39997558519241921"/>
    <pageSetUpPr fitToPage="1"/>
  </sheetPr>
  <dimension ref="B2:N83"/>
  <sheetViews>
    <sheetView rightToLeft="1" view="pageBreakPreview" zoomScale="60" zoomScaleNormal="80" workbookViewId="0"/>
  </sheetViews>
  <sheetFormatPr defaultColWidth="9.140625" defaultRowHeight="20.25" x14ac:dyDescent="0.3"/>
  <cols>
    <col min="1" max="1" width="9.140625" style="76" customWidth="1"/>
    <col min="2" max="2" width="16.140625" style="76" bestFit="1" customWidth="1"/>
    <col min="3" max="3" width="42.85546875" style="76" bestFit="1" customWidth="1"/>
    <col min="4" max="4" width="10.42578125" style="76" customWidth="1"/>
    <col min="5" max="5" width="12.42578125" style="76" customWidth="1"/>
    <col min="6" max="6" width="30.140625" style="76" bestFit="1" customWidth="1"/>
    <col min="7" max="7" width="22" style="76" bestFit="1" customWidth="1"/>
    <col min="8" max="8" width="27.85546875" style="76" bestFit="1" customWidth="1"/>
    <col min="9" max="9" width="20.140625" style="76" bestFit="1" customWidth="1"/>
    <col min="10" max="10" width="19" style="76" customWidth="1"/>
    <col min="11" max="11" width="15.42578125" style="76" bestFit="1" customWidth="1"/>
    <col min="12" max="12" width="16.140625" style="76" hidden="1" customWidth="1"/>
    <col min="13" max="13" width="11.140625" style="76" bestFit="1" customWidth="1"/>
    <col min="14" max="14" width="23" style="76" bestFit="1" customWidth="1"/>
    <col min="15" max="16384" width="9.140625" style="76"/>
  </cols>
  <sheetData>
    <row r="2" spans="2:14" x14ac:dyDescent="0.3">
      <c r="B2" s="74" t="str">
        <f>פרמטרים!B3</f>
        <v>שנת תקציב</v>
      </c>
      <c r="C2" s="75">
        <f>פרמטרים!C3</f>
        <v>2025</v>
      </c>
      <c r="I2" s="293"/>
    </row>
    <row r="3" spans="2:14" x14ac:dyDescent="0.3">
      <c r="B3" s="74" t="str">
        <f>פרמטרים!B4</f>
        <v xml:space="preserve">גובה תמיכה </v>
      </c>
      <c r="C3" s="77">
        <f>פרמטרים!C4</f>
        <v>15000000</v>
      </c>
    </row>
    <row r="4" spans="2:14" x14ac:dyDescent="0.3">
      <c r="E4" s="294"/>
      <c r="F4" s="120"/>
    </row>
    <row r="5" spans="2:14" hidden="1" x14ac:dyDescent="0.3"/>
    <row r="6" spans="2:14" hidden="1" x14ac:dyDescent="0.3"/>
    <row r="7" spans="2:14" hidden="1" x14ac:dyDescent="0.3"/>
    <row r="8" spans="2:14" hidden="1" x14ac:dyDescent="0.3"/>
    <row r="9" spans="2:14" hidden="1" x14ac:dyDescent="0.3"/>
    <row r="10" spans="2:14" hidden="1" x14ac:dyDescent="0.3"/>
    <row r="11" spans="2:14" hidden="1" x14ac:dyDescent="0.3"/>
    <row r="12" spans="2:14" hidden="1" x14ac:dyDescent="0.3"/>
    <row r="13" spans="2:14" hidden="1" x14ac:dyDescent="0.3"/>
    <row r="14" spans="2:14" x14ac:dyDescent="0.3">
      <c r="D14" s="295"/>
      <c r="E14" s="295"/>
      <c r="F14" s="295"/>
      <c r="G14" s="295"/>
      <c r="H14" s="295"/>
      <c r="I14" s="295"/>
      <c r="J14" s="295"/>
    </row>
    <row r="15" spans="2:14" ht="42.75" customHeight="1" x14ac:dyDescent="0.3">
      <c r="B15" s="544" t="str">
        <f>'ריכוז נתונים'!C15:C16</f>
        <v>מספר סידורי</v>
      </c>
      <c r="C15" s="544" t="str">
        <f>'ריכוז נתונים'!D15:D16</f>
        <v>שם המוסד</v>
      </c>
      <c r="D15" s="78" t="str">
        <f t="array" ref="D15:J16">TRANSPOSE(פרמטרים!B12:C18)</f>
        <v>ארועים</v>
      </c>
      <c r="E15" s="78" t="str">
        <v>תערוכות</v>
      </c>
      <c r="F15" s="78" t="str">
        <v>אתר אינטרנט</v>
      </c>
      <c r="G15" s="78" t="str">
        <v>הוצאה לאור של עלונים</v>
      </c>
      <c r="H15" s="79" t="str">
        <v>הוצאה לאור של ספרי עיון</v>
      </c>
      <c r="I15" s="79" t="str">
        <v>הכנסות עצמיות</v>
      </c>
      <c r="J15" s="79" t="str">
        <v>תיעוד ושימור</v>
      </c>
      <c r="K15" s="546" t="s">
        <v>184</v>
      </c>
      <c r="L15" s="546"/>
      <c r="M15" s="546" t="s">
        <v>185</v>
      </c>
      <c r="N15" s="546" t="s">
        <v>186</v>
      </c>
    </row>
    <row r="16" spans="2:14" ht="31.5" customHeight="1" x14ac:dyDescent="0.3">
      <c r="B16" s="545"/>
      <c r="C16" s="545"/>
      <c r="D16" s="80">
        <v>0.55000000000000004</v>
      </c>
      <c r="E16" s="80">
        <v>0.08</v>
      </c>
      <c r="F16" s="80">
        <v>0.1</v>
      </c>
      <c r="G16" s="80">
        <v>0.06</v>
      </c>
      <c r="H16" s="81">
        <v>0.11</v>
      </c>
      <c r="I16" s="81">
        <v>0.05</v>
      </c>
      <c r="J16" s="80">
        <v>0.05</v>
      </c>
      <c r="K16" s="547"/>
      <c r="L16" s="547"/>
      <c r="M16" s="547"/>
      <c r="N16" s="547"/>
    </row>
    <row r="17" spans="2:14" x14ac:dyDescent="0.3">
      <c r="B17" s="82">
        <f>'ריכוז נתונים'!C17</f>
        <v>1</v>
      </c>
      <c r="C17" s="82" t="str">
        <f ca="1">'הכנסות עצמיות'!C17</f>
        <v>מרכז מורשת בבל</v>
      </c>
      <c r="D17" s="83">
        <f ca="1">ארועים!P17</f>
        <v>5.8877761079046749E-2</v>
      </c>
      <c r="E17" s="83">
        <f ca="1">תערוכות!F17</f>
        <v>1.2003872216844144E-2</v>
      </c>
      <c r="F17" s="83">
        <f ca="1">'אתר אינטרנט'!J17</f>
        <v>0.05</v>
      </c>
      <c r="G17" s="83">
        <f ca="1">עלונים!O17</f>
        <v>0</v>
      </c>
      <c r="H17" s="83">
        <f ca="1">'ספרי עיון'!G17</f>
        <v>5.2631578947368418E-2</v>
      </c>
      <c r="I17" s="83">
        <f ca="1">'הכנסות עצמיות'!H17</f>
        <v>6.8215462330050256E-2</v>
      </c>
      <c r="J17" s="83" t="str">
        <f ca="1">'תיעוד ושימור'!G17</f>
        <v/>
      </c>
      <c r="K17" s="84">
        <f ca="1">IF(C17="","",SUMPRODUCT($D$16:$J$16,D17:J17))</f>
        <v>4.754332517153629E-2</v>
      </c>
      <c r="L17" s="84"/>
      <c r="M17" s="84">
        <f ca="1">IF($C17="","",K17/SUM(K$17:K$77))</f>
        <v>5.0886822741431727E-2</v>
      </c>
      <c r="N17" s="85">
        <f ca="1">IFERROR(M17*$C$3,"")</f>
        <v>763302.34112147591</v>
      </c>
    </row>
    <row r="18" spans="2:14" x14ac:dyDescent="0.3">
      <c r="B18" s="82">
        <f>'ריכוז נתונים'!C18</f>
        <v>2</v>
      </c>
      <c r="C18" s="82" t="str">
        <f ca="1">'הכנסות עצמיות'!C18</f>
        <v>מורשת יהודי צפון  אפריקה</v>
      </c>
      <c r="D18" s="83">
        <f ca="1">ארועים!P18</f>
        <v>9.5035425165127998E-3</v>
      </c>
      <c r="E18" s="83">
        <f ca="1">תערוכות!F18</f>
        <v>0.05</v>
      </c>
      <c r="F18" s="83">
        <f ca="1">'אתר אינטרנט'!J18</f>
        <v>0.05</v>
      </c>
      <c r="G18" s="83">
        <f ca="1">עלונים!O18</f>
        <v>0</v>
      </c>
      <c r="H18" s="83">
        <f ca="1">'ספרי עיון'!G18</f>
        <v>0</v>
      </c>
      <c r="I18" s="83">
        <f ca="1">'הכנסות עצמיות'!H18</f>
        <v>4.4161807519915698E-2</v>
      </c>
      <c r="J18" s="83">
        <f ca="1">'תיעוד ושימור'!G18</f>
        <v>5.2631578947368418E-2</v>
      </c>
      <c r="K18" s="84">
        <f t="shared" ref="K18:K77" ca="1" si="0">IF(C18="","",SUMPRODUCT($D$16:$J$16,D18:J18))</f>
        <v>1.9066617707446248E-2</v>
      </c>
      <c r="L18" s="84"/>
      <c r="M18" s="84">
        <f t="shared" ref="M18:M77" ca="1" si="1">IF($C18="","",K18/SUM(K$17:K$77))</f>
        <v>2.0407482902317763E-2</v>
      </c>
      <c r="N18" s="85">
        <f t="shared" ref="N18:N76" ca="1" si="2">IFERROR(M18*$C$3,"")</f>
        <v>306112.24353476643</v>
      </c>
    </row>
    <row r="19" spans="2:14" x14ac:dyDescent="0.3">
      <c r="B19" s="82">
        <f>'ריכוז נתונים'!C19</f>
        <v>3</v>
      </c>
      <c r="C19" s="82" t="str">
        <f ca="1">'הכנסות עצמיות'!C19</f>
        <v>מורשת יהדות קוצין</v>
      </c>
      <c r="D19" s="83">
        <f ca="1">ארועים!P19</f>
        <v>1.1682095452191815E-2</v>
      </c>
      <c r="E19" s="83">
        <f ca="1">תערוכות!F19</f>
        <v>0.05</v>
      </c>
      <c r="F19" s="83">
        <f ca="1">'אתר אינטרנט'!J19</f>
        <v>0.05</v>
      </c>
      <c r="G19" s="83">
        <f ca="1">עלונים!O19</f>
        <v>5.9485872105374982E-2</v>
      </c>
      <c r="H19" s="83">
        <f ca="1">'ספרי עיון'!G19</f>
        <v>5.2631578947368418E-2</v>
      </c>
      <c r="I19" s="83">
        <f ca="1">'הכנסות עצמיות'!H19</f>
        <v>4.984365520396912E-2</v>
      </c>
      <c r="J19" s="83">
        <f ca="1">'תיעוד ושימור'!G19</f>
        <v>0.10526315789473684</v>
      </c>
      <c r="K19" s="84">
        <f t="shared" ca="1" si="0"/>
        <v>3.2539119164173819E-2</v>
      </c>
      <c r="L19" s="84"/>
      <c r="M19" s="84">
        <f t="shared" ca="1" si="1"/>
        <v>3.4827441772224958E-2</v>
      </c>
      <c r="N19" s="85">
        <f t="shared" ca="1" si="2"/>
        <v>522411.6265833744</v>
      </c>
    </row>
    <row r="20" spans="2:14" hidden="1" x14ac:dyDescent="0.3">
      <c r="B20" s="82">
        <f>'ריכוז נתונים'!C20</f>
        <v>4</v>
      </c>
      <c r="C20" s="82" t="str">
        <f ca="1">'הכנסות עצמיות'!C20</f>
        <v>הפדרציה העולמית של יהדות תוניס</v>
      </c>
      <c r="D20" s="83">
        <f ca="1">ארועים!P20</f>
        <v>0</v>
      </c>
      <c r="E20" s="83">
        <f ca="1">תערוכות!F20</f>
        <v>0</v>
      </c>
      <c r="F20" s="83">
        <f ca="1">'אתר אינטרנט'!J20</f>
        <v>0</v>
      </c>
      <c r="G20" s="83">
        <f ca="1">עלונים!O20</f>
        <v>0</v>
      </c>
      <c r="H20" s="83">
        <f ca="1">'ספרי עיון'!G20</f>
        <v>0</v>
      </c>
      <c r="I20" s="83" t="str">
        <f ca="1">'הכנסות עצמיות'!H20</f>
        <v>נא הזן הכנסות</v>
      </c>
      <c r="J20" s="83" t="str">
        <f ca="1">'תיעוד ושימור'!G20</f>
        <v/>
      </c>
      <c r="K20" s="84">
        <f t="shared" ca="1" si="0"/>
        <v>0</v>
      </c>
      <c r="L20" s="84"/>
      <c r="M20" s="84">
        <f t="shared" ca="1" si="1"/>
        <v>0</v>
      </c>
      <c r="N20" s="85">
        <f t="shared" ca="1" si="2"/>
        <v>0</v>
      </c>
    </row>
    <row r="21" spans="2:14" x14ac:dyDescent="0.3">
      <c r="B21" s="82">
        <f>'ריכוז נתונים'!C21</f>
        <v>5</v>
      </c>
      <c r="C21" s="82" t="str">
        <f ca="1">'הכנסות עצמיות'!C21</f>
        <v>התאחדות עולי מצרים</v>
      </c>
      <c r="D21" s="83">
        <f ca="1">ארועים!P21</f>
        <v>8.840504666523535E-3</v>
      </c>
      <c r="E21" s="83">
        <f ca="1">תערוכות!F21</f>
        <v>3.8722168441432723E-4</v>
      </c>
      <c r="F21" s="83">
        <f ca="1">'אתר אינטרנט'!J21</f>
        <v>0.05</v>
      </c>
      <c r="G21" s="83">
        <f ca="1">עלונים!O21</f>
        <v>0</v>
      </c>
      <c r="H21" s="83">
        <f ca="1">'ספרי עיון'!G21</f>
        <v>5.2631578947368418E-2</v>
      </c>
      <c r="I21" s="83">
        <f ca="1">'הכנסות עצמיות'!H21</f>
        <v>3.3398781364302257E-2</v>
      </c>
      <c r="J21" s="83">
        <f ca="1">'תיעוד ושימור'!G21</f>
        <v>0.10526315789473684</v>
      </c>
      <c r="K21" s="84">
        <f t="shared" ca="1" si="0"/>
        <v>2.261582594850357E-2</v>
      </c>
      <c r="L21" s="84"/>
      <c r="M21" s="84">
        <f t="shared" ca="1" si="1"/>
        <v>2.4206290200366003E-2</v>
      </c>
      <c r="N21" s="85">
        <f t="shared" ca="1" si="2"/>
        <v>363094.35300549003</v>
      </c>
    </row>
    <row r="22" spans="2:14" x14ac:dyDescent="0.3">
      <c r="B22" s="82">
        <f>'ריכוז נתונים'!C22</f>
        <v>6</v>
      </c>
      <c r="C22" s="82" t="str">
        <f ca="1">'הכנסות עצמיות'!C22</f>
        <v>יהודים יוצאי לוב</v>
      </c>
      <c r="D22" s="83">
        <f ca="1">ארועים!P22</f>
        <v>4.4581402104040112E-3</v>
      </c>
      <c r="E22" s="83">
        <f ca="1">תערוכות!F22</f>
        <v>0</v>
      </c>
      <c r="F22" s="83">
        <f ca="1">'אתר אינטרנט'!J22</f>
        <v>0.05</v>
      </c>
      <c r="G22" s="83">
        <f ca="1">עלונים!O22</f>
        <v>0.18908009347779903</v>
      </c>
      <c r="H22" s="83">
        <f ca="1">'ספרי עיון'!G22</f>
        <v>0</v>
      </c>
      <c r="I22" s="83">
        <f ca="1">'הכנסות עצמיות'!H22</f>
        <v>5.1072391142258713E-2</v>
      </c>
      <c r="J22" s="83" t="str">
        <f ca="1">'תיעוד ושימור'!G22</f>
        <v/>
      </c>
      <c r="K22" s="84">
        <f t="shared" ca="1" si="0"/>
        <v>2.1350402281503086E-2</v>
      </c>
      <c r="L22" s="84"/>
      <c r="M22" s="84">
        <f t="shared" ca="1" si="1"/>
        <v>2.2851875261925437E-2</v>
      </c>
      <c r="N22" s="85">
        <f t="shared" ca="1" si="2"/>
        <v>342778.12892888155</v>
      </c>
    </row>
    <row r="23" spans="2:14" x14ac:dyDescent="0.3">
      <c r="B23" s="82">
        <f>'ריכוז נתונים'!C23</f>
        <v>7</v>
      </c>
      <c r="C23" s="82" t="str">
        <f ca="1">'הכנסות עצמיות'!C23</f>
        <v>הפדרציה העולמית של יהדות מרוקו</v>
      </c>
      <c r="D23" s="83">
        <f ca="1">ארועים!P23</f>
        <v>3.5930336823227797E-3</v>
      </c>
      <c r="E23" s="83">
        <f ca="1">תערוכות!F23</f>
        <v>0</v>
      </c>
      <c r="F23" s="83">
        <f ca="1">'אתר אינטרנט'!J23</f>
        <v>4.2704626334519574E-2</v>
      </c>
      <c r="G23" s="83">
        <f ca="1">עלונים!O23</f>
        <v>8.9228808158062473E-2</v>
      </c>
      <c r="H23" s="83">
        <f ca="1">'ספרי עיון'!G23</f>
        <v>0</v>
      </c>
      <c r="I23" s="83">
        <f ca="1">'הכנסות עצמיות'!H23</f>
        <v>3.9463701588833222E-2</v>
      </c>
      <c r="J23" s="83" t="str">
        <f ca="1">'תיעוד ושימור'!G23</f>
        <v/>
      </c>
      <c r="K23" s="84">
        <f t="shared" ca="1" si="0"/>
        <v>1.3573544727654895E-2</v>
      </c>
      <c r="L23" s="84"/>
      <c r="M23" s="84">
        <f t="shared" ca="1" si="1"/>
        <v>1.4528108036974109E-2</v>
      </c>
      <c r="N23" s="85">
        <f t="shared" ca="1" si="2"/>
        <v>217921.62055461164</v>
      </c>
    </row>
    <row r="24" spans="2:14" x14ac:dyDescent="0.3">
      <c r="B24" s="82">
        <f>'ריכוז נתונים'!C24</f>
        <v>8</v>
      </c>
      <c r="C24" s="82" t="str">
        <f ca="1">'הכנסות עצמיות'!C24</f>
        <v>אורות הגליל</v>
      </c>
      <c r="D24" s="83">
        <f ca="1">ארועים!P24</f>
        <v>2.4627120142458419E-2</v>
      </c>
      <c r="E24" s="83">
        <f ca="1">תערוכות!F24</f>
        <v>4.0658276863504358E-2</v>
      </c>
      <c r="F24" s="83">
        <f ca="1">'אתר אינטרנט'!J24</f>
        <v>0.05</v>
      </c>
      <c r="G24" s="83">
        <f ca="1">עלונים!O24</f>
        <v>0</v>
      </c>
      <c r="H24" s="83">
        <f ca="1">'ספרי עיון'!G24</f>
        <v>0</v>
      </c>
      <c r="I24" s="83">
        <f ca="1">'הכנסות עצמיות'!H24</f>
        <v>3.9143992206327138E-2</v>
      </c>
      <c r="J24" s="83">
        <f ca="1">'תיעוד ושימור'!G24</f>
        <v>0.10526315789473684</v>
      </c>
      <c r="K24" s="84">
        <f t="shared" ca="1" si="0"/>
        <v>2.9017935732485678E-2</v>
      </c>
      <c r="L24" s="84"/>
      <c r="M24" s="84">
        <f t="shared" ca="1" si="1"/>
        <v>3.1058630136061673E-2</v>
      </c>
      <c r="N24" s="85">
        <f t="shared" ca="1" si="2"/>
        <v>465879.4520409251</v>
      </c>
    </row>
    <row r="25" spans="2:14" x14ac:dyDescent="0.3">
      <c r="B25" s="82">
        <f>'ריכוז נתונים'!C25</f>
        <v>9</v>
      </c>
      <c r="C25" s="82" t="str">
        <f ca="1">'הכנסות עצמיות'!C25</f>
        <v>אלמז</v>
      </c>
      <c r="D25" s="83">
        <f ca="1">ארועים!P25</f>
        <v>8.6952678041449342E-3</v>
      </c>
      <c r="E25" s="83">
        <f ca="1">תערוכות!F25</f>
        <v>2.904162633107454E-2</v>
      </c>
      <c r="F25" s="83">
        <f ca="1">'אתר אינטרנט'!J25</f>
        <v>0</v>
      </c>
      <c r="G25" s="83">
        <f ca="1">עלונים!O25</f>
        <v>0</v>
      </c>
      <c r="H25" s="83">
        <f ca="1">'ספרי עיון'!G25</f>
        <v>0</v>
      </c>
      <c r="I25" s="83">
        <f ca="1">'הכנסות עצמיות'!H25</f>
        <v>2.9974363993654371E-2</v>
      </c>
      <c r="J25" s="83" t="str">
        <f ca="1">'תיעוד ושימור'!G25</f>
        <v/>
      </c>
      <c r="K25" s="84">
        <f t="shared" ca="1" si="0"/>
        <v>8.6044455984483972E-3</v>
      </c>
      <c r="L25" s="84"/>
      <c r="M25" s="84">
        <f t="shared" ca="1" si="1"/>
        <v>9.209555629034423E-3</v>
      </c>
      <c r="N25" s="85">
        <f t="shared" ca="1" si="2"/>
        <v>138143.33443551636</v>
      </c>
    </row>
    <row r="26" spans="2:14" x14ac:dyDescent="0.3">
      <c r="B26" s="82">
        <f>'ריכוז נתונים'!C26</f>
        <v>10</v>
      </c>
      <c r="C26" s="82" t="str">
        <f ca="1">'הכנסות עצמיות'!C26</f>
        <v>קונגרס יהודי בוכרה</v>
      </c>
      <c r="D26" s="83">
        <f ca="1">ארועים!P26</f>
        <v>0.12029400992662381</v>
      </c>
      <c r="E26" s="83">
        <f ca="1">תערוכות!F26</f>
        <v>0</v>
      </c>
      <c r="F26" s="83">
        <f ca="1">'אתר אינטרנט'!J26</f>
        <v>4.2704626334519574E-2</v>
      </c>
      <c r="G26" s="83">
        <f ca="1">עלונים!O26</f>
        <v>0.33779477374123651</v>
      </c>
      <c r="H26" s="83">
        <f ca="1">'ספרי עיון'!G26</f>
        <v>0</v>
      </c>
      <c r="I26" s="83">
        <f ca="1">'הכנסות עצמיות'!H26</f>
        <v>6.2129334072792829E-2</v>
      </c>
      <c r="J26" s="83">
        <f ca="1">'תיעוד ושימור'!G26</f>
        <v>5.2631578947368418E-2</v>
      </c>
      <c r="K26" s="84">
        <f t="shared" ca="1" si="0"/>
        <v>9.6437900168577298E-2</v>
      </c>
      <c r="L26" s="84"/>
      <c r="M26" s="84">
        <f t="shared" ca="1" si="1"/>
        <v>0.10321992232828309</v>
      </c>
      <c r="N26" s="85">
        <f t="shared" ca="1" si="2"/>
        <v>1548298.8349242464</v>
      </c>
    </row>
    <row r="27" spans="2:14" x14ac:dyDescent="0.3">
      <c r="B27" s="82">
        <f>'ריכוז נתונים'!C27</f>
        <v>11</v>
      </c>
      <c r="C27" s="82" t="str">
        <f ca="1">'הכנסות עצמיות'!C27</f>
        <v>יהדות שאלוניקי יוון</v>
      </c>
      <c r="D27" s="83">
        <f ca="1">ארועים!P27</f>
        <v>1.5047801871661133E-2</v>
      </c>
      <c r="E27" s="83">
        <f ca="1">תערוכות!F27</f>
        <v>0.05</v>
      </c>
      <c r="F27" s="83">
        <f ca="1">'אתר אינטרנט'!J27</f>
        <v>0.05</v>
      </c>
      <c r="G27" s="83">
        <f ca="1">עלונים!O27</f>
        <v>0</v>
      </c>
      <c r="H27" s="83">
        <f ca="1">'ספרי עיון'!G27</f>
        <v>0</v>
      </c>
      <c r="I27" s="83">
        <f ca="1">'הכנסות עצמיות'!H27</f>
        <v>5.911764439895964E-2</v>
      </c>
      <c r="J27" s="83" t="str">
        <f ca="1">'תיעוד ושימור'!G27</f>
        <v/>
      </c>
      <c r="K27" s="84">
        <f t="shared" ca="1" si="0"/>
        <v>2.0232173249361607E-2</v>
      </c>
      <c r="L27" s="84"/>
      <c r="M27" s="84">
        <f t="shared" ca="1" si="1"/>
        <v>2.1655006461991907E-2</v>
      </c>
      <c r="N27" s="85">
        <f t="shared" ca="1" si="2"/>
        <v>324825.09692987864</v>
      </c>
    </row>
    <row r="28" spans="2:14" hidden="1" x14ac:dyDescent="0.3">
      <c r="B28" s="82">
        <f>'ריכוז נתונים'!C28</f>
        <v>12</v>
      </c>
      <c r="C28" s="82" t="str">
        <f ca="1">'הכנסות עצמיות'!C28</f>
        <v/>
      </c>
      <c r="D28" s="83" t="str">
        <f ca="1">ארועים!P28</f>
        <v/>
      </c>
      <c r="E28" s="83" t="str">
        <f ca="1">תערוכות!F28</f>
        <v/>
      </c>
      <c r="F28" s="83" t="str">
        <f ca="1">'אתר אינטרנט'!J28</f>
        <v/>
      </c>
      <c r="G28" s="83" t="str">
        <f ca="1">עלונים!O28</f>
        <v/>
      </c>
      <c r="H28" s="83" t="str">
        <f ca="1">'ספרי עיון'!G28</f>
        <v/>
      </c>
      <c r="I28" s="83" t="str">
        <f ca="1">'הכנסות עצמיות'!H28</f>
        <v/>
      </c>
      <c r="J28" s="83" t="str">
        <f ca="1">'תיעוד ושימור'!G28</f>
        <v/>
      </c>
      <c r="K28" s="84" t="str">
        <f t="shared" ca="1" si="0"/>
        <v/>
      </c>
      <c r="L28" s="84"/>
      <c r="M28" s="84" t="str">
        <f t="shared" ca="1" si="1"/>
        <v/>
      </c>
      <c r="N28" s="85" t="str">
        <f t="shared" ca="1" si="2"/>
        <v/>
      </c>
    </row>
    <row r="29" spans="2:14" hidden="1" x14ac:dyDescent="0.3">
      <c r="B29" s="82">
        <f>'ריכוז נתונים'!C29</f>
        <v>13</v>
      </c>
      <c r="C29" s="82" t="str">
        <f ca="1">'הכנסות עצמיות'!C29</f>
        <v/>
      </c>
      <c r="D29" s="83" t="str">
        <f ca="1">ארועים!P29</f>
        <v/>
      </c>
      <c r="E29" s="83" t="str">
        <f ca="1">תערוכות!F29</f>
        <v/>
      </c>
      <c r="F29" s="83" t="str">
        <f ca="1">'אתר אינטרנט'!J29</f>
        <v/>
      </c>
      <c r="G29" s="83" t="str">
        <f ca="1">עלונים!O29</f>
        <v/>
      </c>
      <c r="H29" s="83" t="str">
        <f ca="1">'ספרי עיון'!G29</f>
        <v/>
      </c>
      <c r="I29" s="83" t="str">
        <f ca="1">'הכנסות עצמיות'!H29</f>
        <v/>
      </c>
      <c r="J29" s="83" t="str">
        <f ca="1">'תיעוד ושימור'!G29</f>
        <v/>
      </c>
      <c r="K29" s="84" t="str">
        <f t="shared" ca="1" si="0"/>
        <v/>
      </c>
      <c r="L29" s="84"/>
      <c r="M29" s="84" t="str">
        <f t="shared" ca="1" si="1"/>
        <v/>
      </c>
      <c r="N29" s="85" t="str">
        <f t="shared" ca="1" si="2"/>
        <v/>
      </c>
    </row>
    <row r="30" spans="2:14" hidden="1" x14ac:dyDescent="0.3">
      <c r="B30" s="82">
        <f>'ריכוז נתונים'!C30</f>
        <v>14</v>
      </c>
      <c r="C30" s="82" t="str">
        <f ca="1">'הכנסות עצמיות'!C30</f>
        <v/>
      </c>
      <c r="D30" s="83" t="str">
        <f ca="1">ארועים!P30</f>
        <v/>
      </c>
      <c r="E30" s="83" t="str">
        <f ca="1">תערוכות!F30</f>
        <v/>
      </c>
      <c r="F30" s="83" t="str">
        <f ca="1">'אתר אינטרנט'!J30</f>
        <v/>
      </c>
      <c r="G30" s="83" t="str">
        <f ca="1">עלונים!O30</f>
        <v/>
      </c>
      <c r="H30" s="83" t="str">
        <f ca="1">'ספרי עיון'!G30</f>
        <v/>
      </c>
      <c r="I30" s="83" t="str">
        <f ca="1">'הכנסות עצמיות'!H30</f>
        <v/>
      </c>
      <c r="J30" s="83" t="str">
        <f ca="1">'תיעוד ושימור'!G30</f>
        <v/>
      </c>
      <c r="K30" s="84" t="str">
        <f t="shared" ca="1" si="0"/>
        <v/>
      </c>
      <c r="L30" s="84"/>
      <c r="M30" s="84" t="str">
        <f t="shared" ca="1" si="1"/>
        <v/>
      </c>
      <c r="N30" s="85" t="str">
        <f t="shared" ca="1" si="2"/>
        <v/>
      </c>
    </row>
    <row r="31" spans="2:14" x14ac:dyDescent="0.3">
      <c r="B31" s="82">
        <f>'ריכוז נתונים'!C31</f>
        <v>15</v>
      </c>
      <c r="C31" s="82" t="str">
        <f ca="1">'הכנסות עצמיות'!C31</f>
        <v xml:space="preserve">החברה לטיפוח חברה תרבות תיעוד </v>
      </c>
      <c r="D31" s="83">
        <f ca="1">ארועים!P31</f>
        <v>0.17604602114143547</v>
      </c>
      <c r="E31" s="83">
        <f ca="1">תערוכות!F31</f>
        <v>0</v>
      </c>
      <c r="F31" s="83">
        <f ca="1">'אתר אינטרנט'!J31</f>
        <v>0.05</v>
      </c>
      <c r="G31" s="83">
        <f ca="1">עלונים!O31</f>
        <v>8.8166560441895053E-2</v>
      </c>
      <c r="H31" s="83">
        <f ca="1">'ספרי עיון'!G31</f>
        <v>0.47368421052631576</v>
      </c>
      <c r="I31" s="83">
        <f ca="1">'הכנסות עצמיות'!H31</f>
        <v>5.4578586652362107E-2</v>
      </c>
      <c r="J31" s="83">
        <f ca="1">'תיעוד ושימור'!G31</f>
        <v>0.10526315789473684</v>
      </c>
      <c r="K31" s="84">
        <f t="shared" ca="1" si="0"/>
        <v>0.1672126556395529</v>
      </c>
      <c r="L31" s="84"/>
      <c r="M31" s="84">
        <f t="shared" ca="1" si="1"/>
        <v>0.17897193216826571</v>
      </c>
      <c r="N31" s="85">
        <f t="shared" ca="1" si="2"/>
        <v>2684578.9825239857</v>
      </c>
    </row>
    <row r="32" spans="2:14" x14ac:dyDescent="0.3">
      <c r="B32" s="82">
        <f>'ריכוז נתונים'!C32</f>
        <v>16</v>
      </c>
      <c r="C32" s="82" t="str">
        <f ca="1">'הכנסות עצמיות'!C32</f>
        <v>עמותת אור שלום</v>
      </c>
      <c r="D32" s="83">
        <f ca="1">ארועים!P32</f>
        <v>1.1366363142673117E-2</v>
      </c>
      <c r="E32" s="83">
        <f ca="1">תערוכות!F32</f>
        <v>0.05</v>
      </c>
      <c r="F32" s="83">
        <f ca="1">'אתר אינטרנט'!J32</f>
        <v>0.05</v>
      </c>
      <c r="G32" s="83">
        <f ca="1">עלונים!O32</f>
        <v>0.15190142341193968</v>
      </c>
      <c r="H32" s="83">
        <f ca="1">'ספרי עיון'!G32</f>
        <v>5.2631578947368418E-2</v>
      </c>
      <c r="I32" s="83">
        <f ca="1">'הכנסות עצמיות'!H32</f>
        <v>2.8240141267331459E-2</v>
      </c>
      <c r="J32" s="83">
        <f ca="1">'תיעוד ושימור'!G32</f>
        <v>0.10526315789473684</v>
      </c>
      <c r="K32" s="84">
        <f t="shared" ca="1" si="0"/>
        <v>3.6830223775500541E-2</v>
      </c>
      <c r="L32" s="84"/>
      <c r="M32" s="84">
        <f t="shared" ca="1" si="1"/>
        <v>3.9420319509187569E-2</v>
      </c>
      <c r="N32" s="85">
        <f t="shared" ca="1" si="2"/>
        <v>591304.79263781349</v>
      </c>
    </row>
    <row r="33" spans="2:14" hidden="1" x14ac:dyDescent="0.3">
      <c r="B33" s="82">
        <f>'ריכוז נתונים'!C33</f>
        <v>17</v>
      </c>
      <c r="C33" s="82" t="str">
        <f ca="1">'הכנסות עצמיות'!C33</f>
        <v/>
      </c>
      <c r="D33" s="83" t="str">
        <f ca="1">ארועים!P33</f>
        <v/>
      </c>
      <c r="E33" s="83" t="str">
        <f ca="1">תערוכות!F33</f>
        <v/>
      </c>
      <c r="F33" s="83" t="str">
        <f ca="1">'אתר אינטרנט'!J33</f>
        <v/>
      </c>
      <c r="G33" s="83" t="str">
        <f ca="1">עלונים!O33</f>
        <v/>
      </c>
      <c r="H33" s="83" t="str">
        <f ca="1">'ספרי עיון'!G33</f>
        <v/>
      </c>
      <c r="I33" s="83" t="str">
        <f ca="1">'הכנסות עצמיות'!H33</f>
        <v/>
      </c>
      <c r="J33" s="83" t="str">
        <f ca="1">'תיעוד ושימור'!G33</f>
        <v/>
      </c>
      <c r="K33" s="84" t="str">
        <f t="shared" ca="1" si="0"/>
        <v/>
      </c>
      <c r="L33" s="84"/>
      <c r="M33" s="84" t="str">
        <f t="shared" ca="1" si="1"/>
        <v/>
      </c>
      <c r="N33" s="85" t="str">
        <f t="shared" ca="1" si="2"/>
        <v/>
      </c>
    </row>
    <row r="34" spans="2:14" x14ac:dyDescent="0.3">
      <c r="B34" s="82">
        <f>'ריכוז נתונים'!C34</f>
        <v>18</v>
      </c>
      <c r="C34" s="82" t="str">
        <f ca="1">'הכנסות עצמיות'!C34</f>
        <v>ישיבת קרלין סטולין</v>
      </c>
      <c r="D34" s="83">
        <f ca="1">ארועים!P34</f>
        <v>3.0310301713794979E-2</v>
      </c>
      <c r="E34" s="83">
        <f ca="1">תערוכות!F34</f>
        <v>0</v>
      </c>
      <c r="F34" s="83">
        <f ca="1">'אתר אינטרנט'!J34</f>
        <v>0</v>
      </c>
      <c r="G34" s="83">
        <f ca="1">עלונים!O34</f>
        <v>0</v>
      </c>
      <c r="H34" s="83">
        <f ca="1">'ספרי עיון'!G34</f>
        <v>0</v>
      </c>
      <c r="I34" s="83">
        <f ca="1">'הכנסות עצמיות'!H34</f>
        <v>4.5259082461262916E-2</v>
      </c>
      <c r="J34" s="83" t="str">
        <f ca="1">'תיעוד ושימור'!G34</f>
        <v/>
      </c>
      <c r="K34" s="84">
        <f t="shared" ca="1" si="0"/>
        <v>1.8933620065650386E-2</v>
      </c>
      <c r="L34" s="84"/>
      <c r="M34" s="84">
        <f t="shared" ca="1" si="1"/>
        <v>2.0265132164360836E-2</v>
      </c>
      <c r="N34" s="85">
        <f t="shared" ca="1" si="2"/>
        <v>303976.98246541253</v>
      </c>
    </row>
    <row r="35" spans="2:14" hidden="1" x14ac:dyDescent="0.3">
      <c r="B35" s="82">
        <f>'ריכוז נתונים'!C35</f>
        <v>19</v>
      </c>
      <c r="C35" s="82" t="str">
        <f ca="1">'הכנסות עצמיות'!C35</f>
        <v/>
      </c>
      <c r="D35" s="83" t="str">
        <f ca="1">ארועים!P35</f>
        <v/>
      </c>
      <c r="E35" s="83" t="str">
        <f ca="1">תערוכות!F35</f>
        <v/>
      </c>
      <c r="F35" s="83" t="str">
        <f ca="1">'אתר אינטרנט'!J35</f>
        <v/>
      </c>
      <c r="G35" s="83" t="str">
        <f ca="1">עלונים!O35</f>
        <v/>
      </c>
      <c r="H35" s="83" t="str">
        <f ca="1">'ספרי עיון'!G35</f>
        <v/>
      </c>
      <c r="I35" s="83" t="str">
        <f ca="1">'הכנסות עצמיות'!H35</f>
        <v/>
      </c>
      <c r="J35" s="83" t="str">
        <f ca="1">'תיעוד ושימור'!G35</f>
        <v/>
      </c>
      <c r="K35" s="84" t="str">
        <f t="shared" ca="1" si="0"/>
        <v/>
      </c>
      <c r="L35" s="84"/>
      <c r="M35" s="84" t="str">
        <f t="shared" ca="1" si="1"/>
        <v/>
      </c>
      <c r="N35" s="85" t="str">
        <f t="shared" ca="1" si="2"/>
        <v/>
      </c>
    </row>
    <row r="36" spans="2:14" hidden="1" x14ac:dyDescent="0.3">
      <c r="B36" s="82">
        <f>'ריכוז נתונים'!C36</f>
        <v>20</v>
      </c>
      <c r="C36" s="82" t="str">
        <f ca="1">'הכנסות עצמיות'!C36</f>
        <v/>
      </c>
      <c r="D36" s="83" t="str">
        <f ca="1">ארועים!P36</f>
        <v/>
      </c>
      <c r="E36" s="83" t="str">
        <f ca="1">תערוכות!F36</f>
        <v/>
      </c>
      <c r="F36" s="83" t="str">
        <f ca="1">'אתר אינטרנט'!J36</f>
        <v/>
      </c>
      <c r="G36" s="83" t="str">
        <f ca="1">עלונים!O36</f>
        <v/>
      </c>
      <c r="H36" s="83" t="str">
        <f ca="1">'ספרי עיון'!G36</f>
        <v/>
      </c>
      <c r="I36" s="83" t="str">
        <f ca="1">'הכנסות עצמיות'!H36</f>
        <v/>
      </c>
      <c r="J36" s="83" t="str">
        <f ca="1">'תיעוד ושימור'!G36</f>
        <v/>
      </c>
      <c r="K36" s="84" t="str">
        <f t="shared" ca="1" si="0"/>
        <v/>
      </c>
      <c r="L36" s="84"/>
      <c r="M36" s="84" t="str">
        <f t="shared" ca="1" si="1"/>
        <v/>
      </c>
      <c r="N36" s="85" t="str">
        <f t="shared" ca="1" si="2"/>
        <v/>
      </c>
    </row>
    <row r="37" spans="2:14" x14ac:dyDescent="0.3">
      <c r="B37" s="82">
        <f>'ריכוז נתונים'!C37</f>
        <v>21</v>
      </c>
      <c r="C37" s="82" t="str">
        <f ca="1">'הכנסות עצמיות'!C37</f>
        <v>ברית יוצאי מרוקו</v>
      </c>
      <c r="D37" s="83">
        <f ca="1">ארועים!P37</f>
        <v>8.884707189856152E-3</v>
      </c>
      <c r="E37" s="83">
        <f ca="1">תערוכות!F37</f>
        <v>2.904162633107454E-2</v>
      </c>
      <c r="F37" s="83">
        <f ca="1">'אתר אינטרנט'!J37</f>
        <v>0</v>
      </c>
      <c r="G37" s="83">
        <f ca="1">עלונים!O37</f>
        <v>0</v>
      </c>
      <c r="H37" s="83">
        <f ca="1">'ספרי עיון'!G37</f>
        <v>0</v>
      </c>
      <c r="I37" s="83">
        <f ca="1">'הכנסות עצמיות'!H37</f>
        <v>7.9769229900790189E-2</v>
      </c>
      <c r="J37" s="83" t="str">
        <f ca="1">'תיעוד ושימור'!G37</f>
        <v/>
      </c>
      <c r="K37" s="84">
        <f t="shared" ca="1" si="0"/>
        <v>1.1198380555946357E-2</v>
      </c>
      <c r="L37" s="84"/>
      <c r="M37" s="84">
        <f t="shared" ca="1" si="1"/>
        <v>1.1985909784086819E-2</v>
      </c>
      <c r="N37" s="85">
        <f t="shared" ca="1" si="2"/>
        <v>179788.64676130228</v>
      </c>
    </row>
    <row r="38" spans="2:14" x14ac:dyDescent="0.3">
      <c r="B38" s="82">
        <f>'ריכוז נתונים'!C38</f>
        <v>22</v>
      </c>
      <c r="C38" s="82" t="str">
        <f ca="1">'הכנסות עצמיות'!C38</f>
        <v>הקם - בית הקונפדרציה</v>
      </c>
      <c r="D38" s="83">
        <f ca="1">ארועים!P38</f>
        <v>3.5740897437516579E-2</v>
      </c>
      <c r="E38" s="83">
        <f ca="1">תערוכות!F38</f>
        <v>0</v>
      </c>
      <c r="F38" s="83">
        <f ca="1">'אתר אינטרנט'!J38</f>
        <v>0</v>
      </c>
      <c r="G38" s="83">
        <f ca="1">עלונים!O38</f>
        <v>0</v>
      </c>
      <c r="H38" s="83">
        <f ca="1">'ספרי עיון'!G38</f>
        <v>0</v>
      </c>
      <c r="I38" s="83">
        <f ca="1">'הכנסות עצמיות'!H38</f>
        <v>2.6850757289466363E-2</v>
      </c>
      <c r="J38" s="83">
        <f ca="1">'תיעוד ושימור'!G38</f>
        <v>0.10526315789473684</v>
      </c>
      <c r="K38" s="84">
        <f t="shared" ca="1" si="0"/>
        <v>2.6263189349844278E-2</v>
      </c>
      <c r="L38" s="84"/>
      <c r="M38" s="84">
        <f t="shared" ca="1" si="1"/>
        <v>2.8110155447652673E-2</v>
      </c>
      <c r="N38" s="85">
        <f t="shared" ca="1" si="2"/>
        <v>421652.33171479008</v>
      </c>
    </row>
    <row r="39" spans="2:14" x14ac:dyDescent="0.3">
      <c r="B39" s="82">
        <f>'ריכוז נתונים'!C39</f>
        <v>23</v>
      </c>
      <c r="C39" s="82" t="str">
        <f ca="1">'הכנסות עצמיות'!C39</f>
        <v>מוסיקה מזרח מערב</v>
      </c>
      <c r="D39" s="83">
        <f ca="1">ארועים!P39</f>
        <v>8.5374016493855856E-2</v>
      </c>
      <c r="E39" s="83">
        <f ca="1">תערוכות!F39</f>
        <v>1.9748305905130686E-2</v>
      </c>
      <c r="F39" s="83">
        <f ca="1">'אתר אינטרנט'!J39</f>
        <v>0.05</v>
      </c>
      <c r="G39" s="83">
        <f ca="1">עלונים!O39</f>
        <v>0</v>
      </c>
      <c r="H39" s="83">
        <f ca="1">'ספרי עיון'!G39</f>
        <v>0</v>
      </c>
      <c r="I39" s="83">
        <f ca="1">'הכנסות עצמיות'!H39</f>
        <v>9.9473381064767701E-3</v>
      </c>
      <c r="J39" s="83">
        <f ca="1">'תיעוד ושימור'!G39</f>
        <v>0.10526315789473684</v>
      </c>
      <c r="K39" s="84">
        <f t="shared" ca="1" si="0"/>
        <v>5.9296098344091865E-2</v>
      </c>
      <c r="L39" s="84"/>
      <c r="M39" s="84">
        <f t="shared" ca="1" si="1"/>
        <v>6.3466112957130463E-2</v>
      </c>
      <c r="N39" s="85">
        <f t="shared" ca="1" si="2"/>
        <v>951991.69435695698</v>
      </c>
    </row>
    <row r="40" spans="2:14" x14ac:dyDescent="0.3">
      <c r="B40" s="82">
        <f>'ריכוז נתונים'!C40</f>
        <v>24</v>
      </c>
      <c r="C40" s="82" t="str">
        <f ca="1">'הכנסות עצמיות'!C40</f>
        <v>אעלה בתמר</v>
      </c>
      <c r="D40" s="83">
        <f ca="1">ארועים!P40</f>
        <v>0.18082620830754853</v>
      </c>
      <c r="E40" s="83">
        <f ca="1">תערוכות!F40</f>
        <v>0</v>
      </c>
      <c r="F40" s="83">
        <f ca="1">'אתר אינטרנט'!J40</f>
        <v>0.05</v>
      </c>
      <c r="G40" s="83">
        <f ca="1">עלונים!O40</f>
        <v>8.4342468663692369E-2</v>
      </c>
      <c r="H40" s="83">
        <f ca="1">'ספרי עיון'!G40</f>
        <v>0.26315789473684209</v>
      </c>
      <c r="I40" s="83">
        <f ca="1">'הכנסות עצמיות'!H40</f>
        <v>4.3549039873869912E-2</v>
      </c>
      <c r="J40" s="83">
        <f ca="1">'תיעוד ושימור'!G40</f>
        <v>5.2631578947368418E-2</v>
      </c>
      <c r="K40" s="84">
        <f t="shared" ca="1" si="0"/>
        <v>0.14327136205108779</v>
      </c>
      <c r="L40" s="84"/>
      <c r="M40" s="84">
        <f t="shared" ca="1" si="1"/>
        <v>0.15334696044739454</v>
      </c>
      <c r="N40" s="85">
        <f t="shared" ca="1" si="2"/>
        <v>2300204.4067109181</v>
      </c>
    </row>
    <row r="41" spans="2:14" hidden="1" x14ac:dyDescent="0.3">
      <c r="B41" s="82">
        <f>'ריכוז נתונים'!C41</f>
        <v>25</v>
      </c>
      <c r="C41" s="82" t="str">
        <f ca="1">'הכנסות עצמיות'!C41</f>
        <v/>
      </c>
      <c r="D41" s="83" t="str">
        <f ca="1">ארועים!P41</f>
        <v/>
      </c>
      <c r="E41" s="83" t="str">
        <f ca="1">תערוכות!F41</f>
        <v/>
      </c>
      <c r="F41" s="83" t="str">
        <f ca="1">'אתר אינטרנט'!J41</f>
        <v/>
      </c>
      <c r="G41" s="83" t="str">
        <f ca="1">עלונים!O41</f>
        <v/>
      </c>
      <c r="H41" s="83" t="str">
        <f ca="1">'ספרי עיון'!G41</f>
        <v/>
      </c>
      <c r="I41" s="83" t="str">
        <f ca="1">'הכנסות עצמיות'!H41</f>
        <v/>
      </c>
      <c r="J41" s="83" t="str">
        <f ca="1">'תיעוד ושימור'!G41</f>
        <v/>
      </c>
      <c r="K41" s="84" t="str">
        <f t="shared" ca="1" si="0"/>
        <v/>
      </c>
      <c r="L41" s="84"/>
      <c r="M41" s="84" t="str">
        <f t="shared" ca="1" si="1"/>
        <v/>
      </c>
      <c r="N41" s="85" t="str">
        <f t="shared" ca="1" si="2"/>
        <v/>
      </c>
    </row>
    <row r="42" spans="2:14" hidden="1" x14ac:dyDescent="0.3">
      <c r="B42" s="82">
        <f>'ריכוז נתונים'!C42</f>
        <v>26</v>
      </c>
      <c r="C42" s="82" t="str">
        <f ca="1">'הכנסות עצמיות'!C42</f>
        <v/>
      </c>
      <c r="D42" s="83" t="str">
        <f ca="1">ארועים!P42</f>
        <v/>
      </c>
      <c r="E42" s="83" t="str">
        <f ca="1">תערוכות!F42</f>
        <v/>
      </c>
      <c r="F42" s="83" t="str">
        <f ca="1">'אתר אינטרנט'!J42</f>
        <v/>
      </c>
      <c r="G42" s="83" t="str">
        <f ca="1">עלונים!O42</f>
        <v/>
      </c>
      <c r="H42" s="83" t="str">
        <f ca="1">'ספרי עיון'!G42</f>
        <v/>
      </c>
      <c r="I42" s="83" t="str">
        <f ca="1">'הכנסות עצמיות'!H42</f>
        <v/>
      </c>
      <c r="J42" s="83" t="str">
        <f ca="1">'תיעוד ושימור'!G42</f>
        <v/>
      </c>
      <c r="K42" s="84" t="str">
        <f t="shared" ca="1" si="0"/>
        <v/>
      </c>
      <c r="L42" s="84"/>
      <c r="M42" s="84" t="str">
        <f t="shared" ca="1" si="1"/>
        <v/>
      </c>
      <c r="N42" s="85" t="str">
        <f t="shared" ca="1" si="2"/>
        <v/>
      </c>
    </row>
    <row r="43" spans="2:14" x14ac:dyDescent="0.3">
      <c r="B43" s="82">
        <f>'ריכוז נתונים'!C43</f>
        <v>27</v>
      </c>
      <c r="C43" s="82" t="str">
        <f ca="1">'הכנסות עצמיות'!C43</f>
        <v>מכון הברמן</v>
      </c>
      <c r="D43" s="83">
        <f ca="1">ארועים!P43</f>
        <v>1.9606976421111127E-2</v>
      </c>
      <c r="E43" s="83">
        <f ca="1">תערוכות!F43</f>
        <v>0.05</v>
      </c>
      <c r="F43" s="83">
        <f ca="1">'אתר אינטרנט'!J43</f>
        <v>0</v>
      </c>
      <c r="G43" s="83">
        <f ca="1">עלונים!O43</f>
        <v>0</v>
      </c>
      <c r="H43" s="83">
        <f ca="1">'ספרי עיון'!G43</f>
        <v>0</v>
      </c>
      <c r="I43" s="83">
        <f ca="1">'הכנסות עצמיות'!H43</f>
        <v>2.1905490108260855E-2</v>
      </c>
      <c r="J43" s="83">
        <f ca="1">'תיעוד ושימור'!G43</f>
        <v>5.2631578947368418E-2</v>
      </c>
      <c r="K43" s="84">
        <f t="shared" ca="1" si="0"/>
        <v>1.8510690484392585E-2</v>
      </c>
      <c r="L43" s="84"/>
      <c r="M43" s="84">
        <f t="shared" ca="1" si="1"/>
        <v>1.9812459942636251E-2</v>
      </c>
      <c r="N43" s="85">
        <f t="shared" ca="1" si="2"/>
        <v>297186.89913954376</v>
      </c>
    </row>
    <row r="44" spans="2:14" hidden="1" x14ac:dyDescent="0.3">
      <c r="B44" s="82">
        <f>'ריכוז נתונים'!C44</f>
        <v>28</v>
      </c>
      <c r="C44" s="82" t="str">
        <f ca="1">'הכנסות עצמיות'!C44</f>
        <v/>
      </c>
      <c r="D44" s="83" t="str">
        <f ca="1">ארועים!P44</f>
        <v/>
      </c>
      <c r="E44" s="83" t="str">
        <f ca="1">תערוכות!F44</f>
        <v/>
      </c>
      <c r="F44" s="83" t="str">
        <f ca="1">'אתר אינטרנט'!J44</f>
        <v/>
      </c>
      <c r="G44" s="83" t="str">
        <f ca="1">עלונים!O44</f>
        <v/>
      </c>
      <c r="H44" s="83" t="str">
        <f ca="1">'ספרי עיון'!G44</f>
        <v/>
      </c>
      <c r="I44" s="83" t="str">
        <f ca="1">'הכנסות עצמיות'!H44</f>
        <v/>
      </c>
      <c r="J44" s="83" t="str">
        <f ca="1">'תיעוד ושימור'!G44</f>
        <v/>
      </c>
      <c r="K44" s="84" t="str">
        <f t="shared" ca="1" si="0"/>
        <v/>
      </c>
      <c r="L44" s="84"/>
      <c r="M44" s="84" t="str">
        <f t="shared" ca="1" si="1"/>
        <v/>
      </c>
      <c r="N44" s="85" t="str">
        <f t="shared" ca="1" si="2"/>
        <v/>
      </c>
    </row>
    <row r="45" spans="2:14" hidden="1" x14ac:dyDescent="0.3">
      <c r="B45" s="82">
        <f>'ריכוז נתונים'!C45</f>
        <v>29</v>
      </c>
      <c r="C45" s="82" t="str">
        <f ca="1">'הכנסות עצמיות'!C45</f>
        <v/>
      </c>
      <c r="D45" s="83" t="str">
        <f ca="1">ארועים!P45</f>
        <v/>
      </c>
      <c r="E45" s="83" t="str">
        <f ca="1">תערוכות!F45</f>
        <v/>
      </c>
      <c r="F45" s="83" t="str">
        <f ca="1">'אתר אינטרנט'!J45</f>
        <v/>
      </c>
      <c r="G45" s="83" t="str">
        <f ca="1">עלונים!O45</f>
        <v/>
      </c>
      <c r="H45" s="83" t="str">
        <f ca="1">'ספרי עיון'!G45</f>
        <v/>
      </c>
      <c r="I45" s="83" t="str">
        <f ca="1">'הכנסות עצמיות'!H45</f>
        <v/>
      </c>
      <c r="J45" s="83" t="str">
        <f ca="1">'תיעוד ושימור'!G45</f>
        <v/>
      </c>
      <c r="K45" s="84" t="str">
        <f t="shared" ca="1" si="0"/>
        <v/>
      </c>
      <c r="L45" s="84"/>
      <c r="M45" s="84" t="str">
        <f t="shared" ca="1" si="1"/>
        <v/>
      </c>
      <c r="N45" s="85" t="str">
        <f t="shared" ca="1" si="2"/>
        <v/>
      </c>
    </row>
    <row r="46" spans="2:14" hidden="1" x14ac:dyDescent="0.3">
      <c r="B46" s="82">
        <f>'ריכוז נתונים'!C46</f>
        <v>30</v>
      </c>
      <c r="C46" s="82" t="str">
        <f ca="1">'הכנסות עצמיות'!C46</f>
        <v/>
      </c>
      <c r="D46" s="83" t="str">
        <f ca="1">ארועים!P46</f>
        <v/>
      </c>
      <c r="E46" s="83" t="str">
        <f ca="1">תערוכות!F46</f>
        <v/>
      </c>
      <c r="F46" s="83" t="str">
        <f ca="1">'אתר אינטרנט'!J46</f>
        <v/>
      </c>
      <c r="G46" s="83" t="str">
        <f ca="1">עלונים!O46</f>
        <v/>
      </c>
      <c r="H46" s="83" t="str">
        <f ca="1">'ספרי עיון'!G46</f>
        <v/>
      </c>
      <c r="I46" s="83" t="str">
        <f ca="1">'הכנסות עצמיות'!H46</f>
        <v/>
      </c>
      <c r="J46" s="83" t="str">
        <f ca="1">'תיעוד ושימור'!G46</f>
        <v/>
      </c>
      <c r="K46" s="84" t="str">
        <f t="shared" ca="1" si="0"/>
        <v/>
      </c>
      <c r="L46" s="84"/>
      <c r="M46" s="84" t="str">
        <f t="shared" ca="1" si="1"/>
        <v/>
      </c>
      <c r="N46" s="85" t="str">
        <f t="shared" ca="1" si="2"/>
        <v/>
      </c>
    </row>
    <row r="47" spans="2:14" x14ac:dyDescent="0.3">
      <c r="B47" s="82">
        <f>'ריכוז נתונים'!C47</f>
        <v>31</v>
      </c>
      <c r="C47" s="82" t="str">
        <f ca="1">'הכנסות עצמיות'!C47</f>
        <v>כולנא</v>
      </c>
      <c r="D47" s="83">
        <f ca="1">ארועים!P47</f>
        <v>4.9336330685391699E-2</v>
      </c>
      <c r="E47" s="83">
        <f ca="1">תערוכות!F47</f>
        <v>0.05</v>
      </c>
      <c r="F47" s="83">
        <f ca="1">'אתר אינטרנט'!J47</f>
        <v>4.2704626334519574E-2</v>
      </c>
      <c r="G47" s="83">
        <f ca="1">עלונים!O47</f>
        <v>0</v>
      </c>
      <c r="H47" s="83">
        <f ca="1">'ספרי עיון'!G47</f>
        <v>0</v>
      </c>
      <c r="I47" s="83">
        <f ca="1">'הכנסות עצמיות'!H47</f>
        <v>6.3603632979742156E-3</v>
      </c>
      <c r="J47" s="83" t="str">
        <f ca="1">'תיעוד ושימור'!G47</f>
        <v/>
      </c>
      <c r="K47" s="84">
        <f t="shared" ca="1" si="0"/>
        <v>3.5723462675316106E-2</v>
      </c>
      <c r="L47" s="84"/>
      <c r="M47" s="84">
        <f t="shared" ca="1" si="1"/>
        <v>3.8235725126716497E-2</v>
      </c>
      <c r="N47" s="85">
        <f t="shared" ca="1" si="2"/>
        <v>573535.87690074742</v>
      </c>
    </row>
    <row r="48" spans="2:14" hidden="1" x14ac:dyDescent="0.3">
      <c r="B48" s="82">
        <f>'ריכוז נתונים'!C48</f>
        <v>32</v>
      </c>
      <c r="C48" s="82" t="str">
        <f ca="1">'הכנסות עצמיות'!C48</f>
        <v/>
      </c>
      <c r="D48" s="83" t="str">
        <f ca="1">ארועים!P48</f>
        <v/>
      </c>
      <c r="E48" s="83" t="str">
        <f ca="1">תערוכות!F48</f>
        <v/>
      </c>
      <c r="F48" s="83" t="str">
        <f ca="1">'אתר אינטרנט'!J48</f>
        <v/>
      </c>
      <c r="G48" s="83" t="str">
        <f ca="1">עלונים!O48</f>
        <v/>
      </c>
      <c r="H48" s="83" t="str">
        <f ca="1">'ספרי עיון'!G48</f>
        <v/>
      </c>
      <c r="I48" s="83" t="str">
        <f ca="1">'הכנסות עצמיות'!H48</f>
        <v/>
      </c>
      <c r="J48" s="83" t="str">
        <f ca="1">'תיעוד ושימור'!G48</f>
        <v/>
      </c>
      <c r="K48" s="84" t="str">
        <f t="shared" ca="1" si="0"/>
        <v/>
      </c>
      <c r="L48" s="84"/>
      <c r="M48" s="84" t="str">
        <f t="shared" ca="1" si="1"/>
        <v/>
      </c>
      <c r="N48" s="85" t="str">
        <f t="shared" ca="1" si="2"/>
        <v/>
      </c>
    </row>
    <row r="49" spans="2:14" hidden="1" x14ac:dyDescent="0.3">
      <c r="B49" s="82">
        <f>'ריכוז נתונים'!C49</f>
        <v>33</v>
      </c>
      <c r="C49" s="82" t="str">
        <f ca="1">'הכנסות עצמיות'!C49</f>
        <v/>
      </c>
      <c r="D49" s="83" t="str">
        <f ca="1">ארועים!P49</f>
        <v/>
      </c>
      <c r="E49" s="83" t="str">
        <f ca="1">תערוכות!F49</f>
        <v/>
      </c>
      <c r="F49" s="83" t="str">
        <f ca="1">'אתר אינטרנט'!J49</f>
        <v/>
      </c>
      <c r="G49" s="83" t="str">
        <f ca="1">עלונים!O49</f>
        <v/>
      </c>
      <c r="H49" s="83" t="str">
        <f ca="1">'ספרי עיון'!G49</f>
        <v/>
      </c>
      <c r="I49" s="83" t="str">
        <f ca="1">'הכנסות עצמיות'!H49</f>
        <v/>
      </c>
      <c r="J49" s="83" t="str">
        <f ca="1">'תיעוד ושימור'!G49</f>
        <v/>
      </c>
      <c r="K49" s="84" t="str">
        <f t="shared" ca="1" si="0"/>
        <v/>
      </c>
      <c r="L49" s="84"/>
      <c r="M49" s="84" t="str">
        <f t="shared" ca="1" si="1"/>
        <v/>
      </c>
      <c r="N49" s="85" t="str">
        <f t="shared" ca="1" si="2"/>
        <v/>
      </c>
    </row>
    <row r="50" spans="2:14" hidden="1" x14ac:dyDescent="0.3">
      <c r="B50" s="82">
        <f>'ריכוז נתונים'!C50</f>
        <v>34</v>
      </c>
      <c r="C50" s="82" t="str">
        <f ca="1">'הכנסות עצמיות'!C50</f>
        <v/>
      </c>
      <c r="D50" s="83" t="str">
        <f ca="1">ארועים!P50</f>
        <v/>
      </c>
      <c r="E50" s="83" t="str">
        <f ca="1">תערוכות!F50</f>
        <v/>
      </c>
      <c r="F50" s="83" t="str">
        <f ca="1">'אתר אינטרנט'!J50</f>
        <v/>
      </c>
      <c r="G50" s="83" t="str">
        <f ca="1">עלונים!O50</f>
        <v/>
      </c>
      <c r="H50" s="83" t="str">
        <f ca="1">'ספרי עיון'!G50</f>
        <v/>
      </c>
      <c r="I50" s="83" t="str">
        <f ca="1">'הכנסות עצמיות'!H50</f>
        <v/>
      </c>
      <c r="J50" s="83" t="str">
        <f ca="1">'תיעוד ושימור'!G50</f>
        <v/>
      </c>
      <c r="K50" s="84" t="str">
        <f t="shared" ca="1" si="0"/>
        <v/>
      </c>
      <c r="L50" s="84"/>
      <c r="M50" s="84" t="str">
        <f t="shared" ca="1" si="1"/>
        <v/>
      </c>
      <c r="N50" s="85" t="str">
        <f t="shared" ca="1" si="2"/>
        <v/>
      </c>
    </row>
    <row r="51" spans="2:14" hidden="1" x14ac:dyDescent="0.3">
      <c r="B51" s="82">
        <f>'ריכוז נתונים'!C51</f>
        <v>35</v>
      </c>
      <c r="C51" s="82" t="str">
        <f ca="1">'הכנסות עצמיות'!C51</f>
        <v/>
      </c>
      <c r="D51" s="83" t="str">
        <f ca="1">ארועים!P51</f>
        <v/>
      </c>
      <c r="E51" s="83" t="str">
        <f ca="1">תערוכות!F51</f>
        <v/>
      </c>
      <c r="F51" s="83" t="str">
        <f ca="1">'אתר אינטרנט'!J51</f>
        <v/>
      </c>
      <c r="G51" s="83" t="str">
        <f ca="1">עלונים!O51</f>
        <v/>
      </c>
      <c r="H51" s="83" t="str">
        <f ca="1">'ספרי עיון'!G51</f>
        <v/>
      </c>
      <c r="I51" s="83" t="str">
        <f ca="1">'הכנסות עצמיות'!H51</f>
        <v/>
      </c>
      <c r="J51" s="83" t="str">
        <f ca="1">'תיעוד ושימור'!G51</f>
        <v/>
      </c>
      <c r="K51" s="84" t="str">
        <f t="shared" ca="1" si="0"/>
        <v/>
      </c>
      <c r="L51" s="84"/>
      <c r="M51" s="84" t="str">
        <f t="shared" ca="1" si="1"/>
        <v/>
      </c>
      <c r="N51" s="85" t="str">
        <f t="shared" ca="1" si="2"/>
        <v/>
      </c>
    </row>
    <row r="52" spans="2:14" hidden="1" x14ac:dyDescent="0.3">
      <c r="B52" s="82">
        <f>'ריכוז נתונים'!C52</f>
        <v>36</v>
      </c>
      <c r="C52" s="82" t="str">
        <f ca="1">'הכנסות עצמיות'!C52</f>
        <v/>
      </c>
      <c r="D52" s="83" t="str">
        <f ca="1">ארועים!P52</f>
        <v/>
      </c>
      <c r="E52" s="83" t="str">
        <f ca="1">תערוכות!F52</f>
        <v/>
      </c>
      <c r="F52" s="83" t="str">
        <f ca="1">'אתר אינטרנט'!J52</f>
        <v/>
      </c>
      <c r="G52" s="83" t="str">
        <f ca="1">עלונים!O52</f>
        <v/>
      </c>
      <c r="H52" s="83" t="str">
        <f ca="1">'ספרי עיון'!G52</f>
        <v/>
      </c>
      <c r="I52" s="83" t="str">
        <f ca="1">'הכנסות עצמיות'!H52</f>
        <v/>
      </c>
      <c r="J52" s="83" t="str">
        <f ca="1">'תיעוד ושימור'!G52</f>
        <v/>
      </c>
      <c r="K52" s="84" t="str">
        <f t="shared" ca="1" si="0"/>
        <v/>
      </c>
      <c r="L52" s="84"/>
      <c r="M52" s="84" t="str">
        <f t="shared" ca="1" si="1"/>
        <v/>
      </c>
      <c r="N52" s="85" t="str">
        <f t="shared" ca="1" si="2"/>
        <v/>
      </c>
    </row>
    <row r="53" spans="2:14" hidden="1" x14ac:dyDescent="0.3">
      <c r="B53" s="82">
        <f>'ריכוז נתונים'!C53</f>
        <v>37</v>
      </c>
      <c r="C53" s="82" t="str">
        <f ca="1">'הכנסות עצמיות'!C53</f>
        <v/>
      </c>
      <c r="D53" s="83" t="str">
        <f ca="1">ארועים!P53</f>
        <v/>
      </c>
      <c r="E53" s="83" t="str">
        <f ca="1">תערוכות!F53</f>
        <v/>
      </c>
      <c r="F53" s="83" t="str">
        <f ca="1">'אתר אינטרנט'!J53</f>
        <v/>
      </c>
      <c r="G53" s="83" t="str">
        <f ca="1">עלונים!O53</f>
        <v/>
      </c>
      <c r="H53" s="83" t="str">
        <f ca="1">'ספרי עיון'!G53</f>
        <v/>
      </c>
      <c r="I53" s="83" t="str">
        <f ca="1">'הכנסות עצמיות'!H53</f>
        <v/>
      </c>
      <c r="J53" s="83" t="str">
        <f ca="1">'תיעוד ושימור'!G53</f>
        <v/>
      </c>
      <c r="K53" s="84" t="str">
        <f t="shared" ca="1" si="0"/>
        <v/>
      </c>
      <c r="L53" s="84"/>
      <c r="M53" s="84" t="str">
        <f t="shared" ca="1" si="1"/>
        <v/>
      </c>
      <c r="N53" s="85" t="str">
        <f t="shared" ca="1" si="2"/>
        <v/>
      </c>
    </row>
    <row r="54" spans="2:14" hidden="1" x14ac:dyDescent="0.3">
      <c r="B54" s="82">
        <f>'ריכוז נתונים'!C54</f>
        <v>38</v>
      </c>
      <c r="C54" s="82" t="str">
        <f ca="1">'הכנסות עצמיות'!C54</f>
        <v/>
      </c>
      <c r="D54" s="83" t="str">
        <f ca="1">ארועים!P54</f>
        <v/>
      </c>
      <c r="E54" s="83" t="str">
        <f ca="1">תערוכות!F54</f>
        <v/>
      </c>
      <c r="F54" s="83" t="str">
        <f ca="1">'אתר אינטרנט'!J54</f>
        <v/>
      </c>
      <c r="G54" s="83" t="str">
        <f ca="1">עלונים!O54</f>
        <v/>
      </c>
      <c r="H54" s="83" t="str">
        <f ca="1">'ספרי עיון'!G54</f>
        <v/>
      </c>
      <c r="I54" s="83" t="str">
        <f ca="1">'הכנסות עצמיות'!H54</f>
        <v/>
      </c>
      <c r="J54" s="83" t="str">
        <f ca="1">'תיעוד ושימור'!G54</f>
        <v/>
      </c>
      <c r="K54" s="84" t="str">
        <f t="shared" ca="1" si="0"/>
        <v/>
      </c>
      <c r="L54" s="84"/>
      <c r="M54" s="84" t="str">
        <f t="shared" ca="1" si="1"/>
        <v/>
      </c>
      <c r="N54" s="85" t="str">
        <f t="shared" ca="1" si="2"/>
        <v/>
      </c>
    </row>
    <row r="55" spans="2:14" hidden="1" x14ac:dyDescent="0.3">
      <c r="B55" s="82">
        <f>'ריכוז נתונים'!C55</f>
        <v>39</v>
      </c>
      <c r="C55" s="82" t="str">
        <f ca="1">'הכנסות עצמיות'!C55</f>
        <v/>
      </c>
      <c r="D55" s="83" t="str">
        <f ca="1">ארועים!P55</f>
        <v/>
      </c>
      <c r="E55" s="83" t="str">
        <f ca="1">תערוכות!F55</f>
        <v/>
      </c>
      <c r="F55" s="83" t="str">
        <f ca="1">'אתר אינטרנט'!J55</f>
        <v/>
      </c>
      <c r="G55" s="83" t="str">
        <f ca="1">עלונים!O55</f>
        <v/>
      </c>
      <c r="H55" s="83" t="str">
        <f ca="1">'ספרי עיון'!G55</f>
        <v/>
      </c>
      <c r="I55" s="83" t="str">
        <f ca="1">'הכנסות עצמיות'!H55</f>
        <v/>
      </c>
      <c r="J55" s="83" t="str">
        <f ca="1">'תיעוד ושימור'!G55</f>
        <v/>
      </c>
      <c r="K55" s="84" t="str">
        <f t="shared" ca="1" si="0"/>
        <v/>
      </c>
      <c r="L55" s="84"/>
      <c r="M55" s="84" t="str">
        <f t="shared" ca="1" si="1"/>
        <v/>
      </c>
      <c r="N55" s="85" t="str">
        <f t="shared" ca="1" si="2"/>
        <v/>
      </c>
    </row>
    <row r="56" spans="2:14" hidden="1" x14ac:dyDescent="0.3">
      <c r="B56" s="82">
        <f>'ריכוז נתונים'!C56</f>
        <v>40</v>
      </c>
      <c r="C56" s="82" t="str">
        <f ca="1">'הכנסות עצמיות'!C56</f>
        <v/>
      </c>
      <c r="D56" s="83" t="str">
        <f ca="1">ארועים!P56</f>
        <v/>
      </c>
      <c r="E56" s="83" t="str">
        <f ca="1">תערוכות!F56</f>
        <v/>
      </c>
      <c r="F56" s="83" t="str">
        <f ca="1">'אתר אינטרנט'!J56</f>
        <v/>
      </c>
      <c r="G56" s="83" t="str">
        <f ca="1">עלונים!O56</f>
        <v/>
      </c>
      <c r="H56" s="83" t="str">
        <f ca="1">'ספרי עיון'!G56</f>
        <v/>
      </c>
      <c r="I56" s="83" t="str">
        <f ca="1">'הכנסות עצמיות'!H56</f>
        <v/>
      </c>
      <c r="J56" s="83" t="str">
        <f ca="1">'תיעוד ושימור'!G56</f>
        <v/>
      </c>
      <c r="K56" s="84" t="str">
        <f t="shared" ca="1" si="0"/>
        <v/>
      </c>
      <c r="L56" s="84"/>
      <c r="M56" s="84" t="str">
        <f t="shared" ca="1" si="1"/>
        <v/>
      </c>
      <c r="N56" s="85" t="str">
        <f t="shared" ca="1" si="2"/>
        <v/>
      </c>
    </row>
    <row r="57" spans="2:14" hidden="1" x14ac:dyDescent="0.3">
      <c r="B57" s="82">
        <f>'ריכוז נתונים'!C57</f>
        <v>41</v>
      </c>
      <c r="C57" s="82" t="str">
        <f ca="1">'הכנסות עצמיות'!C57</f>
        <v/>
      </c>
      <c r="D57" s="83" t="str">
        <f ca="1">ארועים!P57</f>
        <v/>
      </c>
      <c r="E57" s="83" t="str">
        <f ca="1">תערוכות!F57</f>
        <v/>
      </c>
      <c r="F57" s="83" t="str">
        <f ca="1">'אתר אינטרנט'!J57</f>
        <v/>
      </c>
      <c r="G57" s="83" t="str">
        <f ca="1">עלונים!O57</f>
        <v/>
      </c>
      <c r="H57" s="83" t="str">
        <f ca="1">'ספרי עיון'!G57</f>
        <v/>
      </c>
      <c r="I57" s="83" t="str">
        <f ca="1">'הכנסות עצמיות'!H57</f>
        <v/>
      </c>
      <c r="J57" s="83" t="str">
        <f ca="1">'תיעוד ושימור'!G57</f>
        <v/>
      </c>
      <c r="K57" s="84" t="str">
        <f t="shared" ca="1" si="0"/>
        <v/>
      </c>
      <c r="L57" s="84"/>
      <c r="M57" s="84" t="str">
        <f t="shared" ca="1" si="1"/>
        <v/>
      </c>
      <c r="N57" s="85" t="str">
        <f t="shared" ca="1" si="2"/>
        <v/>
      </c>
    </row>
    <row r="58" spans="2:14" hidden="1" x14ac:dyDescent="0.3">
      <c r="B58" s="82">
        <f>'ריכוז נתונים'!C58</f>
        <v>42</v>
      </c>
      <c r="C58" s="82" t="str">
        <f ca="1">'הכנסות עצמיות'!C58</f>
        <v/>
      </c>
      <c r="D58" s="83" t="str">
        <f ca="1">ארועים!P58</f>
        <v/>
      </c>
      <c r="E58" s="83" t="str">
        <f ca="1">תערוכות!F58</f>
        <v/>
      </c>
      <c r="F58" s="83" t="str">
        <f ca="1">'אתר אינטרנט'!J58</f>
        <v/>
      </c>
      <c r="G58" s="83" t="str">
        <f ca="1">עלונים!O58</f>
        <v/>
      </c>
      <c r="H58" s="83" t="str">
        <f ca="1">'ספרי עיון'!G58</f>
        <v/>
      </c>
      <c r="I58" s="83" t="str">
        <f ca="1">'הכנסות עצמיות'!H58</f>
        <v/>
      </c>
      <c r="J58" s="83" t="str">
        <f ca="1">'תיעוד ושימור'!G58</f>
        <v/>
      </c>
      <c r="K58" s="84" t="str">
        <f t="shared" ca="1" si="0"/>
        <v/>
      </c>
      <c r="L58" s="84"/>
      <c r="M58" s="84" t="str">
        <f t="shared" ca="1" si="1"/>
        <v/>
      </c>
      <c r="N58" s="85" t="str">
        <f t="shared" ca="1" si="2"/>
        <v/>
      </c>
    </row>
    <row r="59" spans="2:14" hidden="1" x14ac:dyDescent="0.3">
      <c r="B59" s="82">
        <f>'ריכוז נתונים'!C59</f>
        <v>43</v>
      </c>
      <c r="C59" s="82" t="str">
        <f ca="1">'הכנסות עצמיות'!C59</f>
        <v/>
      </c>
      <c r="D59" s="83" t="str">
        <f ca="1">ארועים!P59</f>
        <v/>
      </c>
      <c r="E59" s="83" t="str">
        <f ca="1">תערוכות!F59</f>
        <v/>
      </c>
      <c r="F59" s="83" t="str">
        <f ca="1">'אתר אינטרנט'!J59</f>
        <v/>
      </c>
      <c r="G59" s="83" t="str">
        <f ca="1">עלונים!O59</f>
        <v/>
      </c>
      <c r="H59" s="83" t="str">
        <f ca="1">'ספרי עיון'!G59</f>
        <v/>
      </c>
      <c r="I59" s="83" t="str">
        <f ca="1">'הכנסות עצמיות'!H59</f>
        <v/>
      </c>
      <c r="J59" s="83" t="str">
        <f ca="1">'תיעוד ושימור'!G59</f>
        <v/>
      </c>
      <c r="K59" s="84" t="str">
        <f t="shared" ca="1" si="0"/>
        <v/>
      </c>
      <c r="L59" s="84"/>
      <c r="M59" s="84" t="str">
        <f t="shared" ca="1" si="1"/>
        <v/>
      </c>
      <c r="N59" s="85" t="str">
        <f t="shared" ca="1" si="2"/>
        <v/>
      </c>
    </row>
    <row r="60" spans="2:14" hidden="1" x14ac:dyDescent="0.3">
      <c r="B60" s="82">
        <f>'ריכוז נתונים'!C60</f>
        <v>44</v>
      </c>
      <c r="C60" s="82" t="str">
        <f ca="1">'הכנסות עצמיות'!C60</f>
        <v/>
      </c>
      <c r="D60" s="83" t="str">
        <f ca="1">ארועים!P60</f>
        <v/>
      </c>
      <c r="E60" s="83" t="str">
        <f ca="1">תערוכות!F60</f>
        <v/>
      </c>
      <c r="F60" s="83" t="str">
        <f ca="1">'אתר אינטרנט'!J60</f>
        <v/>
      </c>
      <c r="G60" s="83" t="str">
        <f ca="1">עלונים!O60</f>
        <v/>
      </c>
      <c r="H60" s="83" t="str">
        <f ca="1">'ספרי עיון'!G60</f>
        <v/>
      </c>
      <c r="I60" s="83" t="str">
        <f ca="1">'הכנסות עצמיות'!H60</f>
        <v/>
      </c>
      <c r="J60" s="83" t="str">
        <f ca="1">'תיעוד ושימור'!G60</f>
        <v/>
      </c>
      <c r="K60" s="84" t="str">
        <f t="shared" ca="1" si="0"/>
        <v/>
      </c>
      <c r="L60" s="84"/>
      <c r="M60" s="84" t="str">
        <f t="shared" ca="1" si="1"/>
        <v/>
      </c>
      <c r="N60" s="85" t="str">
        <f t="shared" ca="1" si="2"/>
        <v/>
      </c>
    </row>
    <row r="61" spans="2:14" hidden="1" x14ac:dyDescent="0.3">
      <c r="B61" s="82">
        <f>'ריכוז נתונים'!C61</f>
        <v>45</v>
      </c>
      <c r="C61" s="82" t="str">
        <f ca="1">'הכנסות עצמיות'!C61</f>
        <v/>
      </c>
      <c r="D61" s="83" t="str">
        <f ca="1">ארועים!P61</f>
        <v/>
      </c>
      <c r="E61" s="83" t="str">
        <f ca="1">תערוכות!F61</f>
        <v/>
      </c>
      <c r="F61" s="83" t="str">
        <f ca="1">'אתר אינטרנט'!J61</f>
        <v/>
      </c>
      <c r="G61" s="83" t="str">
        <f ca="1">עלונים!O61</f>
        <v/>
      </c>
      <c r="H61" s="83" t="str">
        <f ca="1">'ספרי עיון'!G61</f>
        <v/>
      </c>
      <c r="I61" s="83" t="str">
        <f ca="1">'הכנסות עצמיות'!H61</f>
        <v/>
      </c>
      <c r="J61" s="83" t="str">
        <f ca="1">'תיעוד ושימור'!G61</f>
        <v/>
      </c>
      <c r="K61" s="84" t="str">
        <f t="shared" ca="1" si="0"/>
        <v/>
      </c>
      <c r="L61" s="84"/>
      <c r="M61" s="84" t="str">
        <f t="shared" ca="1" si="1"/>
        <v/>
      </c>
      <c r="N61" s="85" t="str">
        <f t="shared" ca="1" si="2"/>
        <v/>
      </c>
    </row>
    <row r="62" spans="2:14" x14ac:dyDescent="0.3">
      <c r="B62" s="82">
        <f>'ריכוז נתונים'!C62</f>
        <v>46</v>
      </c>
      <c r="C62" s="82" t="str">
        <f ca="1">'הכנסות עצמיות'!C62</f>
        <v>ענבל מרכז אתני</v>
      </c>
      <c r="D62" s="83">
        <f ca="1">ארועים!P62</f>
        <v>3.0903878455690127E-2</v>
      </c>
      <c r="E62" s="83">
        <f ca="1">תערוכות!F62</f>
        <v>2.516940948693127E-2</v>
      </c>
      <c r="F62" s="83">
        <f ca="1">'אתר אינטרנט'!J62</f>
        <v>0</v>
      </c>
      <c r="G62" s="83">
        <f ca="1">עלונים!O62</f>
        <v>0</v>
      </c>
      <c r="H62" s="83">
        <f ca="1">'ספרי עיון'!G62</f>
        <v>0</v>
      </c>
      <c r="I62" s="83">
        <f ca="1">'הכנסות עצמיות'!H62</f>
        <v>4.1603661068820179E-2</v>
      </c>
      <c r="J62" s="83" t="str">
        <f ca="1">'תיעוד ושימור'!G62</f>
        <v/>
      </c>
      <c r="K62" s="84">
        <f t="shared" ca="1" si="0"/>
        <v>2.1090868963025082E-2</v>
      </c>
      <c r="L62" s="84"/>
      <c r="M62" s="84">
        <f t="shared" ca="1" si="1"/>
        <v>2.2574090190619726E-2</v>
      </c>
      <c r="N62" s="85">
        <f t="shared" ca="1" si="2"/>
        <v>338611.3528592959</v>
      </c>
    </row>
    <row r="63" spans="2:14" x14ac:dyDescent="0.3">
      <c r="B63" s="82">
        <f>'ריכוז נתונים'!C63</f>
        <v>47</v>
      </c>
      <c r="C63" s="82" t="str">
        <f ca="1">'הכנסות עצמיות'!C63</f>
        <v>א.ב. חדשות השומרונים</v>
      </c>
      <c r="D63" s="83">
        <f ca="1">ארועים!P63</f>
        <v>1.9575403190159255E-3</v>
      </c>
      <c r="E63" s="83">
        <f ca="1">תערוכות!F63</f>
        <v>0</v>
      </c>
      <c r="F63" s="83">
        <f ca="1">'אתר אינטרנט'!J63</f>
        <v>0.05</v>
      </c>
      <c r="G63" s="83">
        <f ca="1">עלונים!O63</f>
        <v>0</v>
      </c>
      <c r="H63" s="83">
        <f ca="1">'ספרי עיון'!G63</f>
        <v>5.2631578947368418E-2</v>
      </c>
      <c r="I63" s="83">
        <f ca="1">'הכנסות עצמיות'!H63</f>
        <v>2.2053412287931024E-2</v>
      </c>
      <c r="J63" s="83">
        <f ca="1">'תיעוד ושימור'!G63</f>
        <v>5.2631578947368418E-2</v>
      </c>
      <c r="K63" s="84">
        <f t="shared" ca="1" si="0"/>
        <v>1.5600370421434256E-2</v>
      </c>
      <c r="L63" s="84"/>
      <c r="M63" s="84">
        <f t="shared" ca="1" si="1"/>
        <v>1.6697470811559294E-2</v>
      </c>
      <c r="N63" s="85">
        <f t="shared" ca="1" si="2"/>
        <v>250462.06217338942</v>
      </c>
    </row>
    <row r="64" spans="2:14" hidden="1" x14ac:dyDescent="0.3">
      <c r="B64" s="82">
        <f>'ריכוז נתונים'!C64</f>
        <v>48</v>
      </c>
      <c r="C64" s="82" t="str">
        <f ca="1">'הכנסות עצמיות'!C64</f>
        <v/>
      </c>
      <c r="D64" s="83" t="str">
        <f ca="1">ארועים!P64</f>
        <v/>
      </c>
      <c r="E64" s="83" t="str">
        <f ca="1">תערוכות!F64</f>
        <v/>
      </c>
      <c r="F64" s="83" t="str">
        <f ca="1">'אתר אינטרנט'!J64</f>
        <v/>
      </c>
      <c r="G64" s="83" t="str">
        <f ca="1">עלונים!O64</f>
        <v/>
      </c>
      <c r="H64" s="83" t="str">
        <f ca="1">'ספרי עיון'!G64</f>
        <v/>
      </c>
      <c r="I64" s="83" t="str">
        <f ca="1">'הכנסות עצמיות'!H64</f>
        <v/>
      </c>
      <c r="J64" s="83" t="str">
        <f ca="1">'תיעוד ושימור'!G64</f>
        <v/>
      </c>
      <c r="K64" s="84" t="str">
        <f t="shared" ca="1" si="0"/>
        <v/>
      </c>
      <c r="L64" s="84"/>
      <c r="M64" s="84" t="str">
        <f t="shared" ca="1" si="1"/>
        <v/>
      </c>
      <c r="N64" s="85" t="str">
        <f t="shared" ca="1" si="2"/>
        <v/>
      </c>
    </row>
    <row r="65" spans="2:14" hidden="1" x14ac:dyDescent="0.3">
      <c r="B65" s="82">
        <f>'ריכוז נתונים'!C65</f>
        <v>49</v>
      </c>
      <c r="C65" s="82" t="str">
        <f ca="1">'הכנסות עצמיות'!C65</f>
        <v/>
      </c>
      <c r="D65" s="83" t="str">
        <f ca="1">ארועים!P65</f>
        <v/>
      </c>
      <c r="E65" s="83" t="str">
        <f ca="1">תערוכות!F65</f>
        <v/>
      </c>
      <c r="F65" s="83" t="str">
        <f ca="1">'אתר אינטרנט'!J65</f>
        <v/>
      </c>
      <c r="G65" s="83" t="str">
        <f ca="1">עלונים!O65</f>
        <v/>
      </c>
      <c r="H65" s="83" t="str">
        <f ca="1">'ספרי עיון'!G65</f>
        <v/>
      </c>
      <c r="I65" s="83" t="str">
        <f ca="1">'הכנסות עצמיות'!H65</f>
        <v/>
      </c>
      <c r="J65" s="83" t="str">
        <f ca="1">'תיעוד ושימור'!G65</f>
        <v/>
      </c>
      <c r="K65" s="84" t="str">
        <f t="shared" ca="1" si="0"/>
        <v/>
      </c>
      <c r="L65" s="84"/>
      <c r="M65" s="84" t="str">
        <f t="shared" ca="1" si="1"/>
        <v/>
      </c>
      <c r="N65" s="85" t="str">
        <f t="shared" ca="1" si="2"/>
        <v/>
      </c>
    </row>
    <row r="66" spans="2:14" hidden="1" x14ac:dyDescent="0.3">
      <c r="B66" s="82">
        <f>'ריכוז נתונים'!C66</f>
        <v>50</v>
      </c>
      <c r="C66" s="82" t="str">
        <f ca="1">'הכנסות עצמיות'!C66</f>
        <v/>
      </c>
      <c r="D66" s="83" t="str">
        <f ca="1">ארועים!P66</f>
        <v/>
      </c>
      <c r="E66" s="83" t="str">
        <f ca="1">תערוכות!F66</f>
        <v/>
      </c>
      <c r="F66" s="83" t="str">
        <f ca="1">'אתר אינטרנט'!J66</f>
        <v/>
      </c>
      <c r="G66" s="83" t="str">
        <f ca="1">עלונים!O66</f>
        <v/>
      </c>
      <c r="H66" s="83" t="str">
        <f ca="1">'ספרי עיון'!G66</f>
        <v/>
      </c>
      <c r="I66" s="83" t="str">
        <f ca="1">'הכנסות עצמיות'!H66</f>
        <v/>
      </c>
      <c r="J66" s="83" t="str">
        <f ca="1">'תיעוד ושימור'!G66</f>
        <v/>
      </c>
      <c r="K66" s="84" t="str">
        <f t="shared" ca="1" si="0"/>
        <v/>
      </c>
      <c r="L66" s="84"/>
      <c r="M66" s="84" t="str">
        <f t="shared" ca="1" si="1"/>
        <v/>
      </c>
      <c r="N66" s="85" t="str">
        <f t="shared" ca="1" si="2"/>
        <v/>
      </c>
    </row>
    <row r="67" spans="2:14" hidden="1" x14ac:dyDescent="0.3">
      <c r="B67" s="82">
        <f>'ריכוז נתונים'!C67</f>
        <v>51</v>
      </c>
      <c r="C67" s="82" t="str">
        <f ca="1">'הכנסות עצמיות'!C67</f>
        <v/>
      </c>
      <c r="D67" s="83" t="str">
        <f ca="1">ארועים!P67</f>
        <v/>
      </c>
      <c r="E67" s="83" t="str">
        <f ca="1">תערוכות!F67</f>
        <v/>
      </c>
      <c r="F67" s="83" t="str">
        <f ca="1">'אתר אינטרנט'!J67</f>
        <v/>
      </c>
      <c r="G67" s="83" t="str">
        <f ca="1">עלונים!O67</f>
        <v/>
      </c>
      <c r="H67" s="83" t="str">
        <f ca="1">'ספרי עיון'!G67</f>
        <v/>
      </c>
      <c r="I67" s="83" t="str">
        <f ca="1">'הכנסות עצמיות'!H67</f>
        <v/>
      </c>
      <c r="J67" s="83" t="str">
        <f ca="1">'תיעוד ושימור'!G67</f>
        <v/>
      </c>
      <c r="K67" s="84" t="str">
        <f t="shared" ca="1" si="0"/>
        <v/>
      </c>
      <c r="L67" s="84"/>
      <c r="M67" s="84" t="str">
        <f t="shared" ca="1" si="1"/>
        <v/>
      </c>
      <c r="N67" s="85" t="str">
        <f t="shared" ca="1" si="2"/>
        <v/>
      </c>
    </row>
    <row r="68" spans="2:14" x14ac:dyDescent="0.3">
      <c r="B68" s="82">
        <f>'ריכוז נתונים'!C68</f>
        <v>52</v>
      </c>
      <c r="C68" s="82" t="str">
        <f ca="1">'הכנסות עצמיות'!C68</f>
        <v>עמותת הנני</v>
      </c>
      <c r="D68" s="83">
        <f ca="1">ארועים!P68</f>
        <v>6.3020168979932054E-2</v>
      </c>
      <c r="E68" s="83">
        <f ca="1">תערוכות!F68</f>
        <v>0</v>
      </c>
      <c r="F68" s="83">
        <f ca="1">'אתר אינטרנט'!J68</f>
        <v>0</v>
      </c>
      <c r="G68" s="83">
        <f ca="1">עלונים!O68</f>
        <v>0</v>
      </c>
      <c r="H68" s="83">
        <f ca="1">'ספרי עיון'!G68</f>
        <v>0</v>
      </c>
      <c r="I68" s="83">
        <f ca="1">'הכנסות עצמיות'!H68</f>
        <v>1.358933321914148E-2</v>
      </c>
      <c r="J68" s="83" t="str">
        <f ca="1">'תיעוד ושימור'!G68</f>
        <v/>
      </c>
      <c r="K68" s="84">
        <f t="shared" ca="1" si="0"/>
        <v>3.5340559599919712E-2</v>
      </c>
      <c r="L68" s="84"/>
      <c r="M68" s="84">
        <f t="shared" ca="1" si="1"/>
        <v>3.7825894286013947E-2</v>
      </c>
      <c r="N68" s="85">
        <f t="shared" ca="1" si="2"/>
        <v>567388.41429020918</v>
      </c>
    </row>
    <row r="69" spans="2:14" hidden="1" x14ac:dyDescent="0.3">
      <c r="B69" s="82">
        <f>'ריכוז נתונים'!C69</f>
        <v>53</v>
      </c>
      <c r="C69" s="82" t="str">
        <f ca="1">'הכנסות עצמיות'!C69</f>
        <v/>
      </c>
      <c r="D69" s="83" t="str">
        <f ca="1">ארועים!P69</f>
        <v/>
      </c>
      <c r="E69" s="83" t="str">
        <f ca="1">תערוכות!F69</f>
        <v/>
      </c>
      <c r="F69" s="83" t="str">
        <f ca="1">'אתר אינטרנט'!J69</f>
        <v/>
      </c>
      <c r="G69" s="83" t="str">
        <f ca="1">עלונים!O69</f>
        <v/>
      </c>
      <c r="H69" s="83" t="str">
        <f ca="1">'ספרי עיון'!G69</f>
        <v/>
      </c>
      <c r="I69" s="83" t="str">
        <f ca="1">'הכנסות עצמיות'!H69</f>
        <v/>
      </c>
      <c r="J69" s="83" t="str">
        <f ca="1">'תיעוד ושימור'!G69</f>
        <v/>
      </c>
      <c r="K69" s="84" t="str">
        <f t="shared" ca="1" si="0"/>
        <v/>
      </c>
      <c r="L69" s="84"/>
      <c r="M69" s="84" t="str">
        <f t="shared" ca="1" si="1"/>
        <v/>
      </c>
      <c r="N69" s="85" t="str">
        <f t="shared" ca="1" si="2"/>
        <v/>
      </c>
    </row>
    <row r="70" spans="2:14" hidden="1" x14ac:dyDescent="0.3">
      <c r="B70" s="82">
        <f>'ריכוז נתונים'!C70</f>
        <v>54</v>
      </c>
      <c r="C70" s="82" t="str">
        <f ca="1">'הכנסות עצמיות'!C70</f>
        <v/>
      </c>
      <c r="D70" s="83" t="str">
        <f ca="1">ארועים!P70</f>
        <v/>
      </c>
      <c r="E70" s="83" t="str">
        <f ca="1">תערוכות!F70</f>
        <v/>
      </c>
      <c r="F70" s="83" t="str">
        <f ca="1">'אתר אינטרנט'!J70</f>
        <v/>
      </c>
      <c r="G70" s="83" t="str">
        <f ca="1">עלונים!O70</f>
        <v/>
      </c>
      <c r="H70" s="83" t="str">
        <f ca="1">'ספרי עיון'!G70</f>
        <v/>
      </c>
      <c r="I70" s="83" t="str">
        <f ca="1">'הכנסות עצמיות'!H70</f>
        <v/>
      </c>
      <c r="J70" s="83" t="str">
        <f ca="1">'תיעוד ושימור'!G70</f>
        <v/>
      </c>
      <c r="K70" s="84" t="str">
        <f t="shared" ca="1" si="0"/>
        <v/>
      </c>
      <c r="L70" s="84"/>
      <c r="M70" s="84" t="str">
        <f t="shared" ca="1" si="1"/>
        <v/>
      </c>
      <c r="N70" s="85" t="str">
        <f t="shared" ca="1" si="2"/>
        <v/>
      </c>
    </row>
    <row r="71" spans="2:14" hidden="1" x14ac:dyDescent="0.3">
      <c r="B71" s="82">
        <f>'ריכוז נתונים'!C71</f>
        <v>55</v>
      </c>
      <c r="C71" s="82" t="str">
        <f ca="1">'הכנסות עצמיות'!C71</f>
        <v/>
      </c>
      <c r="D71" s="83" t="str">
        <f ca="1">ארועים!P71</f>
        <v/>
      </c>
      <c r="E71" s="83" t="str">
        <f ca="1">תערוכות!F71</f>
        <v/>
      </c>
      <c r="F71" s="83" t="str">
        <f ca="1">'אתר אינטרנט'!J71</f>
        <v/>
      </c>
      <c r="G71" s="83" t="str">
        <f ca="1">עלונים!O71</f>
        <v/>
      </c>
      <c r="H71" s="83" t="str">
        <f ca="1">'ספרי עיון'!G71</f>
        <v/>
      </c>
      <c r="I71" s="83" t="str">
        <f ca="1">'הכנסות עצמיות'!H71</f>
        <v/>
      </c>
      <c r="J71" s="83" t="str">
        <f ca="1">'תיעוד ושימור'!G71</f>
        <v/>
      </c>
      <c r="K71" s="84" t="str">
        <f t="shared" ca="1" si="0"/>
        <v/>
      </c>
      <c r="L71" s="84"/>
      <c r="M71" s="84" t="str">
        <f t="shared" ca="1" si="1"/>
        <v/>
      </c>
      <c r="N71" s="85" t="str">
        <f t="shared" ca="1" si="2"/>
        <v/>
      </c>
    </row>
    <row r="72" spans="2:14" hidden="1" x14ac:dyDescent="0.3">
      <c r="B72" s="82">
        <f>'ריכוז נתונים'!C72</f>
        <v>56</v>
      </c>
      <c r="C72" s="82" t="str">
        <f ca="1">'הכנסות עצמיות'!C72</f>
        <v/>
      </c>
      <c r="D72" s="83" t="str">
        <f ca="1">ארועים!P72</f>
        <v/>
      </c>
      <c r="E72" s="83" t="str">
        <f ca="1">תערוכות!F72</f>
        <v/>
      </c>
      <c r="F72" s="83" t="str">
        <f ca="1">'אתר אינטרנט'!J72</f>
        <v/>
      </c>
      <c r="G72" s="83" t="str">
        <f ca="1">עלונים!O72</f>
        <v/>
      </c>
      <c r="H72" s="83" t="str">
        <f ca="1">'ספרי עיון'!G72</f>
        <v/>
      </c>
      <c r="I72" s="83" t="str">
        <f ca="1">'הכנסות עצמיות'!H72</f>
        <v/>
      </c>
      <c r="J72" s="83" t="str">
        <f ca="1">'תיעוד ושימור'!G72</f>
        <v/>
      </c>
      <c r="K72" s="84" t="str">
        <f t="shared" ca="1" si="0"/>
        <v/>
      </c>
      <c r="L72" s="84"/>
      <c r="M72" s="84" t="str">
        <f t="shared" ca="1" si="1"/>
        <v/>
      </c>
      <c r="N72" s="85" t="str">
        <f t="shared" ca="1" si="2"/>
        <v/>
      </c>
    </row>
    <row r="73" spans="2:14" hidden="1" x14ac:dyDescent="0.3">
      <c r="B73" s="82">
        <f>'ריכוז נתונים'!C73</f>
        <v>57</v>
      </c>
      <c r="C73" s="82" t="str">
        <f ca="1">'הכנסות עצמיות'!C73</f>
        <v/>
      </c>
      <c r="D73" s="83" t="str">
        <f ca="1">ארועים!P73</f>
        <v/>
      </c>
      <c r="E73" s="83" t="str">
        <f ca="1">תערוכות!F73</f>
        <v/>
      </c>
      <c r="F73" s="83" t="str">
        <f ca="1">'אתר אינטרנט'!J73</f>
        <v/>
      </c>
      <c r="G73" s="83" t="str">
        <f ca="1">עלונים!O73</f>
        <v/>
      </c>
      <c r="H73" s="83" t="str">
        <f ca="1">'ספרי עיון'!G73</f>
        <v/>
      </c>
      <c r="I73" s="83" t="str">
        <f ca="1">'הכנסות עצמיות'!H73</f>
        <v/>
      </c>
      <c r="J73" s="83" t="str">
        <f ca="1">'תיעוד ושימור'!G73</f>
        <v/>
      </c>
      <c r="K73" s="84" t="str">
        <f t="shared" ca="1" si="0"/>
        <v/>
      </c>
      <c r="L73" s="84"/>
      <c r="M73" s="84" t="str">
        <f t="shared" ca="1" si="1"/>
        <v/>
      </c>
      <c r="N73" s="85" t="str">
        <f t="shared" ca="1" si="2"/>
        <v/>
      </c>
    </row>
    <row r="74" spans="2:14" hidden="1" x14ac:dyDescent="0.3">
      <c r="B74" s="82">
        <f>'ריכוז נתונים'!C74</f>
        <v>58</v>
      </c>
      <c r="C74" s="82" t="str">
        <f ca="1">'הכנסות עצמיות'!C74</f>
        <v/>
      </c>
      <c r="D74" s="83" t="str">
        <f ca="1">ארועים!P74</f>
        <v/>
      </c>
      <c r="E74" s="83" t="str">
        <f ca="1">תערוכות!F74</f>
        <v/>
      </c>
      <c r="F74" s="83" t="str">
        <f ca="1">'אתר אינטרנט'!J74</f>
        <v/>
      </c>
      <c r="G74" s="83" t="str">
        <f ca="1">עלונים!O74</f>
        <v/>
      </c>
      <c r="H74" s="83" t="str">
        <f ca="1">'ספרי עיון'!G74</f>
        <v/>
      </c>
      <c r="I74" s="83" t="str">
        <f ca="1">'הכנסות עצמיות'!H74</f>
        <v/>
      </c>
      <c r="J74" s="83" t="str">
        <f ca="1">'תיעוד ושימור'!G74</f>
        <v/>
      </c>
      <c r="K74" s="84" t="str">
        <f t="shared" ca="1" si="0"/>
        <v/>
      </c>
      <c r="L74" s="84"/>
      <c r="M74" s="84" t="str">
        <f t="shared" ca="1" si="1"/>
        <v/>
      </c>
      <c r="N74" s="85" t="str">
        <f t="shared" ca="1" si="2"/>
        <v/>
      </c>
    </row>
    <row r="75" spans="2:14" hidden="1" x14ac:dyDescent="0.3">
      <c r="B75" s="82">
        <f>'ריכוז נתונים'!C75</f>
        <v>59</v>
      </c>
      <c r="C75" s="82" t="str">
        <f ca="1">'הכנסות עצמיות'!C75</f>
        <v/>
      </c>
      <c r="D75" s="83" t="str">
        <f ca="1">ארועים!P75</f>
        <v/>
      </c>
      <c r="E75" s="83" t="str">
        <f ca="1">תערוכות!F75</f>
        <v/>
      </c>
      <c r="F75" s="83" t="str">
        <f ca="1">'אתר אינטרנט'!J75</f>
        <v/>
      </c>
      <c r="G75" s="83" t="str">
        <f ca="1">עלונים!O75</f>
        <v/>
      </c>
      <c r="H75" s="83" t="str">
        <f ca="1">'ספרי עיון'!G75</f>
        <v/>
      </c>
      <c r="I75" s="83" t="str">
        <f ca="1">'הכנסות עצמיות'!H75</f>
        <v/>
      </c>
      <c r="J75" s="83" t="str">
        <f ca="1">'תיעוד ושימור'!G75</f>
        <v/>
      </c>
      <c r="K75" s="84" t="str">
        <f t="shared" ca="1" si="0"/>
        <v/>
      </c>
      <c r="L75" s="84"/>
      <c r="M75" s="84" t="str">
        <f t="shared" ca="1" si="1"/>
        <v/>
      </c>
      <c r="N75" s="85" t="str">
        <f t="shared" ca="1" si="2"/>
        <v/>
      </c>
    </row>
    <row r="76" spans="2:14" x14ac:dyDescent="0.3">
      <c r="B76" s="82">
        <f>'ריכוז נתונים'!C76</f>
        <v>60</v>
      </c>
      <c r="C76" s="82" t="str">
        <f ca="1">'הכנסות עצמיות'!C76</f>
        <v>שרשרת הדורות</v>
      </c>
      <c r="D76" s="83">
        <f ca="1">ארועים!P76</f>
        <v>1.8394564352559328E-2</v>
      </c>
      <c r="E76" s="83">
        <f ca="1">תערוכות!F76</f>
        <v>0</v>
      </c>
      <c r="F76" s="83">
        <f ca="1">'אתר אינטרנט'!J76</f>
        <v>0</v>
      </c>
      <c r="G76" s="83">
        <f ca="1">עלונים!O76</f>
        <v>0</v>
      </c>
      <c r="H76" s="83">
        <f ca="1">'ספרי עיון'!G76</f>
        <v>0</v>
      </c>
      <c r="I76" s="83">
        <f ca="1">'הכנסות עצמיות'!H76</f>
        <v>6.8879380157383249E-2</v>
      </c>
      <c r="J76" s="83" t="str">
        <f ca="1">'תיעוד ושימור'!G76</f>
        <v/>
      </c>
      <c r="K76" s="84">
        <f t="shared" ca="1" si="0"/>
        <v>1.3560979401776793E-2</v>
      </c>
      <c r="L76" s="84"/>
      <c r="M76" s="84">
        <f t="shared" ca="1" si="1"/>
        <v>1.4514659051057782E-2</v>
      </c>
      <c r="N76" s="85">
        <f t="shared" ca="1" si="2"/>
        <v>217719.88576586673</v>
      </c>
    </row>
    <row r="77" spans="2:14" x14ac:dyDescent="0.3">
      <c r="B77" s="82">
        <f>'ריכוז נתונים'!C77</f>
        <v>61</v>
      </c>
      <c r="C77" s="82" t="str">
        <f ca="1">'הכנסות עצמיות'!C77</f>
        <v>חיבה</v>
      </c>
      <c r="D77" s="83">
        <f ca="1">ארועים!P77</f>
        <v>2.2612748007729128E-2</v>
      </c>
      <c r="E77" s="83">
        <f ca="1">תערוכות!F77</f>
        <v>0</v>
      </c>
      <c r="F77" s="83">
        <f ca="1">'אתר אינטרנט'!J77</f>
        <v>0.05</v>
      </c>
      <c r="G77" s="83">
        <f ca="1">עלונים!O77</f>
        <v>0</v>
      </c>
      <c r="H77" s="83">
        <f ca="1">'ספרי עיון'!G77</f>
        <v>0</v>
      </c>
      <c r="I77" s="83">
        <f ca="1">'הכנסות עצמיות'!H77</f>
        <v>6.0893050487865856E-2</v>
      </c>
      <c r="J77" s="83" t="str">
        <f ca="1">'תיעוד ושימור'!G77</f>
        <v/>
      </c>
      <c r="K77" s="84">
        <f t="shared" ca="1" si="0"/>
        <v>2.0481663928644318E-2</v>
      </c>
      <c r="L77" s="84"/>
      <c r="M77" s="84">
        <f t="shared" ca="1" si="1"/>
        <v>2.1922042642706915E-2</v>
      </c>
      <c r="N77" s="85">
        <f t="shared" ref="N77:N78" ca="1" si="3">IFERROR(M77*$C$3,"")</f>
        <v>328830.63964060374</v>
      </c>
    </row>
    <row r="78" spans="2:14" hidden="1" x14ac:dyDescent="0.3">
      <c r="B78" s="82">
        <f>'ריכוז נתונים'!C78</f>
        <v>62</v>
      </c>
      <c r="C78" s="82" t="str">
        <f ca="1">'הכנסות עצמיות'!C78</f>
        <v/>
      </c>
      <c r="D78" s="83" t="str">
        <f ca="1">ארועים!P78</f>
        <v/>
      </c>
      <c r="E78" s="83" t="str">
        <f ca="1">תערוכות!F78</f>
        <v/>
      </c>
      <c r="F78" s="83" t="str">
        <f ca="1">'אתר אינטרנט'!J78</f>
        <v/>
      </c>
      <c r="G78" s="83" t="str">
        <f ca="1">עלונים!O78</f>
        <v/>
      </c>
      <c r="H78" s="83" t="str">
        <f ca="1">'ספרי עיון'!G78</f>
        <v/>
      </c>
      <c r="I78" s="83" t="str">
        <f ca="1">'הכנסות עצמיות'!H78</f>
        <v/>
      </c>
      <c r="J78" s="83" t="str">
        <f ca="1">'תיעוד ושימור'!G78</f>
        <v/>
      </c>
      <c r="K78" s="84" t="str">
        <f ca="1">IF(C78="","",SUMPRODUCT($D$16:$J$16,D78:J78)+((1-$E$79)*$E$16*#REF!)+((1-$F$79)*$F$16*#REF!))</f>
        <v/>
      </c>
      <c r="L78" s="84" t="str">
        <f t="shared" ref="L78" ca="1" si="4">IFERROR(K78,0)</f>
        <v/>
      </c>
      <c r="M78" s="84" t="str">
        <f t="shared" ref="M78" ca="1" si="5">IF($C78="","",L78/SUM(L$17:L$76))</f>
        <v/>
      </c>
      <c r="N78" s="85" t="str">
        <f t="shared" ca="1" si="3"/>
        <v/>
      </c>
    </row>
    <row r="79" spans="2:14" x14ac:dyDescent="0.3">
      <c r="B79" s="76" t="s">
        <v>187</v>
      </c>
      <c r="D79" s="120">
        <f ca="1">SUM(D17:D78)</f>
        <v>1.0000000000000002</v>
      </c>
      <c r="E79" s="120">
        <f t="shared" ref="E79:N79" ca="1" si="6">SUM(E17:E78)</f>
        <v>0.45605033881897383</v>
      </c>
      <c r="F79" s="120">
        <f t="shared" ca="1" si="6"/>
        <v>0.77811387900355888</v>
      </c>
      <c r="G79" s="120">
        <f t="shared" ca="1" si="6"/>
        <v>1</v>
      </c>
      <c r="H79" s="120">
        <f t="shared" ca="1" si="6"/>
        <v>0.99999999999999978</v>
      </c>
      <c r="I79" s="120">
        <f t="shared" ca="1" si="6"/>
        <v>0.99999999999999967</v>
      </c>
      <c r="J79" s="120">
        <f t="shared" ca="1" si="6"/>
        <v>0.99999999999999978</v>
      </c>
      <c r="K79" s="120">
        <f t="shared" ca="1" si="6"/>
        <v>0.93429541500587376</v>
      </c>
      <c r="L79" s="120">
        <f t="shared" ca="1" si="6"/>
        <v>0</v>
      </c>
      <c r="M79" s="120">
        <f t="shared" ca="1" si="6"/>
        <v>1</v>
      </c>
      <c r="N79" s="290">
        <f t="shared" ca="1" si="6"/>
        <v>15000000</v>
      </c>
    </row>
    <row r="82" spans="4:6" x14ac:dyDescent="0.3">
      <c r="E82" s="120"/>
      <c r="F82" s="120"/>
    </row>
    <row r="83" spans="4:6" x14ac:dyDescent="0.3">
      <c r="D83" s="120"/>
      <c r="E83" s="120"/>
      <c r="F83" s="120"/>
    </row>
  </sheetData>
  <sheetProtection algorithmName="SHA-512" hashValue="+Wqck0ABWHY5A1C/VyuqaYcGTeksXhc+VzoPkoLaPds8vog81Ctm0+afI0GueL2roOwYZgjby9CbdXHkCTYyAQ==" saltValue="Mnwi4tUlNw9kZcnd4IBj/A==" spinCount="100000" sheet="1" scenarios="1" formatColumns="0" formatRows="0" autoFilter="0"/>
  <mergeCells count="6">
    <mergeCell ref="B15:B16"/>
    <mergeCell ref="C15:C16"/>
    <mergeCell ref="K15:K16"/>
    <mergeCell ref="N15:N16"/>
    <mergeCell ref="M15:M16"/>
    <mergeCell ref="L15:L16"/>
  </mergeCells>
  <conditionalFormatting sqref="D17:N78">
    <cfRule type="containsText" dxfId="233" priority="1" operator="containsText" text="הזנה שגויה">
      <formula>NOT(ISERROR(SEARCH("הזנה שגויה",D17)))</formula>
    </cfRule>
    <cfRule type="expression" dxfId="232" priority="2">
      <formula>ISERROR(D17)</formula>
    </cfRule>
  </conditionalFormatting>
  <pageMargins left="0.25" right="0.25" top="0.75" bottom="0.75" header="0.3" footer="0.3"/>
  <pageSetup paperSize="9" scale="47" fitToHeight="0" orientation="landscape" r:id="rId1"/>
  <headerFooter>
    <oddFooter>&amp;C&amp;"David,מודגש"א. חפץ ושות'
ייעוץ כלכלי</oddFooter>
  </headerFooter>
  <rowBreaks count="1" manualBreakCount="1">
    <brk id="41" max="13" man="1"/>
  </rowBreaks>
  <colBreaks count="1" manualBreakCount="1">
    <brk id="8" max="7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pageSetUpPr fitToPage="1"/>
  </sheetPr>
  <dimension ref="B2:N80"/>
  <sheetViews>
    <sheetView rightToLeft="1" view="pageBreakPreview" zoomScale="70" zoomScaleNormal="80" zoomScaleSheetLayoutView="70" workbookViewId="0"/>
  </sheetViews>
  <sheetFormatPr defaultColWidth="9.140625" defaultRowHeight="20.25" x14ac:dyDescent="0.3"/>
  <cols>
    <col min="1" max="1" width="9.140625" style="76" customWidth="1"/>
    <col min="2" max="2" width="16.140625" style="76" bestFit="1" customWidth="1"/>
    <col min="3" max="3" width="42.85546875" style="76" bestFit="1" customWidth="1"/>
    <col min="4" max="4" width="10.42578125" style="76" customWidth="1"/>
    <col min="5" max="5" width="12.42578125" style="76" customWidth="1"/>
    <col min="6" max="6" width="14" style="76" bestFit="1" customWidth="1"/>
    <col min="7" max="7" width="22" style="76" bestFit="1" customWidth="1"/>
    <col min="8" max="8" width="27.85546875" style="76" bestFit="1" customWidth="1"/>
    <col min="9" max="9" width="20.140625" style="76" bestFit="1" customWidth="1"/>
    <col min="10" max="10" width="19" style="76" customWidth="1"/>
    <col min="11" max="11" width="17.7109375" style="76" bestFit="1" customWidth="1"/>
    <col min="12" max="12" width="16.140625" style="76" hidden="1" customWidth="1"/>
    <col min="13" max="13" width="17.7109375" style="76" bestFit="1" customWidth="1"/>
    <col min="14" max="14" width="23" style="76" bestFit="1" customWidth="1"/>
    <col min="15" max="16384" width="9.140625" style="76"/>
  </cols>
  <sheetData>
    <row r="2" spans="2:14" x14ac:dyDescent="0.3">
      <c r="B2" s="74" t="str">
        <f>פרמטרים!B3</f>
        <v>שנת תקציב</v>
      </c>
      <c r="C2" s="75">
        <f>פרמטרים!C3</f>
        <v>2025</v>
      </c>
      <c r="E2" s="120"/>
      <c r="L2" s="76" t="e">
        <f>#REF!=L3</f>
        <v>#REF!</v>
      </c>
    </row>
    <row r="3" spans="2:14" x14ac:dyDescent="0.3">
      <c r="B3" s="74" t="str">
        <f>פרמטרים!B4</f>
        <v xml:space="preserve">גובה תמיכה </v>
      </c>
      <c r="C3" s="77">
        <f>פרמטרים!C4</f>
        <v>15000000</v>
      </c>
      <c r="E3" s="120"/>
      <c r="F3" s="120"/>
      <c r="G3" s="120"/>
      <c r="H3" s="120"/>
      <c r="I3" s="120"/>
      <c r="J3" s="120"/>
      <c r="K3" s="120"/>
    </row>
    <row r="4" spans="2:14" x14ac:dyDescent="0.3">
      <c r="E4" s="298"/>
      <c r="F4" s="294"/>
    </row>
    <row r="5" spans="2:14" hidden="1" x14ac:dyDescent="0.3"/>
    <row r="6" spans="2:14" hidden="1" x14ac:dyDescent="0.3"/>
    <row r="7" spans="2:14" hidden="1" x14ac:dyDescent="0.3"/>
    <row r="8" spans="2:14" hidden="1" x14ac:dyDescent="0.3"/>
    <row r="9" spans="2:14" hidden="1" x14ac:dyDescent="0.3"/>
    <row r="10" spans="2:14" hidden="1" x14ac:dyDescent="0.3"/>
    <row r="11" spans="2:14" hidden="1" x14ac:dyDescent="0.3"/>
    <row r="12" spans="2:14" hidden="1" x14ac:dyDescent="0.3"/>
    <row r="13" spans="2:14" x14ac:dyDescent="0.3">
      <c r="D13" s="299"/>
      <c r="E13" s="299"/>
      <c r="F13" s="299"/>
      <c r="G13" s="299"/>
      <c r="H13" s="299"/>
      <c r="I13" s="299"/>
      <c r="J13" s="299"/>
    </row>
    <row r="14" spans="2:14" x14ac:dyDescent="0.3">
      <c r="D14" s="120"/>
      <c r="E14" s="120"/>
      <c r="F14" s="120"/>
      <c r="G14" s="120"/>
      <c r="H14" s="120"/>
      <c r="I14" s="120"/>
      <c r="J14" s="120"/>
    </row>
    <row r="15" spans="2:14" ht="42.75" customHeight="1" x14ac:dyDescent="0.3">
      <c r="B15" s="548" t="str">
        <f>'ריכוז נתונים'!C15:C16</f>
        <v>מספר סידורי</v>
      </c>
      <c r="C15" s="548" t="str">
        <f>'ריכוז נתונים'!D15:D16</f>
        <v>שם המוסד</v>
      </c>
      <c r="D15" s="307" t="str">
        <f>פרמטרים!B12</f>
        <v>ארועים</v>
      </c>
      <c r="E15" s="308" t="str">
        <f>פרמטרים!B13</f>
        <v>תערוכות</v>
      </c>
      <c r="F15" s="308" t="str">
        <f>פרמטרים!B14</f>
        <v>אתר אינטרנט</v>
      </c>
      <c r="G15" s="308" t="str">
        <f>פרמטרים!B15</f>
        <v>הוצאה לאור של עלונים</v>
      </c>
      <c r="H15" s="309" t="str">
        <f>פרמטרים!B16</f>
        <v>הוצאה לאור של ספרי עיון</v>
      </c>
      <c r="I15" s="309" t="str">
        <f>פרמטרים!B17</f>
        <v>הכנסות עצמיות</v>
      </c>
      <c r="J15" s="309" t="str">
        <f>פרמטרים!B18</f>
        <v>תיעוד ושימור</v>
      </c>
      <c r="K15" s="546" t="s">
        <v>184</v>
      </c>
      <c r="L15" s="546"/>
      <c r="M15" s="546" t="s">
        <v>185</v>
      </c>
      <c r="N15" s="546" t="s">
        <v>186</v>
      </c>
    </row>
    <row r="16" spans="2:14" x14ac:dyDescent="0.3">
      <c r="B16" s="548"/>
      <c r="C16" s="548"/>
      <c r="D16" s="296">
        <f ca="1">'תחשיב בסיסי ראשוני'!D16/SUM('תחשיב בסיסי ראשוני'!$D$16,'תחשיב בסיסי ראשוני'!$G$16,'תחשיב בסיסי ראשוני'!$H$16,'תחשיב בסיסי ראשוני'!$I$16,'תחשיב בסיסי ראשוני'!$J$16)*(((1-$E$79)*'תחשיב בסיסי ראשוני'!$E$16)+((1-$F$79)*'תחשיב בסיסי ראשוני'!$F$16))+'תחשיב בסיסי ראשוני'!D16</f>
        <v>0.59407014847167006</v>
      </c>
      <c r="E16" s="296">
        <f>'תחשיב בסיסי ראשוני'!E16</f>
        <v>0.08</v>
      </c>
      <c r="F16" s="296">
        <f>'תחשיב בסיסי ראשוני'!F16</f>
        <v>0.1</v>
      </c>
      <c r="G16" s="296">
        <f ca="1">'תחשיב בסיסי ראשוני'!G16/SUM('תחשיב בסיסי ראשוני'!$D$16,'תחשיב בסיסי ראשוני'!$G$16,'תחשיב בסיסי ראשוני'!$H$16,'תחשיב בסיסי ראשוני'!$I$16,'תחשיב בסיסי ראשוני'!$J$16)*(((1-$E$79)*'תחשיב בסיסי ראשוני'!$E$16)+((1-$F$79)*'תחשיב בסיסי ראשוני'!$F$16))+'תחשיב בסיסי ראשוני'!G16</f>
        <v>6.4807652560545811E-2</v>
      </c>
      <c r="H16" s="296">
        <f ca="1">'תחשיב בסיסי ראשוני'!H16/SUM('תחשיב בסיסי ראשוני'!$D$16,'תחשיב בסיסי ראשוני'!$G$16,'תחשיב בסיסי ראשוני'!$H$16,'תחשיב בסיסי ראשוני'!$I$16,'תחשיב בסיסי ראשוני'!$J$16)*(((1-$E$79)*'תחשיב בסיסי ראשוני'!$E$16)+((1-$F$79)*'תחשיב בסיסי ראשוני'!$F$16))+'תחשיב בסיסי ראשוני'!H16</f>
        <v>0.11881402969433401</v>
      </c>
      <c r="I16" s="296">
        <f ca="1">'תחשיב בסיסי ראשוני'!I16/SUM('תחשיב בסיסי ראשוני'!$D$16,'תחשיב בסיסי ראשוני'!$G$16,'תחשיב בסיסי ראשוני'!$H$16,'תחשיב בסיסי ראשוני'!$I$16,'תחשיב בסיסי ראשוני'!$J$16)*(((1-$E$79)*'תחשיב בסיסי ראשוני'!$E$16)+((1-$F$79)*'תחשיב בסיסי ראשוני'!$F$16))+'תחשיב בסיסי ראשוני'!I16</f>
        <v>5.4006377133788183E-2</v>
      </c>
      <c r="J16" s="296">
        <f ca="1">'תחשיב בסיסי ראשוני'!J16/SUM('תחשיב בסיסי ראשוני'!$D$16,'תחשיב בסיסי ראשוני'!$G$16,'תחשיב בסיסי ראשוני'!$H$16,'תחשיב בסיסי ראשוני'!$I$16,'תחשיב בסיסי ראשוני'!$J$16)*(((1-$E$79)*'תחשיב בסיסי ראשוני'!$E$16)+((1-$F$79)*'תחשיב בסיסי ראשוני'!$F$16))+'תחשיב בסיסי ראשוני'!J16</f>
        <v>5.4006377133788183E-2</v>
      </c>
      <c r="K16" s="547"/>
      <c r="L16" s="547"/>
      <c r="M16" s="547"/>
      <c r="N16" s="547"/>
    </row>
    <row r="17" spans="2:14" x14ac:dyDescent="0.3">
      <c r="B17" s="82">
        <f>'ריכוז נתונים'!C17</f>
        <v>1</v>
      </c>
      <c r="C17" s="82" t="str">
        <f ca="1">'הכנסות עצמיות'!C17</f>
        <v>מרכז מורשת בבל</v>
      </c>
      <c r="D17" s="83">
        <f ca="1">'תחשיב בסיסי ראשוני'!D17</f>
        <v>5.8877761079046749E-2</v>
      </c>
      <c r="E17" s="83">
        <f ca="1">'תחשיב בסיסי ראשוני'!E17</f>
        <v>1.2003872216844144E-2</v>
      </c>
      <c r="F17" s="83">
        <f ca="1">'תחשיב בסיסי ראשוני'!F17</f>
        <v>0.05</v>
      </c>
      <c r="G17" s="83">
        <f ca="1">'תחשיב בסיסי ראשוני'!G17</f>
        <v>0</v>
      </c>
      <c r="H17" s="83">
        <f ca="1">'תחשיב בסיסי ראשוני'!H17</f>
        <v>5.2631578947368418E-2</v>
      </c>
      <c r="I17" s="83">
        <f ca="1">'תחשיב בסיסי ראשוני'!I17</f>
        <v>6.8215462330050256E-2</v>
      </c>
      <c r="J17" s="83" t="str">
        <f ca="1">'תחשיב בסיסי ראשוני'!J17</f>
        <v/>
      </c>
      <c r="K17" s="84">
        <f ca="1">IF(C17="","",SUMPRODUCT($D$16:$J$16,D17:J17))</f>
        <v>5.0875270012121082E-2</v>
      </c>
      <c r="L17" s="84"/>
      <c r="M17" s="84">
        <f ca="1">IF($C17="","",K17/SUM(K$17:K$77))</f>
        <v>5.0875270012121082E-2</v>
      </c>
      <c r="N17" s="85">
        <f t="shared" ref="N17:N48" ca="1" si="0">IFERROR(M17*$C$3,"")</f>
        <v>763129.05018181622</v>
      </c>
    </row>
    <row r="18" spans="2:14" x14ac:dyDescent="0.3">
      <c r="B18" s="82">
        <f>'ריכוז נתונים'!C18</f>
        <v>2</v>
      </c>
      <c r="C18" s="82" t="str">
        <f ca="1">'הכנסות עצמיות'!C18</f>
        <v>מורשת יהודי צפון  אפריקה</v>
      </c>
      <c r="D18" s="83">
        <f ca="1">'תחשיב בסיסי ראשוני'!D18</f>
        <v>9.5035425165127998E-3</v>
      </c>
      <c r="E18" s="83">
        <f ca="1">'תחשיב בסיסי ראשוני'!E18</f>
        <v>0.05</v>
      </c>
      <c r="F18" s="83">
        <f ca="1">'תחשיב בסיסי ראשוני'!F18</f>
        <v>0.05</v>
      </c>
      <c r="G18" s="83">
        <f ca="1">'תחשיב בסיסי ראשוני'!G18</f>
        <v>0</v>
      </c>
      <c r="H18" s="83">
        <f ca="1">'תחשיב בסיסי ראשוני'!H18</f>
        <v>0</v>
      </c>
      <c r="I18" s="83">
        <f ca="1">'תחשיב בסיסי ראשוני'!I18</f>
        <v>4.4161807519915698E-2</v>
      </c>
      <c r="J18" s="83">
        <f ca="1">'תחשיב בסיסי ראשוני'!J18</f>
        <v>5.2631578947368418E-2</v>
      </c>
      <c r="K18" s="84">
        <f t="shared" ref="K18:K77" ca="1" si="1">IF(C18="","",SUMPRODUCT($D$16:$J$16,D18:J18))</f>
        <v>1.9873231047400245E-2</v>
      </c>
      <c r="L18" s="84"/>
      <c r="M18" s="84">
        <f t="shared" ref="M18:M78" ca="1" si="2">IF($C18="","",K18/SUM(K$17:K$77))</f>
        <v>1.9873231047400245E-2</v>
      </c>
      <c r="N18" s="85">
        <f t="shared" ca="1" si="0"/>
        <v>298098.46571100369</v>
      </c>
    </row>
    <row r="19" spans="2:14" x14ac:dyDescent="0.3">
      <c r="B19" s="82">
        <f>'ריכוז נתונים'!C19</f>
        <v>3</v>
      </c>
      <c r="C19" s="82" t="str">
        <f ca="1">'הכנסות עצמיות'!C19</f>
        <v>מורשת יהדות קוצין</v>
      </c>
      <c r="D19" s="83">
        <f ca="1">'תחשיב בסיסי ראשוני'!D19</f>
        <v>1.1682095452191815E-2</v>
      </c>
      <c r="E19" s="83">
        <f ca="1">'תחשיב בסיסי ראשוני'!E19</f>
        <v>0.05</v>
      </c>
      <c r="F19" s="83">
        <f ca="1">'תחשיב בסיסי ראשוני'!F19</f>
        <v>0.05</v>
      </c>
      <c r="G19" s="83">
        <f ca="1">'תחשיב בסיסי ראשוני'!G19</f>
        <v>5.9485872105374982E-2</v>
      </c>
      <c r="H19" s="83">
        <f ca="1">'תחשיב בסיסי ראשוני'!H19</f>
        <v>5.2631578947368418E-2</v>
      </c>
      <c r="I19" s="83">
        <f ca="1">'תחשיב בסיסי ראשוני'!I19</f>
        <v>4.984365520396912E-2</v>
      </c>
      <c r="J19" s="83">
        <f ca="1">'תחשיב בסיסי ראשוני'!J19</f>
        <v>0.10526315789473684</v>
      </c>
      <c r="K19" s="84">
        <f t="shared" ca="1" si="1"/>
        <v>3.4425250939551046E-2</v>
      </c>
      <c r="L19" s="84"/>
      <c r="M19" s="84">
        <f t="shared" ca="1" si="2"/>
        <v>3.4425250939551046E-2</v>
      </c>
      <c r="N19" s="85">
        <f t="shared" ca="1" si="0"/>
        <v>516378.76409326569</v>
      </c>
    </row>
    <row r="20" spans="2:14" hidden="1" x14ac:dyDescent="0.3">
      <c r="B20" s="82">
        <f>'ריכוז נתונים'!C20</f>
        <v>4</v>
      </c>
      <c r="C20" s="82" t="str">
        <f ca="1">'הכנסות עצמיות'!C20</f>
        <v>הפדרציה העולמית של יהדות תוניס</v>
      </c>
      <c r="D20" s="83">
        <f ca="1">'תחשיב בסיסי ראשוני'!D20</f>
        <v>0</v>
      </c>
      <c r="E20" s="83">
        <f ca="1">'תחשיב בסיסי ראשוני'!E20</f>
        <v>0</v>
      </c>
      <c r="F20" s="83">
        <f ca="1">'תחשיב בסיסי ראשוני'!F20</f>
        <v>0</v>
      </c>
      <c r="G20" s="83">
        <f ca="1">'תחשיב בסיסי ראשוני'!G20</f>
        <v>0</v>
      </c>
      <c r="H20" s="83">
        <f ca="1">'תחשיב בסיסי ראשוני'!H20</f>
        <v>0</v>
      </c>
      <c r="I20" s="83" t="str">
        <f ca="1">'תחשיב בסיסי ראשוני'!I20</f>
        <v>נא הזן הכנסות</v>
      </c>
      <c r="J20" s="83" t="str">
        <f ca="1">'תחשיב בסיסי ראשוני'!J20</f>
        <v/>
      </c>
      <c r="K20" s="84">
        <f t="shared" ca="1" si="1"/>
        <v>0</v>
      </c>
      <c r="L20" s="84"/>
      <c r="M20" s="84">
        <f t="shared" ca="1" si="2"/>
        <v>0</v>
      </c>
      <c r="N20" s="85">
        <f t="shared" ca="1" si="0"/>
        <v>0</v>
      </c>
    </row>
    <row r="21" spans="2:14" x14ac:dyDescent="0.3">
      <c r="B21" s="82">
        <f>'ריכוז נתונים'!C21</f>
        <v>5</v>
      </c>
      <c r="C21" s="82" t="str">
        <f ca="1">'הכנסות עצמיות'!C21</f>
        <v>התאחדות עולי מצרים</v>
      </c>
      <c r="D21" s="83">
        <f ca="1">'תחשיב בסיסי ראשוני'!D21</f>
        <v>8.840504666523535E-3</v>
      </c>
      <c r="E21" s="83">
        <f ca="1">'תחשיב בסיסי ראשוני'!E21</f>
        <v>3.8722168441432723E-4</v>
      </c>
      <c r="F21" s="83">
        <f ca="1">'תחשיב בסיסי ראשוני'!F21</f>
        <v>0.05</v>
      </c>
      <c r="G21" s="83">
        <f ca="1">'תחשיב בסיסי ראשוני'!G21</f>
        <v>0</v>
      </c>
      <c r="H21" s="83">
        <f ca="1">'תחשיב בסיסי ראשוני'!H21</f>
        <v>5.2631578947368418E-2</v>
      </c>
      <c r="I21" s="83">
        <f ca="1">'תחשיב בסיסי ראשוני'!I21</f>
        <v>3.3398781364302257E-2</v>
      </c>
      <c r="J21" s="83">
        <f ca="1">'תחשיב בסיסי ראשוני'!J21</f>
        <v>0.10526315789473684</v>
      </c>
      <c r="K21" s="84">
        <f t="shared" ca="1" si="1"/>
        <v>2.4024856624197684E-2</v>
      </c>
      <c r="L21" s="84"/>
      <c r="M21" s="84">
        <f t="shared" ca="1" si="2"/>
        <v>2.4024856624197684E-2</v>
      </c>
      <c r="N21" s="85">
        <f t="shared" ca="1" si="0"/>
        <v>360372.84936296527</v>
      </c>
    </row>
    <row r="22" spans="2:14" x14ac:dyDescent="0.3">
      <c r="B22" s="82">
        <f>'ריכוז נתונים'!C22</f>
        <v>6</v>
      </c>
      <c r="C22" s="82" t="str">
        <f ca="1">'הכנסות עצמיות'!C22</f>
        <v>יהודים יוצאי לוב</v>
      </c>
      <c r="D22" s="83">
        <f ca="1">'תחשיב בסיסי ראשוני'!D22</f>
        <v>4.4581402104040112E-3</v>
      </c>
      <c r="E22" s="83">
        <f ca="1">'תחשיב בסיסי ראשוני'!E22</f>
        <v>0</v>
      </c>
      <c r="F22" s="83">
        <f ca="1">'תחשיב בסיסי ראשוני'!F22</f>
        <v>0.05</v>
      </c>
      <c r="G22" s="83">
        <f ca="1">'תחשיב בסיסי ראשוני'!G22</f>
        <v>0.18908009347779903</v>
      </c>
      <c r="H22" s="83">
        <f ca="1">'תחשיב בסיסי ראשוני'!H22</f>
        <v>0</v>
      </c>
      <c r="I22" s="83">
        <f ca="1">'תחשיב בסיסי ראשוני'!I22</f>
        <v>5.1072391142258713E-2</v>
      </c>
      <c r="J22" s="83" t="str">
        <f ca="1">'תחשיב בסיסי ראשוני'!J22</f>
        <v/>
      </c>
      <c r="K22" s="84">
        <f t="shared" ca="1" si="1"/>
        <v>2.2660519838080123E-2</v>
      </c>
      <c r="L22" s="84"/>
      <c r="M22" s="84">
        <f t="shared" ca="1" si="2"/>
        <v>2.2660519838080123E-2</v>
      </c>
      <c r="N22" s="85">
        <f t="shared" ca="1" si="0"/>
        <v>339907.79757120187</v>
      </c>
    </row>
    <row r="23" spans="2:14" x14ac:dyDescent="0.3">
      <c r="B23" s="82">
        <f>'ריכוז נתונים'!C23</f>
        <v>7</v>
      </c>
      <c r="C23" s="82" t="str">
        <f ca="1">'הכנסות עצמיות'!C23</f>
        <v>הפדרציה העולמית של יהדות מרוקו</v>
      </c>
      <c r="D23" s="83">
        <f ca="1">'תחשיב בסיסי ראשוני'!D23</f>
        <v>3.5930336823227797E-3</v>
      </c>
      <c r="E23" s="83">
        <f ca="1">'תחשיב בסיסי ראשוני'!E23</f>
        <v>0</v>
      </c>
      <c r="F23" s="83">
        <f ca="1">'תחשיב בסיסי ראשוני'!F23</f>
        <v>4.2704626334519574E-2</v>
      </c>
      <c r="G23" s="83">
        <f ca="1">'תחשיב בסיסי ראשוני'!G23</f>
        <v>8.9228808158062473E-2</v>
      </c>
      <c r="H23" s="83">
        <f ca="1">'תחשיב בסיסי ראשוני'!H23</f>
        <v>0</v>
      </c>
      <c r="I23" s="83">
        <f ca="1">'תחשיב בסיסי ראשוני'!I23</f>
        <v>3.9463701588833222E-2</v>
      </c>
      <c r="J23" s="83" t="str">
        <f ca="1">'תחשיב בסיסי ראשוני'!J23</f>
        <v/>
      </c>
      <c r="K23" s="84">
        <f t="shared" ca="1" si="1"/>
        <v>1.4318977835174274E-2</v>
      </c>
      <c r="L23" s="84"/>
      <c r="M23" s="84">
        <f t="shared" ca="1" si="2"/>
        <v>1.4318977835174274E-2</v>
      </c>
      <c r="N23" s="85">
        <f t="shared" ca="1" si="0"/>
        <v>214784.6675276141</v>
      </c>
    </row>
    <row r="24" spans="2:14" x14ac:dyDescent="0.3">
      <c r="B24" s="82">
        <f>'ריכוז נתונים'!C24</f>
        <v>8</v>
      </c>
      <c r="C24" s="82" t="str">
        <f ca="1">'הכנסות עצמיות'!C24</f>
        <v>אורות הגליל</v>
      </c>
      <c r="D24" s="83">
        <f ca="1">'תחשיב בסיסי ראשוני'!D24</f>
        <v>2.4627120142458419E-2</v>
      </c>
      <c r="E24" s="83">
        <f ca="1">'תחשיב בסיסי ראשוני'!E24</f>
        <v>4.0658276863504358E-2</v>
      </c>
      <c r="F24" s="83">
        <f ca="1">'תחשיב בסיסי ראשוני'!F24</f>
        <v>0.05</v>
      </c>
      <c r="G24" s="83">
        <f ca="1">'תחשיב בסיסי ראשוני'!G24</f>
        <v>0</v>
      </c>
      <c r="H24" s="83">
        <f ca="1">'תחשיב בסיסי ראשוני'!H24</f>
        <v>0</v>
      </c>
      <c r="I24" s="83">
        <f ca="1">'תחשיב בסיסי ראשוני'!I24</f>
        <v>3.9143992206327138E-2</v>
      </c>
      <c r="J24" s="83">
        <f ca="1">'תחשיב בסיסי ראשוני'!J24</f>
        <v>0.10526315789473684</v>
      </c>
      <c r="K24" s="84">
        <f t="shared" ca="1" si="1"/>
        <v>3.06818060777139E-2</v>
      </c>
      <c r="L24" s="84"/>
      <c r="M24" s="84">
        <f t="shared" ca="1" si="2"/>
        <v>3.06818060777139E-2</v>
      </c>
      <c r="N24" s="85">
        <f t="shared" ca="1" si="0"/>
        <v>460227.09116570849</v>
      </c>
    </row>
    <row r="25" spans="2:14" x14ac:dyDescent="0.3">
      <c r="B25" s="82">
        <f>'ריכוז נתונים'!C25</f>
        <v>9</v>
      </c>
      <c r="C25" s="82" t="str">
        <f ca="1">'הכנסות עצמיות'!C25</f>
        <v>אלמז</v>
      </c>
      <c r="D25" s="83">
        <f ca="1">'תחשיב בסיסי ראשוני'!D25</f>
        <v>8.6952678041449342E-3</v>
      </c>
      <c r="E25" s="83">
        <f ca="1">'תחשיב בסיסי ראשוני'!E25</f>
        <v>2.904162633107454E-2</v>
      </c>
      <c r="F25" s="83">
        <f ca="1">'תחשיב בסיסי ראשוני'!F25</f>
        <v>0</v>
      </c>
      <c r="G25" s="83">
        <f ca="1">'תחשיב בסיסי ראשוני'!G25</f>
        <v>0</v>
      </c>
      <c r="H25" s="83">
        <f ca="1">'תחשיב בסיסי ראשוני'!H25</f>
        <v>0</v>
      </c>
      <c r="I25" s="83">
        <f ca="1">'תחשיב בסיסי ראשוני'!I25</f>
        <v>2.9974363993654371E-2</v>
      </c>
      <c r="J25" s="83" t="str">
        <f ca="1">'תחשיב בסיסי ראשוני'!J25</f>
        <v/>
      </c>
      <c r="K25" s="84">
        <f t="shared" ca="1" si="1"/>
        <v>9.1077359480820162E-3</v>
      </c>
      <c r="L25" s="84"/>
      <c r="M25" s="84">
        <f t="shared" ca="1" si="2"/>
        <v>9.1077359480820162E-3</v>
      </c>
      <c r="N25" s="85">
        <f t="shared" ca="1" si="0"/>
        <v>136616.03922123025</v>
      </c>
    </row>
    <row r="26" spans="2:14" x14ac:dyDescent="0.3">
      <c r="B26" s="82">
        <f>'ריכוז נתונים'!C26</f>
        <v>10</v>
      </c>
      <c r="C26" s="82" t="str">
        <f ca="1">'הכנסות עצמיות'!C26</f>
        <v>קונגרס יהודי בוכרה</v>
      </c>
      <c r="D26" s="83">
        <f ca="1">'תחשיב בסיסי ראשוני'!D26</f>
        <v>0.12029400992662381</v>
      </c>
      <c r="E26" s="83">
        <f ca="1">'תחשיב בסיסי ראשוני'!E26</f>
        <v>0</v>
      </c>
      <c r="F26" s="83">
        <f ca="1">'תחשיב בסיסי ראשוני'!F26</f>
        <v>4.2704626334519574E-2</v>
      </c>
      <c r="G26" s="83">
        <f ca="1">'תחשיב בסיסי ראשוני'!G26</f>
        <v>0.33779477374123651</v>
      </c>
      <c r="H26" s="83">
        <f ca="1">'תחשיב בסיסי ראשוני'!H26</f>
        <v>0</v>
      </c>
      <c r="I26" s="83">
        <f ca="1">'תחשיב בסיסי ראשוני'!I26</f>
        <v>6.2129334072792829E-2</v>
      </c>
      <c r="J26" s="83">
        <f ca="1">'תחשיב בסיסי ראשוני'!J26</f>
        <v>5.2631578947368418E-2</v>
      </c>
      <c r="K26" s="84">
        <f t="shared" ca="1" si="1"/>
        <v>0.10382305045298884</v>
      </c>
      <c r="L26" s="84"/>
      <c r="M26" s="84">
        <f t="shared" ca="1" si="2"/>
        <v>0.10382305045298884</v>
      </c>
      <c r="N26" s="85">
        <f t="shared" ca="1" si="0"/>
        <v>1557345.7567948326</v>
      </c>
    </row>
    <row r="27" spans="2:14" x14ac:dyDescent="0.3">
      <c r="B27" s="82">
        <f>'ריכוז נתונים'!C27</f>
        <v>11</v>
      </c>
      <c r="C27" s="82" t="str">
        <f ca="1">'הכנסות עצמיות'!C27</f>
        <v>יהדות שאלוניקי יוון</v>
      </c>
      <c r="D27" s="83">
        <f ca="1">'תחשיב בסיסי ראשוני'!D27</f>
        <v>1.5047801871661133E-2</v>
      </c>
      <c r="E27" s="83">
        <f ca="1">'תחשיב בסיסי ראשוני'!E27</f>
        <v>0.05</v>
      </c>
      <c r="F27" s="83">
        <f ca="1">'תחשיב בסיסי ראשוני'!F27</f>
        <v>0.05</v>
      </c>
      <c r="G27" s="83">
        <f ca="1">'תחשיב בסיסי ראשוני'!G27</f>
        <v>0</v>
      </c>
      <c r="H27" s="83">
        <f ca="1">'תחשיב בסיסי ראשוני'!H27</f>
        <v>0</v>
      </c>
      <c r="I27" s="83">
        <f ca="1">'תחשיב בסיסי ראשוני'!I27</f>
        <v>5.911764439895964E-2</v>
      </c>
      <c r="J27" s="83" t="str">
        <f ca="1">'תחשיב בסיסי ראשוני'!J27</f>
        <v/>
      </c>
      <c r="K27" s="84">
        <f t="shared" ca="1" si="1"/>
        <v>2.1132179690741399E-2</v>
      </c>
      <c r="L27" s="84"/>
      <c r="M27" s="84">
        <f t="shared" ca="1" si="2"/>
        <v>2.1132179690741399E-2</v>
      </c>
      <c r="N27" s="85">
        <f t="shared" ca="1" si="0"/>
        <v>316982.69536112098</v>
      </c>
    </row>
    <row r="28" spans="2:14" hidden="1" x14ac:dyDescent="0.3">
      <c r="B28" s="82">
        <f>'ריכוז נתונים'!C28</f>
        <v>12</v>
      </c>
      <c r="C28" s="82" t="str">
        <f ca="1">'הכנסות עצמיות'!C28</f>
        <v/>
      </c>
      <c r="D28" s="83" t="str">
        <f ca="1">'תחשיב בסיסי ראשוני'!D28</f>
        <v/>
      </c>
      <c r="E28" s="83" t="str">
        <f ca="1">'תחשיב בסיסי ראשוני'!E28</f>
        <v/>
      </c>
      <c r="F28" s="83" t="str">
        <f ca="1">'תחשיב בסיסי ראשוני'!F28</f>
        <v/>
      </c>
      <c r="G28" s="83" t="str">
        <f ca="1">'תחשיב בסיסי ראשוני'!G28</f>
        <v/>
      </c>
      <c r="H28" s="83" t="str">
        <f ca="1">'תחשיב בסיסי ראשוני'!H28</f>
        <v/>
      </c>
      <c r="I28" s="83" t="str">
        <f ca="1">'תחשיב בסיסי ראשוני'!I28</f>
        <v/>
      </c>
      <c r="J28" s="83" t="str">
        <f ca="1">'תחשיב בסיסי ראשוני'!J28</f>
        <v/>
      </c>
      <c r="K28" s="84" t="str">
        <f t="shared" ca="1" si="1"/>
        <v/>
      </c>
      <c r="L28" s="84"/>
      <c r="M28" s="84" t="str">
        <f t="shared" ca="1" si="2"/>
        <v/>
      </c>
      <c r="N28" s="85" t="str">
        <f t="shared" ca="1" si="0"/>
        <v/>
      </c>
    </row>
    <row r="29" spans="2:14" hidden="1" x14ac:dyDescent="0.3">
      <c r="B29" s="82">
        <f>'ריכוז נתונים'!C29</f>
        <v>13</v>
      </c>
      <c r="C29" s="82" t="str">
        <f ca="1">'הכנסות עצמיות'!C29</f>
        <v/>
      </c>
      <c r="D29" s="83" t="str">
        <f ca="1">'תחשיב בסיסי ראשוני'!D29</f>
        <v/>
      </c>
      <c r="E29" s="83" t="str">
        <f ca="1">'תחשיב בסיסי ראשוני'!E29</f>
        <v/>
      </c>
      <c r="F29" s="83" t="str">
        <f ca="1">'תחשיב בסיסי ראשוני'!F29</f>
        <v/>
      </c>
      <c r="G29" s="83" t="str">
        <f ca="1">'תחשיב בסיסי ראשוני'!G29</f>
        <v/>
      </c>
      <c r="H29" s="83" t="str">
        <f ca="1">'תחשיב בסיסי ראשוני'!H29</f>
        <v/>
      </c>
      <c r="I29" s="83" t="str">
        <f ca="1">'תחשיב בסיסי ראשוני'!I29</f>
        <v/>
      </c>
      <c r="J29" s="83" t="str">
        <f ca="1">'תחשיב בסיסי ראשוני'!J29</f>
        <v/>
      </c>
      <c r="K29" s="84" t="str">
        <f t="shared" ca="1" si="1"/>
        <v/>
      </c>
      <c r="L29" s="84"/>
      <c r="M29" s="84" t="str">
        <f t="shared" ca="1" si="2"/>
        <v/>
      </c>
      <c r="N29" s="85" t="str">
        <f t="shared" ca="1" si="0"/>
        <v/>
      </c>
    </row>
    <row r="30" spans="2:14" hidden="1" x14ac:dyDescent="0.3">
      <c r="B30" s="82">
        <f>'ריכוז נתונים'!C30</f>
        <v>14</v>
      </c>
      <c r="C30" s="82" t="str">
        <f ca="1">'הכנסות עצמיות'!C30</f>
        <v/>
      </c>
      <c r="D30" s="83" t="str">
        <f ca="1">'תחשיב בסיסי ראשוני'!D30</f>
        <v/>
      </c>
      <c r="E30" s="83" t="str">
        <f ca="1">'תחשיב בסיסי ראשוני'!E30</f>
        <v/>
      </c>
      <c r="F30" s="83" t="str">
        <f ca="1">'תחשיב בסיסי ראשוני'!F30</f>
        <v/>
      </c>
      <c r="G30" s="83" t="str">
        <f ca="1">'תחשיב בסיסי ראשוני'!G30</f>
        <v/>
      </c>
      <c r="H30" s="83" t="str">
        <f ca="1">'תחשיב בסיסי ראשוני'!H30</f>
        <v/>
      </c>
      <c r="I30" s="83" t="str">
        <f ca="1">'תחשיב בסיסי ראשוני'!I30</f>
        <v/>
      </c>
      <c r="J30" s="83" t="str">
        <f ca="1">'תחשיב בסיסי ראשוני'!J30</f>
        <v/>
      </c>
      <c r="K30" s="84" t="str">
        <f t="shared" ca="1" si="1"/>
        <v/>
      </c>
      <c r="L30" s="84"/>
      <c r="M30" s="84" t="str">
        <f t="shared" ca="1" si="2"/>
        <v/>
      </c>
      <c r="N30" s="85" t="str">
        <f t="shared" ca="1" si="0"/>
        <v/>
      </c>
    </row>
    <row r="31" spans="2:14" x14ac:dyDescent="0.3">
      <c r="B31" s="82">
        <f>'ריכוז נתונים'!C31</f>
        <v>15</v>
      </c>
      <c r="C31" s="82" t="str">
        <f ca="1">'הכנסות עצמיות'!C31</f>
        <v xml:space="preserve">החברה לטיפוח חברה תרבות תיעוד </v>
      </c>
      <c r="D31" s="83">
        <f ca="1">'תחשיב בסיסי ראשוני'!D31</f>
        <v>0.17604602114143547</v>
      </c>
      <c r="E31" s="83">
        <f ca="1">'תחשיב בסיסי ראשוני'!E31</f>
        <v>0</v>
      </c>
      <c r="F31" s="83">
        <f ca="1">'תחשיב בסיסי ראשוני'!F31</f>
        <v>0.05</v>
      </c>
      <c r="G31" s="83">
        <f ca="1">'תחשיב בסיסי ראשוני'!G31</f>
        <v>8.8166560441895053E-2</v>
      </c>
      <c r="H31" s="83">
        <f ca="1">'תחשיב בסיסי ראשוני'!H31</f>
        <v>0.47368421052631576</v>
      </c>
      <c r="I31" s="83">
        <f ca="1">'תחשיב בסיסי ראשוני'!I31</f>
        <v>5.4578586652362107E-2</v>
      </c>
      <c r="J31" s="83">
        <f ca="1">'תחשיב בסיסי ראשוני'!J31</f>
        <v>0.10526315789473684</v>
      </c>
      <c r="K31" s="84">
        <f t="shared" ca="1" si="1"/>
        <v>0.18021035712686012</v>
      </c>
      <c r="L31" s="84"/>
      <c r="M31" s="84">
        <f t="shared" ca="1" si="2"/>
        <v>0.18021035712686012</v>
      </c>
      <c r="N31" s="85">
        <f t="shared" ca="1" si="0"/>
        <v>2703155.356902902</v>
      </c>
    </row>
    <row r="32" spans="2:14" x14ac:dyDescent="0.3">
      <c r="B32" s="82">
        <f>'ריכוז נתונים'!C32</f>
        <v>16</v>
      </c>
      <c r="C32" s="82" t="str">
        <f ca="1">'הכנסות עצמיות'!C32</f>
        <v>עמותת אור שלום</v>
      </c>
      <c r="D32" s="83">
        <f ca="1">'תחשיב בסיסי ראשוני'!D32</f>
        <v>1.1366363142673117E-2</v>
      </c>
      <c r="E32" s="83">
        <f ca="1">'תחשיב בסיסי ראשוני'!E32</f>
        <v>0.05</v>
      </c>
      <c r="F32" s="83">
        <f ca="1">'תחשיב בסיסי ראשוני'!F32</f>
        <v>0.05</v>
      </c>
      <c r="G32" s="83">
        <f ca="1">'תחשיב בסיסי ראשוני'!G32</f>
        <v>0.15190142341193968</v>
      </c>
      <c r="H32" s="83">
        <f ca="1">'תחשיב בסיסי ראשוני'!H32</f>
        <v>5.2631578947368418E-2</v>
      </c>
      <c r="I32" s="83">
        <f ca="1">'תחשיב בסיסי ראשוני'!I32</f>
        <v>2.8240141267331459E-2</v>
      </c>
      <c r="J32" s="83">
        <f ca="1">'תחשיב בסיסי ראשוני'!J32</f>
        <v>0.10526315789473684</v>
      </c>
      <c r="K32" s="84">
        <f t="shared" ca="1" si="1"/>
        <v>3.9060191218748007E-2</v>
      </c>
      <c r="L32" s="84"/>
      <c r="M32" s="84">
        <f t="shared" ca="1" si="2"/>
        <v>3.9060191218748007E-2</v>
      </c>
      <c r="N32" s="85">
        <f t="shared" ca="1" si="0"/>
        <v>585902.86828122009</v>
      </c>
    </row>
    <row r="33" spans="2:14" hidden="1" x14ac:dyDescent="0.3">
      <c r="B33" s="82">
        <f>'ריכוז נתונים'!C33</f>
        <v>17</v>
      </c>
      <c r="C33" s="82" t="str">
        <f ca="1">'הכנסות עצמיות'!C33</f>
        <v/>
      </c>
      <c r="D33" s="83" t="str">
        <f ca="1">'תחשיב בסיסי ראשוני'!D33</f>
        <v/>
      </c>
      <c r="E33" s="83" t="str">
        <f ca="1">'תחשיב בסיסי ראשוני'!E33</f>
        <v/>
      </c>
      <c r="F33" s="83" t="str">
        <f ca="1">'תחשיב בסיסי ראשוני'!F33</f>
        <v/>
      </c>
      <c r="G33" s="83" t="str">
        <f ca="1">'תחשיב בסיסי ראשוני'!G33</f>
        <v/>
      </c>
      <c r="H33" s="83" t="str">
        <f ca="1">'תחשיב בסיסי ראשוני'!H33</f>
        <v/>
      </c>
      <c r="I33" s="83" t="str">
        <f ca="1">'תחשיב בסיסי ראשוני'!I33</f>
        <v/>
      </c>
      <c r="J33" s="83" t="str">
        <f ca="1">'תחשיב בסיסי ראשוני'!J33</f>
        <v/>
      </c>
      <c r="K33" s="84" t="str">
        <f t="shared" ca="1" si="1"/>
        <v/>
      </c>
      <c r="L33" s="84"/>
      <c r="M33" s="84" t="str">
        <f t="shared" ca="1" si="2"/>
        <v/>
      </c>
      <c r="N33" s="85" t="str">
        <f t="shared" ca="1" si="0"/>
        <v/>
      </c>
    </row>
    <row r="34" spans="2:14" x14ac:dyDescent="0.3">
      <c r="B34" s="82">
        <f>'ריכוז נתונים'!C34</f>
        <v>18</v>
      </c>
      <c r="C34" s="82" t="str">
        <f ca="1">'הכנסות עצמיות'!C34</f>
        <v>ישיבת קרלין סטולין</v>
      </c>
      <c r="D34" s="83">
        <f ca="1">'תחשיב בסיסי ראשוני'!D34</f>
        <v>3.0310301713794979E-2</v>
      </c>
      <c r="E34" s="83">
        <f ca="1">'תחשיב בסיסי ראשוני'!E34</f>
        <v>0</v>
      </c>
      <c r="F34" s="83">
        <f ca="1">'תחשיב בסיסי ראשוני'!F34</f>
        <v>0</v>
      </c>
      <c r="G34" s="83">
        <f ca="1">'תחשיב בסיסי ראשוני'!G34</f>
        <v>0</v>
      </c>
      <c r="H34" s="83">
        <f ca="1">'תחשיב בסיסי ראשוני'!H34</f>
        <v>0</v>
      </c>
      <c r="I34" s="83">
        <f ca="1">'תחשיב בסיסי ראשוני'!I34</f>
        <v>4.5259082461262916E-2</v>
      </c>
      <c r="J34" s="83" t="str">
        <f ca="1">'תחשיב בסיסי ראשוני'!J34</f>
        <v/>
      </c>
      <c r="K34" s="84">
        <f t="shared" ca="1" si="1"/>
        <v>2.0450724515467485E-2</v>
      </c>
      <c r="L34" s="84"/>
      <c r="M34" s="84">
        <f t="shared" ca="1" si="2"/>
        <v>2.0450724515467485E-2</v>
      </c>
      <c r="N34" s="85">
        <f t="shared" ca="1" si="0"/>
        <v>306760.8677320123</v>
      </c>
    </row>
    <row r="35" spans="2:14" hidden="1" x14ac:dyDescent="0.3">
      <c r="B35" s="82">
        <f>'ריכוז נתונים'!C35</f>
        <v>19</v>
      </c>
      <c r="C35" s="82" t="str">
        <f ca="1">'הכנסות עצמיות'!C35</f>
        <v/>
      </c>
      <c r="D35" s="83" t="str">
        <f ca="1">'תחשיב בסיסי ראשוני'!D35</f>
        <v/>
      </c>
      <c r="E35" s="83" t="str">
        <f ca="1">'תחשיב בסיסי ראשוני'!E35</f>
        <v/>
      </c>
      <c r="F35" s="83" t="str">
        <f ca="1">'תחשיב בסיסי ראשוני'!F35</f>
        <v/>
      </c>
      <c r="G35" s="83" t="str">
        <f ca="1">'תחשיב בסיסי ראשוני'!G35</f>
        <v/>
      </c>
      <c r="H35" s="83" t="str">
        <f ca="1">'תחשיב בסיסי ראשוני'!H35</f>
        <v/>
      </c>
      <c r="I35" s="83" t="str">
        <f ca="1">'תחשיב בסיסי ראשוני'!I35</f>
        <v/>
      </c>
      <c r="J35" s="83" t="str">
        <f ca="1">'תחשיב בסיסי ראשוני'!J35</f>
        <v/>
      </c>
      <c r="K35" s="84" t="str">
        <f t="shared" ca="1" si="1"/>
        <v/>
      </c>
      <c r="L35" s="84"/>
      <c r="M35" s="84" t="str">
        <f t="shared" ca="1" si="2"/>
        <v/>
      </c>
      <c r="N35" s="85" t="str">
        <f t="shared" ca="1" si="0"/>
        <v/>
      </c>
    </row>
    <row r="36" spans="2:14" hidden="1" x14ac:dyDescent="0.3">
      <c r="B36" s="82">
        <f>'ריכוז נתונים'!C36</f>
        <v>20</v>
      </c>
      <c r="C36" s="82" t="str">
        <f ca="1">'הכנסות עצמיות'!C36</f>
        <v/>
      </c>
      <c r="D36" s="83" t="str">
        <f ca="1">'תחשיב בסיסי ראשוני'!D36</f>
        <v/>
      </c>
      <c r="E36" s="83" t="str">
        <f ca="1">'תחשיב בסיסי ראשוני'!E36</f>
        <v/>
      </c>
      <c r="F36" s="83" t="str">
        <f ca="1">'תחשיב בסיסי ראשוני'!F36</f>
        <v/>
      </c>
      <c r="G36" s="83" t="str">
        <f ca="1">'תחשיב בסיסי ראשוני'!G36</f>
        <v/>
      </c>
      <c r="H36" s="83" t="str">
        <f ca="1">'תחשיב בסיסי ראשוני'!H36</f>
        <v/>
      </c>
      <c r="I36" s="83" t="str">
        <f ca="1">'תחשיב בסיסי ראשוני'!I36</f>
        <v/>
      </c>
      <c r="J36" s="83" t="str">
        <f ca="1">'תחשיב בסיסי ראשוני'!J36</f>
        <v/>
      </c>
      <c r="K36" s="84" t="str">
        <f t="shared" ca="1" si="1"/>
        <v/>
      </c>
      <c r="L36" s="84"/>
      <c r="M36" s="84" t="str">
        <f t="shared" ca="1" si="2"/>
        <v/>
      </c>
      <c r="N36" s="85" t="str">
        <f t="shared" ca="1" si="0"/>
        <v/>
      </c>
    </row>
    <row r="37" spans="2:14" x14ac:dyDescent="0.3">
      <c r="B37" s="82">
        <f>'ריכוז נתונים'!C37</f>
        <v>21</v>
      </c>
      <c r="C37" s="82" t="str">
        <f ca="1">'הכנסות עצמיות'!C37</f>
        <v>ברית יוצאי מרוקו</v>
      </c>
      <c r="D37" s="83">
        <f ca="1">'תחשיב בסיסי ראשוני'!D37</f>
        <v>8.884707189856152E-3</v>
      </c>
      <c r="E37" s="83">
        <f ca="1">'תחשיב בסיסי ראשוני'!E37</f>
        <v>2.904162633107454E-2</v>
      </c>
      <c r="F37" s="83">
        <f ca="1">'תחשיב בסיסי ראשוני'!F37</f>
        <v>0</v>
      </c>
      <c r="G37" s="83">
        <f ca="1">'תחשיב בסיסי ראשוני'!G37</f>
        <v>0</v>
      </c>
      <c r="H37" s="83">
        <f ca="1">'תחשיב בסיסי ראשוני'!H37</f>
        <v>0</v>
      </c>
      <c r="I37" s="83">
        <f ca="1">'תחשיב בסיסי ראשוני'!I37</f>
        <v>7.9769229900790189E-2</v>
      </c>
      <c r="J37" s="83" t="str">
        <f ca="1">'תחשיב בסיסי ראשוני'!J37</f>
        <v/>
      </c>
      <c r="K37" s="84">
        <f t="shared" ca="1" si="1"/>
        <v>1.190951653958505E-2</v>
      </c>
      <c r="L37" s="84"/>
      <c r="M37" s="84">
        <f t="shared" ca="1" si="2"/>
        <v>1.190951653958505E-2</v>
      </c>
      <c r="N37" s="85">
        <f t="shared" ca="1" si="0"/>
        <v>178642.74809377576</v>
      </c>
    </row>
    <row r="38" spans="2:14" x14ac:dyDescent="0.3">
      <c r="B38" s="82">
        <f>'ריכוז נתונים'!C38</f>
        <v>22</v>
      </c>
      <c r="C38" s="82" t="str">
        <f ca="1">'הכנסות עצמיות'!C38</f>
        <v>הקם - בית הקונפדרציה</v>
      </c>
      <c r="D38" s="83">
        <f ca="1">'תחשיב בסיסי ראשוני'!D38</f>
        <v>3.5740897437516579E-2</v>
      </c>
      <c r="E38" s="83">
        <f ca="1">'תחשיב בסיסי ראשוני'!E38</f>
        <v>0</v>
      </c>
      <c r="F38" s="83">
        <f ca="1">'תחשיב בסיסי ראשוני'!F38</f>
        <v>0</v>
      </c>
      <c r="G38" s="83">
        <f ca="1">'תחשיב בסיסי ראשוני'!G38</f>
        <v>0</v>
      </c>
      <c r="H38" s="83">
        <f ca="1">'תחשיב בסיסי ראשוני'!H38</f>
        <v>0</v>
      </c>
      <c r="I38" s="83">
        <f ca="1">'תחשיב בסיסי ראשוני'!I38</f>
        <v>2.6850757289466363E-2</v>
      </c>
      <c r="J38" s="83">
        <f ca="1">'תחשיב בסיסי ראשוני'!J38</f>
        <v>0.10526315789473684</v>
      </c>
      <c r="K38" s="84">
        <f t="shared" ca="1" si="1"/>
        <v>2.8367594175275589E-2</v>
      </c>
      <c r="L38" s="84"/>
      <c r="M38" s="84">
        <f t="shared" ca="1" si="2"/>
        <v>2.8367594175275589E-2</v>
      </c>
      <c r="N38" s="85">
        <f t="shared" ca="1" si="0"/>
        <v>425513.91262913385</v>
      </c>
    </row>
    <row r="39" spans="2:14" x14ac:dyDescent="0.3">
      <c r="B39" s="82">
        <f>'ריכוז נתונים'!C39</f>
        <v>23</v>
      </c>
      <c r="C39" s="82" t="str">
        <f ca="1">'הכנסות עצמיות'!C39</f>
        <v>מוסיקה מזרח מערב</v>
      </c>
      <c r="D39" s="83">
        <f ca="1">'תחשיב בסיסי ראשוני'!D39</f>
        <v>8.5374016493855856E-2</v>
      </c>
      <c r="E39" s="83">
        <f ca="1">'תחשיב בסיסי ראשוני'!E39</f>
        <v>1.9748305905130686E-2</v>
      </c>
      <c r="F39" s="83">
        <f ca="1">'תחשיב בסיסי ראשוני'!F39</f>
        <v>0.05</v>
      </c>
      <c r="G39" s="83">
        <f ca="1">'תחשיב בסיסי ראשוני'!G39</f>
        <v>0</v>
      </c>
      <c r="H39" s="83">
        <f ca="1">'תחשיב בסיסי ראשוני'!H39</f>
        <v>0</v>
      </c>
      <c r="I39" s="83">
        <f ca="1">'תחשיב בסיסי ראשוני'!I39</f>
        <v>9.9473381064767701E-3</v>
      </c>
      <c r="J39" s="83">
        <f ca="1">'תחשיב בסיסי ראשוני'!J39</f>
        <v>0.10526315789473684</v>
      </c>
      <c r="K39" s="84">
        <f t="shared" ca="1" si="1"/>
        <v>6.3520120623350551E-2</v>
      </c>
      <c r="L39" s="84"/>
      <c r="M39" s="84">
        <f t="shared" ca="1" si="2"/>
        <v>6.3520120623350551E-2</v>
      </c>
      <c r="N39" s="85">
        <f t="shared" ca="1" si="0"/>
        <v>952801.80935025832</v>
      </c>
    </row>
    <row r="40" spans="2:14" x14ac:dyDescent="0.3">
      <c r="B40" s="82">
        <f>'ריכוז נתונים'!C40</f>
        <v>24</v>
      </c>
      <c r="C40" s="82" t="str">
        <f ca="1">'הכנסות עצמיות'!C40</f>
        <v>אעלה בתמר</v>
      </c>
      <c r="D40" s="83">
        <f ca="1">'תחשיב בסיסי ראשוני'!D40</f>
        <v>0.18082620830754853</v>
      </c>
      <c r="E40" s="83">
        <f ca="1">'תחשיב בסיסי ראשוני'!E40</f>
        <v>0</v>
      </c>
      <c r="F40" s="83">
        <f ca="1">'תחשיב בסיסי ראשוני'!F40</f>
        <v>0.05</v>
      </c>
      <c r="G40" s="83">
        <f ca="1">'תחשיב בסיסי ראשוני'!G40</f>
        <v>8.4342468663692369E-2</v>
      </c>
      <c r="H40" s="83">
        <f ca="1">'תחשיב בסיסי ראשוני'!H40</f>
        <v>0.26315789473684209</v>
      </c>
      <c r="I40" s="83">
        <f ca="1">'תחשיב בסיסי ראשוני'!I40</f>
        <v>4.3549039873869912E-2</v>
      </c>
      <c r="J40" s="83">
        <f ca="1">'תחשיב בסיסי ראשוני'!J40</f>
        <v>5.2631578947368418E-2</v>
      </c>
      <c r="K40" s="84">
        <f t="shared" ca="1" si="1"/>
        <v>0.15435070651467231</v>
      </c>
      <c r="L40" s="84"/>
      <c r="M40" s="84">
        <f t="shared" ca="1" si="2"/>
        <v>0.15435070651467231</v>
      </c>
      <c r="N40" s="85">
        <f t="shared" ca="1" si="0"/>
        <v>2315260.5977200847</v>
      </c>
    </row>
    <row r="41" spans="2:14" hidden="1" x14ac:dyDescent="0.3">
      <c r="B41" s="82">
        <f>'ריכוז נתונים'!C41</f>
        <v>25</v>
      </c>
      <c r="C41" s="82" t="str">
        <f ca="1">'הכנסות עצמיות'!C41</f>
        <v/>
      </c>
      <c r="D41" s="83" t="str">
        <f ca="1">'תחשיב בסיסי ראשוני'!D41</f>
        <v/>
      </c>
      <c r="E41" s="83" t="str">
        <f ca="1">'תחשיב בסיסי ראשוני'!E41</f>
        <v/>
      </c>
      <c r="F41" s="83" t="str">
        <f ca="1">'תחשיב בסיסי ראשוני'!F41</f>
        <v/>
      </c>
      <c r="G41" s="83" t="str">
        <f ca="1">'תחשיב בסיסי ראשוני'!G41</f>
        <v/>
      </c>
      <c r="H41" s="83" t="str">
        <f ca="1">'תחשיב בסיסי ראשוני'!H41</f>
        <v/>
      </c>
      <c r="I41" s="83" t="str">
        <f ca="1">'תחשיב בסיסי ראשוני'!I41</f>
        <v/>
      </c>
      <c r="J41" s="83" t="str">
        <f ca="1">'תחשיב בסיסי ראשוני'!J41</f>
        <v/>
      </c>
      <c r="K41" s="84" t="str">
        <f t="shared" ca="1" si="1"/>
        <v/>
      </c>
      <c r="L41" s="84"/>
      <c r="M41" s="84" t="str">
        <f t="shared" ca="1" si="2"/>
        <v/>
      </c>
      <c r="N41" s="85" t="str">
        <f t="shared" ca="1" si="0"/>
        <v/>
      </c>
    </row>
    <row r="42" spans="2:14" hidden="1" x14ac:dyDescent="0.3">
      <c r="B42" s="82">
        <f>'ריכוז נתונים'!C42</f>
        <v>26</v>
      </c>
      <c r="C42" s="82" t="str">
        <f ca="1">'הכנסות עצמיות'!C42</f>
        <v/>
      </c>
      <c r="D42" s="83" t="str">
        <f ca="1">'תחשיב בסיסי ראשוני'!D42</f>
        <v/>
      </c>
      <c r="E42" s="83" t="str">
        <f ca="1">'תחשיב בסיסי ראשוני'!E42</f>
        <v/>
      </c>
      <c r="F42" s="83" t="str">
        <f ca="1">'תחשיב בסיסי ראשוני'!F42</f>
        <v/>
      </c>
      <c r="G42" s="83" t="str">
        <f ca="1">'תחשיב בסיסי ראשוני'!G42</f>
        <v/>
      </c>
      <c r="H42" s="83" t="str">
        <f ca="1">'תחשיב בסיסי ראשוני'!H42</f>
        <v/>
      </c>
      <c r="I42" s="83" t="str">
        <f ca="1">'תחשיב בסיסי ראשוני'!I42</f>
        <v/>
      </c>
      <c r="J42" s="83" t="str">
        <f ca="1">'תחשיב בסיסי ראשוני'!J42</f>
        <v/>
      </c>
      <c r="K42" s="84" t="str">
        <f t="shared" ca="1" si="1"/>
        <v/>
      </c>
      <c r="L42" s="84"/>
      <c r="M42" s="84" t="str">
        <f t="shared" ca="1" si="2"/>
        <v/>
      </c>
      <c r="N42" s="85" t="str">
        <f t="shared" ca="1" si="0"/>
        <v/>
      </c>
    </row>
    <row r="43" spans="2:14" x14ac:dyDescent="0.3">
      <c r="B43" s="82">
        <f>'ריכוז נתונים'!C43</f>
        <v>27</v>
      </c>
      <c r="C43" s="82" t="str">
        <f ca="1">'הכנסות עצמיות'!C43</f>
        <v>מכון הברמן</v>
      </c>
      <c r="D43" s="83">
        <f ca="1">'תחשיב בסיסי ראשוני'!D43</f>
        <v>1.9606976421111127E-2</v>
      </c>
      <c r="E43" s="83">
        <f ca="1">'תחשיב בסיסי ראשוני'!E43</f>
        <v>0.05</v>
      </c>
      <c r="F43" s="83">
        <f ca="1">'תחשיב בסיסי ראשוני'!F43</f>
        <v>0</v>
      </c>
      <c r="G43" s="83">
        <f ca="1">'תחשיב בסיסי ראשוני'!G43</f>
        <v>0</v>
      </c>
      <c r="H43" s="83">
        <f ca="1">'תחשיב בסיסי ראשוני'!H43</f>
        <v>0</v>
      </c>
      <c r="I43" s="83">
        <f ca="1">'תחשיב בסיסי ראשוני'!I43</f>
        <v>2.1905490108260855E-2</v>
      </c>
      <c r="J43" s="83">
        <f ca="1">'תחשיב בסיסי ראשוני'!J43</f>
        <v>5.2631578947368418E-2</v>
      </c>
      <c r="K43" s="84">
        <f t="shared" ca="1" si="1"/>
        <v>1.9673396455435546E-2</v>
      </c>
      <c r="L43" s="84"/>
      <c r="M43" s="84">
        <f t="shared" ca="1" si="2"/>
        <v>1.9673396455435546E-2</v>
      </c>
      <c r="N43" s="85">
        <f t="shared" ca="1" si="0"/>
        <v>295100.94683153322</v>
      </c>
    </row>
    <row r="44" spans="2:14" hidden="1" x14ac:dyDescent="0.3">
      <c r="B44" s="82">
        <f>'ריכוז נתונים'!C44</f>
        <v>28</v>
      </c>
      <c r="C44" s="82" t="str">
        <f ca="1">'הכנסות עצמיות'!C44</f>
        <v/>
      </c>
      <c r="D44" s="83" t="str">
        <f ca="1">'תחשיב בסיסי ראשוני'!D44</f>
        <v/>
      </c>
      <c r="E44" s="83" t="str">
        <f ca="1">'תחשיב בסיסי ראשוני'!E44</f>
        <v/>
      </c>
      <c r="F44" s="83" t="str">
        <f ca="1">'תחשיב בסיסי ראשוני'!F44</f>
        <v/>
      </c>
      <c r="G44" s="83" t="str">
        <f ca="1">'תחשיב בסיסי ראשוני'!G44</f>
        <v/>
      </c>
      <c r="H44" s="83" t="str">
        <f ca="1">'תחשיב בסיסי ראשוני'!H44</f>
        <v/>
      </c>
      <c r="I44" s="83" t="str">
        <f ca="1">'תחשיב בסיסי ראשוני'!I44</f>
        <v/>
      </c>
      <c r="J44" s="83" t="str">
        <f ca="1">'תחשיב בסיסי ראשוני'!J44</f>
        <v/>
      </c>
      <c r="K44" s="84" t="str">
        <f t="shared" ca="1" si="1"/>
        <v/>
      </c>
      <c r="L44" s="84"/>
      <c r="M44" s="84" t="str">
        <f t="shared" ca="1" si="2"/>
        <v/>
      </c>
      <c r="N44" s="85" t="str">
        <f t="shared" ca="1" si="0"/>
        <v/>
      </c>
    </row>
    <row r="45" spans="2:14" hidden="1" x14ac:dyDescent="0.3">
      <c r="B45" s="82">
        <f>'ריכוז נתונים'!C45</f>
        <v>29</v>
      </c>
      <c r="C45" s="82" t="str">
        <f ca="1">'הכנסות עצמיות'!C45</f>
        <v/>
      </c>
      <c r="D45" s="83" t="str">
        <f ca="1">'תחשיב בסיסי ראשוני'!D45</f>
        <v/>
      </c>
      <c r="E45" s="83" t="str">
        <f ca="1">'תחשיב בסיסי ראשוני'!E45</f>
        <v/>
      </c>
      <c r="F45" s="83" t="str">
        <f ca="1">'תחשיב בסיסי ראשוני'!F45</f>
        <v/>
      </c>
      <c r="G45" s="83" t="str">
        <f ca="1">'תחשיב בסיסי ראשוני'!G45</f>
        <v/>
      </c>
      <c r="H45" s="83" t="str">
        <f ca="1">'תחשיב בסיסי ראשוני'!H45</f>
        <v/>
      </c>
      <c r="I45" s="83" t="str">
        <f ca="1">'תחשיב בסיסי ראשוני'!I45</f>
        <v/>
      </c>
      <c r="J45" s="83" t="str">
        <f ca="1">'תחשיב בסיסי ראשוני'!J45</f>
        <v/>
      </c>
      <c r="K45" s="84" t="str">
        <f t="shared" ca="1" si="1"/>
        <v/>
      </c>
      <c r="L45" s="84"/>
      <c r="M45" s="84" t="str">
        <f t="shared" ca="1" si="2"/>
        <v/>
      </c>
      <c r="N45" s="85" t="str">
        <f t="shared" ca="1" si="0"/>
        <v/>
      </c>
    </row>
    <row r="46" spans="2:14" hidden="1" x14ac:dyDescent="0.3">
      <c r="B46" s="82">
        <f>'ריכוז נתונים'!C46</f>
        <v>30</v>
      </c>
      <c r="C46" s="82" t="str">
        <f ca="1">'הכנסות עצמיות'!C46</f>
        <v/>
      </c>
      <c r="D46" s="83" t="str">
        <f ca="1">'תחשיב בסיסי ראשוני'!D46</f>
        <v/>
      </c>
      <c r="E46" s="83" t="str">
        <f ca="1">'תחשיב בסיסי ראשוני'!E46</f>
        <v/>
      </c>
      <c r="F46" s="83" t="str">
        <f ca="1">'תחשיב בסיסי ראשוני'!F46</f>
        <v/>
      </c>
      <c r="G46" s="83" t="str">
        <f ca="1">'תחשיב בסיסי ראשוני'!G46</f>
        <v/>
      </c>
      <c r="H46" s="83" t="str">
        <f ca="1">'תחשיב בסיסי ראשוני'!H46</f>
        <v/>
      </c>
      <c r="I46" s="83" t="str">
        <f ca="1">'תחשיב בסיסי ראשוני'!I46</f>
        <v/>
      </c>
      <c r="J46" s="83" t="str">
        <f ca="1">'תחשיב בסיסי ראשוני'!J46</f>
        <v/>
      </c>
      <c r="K46" s="84" t="str">
        <f t="shared" ca="1" si="1"/>
        <v/>
      </c>
      <c r="L46" s="84"/>
      <c r="M46" s="84" t="str">
        <f t="shared" ca="1" si="2"/>
        <v/>
      </c>
      <c r="N46" s="85" t="str">
        <f t="shared" ca="1" si="0"/>
        <v/>
      </c>
    </row>
    <row r="47" spans="2:14" x14ac:dyDescent="0.3">
      <c r="B47" s="82">
        <f>'ריכוז נתונים'!C47</f>
        <v>31</v>
      </c>
      <c r="C47" s="82" t="str">
        <f ca="1">'הכנסות עצמיות'!C47</f>
        <v>כולנא</v>
      </c>
      <c r="D47" s="83">
        <f ca="1">'תחשיב בסיסי ראשוני'!D47</f>
        <v>4.9336330685391699E-2</v>
      </c>
      <c r="E47" s="83">
        <f ca="1">'תחשיב בסיסי ראשוני'!E47</f>
        <v>0.05</v>
      </c>
      <c r="F47" s="83">
        <f ca="1">'תחשיב בסיסי ראשוני'!F47</f>
        <v>4.2704626334519574E-2</v>
      </c>
      <c r="G47" s="83">
        <f ca="1">'תחשיב בסיסי ראשוני'!G47</f>
        <v>0</v>
      </c>
      <c r="H47" s="83">
        <f ca="1">'תחשיב בסיסי ראשוני'!H47</f>
        <v>0</v>
      </c>
      <c r="I47" s="83">
        <f ca="1">'תחשיב בסיסי ראשוני'!I47</f>
        <v>6.3603632979742156E-3</v>
      </c>
      <c r="J47" s="83" t="str">
        <f ca="1">'תחשיב בסיסי ראשוני'!J47</f>
        <v/>
      </c>
      <c r="K47" s="84">
        <f t="shared" ca="1" si="1"/>
        <v>3.7923204107748319E-2</v>
      </c>
      <c r="L47" s="84"/>
      <c r="M47" s="84">
        <f t="shared" ca="1" si="2"/>
        <v>3.7923204107748319E-2</v>
      </c>
      <c r="N47" s="85">
        <f t="shared" ca="1" si="0"/>
        <v>568848.06161622482</v>
      </c>
    </row>
    <row r="48" spans="2:14" hidden="1" x14ac:dyDescent="0.3">
      <c r="B48" s="82">
        <f>'ריכוז נתונים'!C48</f>
        <v>32</v>
      </c>
      <c r="C48" s="82" t="str">
        <f ca="1">'הכנסות עצמיות'!C48</f>
        <v/>
      </c>
      <c r="D48" s="83" t="str">
        <f ca="1">'תחשיב בסיסי ראשוני'!D48</f>
        <v/>
      </c>
      <c r="E48" s="83" t="str">
        <f ca="1">'תחשיב בסיסי ראשוני'!E48</f>
        <v/>
      </c>
      <c r="F48" s="83" t="str">
        <f ca="1">'תחשיב בסיסי ראשוני'!F48</f>
        <v/>
      </c>
      <c r="G48" s="83" t="str">
        <f ca="1">'תחשיב בסיסי ראשוני'!G48</f>
        <v/>
      </c>
      <c r="H48" s="83" t="str">
        <f ca="1">'תחשיב בסיסי ראשוני'!H48</f>
        <v/>
      </c>
      <c r="I48" s="83" t="str">
        <f ca="1">'תחשיב בסיסי ראשוני'!I48</f>
        <v/>
      </c>
      <c r="J48" s="83" t="str">
        <f ca="1">'תחשיב בסיסי ראשוני'!J48</f>
        <v/>
      </c>
      <c r="K48" s="84" t="str">
        <f t="shared" ca="1" si="1"/>
        <v/>
      </c>
      <c r="L48" s="84"/>
      <c r="M48" s="84" t="str">
        <f t="shared" ca="1" si="2"/>
        <v/>
      </c>
      <c r="N48" s="85" t="str">
        <f t="shared" ca="1" si="0"/>
        <v/>
      </c>
    </row>
    <row r="49" spans="2:14" hidden="1" x14ac:dyDescent="0.3">
      <c r="B49" s="82">
        <f>'ריכוז נתונים'!C49</f>
        <v>33</v>
      </c>
      <c r="C49" s="82" t="str">
        <f ca="1">'הכנסות עצמיות'!C49</f>
        <v/>
      </c>
      <c r="D49" s="83" t="str">
        <f ca="1">'תחשיב בסיסי ראשוני'!D49</f>
        <v/>
      </c>
      <c r="E49" s="83" t="str">
        <f ca="1">'תחשיב בסיסי ראשוני'!E49</f>
        <v/>
      </c>
      <c r="F49" s="83" t="str">
        <f ca="1">'תחשיב בסיסי ראשוני'!F49</f>
        <v/>
      </c>
      <c r="G49" s="83" t="str">
        <f ca="1">'תחשיב בסיסי ראשוני'!G49</f>
        <v/>
      </c>
      <c r="H49" s="83" t="str">
        <f ca="1">'תחשיב בסיסי ראשוני'!H49</f>
        <v/>
      </c>
      <c r="I49" s="83" t="str">
        <f ca="1">'תחשיב בסיסי ראשוני'!I49</f>
        <v/>
      </c>
      <c r="J49" s="83" t="str">
        <f ca="1">'תחשיב בסיסי ראשוני'!J49</f>
        <v/>
      </c>
      <c r="K49" s="84" t="str">
        <f t="shared" ca="1" si="1"/>
        <v/>
      </c>
      <c r="L49" s="84"/>
      <c r="M49" s="84" t="str">
        <f t="shared" ca="1" si="2"/>
        <v/>
      </c>
      <c r="N49" s="85" t="str">
        <f t="shared" ref="N49:N78" ca="1" si="3">IFERROR(M49*$C$3,"")</f>
        <v/>
      </c>
    </row>
    <row r="50" spans="2:14" hidden="1" x14ac:dyDescent="0.3">
      <c r="B50" s="82">
        <f>'ריכוז נתונים'!C50</f>
        <v>34</v>
      </c>
      <c r="C50" s="82" t="str">
        <f ca="1">'הכנסות עצמיות'!C50</f>
        <v/>
      </c>
      <c r="D50" s="83" t="str">
        <f ca="1">'תחשיב בסיסי ראשוני'!D50</f>
        <v/>
      </c>
      <c r="E50" s="83" t="str">
        <f ca="1">'תחשיב בסיסי ראשוני'!E50</f>
        <v/>
      </c>
      <c r="F50" s="83" t="str">
        <f ca="1">'תחשיב בסיסי ראשוני'!F50</f>
        <v/>
      </c>
      <c r="G50" s="83" t="str">
        <f ca="1">'תחשיב בסיסי ראשוני'!G50</f>
        <v/>
      </c>
      <c r="H50" s="83" t="str">
        <f ca="1">'תחשיב בסיסי ראשוני'!H50</f>
        <v/>
      </c>
      <c r="I50" s="83" t="str">
        <f ca="1">'תחשיב בסיסי ראשוני'!I50</f>
        <v/>
      </c>
      <c r="J50" s="83" t="str">
        <f ca="1">'תחשיב בסיסי ראשוני'!J50</f>
        <v/>
      </c>
      <c r="K50" s="84" t="str">
        <f t="shared" ca="1" si="1"/>
        <v/>
      </c>
      <c r="L50" s="84"/>
      <c r="M50" s="84" t="str">
        <f t="shared" ca="1" si="2"/>
        <v/>
      </c>
      <c r="N50" s="85" t="str">
        <f t="shared" ca="1" si="3"/>
        <v/>
      </c>
    </row>
    <row r="51" spans="2:14" hidden="1" x14ac:dyDescent="0.3">
      <c r="B51" s="82">
        <f>'ריכוז נתונים'!C51</f>
        <v>35</v>
      </c>
      <c r="C51" s="82" t="str">
        <f ca="1">'הכנסות עצמיות'!C51</f>
        <v/>
      </c>
      <c r="D51" s="83" t="str">
        <f ca="1">'תחשיב בסיסי ראשוני'!D51</f>
        <v/>
      </c>
      <c r="E51" s="83" t="str">
        <f ca="1">'תחשיב בסיסי ראשוני'!E51</f>
        <v/>
      </c>
      <c r="F51" s="83" t="str">
        <f ca="1">'תחשיב בסיסי ראשוני'!F51</f>
        <v/>
      </c>
      <c r="G51" s="83" t="str">
        <f ca="1">'תחשיב בסיסי ראשוני'!G51</f>
        <v/>
      </c>
      <c r="H51" s="83" t="str">
        <f ca="1">'תחשיב בסיסי ראשוני'!H51</f>
        <v/>
      </c>
      <c r="I51" s="83" t="str">
        <f ca="1">'תחשיב בסיסי ראשוני'!I51</f>
        <v/>
      </c>
      <c r="J51" s="83" t="str">
        <f ca="1">'תחשיב בסיסי ראשוני'!J51</f>
        <v/>
      </c>
      <c r="K51" s="84" t="str">
        <f t="shared" ca="1" si="1"/>
        <v/>
      </c>
      <c r="L51" s="84"/>
      <c r="M51" s="84" t="str">
        <f t="shared" ca="1" si="2"/>
        <v/>
      </c>
      <c r="N51" s="85" t="str">
        <f t="shared" ca="1" si="3"/>
        <v/>
      </c>
    </row>
    <row r="52" spans="2:14" hidden="1" x14ac:dyDescent="0.3">
      <c r="B52" s="82">
        <f>'ריכוז נתונים'!C52</f>
        <v>36</v>
      </c>
      <c r="C52" s="82" t="str">
        <f ca="1">'הכנסות עצמיות'!C52</f>
        <v/>
      </c>
      <c r="D52" s="83" t="str">
        <f ca="1">'תחשיב בסיסי ראשוני'!D52</f>
        <v/>
      </c>
      <c r="E52" s="83" t="str">
        <f ca="1">'תחשיב בסיסי ראשוני'!E52</f>
        <v/>
      </c>
      <c r="F52" s="83" t="str">
        <f ca="1">'תחשיב בסיסי ראשוני'!F52</f>
        <v/>
      </c>
      <c r="G52" s="83" t="str">
        <f ca="1">'תחשיב בסיסי ראשוני'!G52</f>
        <v/>
      </c>
      <c r="H52" s="83" t="str">
        <f ca="1">'תחשיב בסיסי ראשוני'!H52</f>
        <v/>
      </c>
      <c r="I52" s="83" t="str">
        <f ca="1">'תחשיב בסיסי ראשוני'!I52</f>
        <v/>
      </c>
      <c r="J52" s="83" t="str">
        <f ca="1">'תחשיב בסיסי ראשוני'!J52</f>
        <v/>
      </c>
      <c r="K52" s="84" t="str">
        <f t="shared" ca="1" si="1"/>
        <v/>
      </c>
      <c r="L52" s="84"/>
      <c r="M52" s="84" t="str">
        <f t="shared" ca="1" si="2"/>
        <v/>
      </c>
      <c r="N52" s="85" t="str">
        <f t="shared" ca="1" si="3"/>
        <v/>
      </c>
    </row>
    <row r="53" spans="2:14" hidden="1" x14ac:dyDescent="0.3">
      <c r="B53" s="82">
        <f>'ריכוז נתונים'!C53</f>
        <v>37</v>
      </c>
      <c r="C53" s="82" t="str">
        <f ca="1">'הכנסות עצמיות'!C53</f>
        <v/>
      </c>
      <c r="D53" s="83" t="str">
        <f ca="1">'תחשיב בסיסי ראשוני'!D53</f>
        <v/>
      </c>
      <c r="E53" s="83" t="str">
        <f ca="1">'תחשיב בסיסי ראשוני'!E53</f>
        <v/>
      </c>
      <c r="F53" s="83" t="str">
        <f ca="1">'תחשיב בסיסי ראשוני'!F53</f>
        <v/>
      </c>
      <c r="G53" s="83" t="str">
        <f ca="1">'תחשיב בסיסי ראשוני'!G53</f>
        <v/>
      </c>
      <c r="H53" s="83" t="str">
        <f ca="1">'תחשיב בסיסי ראשוני'!H53</f>
        <v/>
      </c>
      <c r="I53" s="83" t="str">
        <f ca="1">'תחשיב בסיסי ראשוני'!I53</f>
        <v/>
      </c>
      <c r="J53" s="83" t="str">
        <f ca="1">'תחשיב בסיסי ראשוני'!J53</f>
        <v/>
      </c>
      <c r="K53" s="84" t="str">
        <f t="shared" ca="1" si="1"/>
        <v/>
      </c>
      <c r="L53" s="84"/>
      <c r="M53" s="84" t="str">
        <f t="shared" ca="1" si="2"/>
        <v/>
      </c>
      <c r="N53" s="85" t="str">
        <f t="shared" ca="1" si="3"/>
        <v/>
      </c>
    </row>
    <row r="54" spans="2:14" hidden="1" x14ac:dyDescent="0.3">
      <c r="B54" s="82">
        <f>'ריכוז נתונים'!C54</f>
        <v>38</v>
      </c>
      <c r="C54" s="82" t="str">
        <f ca="1">'הכנסות עצמיות'!C54</f>
        <v/>
      </c>
      <c r="D54" s="83" t="str">
        <f ca="1">'תחשיב בסיסי ראשוני'!D54</f>
        <v/>
      </c>
      <c r="E54" s="83" t="str">
        <f ca="1">'תחשיב בסיסי ראשוני'!E54</f>
        <v/>
      </c>
      <c r="F54" s="83" t="str">
        <f ca="1">'תחשיב בסיסי ראשוני'!F54</f>
        <v/>
      </c>
      <c r="G54" s="83" t="str">
        <f ca="1">'תחשיב בסיסי ראשוני'!G54</f>
        <v/>
      </c>
      <c r="H54" s="83" t="str">
        <f ca="1">'תחשיב בסיסי ראשוני'!H54</f>
        <v/>
      </c>
      <c r="I54" s="83" t="str">
        <f ca="1">'תחשיב בסיסי ראשוני'!I54</f>
        <v/>
      </c>
      <c r="J54" s="83" t="str">
        <f ca="1">'תחשיב בסיסי ראשוני'!J54</f>
        <v/>
      </c>
      <c r="K54" s="84" t="str">
        <f t="shared" ca="1" si="1"/>
        <v/>
      </c>
      <c r="L54" s="84"/>
      <c r="M54" s="84" t="str">
        <f t="shared" ca="1" si="2"/>
        <v/>
      </c>
      <c r="N54" s="85" t="str">
        <f t="shared" ca="1" si="3"/>
        <v/>
      </c>
    </row>
    <row r="55" spans="2:14" hidden="1" x14ac:dyDescent="0.3">
      <c r="B55" s="82">
        <f>'ריכוז נתונים'!C55</f>
        <v>39</v>
      </c>
      <c r="C55" s="82" t="str">
        <f ca="1">'הכנסות עצמיות'!C55</f>
        <v/>
      </c>
      <c r="D55" s="83" t="str">
        <f ca="1">'תחשיב בסיסי ראשוני'!D55</f>
        <v/>
      </c>
      <c r="E55" s="83" t="str">
        <f ca="1">'תחשיב בסיסי ראשוני'!E55</f>
        <v/>
      </c>
      <c r="F55" s="83" t="str">
        <f ca="1">'תחשיב בסיסי ראשוני'!F55</f>
        <v/>
      </c>
      <c r="G55" s="83" t="str">
        <f ca="1">'תחשיב בסיסי ראשוני'!G55</f>
        <v/>
      </c>
      <c r="H55" s="83" t="str">
        <f ca="1">'תחשיב בסיסי ראשוני'!H55</f>
        <v/>
      </c>
      <c r="I55" s="83" t="str">
        <f ca="1">'תחשיב בסיסי ראשוני'!I55</f>
        <v/>
      </c>
      <c r="J55" s="83" t="str">
        <f ca="1">'תחשיב בסיסי ראשוני'!J55</f>
        <v/>
      </c>
      <c r="K55" s="84" t="str">
        <f t="shared" ca="1" si="1"/>
        <v/>
      </c>
      <c r="L55" s="84"/>
      <c r="M55" s="84" t="str">
        <f t="shared" ca="1" si="2"/>
        <v/>
      </c>
      <c r="N55" s="85" t="str">
        <f t="shared" ca="1" si="3"/>
        <v/>
      </c>
    </row>
    <row r="56" spans="2:14" hidden="1" x14ac:dyDescent="0.3">
      <c r="B56" s="82">
        <f>'ריכוז נתונים'!C56</f>
        <v>40</v>
      </c>
      <c r="C56" s="82" t="str">
        <f ca="1">'הכנסות עצמיות'!C56</f>
        <v/>
      </c>
      <c r="D56" s="83" t="str">
        <f ca="1">'תחשיב בסיסי ראשוני'!D56</f>
        <v/>
      </c>
      <c r="E56" s="83" t="str">
        <f ca="1">'תחשיב בסיסי ראשוני'!E56</f>
        <v/>
      </c>
      <c r="F56" s="83" t="str">
        <f ca="1">'תחשיב בסיסי ראשוני'!F56</f>
        <v/>
      </c>
      <c r="G56" s="83" t="str">
        <f ca="1">'תחשיב בסיסי ראשוני'!G56</f>
        <v/>
      </c>
      <c r="H56" s="83" t="str">
        <f ca="1">'תחשיב בסיסי ראשוני'!H56</f>
        <v/>
      </c>
      <c r="I56" s="83" t="str">
        <f ca="1">'תחשיב בסיסי ראשוני'!I56</f>
        <v/>
      </c>
      <c r="J56" s="83" t="str">
        <f ca="1">'תחשיב בסיסי ראשוני'!J56</f>
        <v/>
      </c>
      <c r="K56" s="84" t="str">
        <f t="shared" ca="1" si="1"/>
        <v/>
      </c>
      <c r="L56" s="84"/>
      <c r="M56" s="84" t="str">
        <f t="shared" ca="1" si="2"/>
        <v/>
      </c>
      <c r="N56" s="85" t="str">
        <f t="shared" ca="1" si="3"/>
        <v/>
      </c>
    </row>
    <row r="57" spans="2:14" hidden="1" x14ac:dyDescent="0.3">
      <c r="B57" s="82">
        <f>'ריכוז נתונים'!C57</f>
        <v>41</v>
      </c>
      <c r="C57" s="82" t="str">
        <f ca="1">'הכנסות עצמיות'!C57</f>
        <v/>
      </c>
      <c r="D57" s="83" t="str">
        <f ca="1">'תחשיב בסיסי ראשוני'!D57</f>
        <v/>
      </c>
      <c r="E57" s="83" t="str">
        <f ca="1">'תחשיב בסיסי ראשוני'!E57</f>
        <v/>
      </c>
      <c r="F57" s="83" t="str">
        <f ca="1">'תחשיב בסיסי ראשוני'!F57</f>
        <v/>
      </c>
      <c r="G57" s="83" t="str">
        <f ca="1">'תחשיב בסיסי ראשוני'!G57</f>
        <v/>
      </c>
      <c r="H57" s="83" t="str">
        <f ca="1">'תחשיב בסיסי ראשוני'!H57</f>
        <v/>
      </c>
      <c r="I57" s="83" t="str">
        <f ca="1">'תחשיב בסיסי ראשוני'!I57</f>
        <v/>
      </c>
      <c r="J57" s="83" t="str">
        <f ca="1">'תחשיב בסיסי ראשוני'!J57</f>
        <v/>
      </c>
      <c r="K57" s="84" t="str">
        <f t="shared" ca="1" si="1"/>
        <v/>
      </c>
      <c r="L57" s="84"/>
      <c r="M57" s="84" t="str">
        <f t="shared" ca="1" si="2"/>
        <v/>
      </c>
      <c r="N57" s="85" t="str">
        <f t="shared" ca="1" si="3"/>
        <v/>
      </c>
    </row>
    <row r="58" spans="2:14" hidden="1" x14ac:dyDescent="0.3">
      <c r="B58" s="82">
        <f>'ריכוז נתונים'!C58</f>
        <v>42</v>
      </c>
      <c r="C58" s="82" t="str">
        <f ca="1">'הכנסות עצמיות'!C58</f>
        <v/>
      </c>
      <c r="D58" s="83" t="str">
        <f ca="1">'תחשיב בסיסי ראשוני'!D58</f>
        <v/>
      </c>
      <c r="E58" s="83" t="str">
        <f ca="1">'תחשיב בסיסי ראשוני'!E58</f>
        <v/>
      </c>
      <c r="F58" s="83" t="str">
        <f ca="1">'תחשיב בסיסי ראשוני'!F58</f>
        <v/>
      </c>
      <c r="G58" s="83" t="str">
        <f ca="1">'תחשיב בסיסי ראשוני'!G58</f>
        <v/>
      </c>
      <c r="H58" s="83" t="str">
        <f ca="1">'תחשיב בסיסי ראשוני'!H58</f>
        <v/>
      </c>
      <c r="I58" s="83" t="str">
        <f ca="1">'תחשיב בסיסי ראשוני'!I58</f>
        <v/>
      </c>
      <c r="J58" s="83" t="str">
        <f ca="1">'תחשיב בסיסי ראשוני'!J58</f>
        <v/>
      </c>
      <c r="K58" s="84" t="str">
        <f t="shared" ca="1" si="1"/>
        <v/>
      </c>
      <c r="L58" s="84"/>
      <c r="M58" s="84" t="str">
        <f t="shared" ca="1" si="2"/>
        <v/>
      </c>
      <c r="N58" s="85" t="str">
        <f t="shared" ca="1" si="3"/>
        <v/>
      </c>
    </row>
    <row r="59" spans="2:14" hidden="1" x14ac:dyDescent="0.3">
      <c r="B59" s="82">
        <f>'ריכוז נתונים'!C59</f>
        <v>43</v>
      </c>
      <c r="C59" s="82" t="str">
        <f ca="1">'הכנסות עצמיות'!C59</f>
        <v/>
      </c>
      <c r="D59" s="83" t="str">
        <f ca="1">'תחשיב בסיסי ראשוני'!D59</f>
        <v/>
      </c>
      <c r="E59" s="83" t="str">
        <f ca="1">'תחשיב בסיסי ראשוני'!E59</f>
        <v/>
      </c>
      <c r="F59" s="83" t="str">
        <f ca="1">'תחשיב בסיסי ראשוני'!F59</f>
        <v/>
      </c>
      <c r="G59" s="83" t="str">
        <f ca="1">'תחשיב בסיסי ראשוני'!G59</f>
        <v/>
      </c>
      <c r="H59" s="83" t="str">
        <f ca="1">'תחשיב בסיסי ראשוני'!H59</f>
        <v/>
      </c>
      <c r="I59" s="83" t="str">
        <f ca="1">'תחשיב בסיסי ראשוני'!I59</f>
        <v/>
      </c>
      <c r="J59" s="83" t="str">
        <f ca="1">'תחשיב בסיסי ראשוני'!J59</f>
        <v/>
      </c>
      <c r="K59" s="84" t="str">
        <f t="shared" ca="1" si="1"/>
        <v/>
      </c>
      <c r="L59" s="84"/>
      <c r="M59" s="84" t="str">
        <f t="shared" ca="1" si="2"/>
        <v/>
      </c>
      <c r="N59" s="85" t="str">
        <f t="shared" ca="1" si="3"/>
        <v/>
      </c>
    </row>
    <row r="60" spans="2:14" hidden="1" x14ac:dyDescent="0.3">
      <c r="B60" s="82">
        <f>'ריכוז נתונים'!C60</f>
        <v>44</v>
      </c>
      <c r="C60" s="82" t="str">
        <f ca="1">'הכנסות עצמיות'!C60</f>
        <v/>
      </c>
      <c r="D60" s="83" t="str">
        <f ca="1">'תחשיב בסיסי ראשוני'!D60</f>
        <v/>
      </c>
      <c r="E60" s="83" t="str">
        <f ca="1">'תחשיב בסיסי ראשוני'!E60</f>
        <v/>
      </c>
      <c r="F60" s="83" t="str">
        <f ca="1">'תחשיב בסיסי ראשוני'!F60</f>
        <v/>
      </c>
      <c r="G60" s="83" t="str">
        <f ca="1">'תחשיב בסיסי ראשוני'!G60</f>
        <v/>
      </c>
      <c r="H60" s="83" t="str">
        <f ca="1">'תחשיב בסיסי ראשוני'!H60</f>
        <v/>
      </c>
      <c r="I60" s="83" t="str">
        <f ca="1">'תחשיב בסיסי ראשוני'!I60</f>
        <v/>
      </c>
      <c r="J60" s="83" t="str">
        <f ca="1">'תחשיב בסיסי ראשוני'!J60</f>
        <v/>
      </c>
      <c r="K60" s="84" t="str">
        <f t="shared" ca="1" si="1"/>
        <v/>
      </c>
      <c r="L60" s="84"/>
      <c r="M60" s="84" t="str">
        <f t="shared" ca="1" si="2"/>
        <v/>
      </c>
      <c r="N60" s="85" t="str">
        <f t="shared" ca="1" si="3"/>
        <v/>
      </c>
    </row>
    <row r="61" spans="2:14" hidden="1" x14ac:dyDescent="0.3">
      <c r="B61" s="82">
        <f>'ריכוז נתונים'!C61</f>
        <v>45</v>
      </c>
      <c r="C61" s="82" t="str">
        <f ca="1">'הכנסות עצמיות'!C61</f>
        <v/>
      </c>
      <c r="D61" s="83" t="str">
        <f ca="1">'תחשיב בסיסי ראשוני'!D61</f>
        <v/>
      </c>
      <c r="E61" s="83" t="str">
        <f ca="1">'תחשיב בסיסי ראשוני'!E61</f>
        <v/>
      </c>
      <c r="F61" s="83" t="str">
        <f ca="1">'תחשיב בסיסי ראשוני'!F61</f>
        <v/>
      </c>
      <c r="G61" s="83" t="str">
        <f ca="1">'תחשיב בסיסי ראשוני'!G61</f>
        <v/>
      </c>
      <c r="H61" s="83" t="str">
        <f ca="1">'תחשיב בסיסי ראשוני'!H61</f>
        <v/>
      </c>
      <c r="I61" s="83" t="str">
        <f ca="1">'תחשיב בסיסי ראשוני'!I61</f>
        <v/>
      </c>
      <c r="J61" s="83" t="str">
        <f ca="1">'תחשיב בסיסי ראשוני'!J61</f>
        <v/>
      </c>
      <c r="K61" s="84" t="str">
        <f t="shared" ca="1" si="1"/>
        <v/>
      </c>
      <c r="L61" s="84"/>
      <c r="M61" s="84" t="str">
        <f t="shared" ca="1" si="2"/>
        <v/>
      </c>
      <c r="N61" s="85" t="str">
        <f t="shared" ca="1" si="3"/>
        <v/>
      </c>
    </row>
    <row r="62" spans="2:14" x14ac:dyDescent="0.3">
      <c r="B62" s="82">
        <f>'ריכוז נתונים'!C62</f>
        <v>46</v>
      </c>
      <c r="C62" s="82" t="str">
        <f ca="1">'הכנסות עצמיות'!C62</f>
        <v>ענבל מרכז אתני</v>
      </c>
      <c r="D62" s="83">
        <f ca="1">'תחשיב בסיסי ראשוני'!D62</f>
        <v>3.0903878455690127E-2</v>
      </c>
      <c r="E62" s="83">
        <f ca="1">'תחשיב בסיסי ראשוני'!E62</f>
        <v>2.516940948693127E-2</v>
      </c>
      <c r="F62" s="83">
        <f ca="1">'תחשיב בסיסי ראשוני'!F62</f>
        <v>0</v>
      </c>
      <c r="G62" s="83">
        <f ca="1">'תחשיב בסיסי ראשוני'!G62</f>
        <v>0</v>
      </c>
      <c r="H62" s="83">
        <f ca="1">'תחשיב בסיסי ראשוני'!H62</f>
        <v>0</v>
      </c>
      <c r="I62" s="83">
        <f ca="1">'תחשיב בסיסי ראשוני'!I62</f>
        <v>4.1603661068820179E-2</v>
      </c>
      <c r="J62" s="83" t="str">
        <f ca="1">'תחשיב בסיסי ראשוני'!J62</f>
        <v/>
      </c>
      <c r="K62" s="84">
        <f t="shared" ca="1" si="1"/>
        <v>2.2619487431305783E-2</v>
      </c>
      <c r="L62" s="84"/>
      <c r="M62" s="84">
        <f t="shared" ca="1" si="2"/>
        <v>2.2619487431305783E-2</v>
      </c>
      <c r="N62" s="85">
        <f t="shared" ca="1" si="3"/>
        <v>339292.31146958674</v>
      </c>
    </row>
    <row r="63" spans="2:14" x14ac:dyDescent="0.3">
      <c r="B63" s="82">
        <f>'ריכוז נתונים'!C63</f>
        <v>47</v>
      </c>
      <c r="C63" s="82" t="str">
        <f ca="1">'הכנסות עצמיות'!C63</f>
        <v>א.ב. חדשות השומרונים</v>
      </c>
      <c r="D63" s="83">
        <f ca="1">'תחשיב בסיסי ראשוני'!D63</f>
        <v>1.9575403190159255E-3</v>
      </c>
      <c r="E63" s="83">
        <f ca="1">'תחשיב בסיסי ראשוני'!E63</f>
        <v>0</v>
      </c>
      <c r="F63" s="83">
        <f ca="1">'תחשיב בסיסי ראשוני'!F63</f>
        <v>0.05</v>
      </c>
      <c r="G63" s="83">
        <f ca="1">'תחשיב בסיסי ראשוני'!G63</f>
        <v>0</v>
      </c>
      <c r="H63" s="83">
        <f ca="1">'תחשיב בסיסי ראשוני'!H63</f>
        <v>5.2631578947368418E-2</v>
      </c>
      <c r="I63" s="83">
        <f ca="1">'תחשיב בסיסי ראשוני'!I63</f>
        <v>2.2053412287931024E-2</v>
      </c>
      <c r="J63" s="83">
        <f ca="1">'תחשיב בסיסי ראשוני'!J63</f>
        <v>5.2631578947368418E-2</v>
      </c>
      <c r="K63" s="84">
        <f t="shared" ca="1" si="1"/>
        <v>1.6449752054756635E-2</v>
      </c>
      <c r="L63" s="84"/>
      <c r="M63" s="84">
        <f t="shared" ca="1" si="2"/>
        <v>1.6449752054756635E-2</v>
      </c>
      <c r="N63" s="85">
        <f t="shared" ca="1" si="3"/>
        <v>246746.28082134953</v>
      </c>
    </row>
    <row r="64" spans="2:14" hidden="1" x14ac:dyDescent="0.3">
      <c r="B64" s="82">
        <f>'ריכוז נתונים'!C64</f>
        <v>48</v>
      </c>
      <c r="C64" s="82" t="str">
        <f ca="1">'הכנסות עצמיות'!C64</f>
        <v/>
      </c>
      <c r="D64" s="83" t="str">
        <f ca="1">'תחשיב בסיסי ראשוני'!D64</f>
        <v/>
      </c>
      <c r="E64" s="83" t="str">
        <f ca="1">'תחשיב בסיסי ראשוני'!E64</f>
        <v/>
      </c>
      <c r="F64" s="83" t="str">
        <f ca="1">'תחשיב בסיסי ראשוני'!F64</f>
        <v/>
      </c>
      <c r="G64" s="83" t="str">
        <f ca="1">'תחשיב בסיסי ראשוני'!G64</f>
        <v/>
      </c>
      <c r="H64" s="83" t="str">
        <f ca="1">'תחשיב בסיסי ראשוני'!H64</f>
        <v/>
      </c>
      <c r="I64" s="83" t="str">
        <f ca="1">'תחשיב בסיסי ראשוני'!I64</f>
        <v/>
      </c>
      <c r="J64" s="83" t="str">
        <f ca="1">'תחשיב בסיסי ראשוני'!J64</f>
        <v/>
      </c>
      <c r="K64" s="84" t="str">
        <f t="shared" ca="1" si="1"/>
        <v/>
      </c>
      <c r="L64" s="84"/>
      <c r="M64" s="84" t="str">
        <f t="shared" ca="1" si="2"/>
        <v/>
      </c>
      <c r="N64" s="85" t="str">
        <f t="shared" ca="1" si="3"/>
        <v/>
      </c>
    </row>
    <row r="65" spans="2:14" hidden="1" x14ac:dyDescent="0.3">
      <c r="B65" s="82">
        <f>'ריכוז נתונים'!C65</f>
        <v>49</v>
      </c>
      <c r="C65" s="82" t="str">
        <f ca="1">'הכנסות עצמיות'!C65</f>
        <v/>
      </c>
      <c r="D65" s="83" t="str">
        <f ca="1">'תחשיב בסיסי ראשוני'!D65</f>
        <v/>
      </c>
      <c r="E65" s="83" t="str">
        <f ca="1">'תחשיב בסיסי ראשוני'!E65</f>
        <v/>
      </c>
      <c r="F65" s="83" t="str">
        <f ca="1">'תחשיב בסיסי ראשוני'!F65</f>
        <v/>
      </c>
      <c r="G65" s="83" t="str">
        <f ca="1">'תחשיב בסיסי ראשוני'!G65</f>
        <v/>
      </c>
      <c r="H65" s="83" t="str">
        <f ca="1">'תחשיב בסיסי ראשוני'!H65</f>
        <v/>
      </c>
      <c r="I65" s="83" t="str">
        <f ca="1">'תחשיב בסיסי ראשוני'!I65</f>
        <v/>
      </c>
      <c r="J65" s="83" t="str">
        <f ca="1">'תחשיב בסיסי ראשוני'!J65</f>
        <v/>
      </c>
      <c r="K65" s="84" t="str">
        <f t="shared" ca="1" si="1"/>
        <v/>
      </c>
      <c r="L65" s="84"/>
      <c r="M65" s="84" t="str">
        <f t="shared" ca="1" si="2"/>
        <v/>
      </c>
      <c r="N65" s="85" t="str">
        <f t="shared" ca="1" si="3"/>
        <v/>
      </c>
    </row>
    <row r="66" spans="2:14" hidden="1" x14ac:dyDescent="0.3">
      <c r="B66" s="82">
        <f>'ריכוז נתונים'!C66</f>
        <v>50</v>
      </c>
      <c r="C66" s="82" t="str">
        <f ca="1">'הכנסות עצמיות'!C66</f>
        <v/>
      </c>
      <c r="D66" s="83" t="str">
        <f ca="1">'תחשיב בסיסי ראשוני'!D66</f>
        <v/>
      </c>
      <c r="E66" s="83" t="str">
        <f ca="1">'תחשיב בסיסי ראשוני'!E66</f>
        <v/>
      </c>
      <c r="F66" s="83" t="str">
        <f ca="1">'תחשיב בסיסי ראשוני'!F66</f>
        <v/>
      </c>
      <c r="G66" s="83" t="str">
        <f ca="1">'תחשיב בסיסי ראשוני'!G66</f>
        <v/>
      </c>
      <c r="H66" s="83" t="str">
        <f ca="1">'תחשיב בסיסי ראשוני'!H66</f>
        <v/>
      </c>
      <c r="I66" s="83" t="str">
        <f ca="1">'תחשיב בסיסי ראשוני'!I66</f>
        <v/>
      </c>
      <c r="J66" s="83" t="str">
        <f ca="1">'תחשיב בסיסי ראשוני'!J66</f>
        <v/>
      </c>
      <c r="K66" s="84" t="str">
        <f t="shared" ca="1" si="1"/>
        <v/>
      </c>
      <c r="L66" s="84"/>
      <c r="M66" s="84" t="str">
        <f t="shared" ca="1" si="2"/>
        <v/>
      </c>
      <c r="N66" s="85" t="str">
        <f t="shared" ca="1" si="3"/>
        <v/>
      </c>
    </row>
    <row r="67" spans="2:14" hidden="1" x14ac:dyDescent="0.3">
      <c r="B67" s="82">
        <f>'ריכוז נתונים'!C67</f>
        <v>51</v>
      </c>
      <c r="C67" s="82" t="str">
        <f ca="1">'הכנסות עצמיות'!C67</f>
        <v/>
      </c>
      <c r="D67" s="83" t="str">
        <f ca="1">'תחשיב בסיסי ראשוני'!D67</f>
        <v/>
      </c>
      <c r="E67" s="83" t="str">
        <f ca="1">'תחשיב בסיסי ראשוני'!E67</f>
        <v/>
      </c>
      <c r="F67" s="83" t="str">
        <f ca="1">'תחשיב בסיסי ראשוני'!F67</f>
        <v/>
      </c>
      <c r="G67" s="83" t="str">
        <f ca="1">'תחשיב בסיסי ראשוני'!G67</f>
        <v/>
      </c>
      <c r="H67" s="83" t="str">
        <f ca="1">'תחשיב בסיסי ראשוני'!H67</f>
        <v/>
      </c>
      <c r="I67" s="83" t="str">
        <f ca="1">'תחשיב בסיסי ראשוני'!I67</f>
        <v/>
      </c>
      <c r="J67" s="83" t="str">
        <f ca="1">'תחשיב בסיסי ראשוני'!J67</f>
        <v/>
      </c>
      <c r="K67" s="84" t="str">
        <f t="shared" ca="1" si="1"/>
        <v/>
      </c>
      <c r="L67" s="84"/>
      <c r="M67" s="84" t="str">
        <f t="shared" ca="1" si="2"/>
        <v/>
      </c>
      <c r="N67" s="85" t="str">
        <f t="shared" ca="1" si="3"/>
        <v/>
      </c>
    </row>
    <row r="68" spans="2:14" x14ac:dyDescent="0.3">
      <c r="B68" s="82">
        <f>'ריכוז נתונים'!C68</f>
        <v>52</v>
      </c>
      <c r="C68" s="82" t="str">
        <f ca="1">'הכנסות עצמיות'!C68</f>
        <v>עמותת הנני</v>
      </c>
      <c r="D68" s="83">
        <f ca="1">'תחשיב בסיסי ראשוני'!D68</f>
        <v>6.3020168979932054E-2</v>
      </c>
      <c r="E68" s="83">
        <f ca="1">'תחשיב בסיסי ראשוני'!E68</f>
        <v>0</v>
      </c>
      <c r="F68" s="83">
        <f ca="1">'תחשיב בסיסי ראשוני'!F68</f>
        <v>0</v>
      </c>
      <c r="G68" s="83">
        <f ca="1">'תחשיב בסיסי ראשוני'!G68</f>
        <v>0</v>
      </c>
      <c r="H68" s="83">
        <f ca="1">'תחשיב בסיסי ראשוני'!H68</f>
        <v>0</v>
      </c>
      <c r="I68" s="83">
        <f ca="1">'תחשיב בסיסי ראשוני'!I68</f>
        <v>1.358933321914148E-2</v>
      </c>
      <c r="J68" s="83" t="str">
        <f ca="1">'תחשיב בסיסי ראשוני'!J68</f>
        <v/>
      </c>
      <c r="K68" s="84">
        <f t="shared" ca="1" si="1"/>
        <v>3.8172311797447643E-2</v>
      </c>
      <c r="L68" s="84"/>
      <c r="M68" s="84">
        <f t="shared" ca="1" si="2"/>
        <v>3.8172311797447643E-2</v>
      </c>
      <c r="N68" s="85">
        <f t="shared" ca="1" si="3"/>
        <v>572584.67696171463</v>
      </c>
    </row>
    <row r="69" spans="2:14" hidden="1" x14ac:dyDescent="0.3">
      <c r="B69" s="82">
        <f>'ריכוז נתונים'!C69</f>
        <v>53</v>
      </c>
      <c r="C69" s="82" t="str">
        <f ca="1">'הכנסות עצמיות'!C69</f>
        <v/>
      </c>
      <c r="D69" s="83" t="str">
        <f ca="1">'תחשיב בסיסי ראשוני'!D69</f>
        <v/>
      </c>
      <c r="E69" s="83" t="str">
        <f ca="1">'תחשיב בסיסי ראשוני'!E69</f>
        <v/>
      </c>
      <c r="F69" s="83" t="str">
        <f ca="1">'תחשיב בסיסי ראשוני'!F69</f>
        <v/>
      </c>
      <c r="G69" s="83" t="str">
        <f ca="1">'תחשיב בסיסי ראשוני'!G69</f>
        <v/>
      </c>
      <c r="H69" s="83" t="str">
        <f ca="1">'תחשיב בסיסי ראשוני'!H69</f>
        <v/>
      </c>
      <c r="I69" s="83" t="str">
        <f ca="1">'תחשיב בסיסי ראשוני'!I69</f>
        <v/>
      </c>
      <c r="J69" s="83" t="str">
        <f ca="1">'תחשיב בסיסי ראשוני'!J69</f>
        <v/>
      </c>
      <c r="K69" s="84" t="str">
        <f t="shared" ca="1" si="1"/>
        <v/>
      </c>
      <c r="L69" s="84"/>
      <c r="M69" s="84" t="str">
        <f t="shared" ca="1" si="2"/>
        <v/>
      </c>
      <c r="N69" s="85" t="str">
        <f t="shared" ca="1" si="3"/>
        <v/>
      </c>
    </row>
    <row r="70" spans="2:14" hidden="1" x14ac:dyDescent="0.3">
      <c r="B70" s="82">
        <f>'ריכוז נתונים'!C70</f>
        <v>54</v>
      </c>
      <c r="C70" s="82" t="str">
        <f ca="1">'הכנסות עצמיות'!C70</f>
        <v/>
      </c>
      <c r="D70" s="83" t="str">
        <f ca="1">'תחשיב בסיסי ראשוני'!D70</f>
        <v/>
      </c>
      <c r="E70" s="83" t="str">
        <f ca="1">'תחשיב בסיסי ראשוני'!E70</f>
        <v/>
      </c>
      <c r="F70" s="83" t="str">
        <f ca="1">'תחשיב בסיסי ראשוני'!F70</f>
        <v/>
      </c>
      <c r="G70" s="83" t="str">
        <f ca="1">'תחשיב בסיסי ראשוני'!G70</f>
        <v/>
      </c>
      <c r="H70" s="83" t="str">
        <f ca="1">'תחשיב בסיסי ראשוני'!H70</f>
        <v/>
      </c>
      <c r="I70" s="83" t="str">
        <f ca="1">'תחשיב בסיסי ראשוני'!I70</f>
        <v/>
      </c>
      <c r="J70" s="83" t="str">
        <f ca="1">'תחשיב בסיסי ראשוני'!J70</f>
        <v/>
      </c>
      <c r="K70" s="84" t="str">
        <f t="shared" ca="1" si="1"/>
        <v/>
      </c>
      <c r="L70" s="84"/>
      <c r="M70" s="84" t="str">
        <f t="shared" ca="1" si="2"/>
        <v/>
      </c>
      <c r="N70" s="85" t="str">
        <f t="shared" ca="1" si="3"/>
        <v/>
      </c>
    </row>
    <row r="71" spans="2:14" hidden="1" x14ac:dyDescent="0.3">
      <c r="B71" s="82">
        <f>'ריכוז נתונים'!C71</f>
        <v>55</v>
      </c>
      <c r="C71" s="82" t="str">
        <f ca="1">'הכנסות עצמיות'!C71</f>
        <v/>
      </c>
      <c r="D71" s="83" t="str">
        <f ca="1">'תחשיב בסיסי ראשוני'!D71</f>
        <v/>
      </c>
      <c r="E71" s="83" t="str">
        <f ca="1">'תחשיב בסיסי ראשוני'!E71</f>
        <v/>
      </c>
      <c r="F71" s="83" t="str">
        <f ca="1">'תחשיב בסיסי ראשוני'!F71</f>
        <v/>
      </c>
      <c r="G71" s="83" t="str">
        <f ca="1">'תחשיב בסיסי ראשוני'!G71</f>
        <v/>
      </c>
      <c r="H71" s="83" t="str">
        <f ca="1">'תחשיב בסיסי ראשוני'!H71</f>
        <v/>
      </c>
      <c r="I71" s="83" t="str">
        <f ca="1">'תחשיב בסיסי ראשוני'!I71</f>
        <v/>
      </c>
      <c r="J71" s="83" t="str">
        <f ca="1">'תחשיב בסיסי ראשוני'!J71</f>
        <v/>
      </c>
      <c r="K71" s="84" t="str">
        <f t="shared" ca="1" si="1"/>
        <v/>
      </c>
      <c r="L71" s="84"/>
      <c r="M71" s="84" t="str">
        <f t="shared" ca="1" si="2"/>
        <v/>
      </c>
      <c r="N71" s="85" t="str">
        <f t="shared" ca="1" si="3"/>
        <v/>
      </c>
    </row>
    <row r="72" spans="2:14" hidden="1" x14ac:dyDescent="0.3">
      <c r="B72" s="82">
        <f>'ריכוז נתונים'!C72</f>
        <v>56</v>
      </c>
      <c r="C72" s="82" t="str">
        <f ca="1">'הכנסות עצמיות'!C72</f>
        <v/>
      </c>
      <c r="D72" s="83" t="str">
        <f ca="1">'תחשיב בסיסי ראשוני'!D72</f>
        <v/>
      </c>
      <c r="E72" s="83" t="str">
        <f ca="1">'תחשיב בסיסי ראשוני'!E72</f>
        <v/>
      </c>
      <c r="F72" s="83" t="str">
        <f ca="1">'תחשיב בסיסי ראשוני'!F72</f>
        <v/>
      </c>
      <c r="G72" s="83" t="str">
        <f ca="1">'תחשיב בסיסי ראשוני'!G72</f>
        <v/>
      </c>
      <c r="H72" s="83" t="str">
        <f ca="1">'תחשיב בסיסי ראשוני'!H72</f>
        <v/>
      </c>
      <c r="I72" s="83" t="str">
        <f ca="1">'תחשיב בסיסי ראשוני'!I72</f>
        <v/>
      </c>
      <c r="J72" s="83" t="str">
        <f ca="1">'תחשיב בסיסי ראשוני'!J72</f>
        <v/>
      </c>
      <c r="K72" s="84" t="str">
        <f t="shared" ca="1" si="1"/>
        <v/>
      </c>
      <c r="L72" s="84"/>
      <c r="M72" s="84" t="str">
        <f t="shared" ca="1" si="2"/>
        <v/>
      </c>
      <c r="N72" s="85" t="str">
        <f t="shared" ca="1" si="3"/>
        <v/>
      </c>
    </row>
    <row r="73" spans="2:14" hidden="1" x14ac:dyDescent="0.3">
      <c r="B73" s="82">
        <f>'ריכוז נתונים'!C73</f>
        <v>57</v>
      </c>
      <c r="C73" s="82" t="str">
        <f ca="1">'הכנסות עצמיות'!C73</f>
        <v/>
      </c>
      <c r="D73" s="83" t="str">
        <f ca="1">'תחשיב בסיסי ראשוני'!D73</f>
        <v/>
      </c>
      <c r="E73" s="83" t="str">
        <f ca="1">'תחשיב בסיסי ראשוני'!E73</f>
        <v/>
      </c>
      <c r="F73" s="83" t="str">
        <f ca="1">'תחשיב בסיסי ראשוני'!F73</f>
        <v/>
      </c>
      <c r="G73" s="83" t="str">
        <f ca="1">'תחשיב בסיסי ראשוני'!G73</f>
        <v/>
      </c>
      <c r="H73" s="83" t="str">
        <f ca="1">'תחשיב בסיסי ראשוני'!H73</f>
        <v/>
      </c>
      <c r="I73" s="83" t="str">
        <f ca="1">'תחשיב בסיסי ראשוני'!I73</f>
        <v/>
      </c>
      <c r="J73" s="83" t="str">
        <f ca="1">'תחשיב בסיסי ראשוני'!J73</f>
        <v/>
      </c>
      <c r="K73" s="84" t="str">
        <f t="shared" ca="1" si="1"/>
        <v/>
      </c>
      <c r="L73" s="84"/>
      <c r="M73" s="84" t="str">
        <f t="shared" ca="1" si="2"/>
        <v/>
      </c>
      <c r="N73" s="85" t="str">
        <f t="shared" ca="1" si="3"/>
        <v/>
      </c>
    </row>
    <row r="74" spans="2:14" hidden="1" x14ac:dyDescent="0.3">
      <c r="B74" s="82">
        <f>'ריכוז נתונים'!C74</f>
        <v>58</v>
      </c>
      <c r="C74" s="82" t="str">
        <f ca="1">'הכנסות עצמיות'!C74</f>
        <v/>
      </c>
      <c r="D74" s="83" t="str">
        <f ca="1">'תחשיב בסיסי ראשוני'!D74</f>
        <v/>
      </c>
      <c r="E74" s="83" t="str">
        <f ca="1">'תחשיב בסיסי ראשוני'!E74</f>
        <v/>
      </c>
      <c r="F74" s="83" t="str">
        <f ca="1">'תחשיב בסיסי ראשוני'!F74</f>
        <v/>
      </c>
      <c r="G74" s="83" t="str">
        <f ca="1">'תחשיב בסיסי ראשוני'!G74</f>
        <v/>
      </c>
      <c r="H74" s="83" t="str">
        <f ca="1">'תחשיב בסיסי ראשוני'!H74</f>
        <v/>
      </c>
      <c r="I74" s="83" t="str">
        <f ca="1">'תחשיב בסיסי ראשוני'!I74</f>
        <v/>
      </c>
      <c r="J74" s="83" t="str">
        <f ca="1">'תחשיב בסיסי ראשוני'!J74</f>
        <v/>
      </c>
      <c r="K74" s="84" t="str">
        <f t="shared" ca="1" si="1"/>
        <v/>
      </c>
      <c r="L74" s="84"/>
      <c r="M74" s="84" t="str">
        <f t="shared" ca="1" si="2"/>
        <v/>
      </c>
      <c r="N74" s="85" t="str">
        <f t="shared" ca="1" si="3"/>
        <v/>
      </c>
    </row>
    <row r="75" spans="2:14" hidden="1" x14ac:dyDescent="0.3">
      <c r="B75" s="82">
        <f>'ריכוז נתונים'!C75</f>
        <v>59</v>
      </c>
      <c r="C75" s="82" t="str">
        <f ca="1">'הכנסות עצמיות'!C75</f>
        <v/>
      </c>
      <c r="D75" s="83" t="str">
        <f ca="1">'תחשיב בסיסי ראשוני'!D75</f>
        <v/>
      </c>
      <c r="E75" s="83" t="str">
        <f ca="1">'תחשיב בסיסי ראשוני'!E75</f>
        <v/>
      </c>
      <c r="F75" s="83" t="str">
        <f ca="1">'תחשיב בסיסי ראשוני'!F75</f>
        <v/>
      </c>
      <c r="G75" s="83" t="str">
        <f ca="1">'תחשיב בסיסי ראשוני'!G75</f>
        <v/>
      </c>
      <c r="H75" s="83" t="str">
        <f ca="1">'תחשיב בסיסי ראשוני'!H75</f>
        <v/>
      </c>
      <c r="I75" s="83" t="str">
        <f ca="1">'תחשיב בסיסי ראשוני'!I75</f>
        <v/>
      </c>
      <c r="J75" s="83" t="str">
        <f ca="1">'תחשיב בסיסי ראשוני'!J75</f>
        <v/>
      </c>
      <c r="K75" s="84" t="str">
        <f t="shared" ca="1" si="1"/>
        <v/>
      </c>
      <c r="L75" s="84"/>
      <c r="M75" s="84" t="str">
        <f t="shared" ca="1" si="2"/>
        <v/>
      </c>
      <c r="N75" s="85" t="str">
        <f t="shared" ca="1" si="3"/>
        <v/>
      </c>
    </row>
    <row r="76" spans="2:14" x14ac:dyDescent="0.3">
      <c r="B76" s="82">
        <f>'ריכוז נתונים'!C76</f>
        <v>60</v>
      </c>
      <c r="C76" s="82" t="str">
        <f ca="1">'הכנסות עצמיות'!C76</f>
        <v>שרשרת הדורות</v>
      </c>
      <c r="D76" s="83">
        <f ca="1">'תחשיב בסיסי ראשוני'!D76</f>
        <v>1.8394564352559328E-2</v>
      </c>
      <c r="E76" s="83">
        <f ca="1">'תחשיב בסיסי ראשוני'!E76</f>
        <v>0</v>
      </c>
      <c r="F76" s="83">
        <f ca="1">'תחשיב בסיסי ראשוני'!F76</f>
        <v>0</v>
      </c>
      <c r="G76" s="83">
        <f ca="1">'תחשיב בסיסי ראשוני'!G76</f>
        <v>0</v>
      </c>
      <c r="H76" s="83">
        <f ca="1">'תחשיב בסיסי ראשוני'!H76</f>
        <v>0</v>
      </c>
      <c r="I76" s="83">
        <f ca="1">'תחשיב בסיסי ראשוני'!I76</f>
        <v>6.8879380157383249E-2</v>
      </c>
      <c r="J76" s="83" t="str">
        <f ca="1">'תחשיב בסיסי ראשוני'!J76</f>
        <v/>
      </c>
      <c r="K76" s="84">
        <f t="shared" ca="1" si="1"/>
        <v>1.4647587357517816E-2</v>
      </c>
      <c r="L76" s="84"/>
      <c r="M76" s="84">
        <f t="shared" ca="1" si="2"/>
        <v>1.4647587357517816E-2</v>
      </c>
      <c r="N76" s="85">
        <f t="shared" ca="1" si="3"/>
        <v>219713.81036276722</v>
      </c>
    </row>
    <row r="77" spans="2:14" x14ac:dyDescent="0.3">
      <c r="B77" s="82">
        <f>'ריכוז נתונים'!C77</f>
        <v>61</v>
      </c>
      <c r="C77" s="82" t="str">
        <f ca="1">'הכנסות עצמיות'!C77</f>
        <v>חיבה</v>
      </c>
      <c r="D77" s="83">
        <f ca="1">'תחשיב בסיסי ראשוני'!D77</f>
        <v>2.2612748007729128E-2</v>
      </c>
      <c r="E77" s="83">
        <f ca="1">'תחשיב בסיסי ראשוני'!E77</f>
        <v>0</v>
      </c>
      <c r="F77" s="83">
        <f ca="1">'תחשיב בסיסי ראשוני'!F77</f>
        <v>0.05</v>
      </c>
      <c r="G77" s="83">
        <f ca="1">'תחשיב בסיסי ראשוני'!G77</f>
        <v>0</v>
      </c>
      <c r="H77" s="83">
        <f ca="1">'תחשיב בסיסי ראשוני'!H77</f>
        <v>0</v>
      </c>
      <c r="I77" s="83">
        <f ca="1">'תחשיב בסיסי ראשוני'!I77</f>
        <v>6.0893050487865856E-2</v>
      </c>
      <c r="J77" s="83" t="str">
        <f ca="1">'תחשיב בסיסי ראשוני'!J77</f>
        <v/>
      </c>
      <c r="K77" s="84">
        <f t="shared" ca="1" si="1"/>
        <v>2.1722171615778593E-2</v>
      </c>
      <c r="L77" s="84"/>
      <c r="M77" s="84">
        <f t="shared" ca="1" si="2"/>
        <v>2.1722171615778593E-2</v>
      </c>
      <c r="N77" s="85">
        <f t="shared" ca="1" si="3"/>
        <v>325832.57423667889</v>
      </c>
    </row>
    <row r="78" spans="2:14" hidden="1" x14ac:dyDescent="0.3">
      <c r="B78" s="82">
        <f>'ריכוז נתונים'!C78</f>
        <v>62</v>
      </c>
      <c r="C78" s="82" t="str">
        <f ca="1">'הכנסות עצמיות'!C78</f>
        <v/>
      </c>
      <c r="D78" s="83" t="str">
        <f ca="1">ארועים!P78</f>
        <v/>
      </c>
      <c r="E78" s="83" t="str">
        <f ca="1">תערוכות!F78</f>
        <v/>
      </c>
      <c r="F78" s="83" t="str">
        <f ca="1">'אתר אינטרנט'!J78</f>
        <v/>
      </c>
      <c r="G78" s="83" t="str">
        <f ca="1">עלונים!O78</f>
        <v/>
      </c>
      <c r="H78" s="83" t="str">
        <f ca="1">'ספרי עיון'!G78</f>
        <v/>
      </c>
      <c r="I78" s="83" t="str">
        <f ca="1">'הכנסות עצמיות'!H78</f>
        <v/>
      </c>
      <c r="J78" s="83" t="str">
        <f ca="1">'תיעוד ושימור'!G78</f>
        <v/>
      </c>
      <c r="K78" s="84" t="str">
        <f t="shared" ref="K78" ca="1" si="4">IF(C78="","",SUMPRODUCT($D$16:$J$16,D78:J78))</f>
        <v/>
      </c>
      <c r="L78" s="84" t="str">
        <f t="shared" ref="L78" ca="1" si="5">IFERROR(K78,0)</f>
        <v/>
      </c>
      <c r="M78" s="84" t="str">
        <f t="shared" ca="1" si="2"/>
        <v/>
      </c>
      <c r="N78" s="85" t="str">
        <f t="shared" ca="1" si="3"/>
        <v/>
      </c>
    </row>
    <row r="79" spans="2:14" x14ac:dyDescent="0.3">
      <c r="B79" s="76" t="s">
        <v>187</v>
      </c>
      <c r="D79" s="120">
        <f ca="1">SUM(D17:D78)</f>
        <v>1.0000000000000002</v>
      </c>
      <c r="E79" s="120">
        <f t="shared" ref="E79:N79" ca="1" si="6">SUM(E17:E78)</f>
        <v>0.45605033881897383</v>
      </c>
      <c r="F79" s="120">
        <f t="shared" ca="1" si="6"/>
        <v>0.77811387900355888</v>
      </c>
      <c r="G79" s="120">
        <f t="shared" ca="1" si="6"/>
        <v>1</v>
      </c>
      <c r="H79" s="120">
        <f t="shared" ca="1" si="6"/>
        <v>0.99999999999999978</v>
      </c>
      <c r="I79" s="120">
        <f t="shared" ca="1" si="6"/>
        <v>0.99999999999999967</v>
      </c>
      <c r="J79" s="120">
        <f t="shared" ca="1" si="6"/>
        <v>0.99999999999999978</v>
      </c>
      <c r="K79" s="120">
        <f ca="1">SUM(K17:K78)</f>
        <v>1</v>
      </c>
      <c r="L79" s="120">
        <f t="shared" ca="1" si="6"/>
        <v>0</v>
      </c>
      <c r="M79" s="120">
        <f t="shared" ca="1" si="6"/>
        <v>1</v>
      </c>
      <c r="N79" s="290">
        <f t="shared" ca="1" si="6"/>
        <v>15000000</v>
      </c>
    </row>
    <row r="80" spans="2:14" x14ac:dyDescent="0.3">
      <c r="K80" s="120"/>
    </row>
  </sheetData>
  <sheetProtection algorithmName="SHA-512" hashValue="9j92soNgB/Uo9GPBWH7f6ia0n5h8CJFr55TBXqFZQDa3wq9pQbvc8aLbhRHdnyBkDyDvF8jVYP8uFvgJtUAeCQ==" saltValue="PgNhY3lMWtBXDt+Afu8OkQ==" spinCount="100000" sheet="1" scenarios="1" formatColumns="0" formatRows="0" autoFilter="0"/>
  <mergeCells count="6">
    <mergeCell ref="N15:N16"/>
    <mergeCell ref="B15:B16"/>
    <mergeCell ref="C15:C16"/>
    <mergeCell ref="K15:K16"/>
    <mergeCell ref="L15:L16"/>
    <mergeCell ref="M15:M16"/>
  </mergeCells>
  <conditionalFormatting sqref="D18:J18">
    <cfRule type="containsText" dxfId="231" priority="17" operator="containsText" text="הזנה שגויה">
      <formula>NOT(ISERROR(SEARCH("הזנה שגויה",D18)))</formula>
    </cfRule>
  </conditionalFormatting>
  <conditionalFormatting sqref="D17:N78">
    <cfRule type="containsText" dxfId="230" priority="1" operator="containsText" text="הזנה שגויה">
      <formula>NOT(ISERROR(SEARCH("הזנה שגויה",D17)))</formula>
    </cfRule>
    <cfRule type="expression" dxfId="229" priority="2">
      <formula>ISERROR(D17)</formula>
    </cfRule>
  </conditionalFormatting>
  <pageMargins left="0.25" right="0.25" top="0.75" bottom="0.75" header="0.3" footer="0.3"/>
  <pageSetup paperSize="9" scale="48" orientation="landscape" r:id="rId1"/>
  <headerFooter>
    <oddFooter>&amp;C&amp;"David,מודגש"א. חפץ ושות'
ייעוץ כלכלי</oddFooter>
  </headerFooter>
  <rowBreaks count="1" manualBreakCount="1">
    <brk id="41" max="13" man="1"/>
  </rowBreaks>
  <colBreaks count="1" manualBreakCount="1">
    <brk id="8" max="78"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sheetPr>
  <dimension ref="A1:GR97"/>
  <sheetViews>
    <sheetView rightToLeft="1" view="pageBreakPreview" topLeftCell="B1" zoomScale="80" zoomScaleNormal="100" zoomScaleSheetLayoutView="80" workbookViewId="0">
      <pane ySplit="30" topLeftCell="A31" activePane="bottomLeft" state="frozen"/>
      <selection activeCell="M88" sqref="M88"/>
      <selection pane="bottomLeft" activeCell="B31" sqref="B31"/>
    </sheetView>
  </sheetViews>
  <sheetFormatPr defaultColWidth="9" defaultRowHeight="15.75" x14ac:dyDescent="0.25"/>
  <cols>
    <col min="1" max="1" width="4" hidden="1" customWidth="1"/>
    <col min="2" max="2" width="11" bestFit="1" customWidth="1"/>
    <col min="3" max="3" width="25.42578125" customWidth="1"/>
    <col min="4" max="4" width="12.140625" customWidth="1"/>
    <col min="5" max="5" width="22.85546875" bestFit="1" customWidth="1"/>
    <col min="6" max="6" width="26.5703125" bestFit="1" customWidth="1"/>
    <col min="7" max="7" width="16.42578125" customWidth="1"/>
    <col min="8" max="8" width="12.42578125" customWidth="1"/>
    <col min="9" max="9" width="5.5703125" hidden="1" customWidth="1"/>
    <col min="10" max="24" width="3.5703125" hidden="1" customWidth="1"/>
    <col min="25" max="25" width="12" bestFit="1" customWidth="1"/>
    <col min="26" max="26" width="21.140625" customWidth="1"/>
    <col min="27" max="27" width="4.42578125" hidden="1" customWidth="1"/>
    <col min="28" max="28" width="2.85546875" hidden="1" customWidth="1"/>
    <col min="29" max="29" width="9" hidden="1" customWidth="1"/>
    <col min="30" max="30" width="8" hidden="1" customWidth="1"/>
    <col min="31" max="31" width="10.140625" hidden="1" customWidth="1"/>
    <col min="32" max="32" width="6.42578125" hidden="1" customWidth="1"/>
    <col min="33" max="35" width="8" hidden="1" customWidth="1"/>
    <col min="36" max="38" width="9" hidden="1" customWidth="1"/>
    <col min="39" max="200" width="9" customWidth="1"/>
  </cols>
  <sheetData>
    <row r="1" spans="2:35" ht="18" customHeight="1" x14ac:dyDescent="0.25">
      <c r="B1" s="260" t="str">
        <f>פרמטרים!B3</f>
        <v>שנת תקציב</v>
      </c>
      <c r="C1" s="261">
        <f>פרמטרים!C3</f>
        <v>2025</v>
      </c>
      <c r="D1" s="555" t="str">
        <f ca="1">IF(E93&lt;=E6,""," סך התמיכה בשנה קודמת חורגת מתקציב שנה קודמת, בדוק נתוני הזנה")</f>
        <v/>
      </c>
      <c r="E1" s="556"/>
      <c r="F1" s="556"/>
      <c r="G1" s="556"/>
      <c r="H1" s="556"/>
      <c r="I1" s="556"/>
      <c r="J1" s="556"/>
      <c r="K1" s="556"/>
      <c r="L1" s="556"/>
      <c r="M1" s="556"/>
      <c r="N1" s="556"/>
      <c r="O1" s="556"/>
      <c r="P1" s="556"/>
      <c r="Q1" s="556"/>
      <c r="R1" s="556"/>
      <c r="S1" s="556"/>
      <c r="T1" s="556"/>
      <c r="U1" s="556"/>
      <c r="V1" s="556"/>
      <c r="W1" s="556"/>
      <c r="X1" s="556"/>
      <c r="Y1" s="556"/>
      <c r="Z1" s="556"/>
      <c r="AA1" s="262"/>
      <c r="AB1" s="262"/>
      <c r="AC1" s="262"/>
      <c r="AD1" s="262"/>
      <c r="AE1" s="262"/>
      <c r="AF1" s="262"/>
      <c r="AG1" s="262"/>
      <c r="AH1" s="262" t="s">
        <v>188</v>
      </c>
      <c r="AI1" s="263"/>
    </row>
    <row r="2" spans="2:35" ht="40.5" customHeight="1" thickBot="1" x14ac:dyDescent="0.3">
      <c r="B2" s="264" t="str">
        <f>פרמטרים!B4</f>
        <v xml:space="preserve">גובה תמיכה </v>
      </c>
      <c r="C2" s="265">
        <f>פרמטרים!C4</f>
        <v>15000000</v>
      </c>
      <c r="D2" s="557"/>
      <c r="E2" s="556"/>
      <c r="F2" s="556"/>
      <c r="G2" s="556"/>
      <c r="H2" s="556"/>
      <c r="I2" s="556"/>
      <c r="J2" s="556"/>
      <c r="K2" s="556"/>
      <c r="L2" s="556"/>
      <c r="M2" s="556"/>
      <c r="N2" s="556"/>
      <c r="O2" s="556"/>
      <c r="P2" s="556"/>
      <c r="Q2" s="556"/>
      <c r="R2" s="556"/>
      <c r="S2" s="556"/>
      <c r="T2" s="556"/>
      <c r="U2" s="556"/>
      <c r="V2" s="556"/>
      <c r="W2" s="556"/>
      <c r="X2" s="556"/>
      <c r="Y2" s="556"/>
      <c r="Z2" s="556"/>
      <c r="AA2" s="262"/>
      <c r="AB2" s="262"/>
      <c r="AC2" s="262"/>
      <c r="AD2" s="262"/>
      <c r="AE2" s="262"/>
      <c r="AF2" s="262"/>
      <c r="AG2" s="262"/>
      <c r="AH2" s="262"/>
      <c r="AI2" s="262"/>
    </row>
    <row r="3" spans="2:35" ht="13.5" customHeight="1" x14ac:dyDescent="0.25">
      <c r="B3" s="262"/>
      <c r="C3" s="262"/>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row>
    <row r="4" spans="2:35" x14ac:dyDescent="0.25">
      <c r="B4" s="262"/>
      <c r="C4" s="262"/>
      <c r="D4" s="262"/>
      <c r="E4" s="266" t="str">
        <f>"סך התקציב בשנת "&amp;C1-1</f>
        <v>סך התקציב בשנת 2024</v>
      </c>
      <c r="F4" s="262"/>
      <c r="G4" s="262"/>
      <c r="H4" s="262"/>
      <c r="I4" s="262"/>
      <c r="J4" s="262"/>
      <c r="K4" s="262"/>
      <c r="L4" s="262"/>
      <c r="M4" s="262"/>
      <c r="N4" s="262"/>
      <c r="O4" s="262"/>
      <c r="P4" s="262"/>
      <c r="Q4" s="262"/>
      <c r="R4" s="262"/>
      <c r="S4" s="262"/>
      <c r="T4" s="262"/>
      <c r="U4" s="262"/>
      <c r="V4" s="262"/>
      <c r="W4" s="262"/>
      <c r="X4" s="262"/>
      <c r="Y4" s="262"/>
      <c r="Z4" s="262"/>
      <c r="AA4" s="262"/>
      <c r="AB4" s="262"/>
      <c r="AC4" s="262"/>
      <c r="AD4" s="262"/>
      <c r="AE4" s="262"/>
      <c r="AF4" s="262"/>
      <c r="AG4" s="262"/>
      <c r="AH4" s="262"/>
      <c r="AI4" s="262"/>
    </row>
    <row r="5" spans="2:35" ht="16.5" thickBot="1" x14ac:dyDescent="0.3">
      <c r="B5" s="262"/>
      <c r="C5" s="262"/>
      <c r="D5" s="262"/>
      <c r="E5" s="267" t="s">
        <v>189</v>
      </c>
      <c r="F5" s="262"/>
      <c r="G5" s="262"/>
      <c r="H5" s="262"/>
      <c r="I5" s="262"/>
      <c r="J5" s="262"/>
      <c r="K5" s="262"/>
      <c r="L5" s="262"/>
      <c r="M5" s="262"/>
      <c r="N5" s="262"/>
      <c r="O5" s="262"/>
      <c r="P5" s="262"/>
      <c r="Q5" s="262"/>
      <c r="R5" s="262"/>
      <c r="S5" s="262"/>
      <c r="T5" s="262"/>
      <c r="U5" s="262"/>
      <c r="V5" s="262"/>
      <c r="W5" s="262"/>
      <c r="X5" s="262"/>
      <c r="Y5" s="262"/>
      <c r="Z5" s="262"/>
      <c r="AA5" s="262"/>
      <c r="AB5" s="262"/>
      <c r="AC5" s="262"/>
      <c r="AD5" s="262"/>
      <c r="AE5" s="262"/>
      <c r="AF5" s="262"/>
      <c r="AG5" s="262"/>
      <c r="AH5" s="262"/>
      <c r="AI5" s="262"/>
    </row>
    <row r="6" spans="2:35" x14ac:dyDescent="0.25">
      <c r="B6" s="262"/>
      <c r="C6" s="262"/>
      <c r="D6" s="262"/>
      <c r="E6" s="285">
        <f>פרמטרים!C5</f>
        <v>12209942</v>
      </c>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row>
    <row r="7" spans="2:35" ht="16.5" thickBot="1" x14ac:dyDescent="0.3">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row>
    <row r="8" spans="2:35" ht="16.5" hidden="1" thickBot="1" x14ac:dyDescent="0.3">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row>
    <row r="9" spans="2:35" ht="16.5" hidden="1" thickBot="1" x14ac:dyDescent="0.3">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row>
    <row r="10" spans="2:35" ht="16.5" hidden="1" thickBot="1" x14ac:dyDescent="0.3">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row>
    <row r="11" spans="2:35" ht="16.5" hidden="1" thickBot="1" x14ac:dyDescent="0.3">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row>
    <row r="12" spans="2:35" ht="16.5" hidden="1" thickBot="1" x14ac:dyDescent="0.3">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row>
    <row r="13" spans="2:35" ht="16.5" hidden="1" thickBot="1" x14ac:dyDescent="0.3">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row>
    <row r="14" spans="2:35" ht="16.5" hidden="1" thickBot="1" x14ac:dyDescent="0.3">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row>
    <row r="15" spans="2:35" ht="16.5" hidden="1" thickBot="1" x14ac:dyDescent="0.3">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row>
    <row r="16" spans="2:35" ht="16.5" hidden="1" thickBot="1" x14ac:dyDescent="0.3">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row>
    <row r="17" spans="2:43" ht="16.5" hidden="1" thickBot="1" x14ac:dyDescent="0.3">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row>
    <row r="18" spans="2:43" ht="16.5" hidden="1" thickBot="1" x14ac:dyDescent="0.3">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row>
    <row r="19" spans="2:43" ht="16.5" hidden="1" thickBot="1" x14ac:dyDescent="0.3">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row>
    <row r="20" spans="2:43" ht="16.5" hidden="1" thickBot="1" x14ac:dyDescent="0.3">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row>
    <row r="21" spans="2:43" ht="16.5" hidden="1" thickBot="1" x14ac:dyDescent="0.3">
      <c r="B21" s="262"/>
      <c r="C21" s="262"/>
      <c r="D21" s="262"/>
      <c r="E21" s="262"/>
      <c r="F21" s="262"/>
      <c r="G21" s="262"/>
      <c r="H21" s="262"/>
      <c r="I21" s="262"/>
      <c r="J21" s="262"/>
      <c r="K21" s="262"/>
      <c r="L21" s="262"/>
      <c r="M21" s="262"/>
      <c r="N21" s="262"/>
      <c r="O21" s="262"/>
      <c r="P21" s="262"/>
      <c r="Q21" s="262"/>
      <c r="R21" s="262"/>
      <c r="S21" s="262"/>
      <c r="T21" s="262"/>
      <c r="U21" s="262"/>
      <c r="V21" s="262"/>
      <c r="W21" s="262"/>
      <c r="X21" s="262"/>
      <c r="Y21" s="262"/>
      <c r="Z21" s="262"/>
      <c r="AA21" s="262"/>
      <c r="AB21" s="262"/>
      <c r="AC21" s="262"/>
      <c r="AD21" s="262"/>
      <c r="AE21" s="262"/>
      <c r="AF21" s="262"/>
      <c r="AG21" s="262"/>
      <c r="AH21" s="262"/>
      <c r="AI21" s="262"/>
    </row>
    <row r="22" spans="2:43" ht="16.5" hidden="1" thickBot="1" x14ac:dyDescent="0.3">
      <c r="B22" s="262"/>
      <c r="C22" s="262"/>
      <c r="D22" s="262"/>
      <c r="E22" s="262"/>
      <c r="F22" s="262"/>
      <c r="G22" s="262"/>
      <c r="H22" s="262"/>
      <c r="I22" s="262"/>
      <c r="J22" s="262"/>
      <c r="K22" s="262"/>
      <c r="L22" s="262"/>
      <c r="M22" s="262"/>
      <c r="N22" s="262"/>
      <c r="O22" s="262"/>
      <c r="P22" s="262"/>
      <c r="Q22" s="262"/>
      <c r="R22" s="262"/>
      <c r="S22" s="262"/>
      <c r="T22" s="262"/>
      <c r="U22" s="262"/>
      <c r="V22" s="262"/>
      <c r="W22" s="262"/>
      <c r="X22" s="262"/>
      <c r="Y22" s="262"/>
      <c r="Z22" s="262"/>
      <c r="AA22" s="262"/>
      <c r="AB22" s="262"/>
      <c r="AC22" s="262"/>
      <c r="AD22" s="262"/>
      <c r="AE22" s="262"/>
      <c r="AF22" s="262"/>
      <c r="AG22" s="262"/>
      <c r="AH22" s="262"/>
      <c r="AI22" s="262"/>
    </row>
    <row r="23" spans="2:43" ht="16.5" hidden="1" thickBot="1" x14ac:dyDescent="0.3">
      <c r="B23" s="262"/>
      <c r="C23" s="262"/>
      <c r="D23" s="262"/>
      <c r="E23" s="262"/>
      <c r="F23" s="262"/>
      <c r="G23" s="262"/>
      <c r="H23" s="262"/>
      <c r="I23" s="262"/>
      <c r="J23" s="262"/>
      <c r="K23" s="262"/>
      <c r="L23" s="262"/>
      <c r="M23" s="262"/>
      <c r="N23" s="262"/>
      <c r="O23" s="262"/>
      <c r="P23" s="262"/>
      <c r="Q23" s="262"/>
      <c r="R23" s="262"/>
      <c r="S23" s="262"/>
      <c r="T23" s="262"/>
      <c r="U23" s="262"/>
      <c r="V23" s="262"/>
      <c r="W23" s="262"/>
      <c r="X23" s="262"/>
      <c r="Y23" s="262"/>
      <c r="Z23" s="262"/>
      <c r="AA23" s="262"/>
      <c r="AB23" s="262"/>
      <c r="AC23" s="262"/>
      <c r="AD23" s="262"/>
      <c r="AE23" s="262"/>
      <c r="AF23" s="262"/>
      <c r="AG23" s="262"/>
      <c r="AH23" s="262"/>
      <c r="AI23" s="262"/>
    </row>
    <row r="24" spans="2:43" ht="16.5" hidden="1" thickBot="1" x14ac:dyDescent="0.3">
      <c r="B24" s="262"/>
      <c r="C24" s="262"/>
      <c r="D24" s="262"/>
      <c r="E24" s="262"/>
      <c r="F24" s="262"/>
      <c r="G24" s="262"/>
      <c r="H24" s="262"/>
      <c r="I24" s="262"/>
      <c r="J24" s="262"/>
      <c r="K24" s="262"/>
      <c r="L24" s="262"/>
      <c r="M24" s="262"/>
      <c r="N24" s="262"/>
      <c r="O24" s="262"/>
      <c r="P24" s="262"/>
      <c r="Q24" s="262"/>
      <c r="R24" s="262"/>
      <c r="S24" s="262"/>
      <c r="T24" s="262"/>
      <c r="U24" s="262"/>
      <c r="V24" s="262"/>
      <c r="W24" s="262"/>
      <c r="X24" s="262"/>
      <c r="Y24" s="262"/>
      <c r="Z24" s="262"/>
      <c r="AA24" s="262"/>
      <c r="AB24" s="262"/>
      <c r="AC24" s="262"/>
      <c r="AD24" s="262"/>
      <c r="AE24" s="262"/>
      <c r="AF24" s="262"/>
      <c r="AG24" s="262"/>
      <c r="AH24" s="262"/>
      <c r="AI24" s="262"/>
    </row>
    <row r="25" spans="2:43" ht="16.5" hidden="1" thickBot="1" x14ac:dyDescent="0.3">
      <c r="B25" s="262"/>
      <c r="C25" s="262"/>
      <c r="D25" s="262"/>
      <c r="E25" s="262"/>
      <c r="F25" s="262"/>
      <c r="G25" s="262"/>
      <c r="H25" s="262"/>
      <c r="I25" s="262"/>
      <c r="J25" s="262"/>
      <c r="K25" s="262"/>
      <c r="L25" s="262"/>
      <c r="M25" s="262"/>
      <c r="N25" s="262"/>
      <c r="O25" s="262"/>
      <c r="P25" s="262"/>
      <c r="Q25" s="262"/>
      <c r="R25" s="262"/>
      <c r="S25" s="262"/>
      <c r="T25" s="262"/>
      <c r="U25" s="262"/>
      <c r="V25" s="262"/>
      <c r="W25" s="262"/>
      <c r="X25" s="262"/>
      <c r="Y25" s="262"/>
      <c r="Z25" s="262"/>
      <c r="AA25" s="262"/>
      <c r="AB25" s="262"/>
      <c r="AC25" s="262"/>
      <c r="AD25" s="262"/>
      <c r="AE25" s="262"/>
      <c r="AF25" s="262"/>
      <c r="AG25" s="262"/>
      <c r="AH25" s="262"/>
      <c r="AI25" s="262"/>
    </row>
    <row r="26" spans="2:43" ht="16.5" hidden="1" thickBot="1" x14ac:dyDescent="0.3">
      <c r="B26" s="262"/>
      <c r="C26" s="262"/>
      <c r="D26" s="262"/>
      <c r="E26" s="262"/>
      <c r="F26" s="262"/>
      <c r="G26" s="262"/>
      <c r="H26" s="262"/>
      <c r="I26" s="262"/>
      <c r="J26" s="262"/>
      <c r="K26" s="262"/>
      <c r="L26" s="262"/>
      <c r="M26" s="262"/>
      <c r="N26" s="262"/>
      <c r="O26" s="262"/>
      <c r="P26" s="262"/>
      <c r="Q26" s="262"/>
      <c r="R26" s="262"/>
      <c r="S26" s="262"/>
      <c r="T26" s="262"/>
      <c r="U26" s="262"/>
      <c r="V26" s="262"/>
      <c r="W26" s="262"/>
      <c r="X26" s="262"/>
      <c r="Y26" s="262"/>
      <c r="Z26" s="262"/>
      <c r="AA26" s="262"/>
      <c r="AB26" s="262"/>
      <c r="AC26" s="262"/>
      <c r="AD26" s="262"/>
      <c r="AE26" s="262"/>
      <c r="AF26" s="262"/>
      <c r="AG26" s="262"/>
      <c r="AH26" s="262"/>
      <c r="AI26" s="262"/>
    </row>
    <row r="27" spans="2:43" ht="16.5" hidden="1" thickBot="1" x14ac:dyDescent="0.3">
      <c r="B27" s="262"/>
      <c r="C27" s="262"/>
      <c r="D27" s="262"/>
      <c r="E27" s="262"/>
      <c r="F27" s="262"/>
      <c r="G27" s="262"/>
      <c r="H27" s="262"/>
      <c r="I27" s="262"/>
      <c r="J27" s="262"/>
      <c r="K27" s="262"/>
      <c r="L27" s="262"/>
      <c r="M27" s="262"/>
      <c r="N27" s="262"/>
      <c r="O27" s="262"/>
      <c r="P27" s="262"/>
      <c r="Q27" s="262"/>
      <c r="R27" s="262"/>
      <c r="S27" s="262"/>
      <c r="T27" s="262"/>
      <c r="U27" s="262"/>
      <c r="V27" s="262"/>
      <c r="W27" s="262"/>
      <c r="X27" s="262"/>
      <c r="Y27" s="262"/>
      <c r="Z27" s="262"/>
      <c r="AA27" s="262"/>
      <c r="AB27" s="262"/>
      <c r="AC27" s="262"/>
      <c r="AD27" s="262"/>
      <c r="AE27" s="262"/>
      <c r="AF27" s="262"/>
      <c r="AG27" s="262"/>
      <c r="AH27" s="262"/>
      <c r="AI27" s="262"/>
    </row>
    <row r="28" spans="2:43" ht="19.5" thickBot="1" x14ac:dyDescent="0.35">
      <c r="B28" s="558" t="s">
        <v>190</v>
      </c>
      <c r="C28" s="559"/>
      <c r="D28" s="559"/>
      <c r="E28" s="559"/>
      <c r="F28" s="559"/>
      <c r="G28" s="559"/>
      <c r="H28" s="559"/>
      <c r="I28" s="559"/>
      <c r="J28" s="559"/>
      <c r="K28" s="559"/>
      <c r="L28" s="559"/>
      <c r="M28" s="559"/>
      <c r="N28" s="559"/>
      <c r="O28" s="559"/>
      <c r="P28" s="559"/>
      <c r="Q28" s="559"/>
      <c r="R28" s="559"/>
      <c r="S28" s="559"/>
      <c r="T28" s="559"/>
      <c r="U28" s="559"/>
      <c r="V28" s="559"/>
      <c r="W28" s="559"/>
      <c r="X28" s="559"/>
      <c r="Y28" s="559"/>
      <c r="Z28" s="559"/>
      <c r="AA28" s="262"/>
      <c r="AB28" s="262"/>
      <c r="AC28" s="262"/>
      <c r="AD28" s="262"/>
      <c r="AE28" s="262"/>
      <c r="AF28" s="262"/>
      <c r="AG28" s="262"/>
      <c r="AH28" s="262"/>
      <c r="AI28" s="268">
        <f ca="1">IF(AND(SUM(AI31:AI90)=COUNT(AI31:AI90),$E$93&lt;=$E$6),1,0)</f>
        <v>1</v>
      </c>
    </row>
    <row r="29" spans="2:43" ht="47.25" x14ac:dyDescent="0.25">
      <c r="B29" s="560" t="s">
        <v>145</v>
      </c>
      <c r="C29" s="553" t="s">
        <v>146</v>
      </c>
      <c r="D29" s="553" t="s">
        <v>191</v>
      </c>
      <c r="E29" s="553" t="str">
        <f>"סכום תמיכה בשנת "&amp;C1-1</f>
        <v>סכום תמיכה בשנת 2024</v>
      </c>
      <c r="F29" s="310" t="s">
        <v>192</v>
      </c>
      <c r="G29" s="553" t="s">
        <v>193</v>
      </c>
      <c r="H29" s="553" t="s">
        <v>194</v>
      </c>
      <c r="I29" s="311"/>
      <c r="J29" s="311"/>
      <c r="K29" s="311"/>
      <c r="L29" s="311"/>
      <c r="M29" s="311"/>
      <c r="N29" s="311"/>
      <c r="O29" s="311"/>
      <c r="P29" s="311"/>
      <c r="Q29" s="311"/>
      <c r="R29" s="311"/>
      <c r="S29" s="311"/>
      <c r="T29" s="311"/>
      <c r="U29" s="311"/>
      <c r="V29" s="311"/>
      <c r="W29" s="311"/>
      <c r="X29" s="311"/>
      <c r="Y29" s="553" t="s">
        <v>195</v>
      </c>
      <c r="Z29" s="563" t="s">
        <v>196</v>
      </c>
      <c r="AA29" s="262"/>
      <c r="AB29" s="262"/>
      <c r="AC29" s="262"/>
      <c r="AD29" s="262"/>
      <c r="AE29" s="262"/>
      <c r="AF29" s="549" t="s">
        <v>197</v>
      </c>
      <c r="AG29" s="549" t="s">
        <v>198</v>
      </c>
      <c r="AH29" s="269" t="s">
        <v>199</v>
      </c>
      <c r="AI29" s="262"/>
    </row>
    <row r="30" spans="2:43" ht="16.5" customHeight="1" thickBot="1" x14ac:dyDescent="0.3">
      <c r="B30" s="561"/>
      <c r="C30" s="562"/>
      <c r="D30" s="562"/>
      <c r="E30" s="554"/>
      <c r="F30" s="267" t="s">
        <v>200</v>
      </c>
      <c r="G30" s="562"/>
      <c r="H30" s="562"/>
      <c r="I30" s="312"/>
      <c r="J30" s="312"/>
      <c r="K30" s="312"/>
      <c r="L30" s="312"/>
      <c r="M30" s="312"/>
      <c r="N30" s="312"/>
      <c r="O30" s="312"/>
      <c r="P30" s="312"/>
      <c r="Q30" s="312"/>
      <c r="R30" s="312"/>
      <c r="S30" s="312"/>
      <c r="T30" s="312"/>
      <c r="U30" s="312"/>
      <c r="V30" s="312"/>
      <c r="W30" s="312"/>
      <c r="X30" s="312"/>
      <c r="Y30" s="562"/>
      <c r="Z30" s="564"/>
      <c r="AA30" s="262"/>
      <c r="AB30" s="262"/>
      <c r="AC30" s="262"/>
      <c r="AD30" s="268">
        <v>0</v>
      </c>
      <c r="AE30" s="268">
        <v>1</v>
      </c>
      <c r="AF30" s="550"/>
      <c r="AG30" s="550"/>
      <c r="AH30" s="269"/>
      <c r="AI30" s="268" t="s">
        <v>201</v>
      </c>
    </row>
    <row r="31" spans="2:43" x14ac:dyDescent="0.25">
      <c r="B31" s="270">
        <f ca="1">IF(C31="","",ROW()-30)</f>
        <v>1</v>
      </c>
      <c r="C31" s="271" t="str">
        <f ca="1">'תחשיב בסיסי ראשוני'!C17</f>
        <v>מרכז מורשת בבל</v>
      </c>
      <c r="D31" s="297">
        <f ca="1">'תחשיב בסיסי לאחר 11ב ו12ג5 '!M17</f>
        <v>5.0875270012121082E-2</v>
      </c>
      <c r="E31" s="284">
        <f>'ריכוז נתונים כללים'!O17</f>
        <v>656553.68000000005</v>
      </c>
      <c r="F31" s="286">
        <v>0</v>
      </c>
      <c r="G31" s="275">
        <f ca="1">IF(C31="","",IFERROR(E31/$E$6,$AH$1))</f>
        <v>5.3772055592074069E-2</v>
      </c>
      <c r="H31" s="272">
        <f t="shared" ref="H31:H90" ca="1" si="0">IF(C31="","",IF(AI31&lt;&gt;1,$AH$1,IF(F31=1,D31,AVERAGE($G31,$D31))))</f>
        <v>5.2323662802097576E-2</v>
      </c>
      <c r="I31" s="273"/>
      <c r="J31" s="274"/>
      <c r="K31" s="274"/>
      <c r="L31" s="274"/>
      <c r="M31" s="274"/>
      <c r="N31" s="274"/>
      <c r="O31" s="274"/>
      <c r="P31" s="274"/>
      <c r="Q31" s="274"/>
      <c r="R31" s="274"/>
      <c r="S31" s="274"/>
      <c r="T31" s="274"/>
      <c r="U31" s="274"/>
      <c r="V31" s="274"/>
      <c r="W31" s="274"/>
      <c r="X31" s="274"/>
      <c r="Y31" s="283">
        <f t="shared" ref="Y31:Y62" ca="1" si="1">IF(C31="","",IF($AI$28&lt;&gt;1,$AH$1,H31/$H$93*100%))</f>
        <v>5.3532225548708706E-2</v>
      </c>
      <c r="Z31" s="277">
        <f t="shared" ref="Z31:Z90" ca="1" si="2">IF(C31="","",IF(AND($AI$28&lt;&gt;1),$AH$1,Y31*$C$2))</f>
        <v>802983.38323063054</v>
      </c>
      <c r="AA31" s="262"/>
      <c r="AB31" s="262"/>
      <c r="AC31" s="262"/>
      <c r="AD31" s="268">
        <f t="shared" ref="AD31:AE63" ca="1" si="3">IF($C31="","",AD$30)</f>
        <v>0</v>
      </c>
      <c r="AE31" s="268">
        <f t="shared" ca="1" si="3"/>
        <v>1</v>
      </c>
      <c r="AF31" s="262">
        <f t="shared" ref="AF31:AF34" ca="1" si="4">IF(D31=$AH$1,0,1)</f>
        <v>1</v>
      </c>
      <c r="AG31" s="262">
        <f t="shared" ref="AG31:AG34" si="5">IF(E31="",0,IFERROR(IF(E31&gt;=0,1,0),0))</f>
        <v>1</v>
      </c>
      <c r="AH31" s="268"/>
      <c r="AI31" s="262">
        <f t="shared" ref="AI31:AI34" ca="1" si="6">IF($C31="",1,IFERROR(IF(SUM(AF31:AG31)=COUNT(AF31:AG31),1,0),0))</f>
        <v>1</v>
      </c>
      <c r="AJ31" s="262"/>
      <c r="AK31" s="262"/>
      <c r="AL31" s="262"/>
      <c r="AM31" s="262"/>
      <c r="AN31" s="262"/>
      <c r="AO31" s="262"/>
      <c r="AP31" s="262"/>
      <c r="AQ31" s="262"/>
    </row>
    <row r="32" spans="2:43" x14ac:dyDescent="0.25">
      <c r="B32" s="270">
        <f t="shared" ref="B32:B92" ca="1" si="7">IF(C32="","",ROW()-30)</f>
        <v>2</v>
      </c>
      <c r="C32" s="271" t="str">
        <f ca="1">'תחשיב בסיסי ראשוני'!C18</f>
        <v>מורשת יהודי צפון  אפריקה</v>
      </c>
      <c r="D32" s="297">
        <f ca="1">'תחשיב בסיסי לאחר 11ב ו12ג5 '!M18</f>
        <v>1.9873231047400245E-2</v>
      </c>
      <c r="E32" s="284">
        <f>'ריכוז נתונים כללים'!O18</f>
        <v>242368.27</v>
      </c>
      <c r="F32" s="286">
        <v>0</v>
      </c>
      <c r="G32" s="275">
        <f ca="1">IF(C32="","",IFERROR(E32/$E$6,$AH$1))</f>
        <v>1.985007545490388E-2</v>
      </c>
      <c r="H32" s="272">
        <f t="shared" ca="1" si="0"/>
        <v>1.9861653251152064E-2</v>
      </c>
      <c r="I32" s="276"/>
      <c r="J32" s="274"/>
      <c r="K32" s="274"/>
      <c r="L32" s="274"/>
      <c r="M32" s="274"/>
      <c r="N32" s="274"/>
      <c r="O32" s="274"/>
      <c r="P32" s="274"/>
      <c r="Q32" s="274"/>
      <c r="R32" s="274"/>
      <c r="S32" s="274"/>
      <c r="T32" s="274"/>
      <c r="U32" s="274"/>
      <c r="V32" s="274"/>
      <c r="W32" s="274"/>
      <c r="X32" s="274"/>
      <c r="Y32" s="283">
        <f t="shared" ca="1" si="1"/>
        <v>2.0320414219325109E-2</v>
      </c>
      <c r="Z32" s="277">
        <f t="shared" ca="1" si="2"/>
        <v>304806.21328987664</v>
      </c>
      <c r="AA32" s="262"/>
      <c r="AB32" s="262"/>
      <c r="AC32" s="262"/>
      <c r="AD32" s="268">
        <f t="shared" ca="1" si="3"/>
        <v>0</v>
      </c>
      <c r="AE32" s="268">
        <f t="shared" ca="1" si="3"/>
        <v>1</v>
      </c>
      <c r="AF32" s="262">
        <f t="shared" ca="1" si="4"/>
        <v>1</v>
      </c>
      <c r="AG32" s="262">
        <f t="shared" si="5"/>
        <v>1</v>
      </c>
      <c r="AH32" s="268"/>
      <c r="AI32" s="262">
        <f t="shared" ca="1" si="6"/>
        <v>1</v>
      </c>
      <c r="AJ32" s="262"/>
      <c r="AK32" s="262"/>
      <c r="AL32" s="262"/>
      <c r="AM32" s="262"/>
      <c r="AN32" s="262"/>
      <c r="AO32" s="262"/>
      <c r="AP32" s="262"/>
      <c r="AQ32" s="262"/>
    </row>
    <row r="33" spans="2:43" x14ac:dyDescent="0.25">
      <c r="B33" s="270">
        <f t="shared" ca="1" si="7"/>
        <v>3</v>
      </c>
      <c r="C33" s="271" t="str">
        <f ca="1">'תחשיב בסיסי ראשוני'!C19</f>
        <v>מורשת יהדות קוצין</v>
      </c>
      <c r="D33" s="297">
        <f ca="1">'תחשיב בסיסי לאחר 11ב ו12ג5 '!M19</f>
        <v>3.4425250939551046E-2</v>
      </c>
      <c r="E33" s="284">
        <f>'ריכוז נתונים כללים'!O19</f>
        <v>387242.95</v>
      </c>
      <c r="F33" s="286">
        <v>0</v>
      </c>
      <c r="G33" s="275">
        <f t="shared" ref="G33:G90" ca="1" si="8">IF(C33="","",IFERROR(E33/$E$6,$AH$1))</f>
        <v>3.1715379974777934E-2</v>
      </c>
      <c r="H33" s="272">
        <f t="shared" ca="1" si="0"/>
        <v>3.307031545716449E-2</v>
      </c>
      <c r="I33" s="276"/>
      <c r="J33" s="274"/>
      <c r="K33" s="274"/>
      <c r="L33" s="274"/>
      <c r="M33" s="274"/>
      <c r="N33" s="274"/>
      <c r="O33" s="274"/>
      <c r="P33" s="274"/>
      <c r="Q33" s="274"/>
      <c r="R33" s="274"/>
      <c r="S33" s="274"/>
      <c r="T33" s="274"/>
      <c r="U33" s="274"/>
      <c r="V33" s="274"/>
      <c r="W33" s="274"/>
      <c r="X33" s="274"/>
      <c r="Y33" s="283">
        <f t="shared" ca="1" si="1"/>
        <v>3.3834167778271584E-2</v>
      </c>
      <c r="Z33" s="277">
        <f t="shared" ca="1" si="2"/>
        <v>507512.51667407376</v>
      </c>
      <c r="AA33" s="262"/>
      <c r="AB33" s="262"/>
      <c r="AC33" s="262"/>
      <c r="AD33" s="268">
        <f t="shared" ca="1" si="3"/>
        <v>0</v>
      </c>
      <c r="AE33" s="268">
        <f t="shared" ca="1" si="3"/>
        <v>1</v>
      </c>
      <c r="AF33" s="262">
        <f t="shared" ca="1" si="4"/>
        <v>1</v>
      </c>
      <c r="AG33" s="262">
        <f t="shared" si="5"/>
        <v>1</v>
      </c>
      <c r="AH33" s="268"/>
      <c r="AI33" s="262">
        <f t="shared" ca="1" si="6"/>
        <v>1</v>
      </c>
      <c r="AJ33" s="262"/>
      <c r="AK33" s="262"/>
      <c r="AL33" s="262"/>
      <c r="AM33" s="262"/>
      <c r="AN33" s="262"/>
      <c r="AO33" s="262"/>
      <c r="AP33" s="262"/>
      <c r="AQ33" s="262"/>
    </row>
    <row r="34" spans="2:43" x14ac:dyDescent="0.25">
      <c r="B34" s="270">
        <f t="shared" ca="1" si="7"/>
        <v>4</v>
      </c>
      <c r="C34" s="271" t="str">
        <f ca="1">'תחשיב בסיסי ראשוני'!C20</f>
        <v>הפדרציה העולמית של יהדות תוניס</v>
      </c>
      <c r="D34" s="297">
        <f ca="1">'תחשיב בסיסי לאחר 11ב ו12ג5 '!M20</f>
        <v>0</v>
      </c>
      <c r="E34" s="284">
        <f>'ריכוז נתונים כללים'!O20</f>
        <v>137789.1</v>
      </c>
      <c r="F34" s="286">
        <v>0</v>
      </c>
      <c r="G34" s="275">
        <f t="shared" ca="1" si="8"/>
        <v>1.1284992180962039E-2</v>
      </c>
      <c r="H34" s="272">
        <f t="shared" ca="1" si="0"/>
        <v>5.6424960904810197E-3</v>
      </c>
      <c r="I34" s="276"/>
      <c r="J34" s="274"/>
      <c r="K34" s="274"/>
      <c r="L34" s="274"/>
      <c r="M34" s="274"/>
      <c r="N34" s="274"/>
      <c r="O34" s="274"/>
      <c r="P34" s="274"/>
      <c r="Q34" s="274"/>
      <c r="R34" s="274"/>
      <c r="S34" s="274"/>
      <c r="T34" s="274"/>
      <c r="U34" s="274"/>
      <c r="V34" s="274"/>
      <c r="W34" s="274"/>
      <c r="X34" s="274"/>
      <c r="Y34" s="283">
        <f t="shared" ca="1" si="1"/>
        <v>5.7728254712555811E-3</v>
      </c>
      <c r="Z34" s="277">
        <f t="shared" ca="1" si="2"/>
        <v>86592.382068833715</v>
      </c>
      <c r="AA34" s="262"/>
      <c r="AB34" s="262"/>
      <c r="AC34" s="262"/>
      <c r="AD34" s="268">
        <f t="shared" ca="1" si="3"/>
        <v>0</v>
      </c>
      <c r="AE34" s="268">
        <f t="shared" ca="1" si="3"/>
        <v>1</v>
      </c>
      <c r="AF34" s="262">
        <f t="shared" ca="1" si="4"/>
        <v>1</v>
      </c>
      <c r="AG34" s="262">
        <f t="shared" si="5"/>
        <v>1</v>
      </c>
      <c r="AH34" s="268"/>
      <c r="AI34" s="262">
        <f t="shared" ca="1" si="6"/>
        <v>1</v>
      </c>
    </row>
    <row r="35" spans="2:43" x14ac:dyDescent="0.25">
      <c r="B35" s="270">
        <f t="shared" ca="1" si="7"/>
        <v>5</v>
      </c>
      <c r="C35" s="271" t="str">
        <f ca="1">'תחשיב בסיסי ראשוני'!C21</f>
        <v>התאחדות עולי מצרים</v>
      </c>
      <c r="D35" s="297">
        <f ca="1">'תחשיב בסיסי לאחר 11ב ו12ג5 '!M21</f>
        <v>2.4024856624197684E-2</v>
      </c>
      <c r="E35" s="284">
        <f>'ריכוז נתונים כללים'!O21</f>
        <v>192461.67</v>
      </c>
      <c r="F35" s="286">
        <v>0</v>
      </c>
      <c r="G35" s="275">
        <f t="shared" ca="1" si="8"/>
        <v>1.5762701411685658E-2</v>
      </c>
      <c r="H35" s="272">
        <f t="shared" ca="1" si="0"/>
        <v>1.9893779017941669E-2</v>
      </c>
      <c r="I35" s="276"/>
      <c r="J35" s="274"/>
      <c r="K35" s="274"/>
      <c r="L35" s="274"/>
      <c r="M35" s="274"/>
      <c r="N35" s="274"/>
      <c r="O35" s="274"/>
      <c r="P35" s="274"/>
      <c r="Q35" s="274"/>
      <c r="R35" s="274"/>
      <c r="S35" s="274"/>
      <c r="T35" s="274"/>
      <c r="U35" s="274"/>
      <c r="V35" s="274"/>
      <c r="W35" s="274"/>
      <c r="X35" s="274"/>
      <c r="Y35" s="283">
        <f t="shared" ca="1" si="1"/>
        <v>2.035328202141708E-2</v>
      </c>
      <c r="Z35" s="277">
        <f t="shared" ca="1" si="2"/>
        <v>305299.23032125621</v>
      </c>
      <c r="AA35" s="262"/>
      <c r="AB35" s="262"/>
      <c r="AC35" s="262"/>
      <c r="AD35" s="268">
        <f t="shared" ca="1" si="3"/>
        <v>0</v>
      </c>
      <c r="AE35" s="268">
        <f t="shared" ca="1" si="3"/>
        <v>1</v>
      </c>
      <c r="AF35" s="262">
        <f t="shared" ref="AF35:AF90" ca="1" si="9">IF(D35=$AH$1,0,1)</f>
        <v>1</v>
      </c>
      <c r="AG35" s="262">
        <f t="shared" ref="AG35:AG90" si="10">IF(E35="",0,IFERROR(IF(E35&gt;=0,1,0),0))</f>
        <v>1</v>
      </c>
      <c r="AH35" s="268"/>
      <c r="AI35" s="262">
        <f t="shared" ref="AI35:AI90" ca="1" si="11">IF($C35="",1,IFERROR(IF(SUM(AF35:AG35)=COUNT(AF35:AG35),1,0),0))</f>
        <v>1</v>
      </c>
    </row>
    <row r="36" spans="2:43" x14ac:dyDescent="0.25">
      <c r="B36" s="270">
        <f t="shared" ca="1" si="7"/>
        <v>6</v>
      </c>
      <c r="C36" s="271" t="str">
        <f ca="1">'תחשיב בסיסי ראשוני'!C22</f>
        <v>יהודים יוצאי לוב</v>
      </c>
      <c r="D36" s="297">
        <f ca="1">'תחשיב בסיסי לאחר 11ב ו12ג5 '!M22</f>
        <v>2.2660519838080123E-2</v>
      </c>
      <c r="E36" s="284">
        <f>'ריכוז נתונים כללים'!O22</f>
        <v>501135.74</v>
      </c>
      <c r="F36" s="286">
        <v>0</v>
      </c>
      <c r="G36" s="275">
        <f t="shared" ca="1" si="8"/>
        <v>4.1043253112914048E-2</v>
      </c>
      <c r="H36" s="272">
        <f t="shared" ca="1" si="0"/>
        <v>3.1851886475497082E-2</v>
      </c>
      <c r="I36" s="276"/>
      <c r="J36" s="274"/>
      <c r="K36" s="274"/>
      <c r="L36" s="274"/>
      <c r="M36" s="274"/>
      <c r="N36" s="274"/>
      <c r="O36" s="274"/>
      <c r="P36" s="274"/>
      <c r="Q36" s="274"/>
      <c r="R36" s="274"/>
      <c r="S36" s="274"/>
      <c r="T36" s="274"/>
      <c r="U36" s="274"/>
      <c r="V36" s="274"/>
      <c r="W36" s="274"/>
      <c r="X36" s="274"/>
      <c r="Y36" s="283">
        <f t="shared" ca="1" si="1"/>
        <v>3.2587595738611391E-2</v>
      </c>
      <c r="Z36" s="277">
        <f t="shared" ca="1" si="2"/>
        <v>488813.93607917085</v>
      </c>
      <c r="AA36" s="262"/>
      <c r="AB36" s="262"/>
      <c r="AC36" s="262"/>
      <c r="AD36" s="268">
        <f t="shared" ca="1" si="3"/>
        <v>0</v>
      </c>
      <c r="AE36" s="268">
        <f t="shared" ca="1" si="3"/>
        <v>1</v>
      </c>
      <c r="AF36" s="262">
        <f t="shared" ca="1" si="9"/>
        <v>1</v>
      </c>
      <c r="AG36" s="262">
        <f t="shared" si="10"/>
        <v>1</v>
      </c>
      <c r="AH36" s="268"/>
      <c r="AI36" s="262">
        <f t="shared" ca="1" si="11"/>
        <v>1</v>
      </c>
    </row>
    <row r="37" spans="2:43" x14ac:dyDescent="0.25">
      <c r="B37" s="270">
        <f t="shared" ca="1" si="7"/>
        <v>7</v>
      </c>
      <c r="C37" s="271" t="str">
        <f ca="1">'תחשיב בסיסי ראשוני'!C23</f>
        <v>הפדרציה העולמית של יהדות מרוקו</v>
      </c>
      <c r="D37" s="297">
        <f ca="1">'תחשיב בסיסי לאחר 11ב ו12ג5 '!M23</f>
        <v>1.4318977835174274E-2</v>
      </c>
      <c r="E37" s="284">
        <f>'ריכוז נתונים כללים'!O23</f>
        <v>308058</v>
      </c>
      <c r="F37" s="286">
        <v>0</v>
      </c>
      <c r="G37" s="275">
        <f t="shared" ca="1" si="8"/>
        <v>2.5230095278093868E-2</v>
      </c>
      <c r="H37" s="272">
        <f t="shared" ca="1" si="0"/>
        <v>1.9774536556634071E-2</v>
      </c>
      <c r="I37" s="276"/>
      <c r="J37" s="274"/>
      <c r="K37" s="274"/>
      <c r="L37" s="274"/>
      <c r="M37" s="274"/>
      <c r="N37" s="274"/>
      <c r="O37" s="274"/>
      <c r="P37" s="274"/>
      <c r="Q37" s="274"/>
      <c r="R37" s="274"/>
      <c r="S37" s="274"/>
      <c r="T37" s="274"/>
      <c r="U37" s="274"/>
      <c r="V37" s="274"/>
      <c r="W37" s="274"/>
      <c r="X37" s="274"/>
      <c r="Y37" s="283">
        <f t="shared" ca="1" si="1"/>
        <v>2.0231285318742711E-2</v>
      </c>
      <c r="Z37" s="277">
        <f t="shared" ca="1" si="2"/>
        <v>303469.27978114068</v>
      </c>
      <c r="AA37" s="262"/>
      <c r="AB37" s="262"/>
      <c r="AC37" s="262"/>
      <c r="AD37" s="268">
        <f t="shared" ca="1" si="3"/>
        <v>0</v>
      </c>
      <c r="AE37" s="268">
        <f t="shared" ca="1" si="3"/>
        <v>1</v>
      </c>
      <c r="AF37" s="262">
        <f t="shared" ca="1" si="9"/>
        <v>1</v>
      </c>
      <c r="AG37" s="262">
        <f t="shared" si="10"/>
        <v>1</v>
      </c>
      <c r="AH37" s="268"/>
      <c r="AI37" s="262">
        <f t="shared" ca="1" si="11"/>
        <v>1</v>
      </c>
    </row>
    <row r="38" spans="2:43" x14ac:dyDescent="0.25">
      <c r="B38" s="270">
        <f t="shared" ca="1" si="7"/>
        <v>8</v>
      </c>
      <c r="C38" s="271" t="str">
        <f ca="1">'תחשיב בסיסי ראשוני'!C24</f>
        <v>אורות הגליל</v>
      </c>
      <c r="D38" s="297">
        <f ca="1">'תחשיב בסיסי לאחר 11ב ו12ג5 '!M24</f>
        <v>3.06818060777139E-2</v>
      </c>
      <c r="E38" s="284">
        <f>'ריכוז נתונים כללים'!O24</f>
        <v>295429.61</v>
      </c>
      <c r="F38" s="286">
        <v>0</v>
      </c>
      <c r="G38" s="275">
        <f t="shared" ca="1" si="8"/>
        <v>2.4195824189828255E-2</v>
      </c>
      <c r="H38" s="272">
        <f t="shared" ca="1" si="0"/>
        <v>2.7438815133771076E-2</v>
      </c>
      <c r="I38" s="276"/>
      <c r="J38" s="274"/>
      <c r="K38" s="274"/>
      <c r="L38" s="274"/>
      <c r="M38" s="274"/>
      <c r="N38" s="274"/>
      <c r="O38" s="274"/>
      <c r="P38" s="274"/>
      <c r="Q38" s="274"/>
      <c r="R38" s="274"/>
      <c r="S38" s="274"/>
      <c r="T38" s="274"/>
      <c r="U38" s="274"/>
      <c r="V38" s="274"/>
      <c r="W38" s="274"/>
      <c r="X38" s="274"/>
      <c r="Y38" s="283">
        <f t="shared" ca="1" si="1"/>
        <v>2.8072592052394901E-2</v>
      </c>
      <c r="Z38" s="277">
        <f t="shared" ca="1" si="2"/>
        <v>421088.88078592351</v>
      </c>
      <c r="AA38" s="262"/>
      <c r="AB38" s="262"/>
      <c r="AC38" s="262"/>
      <c r="AD38" s="268">
        <f t="shared" ca="1" si="3"/>
        <v>0</v>
      </c>
      <c r="AE38" s="268">
        <f t="shared" ca="1" si="3"/>
        <v>1</v>
      </c>
      <c r="AF38" s="262">
        <f t="shared" ca="1" si="9"/>
        <v>1</v>
      </c>
      <c r="AG38" s="262">
        <f t="shared" si="10"/>
        <v>1</v>
      </c>
      <c r="AH38" s="268"/>
      <c r="AI38" s="262">
        <f t="shared" ca="1" si="11"/>
        <v>1</v>
      </c>
    </row>
    <row r="39" spans="2:43" x14ac:dyDescent="0.25">
      <c r="B39" s="270">
        <f t="shared" ca="1" si="7"/>
        <v>9</v>
      </c>
      <c r="C39" s="271" t="str">
        <f ca="1">'תחשיב בסיסי ראשוני'!C25</f>
        <v>אלמז</v>
      </c>
      <c r="D39" s="297">
        <f ca="1">'תחשיב בסיסי לאחר 11ב ו12ג5 '!M25</f>
        <v>9.1077359480820162E-3</v>
      </c>
      <c r="E39" s="284">
        <f>'ריכוז נתונים כללים'!O25</f>
        <v>103736.29</v>
      </c>
      <c r="F39" s="286">
        <v>0</v>
      </c>
      <c r="G39" s="275">
        <f t="shared" ca="1" si="8"/>
        <v>8.4960510049924883E-3</v>
      </c>
      <c r="H39" s="272">
        <f t="shared" ca="1" si="0"/>
        <v>8.8018934765372522E-3</v>
      </c>
      <c r="I39" s="276"/>
      <c r="J39" s="274"/>
      <c r="K39" s="274"/>
      <c r="L39" s="274"/>
      <c r="M39" s="274"/>
      <c r="N39" s="274"/>
      <c r="O39" s="274"/>
      <c r="P39" s="274"/>
      <c r="Q39" s="274"/>
      <c r="R39" s="274"/>
      <c r="S39" s="274"/>
      <c r="T39" s="274"/>
      <c r="U39" s="274"/>
      <c r="V39" s="274"/>
      <c r="W39" s="274"/>
      <c r="X39" s="274"/>
      <c r="Y39" s="283">
        <f t="shared" ca="1" si="1"/>
        <v>9.0051980616083875E-3</v>
      </c>
      <c r="Z39" s="277">
        <f t="shared" ca="1" si="2"/>
        <v>135077.97092412581</v>
      </c>
      <c r="AA39" s="262"/>
      <c r="AB39" s="262"/>
      <c r="AC39" s="262"/>
      <c r="AD39" s="268">
        <f t="shared" ca="1" si="3"/>
        <v>0</v>
      </c>
      <c r="AE39" s="268">
        <f t="shared" ca="1" si="3"/>
        <v>1</v>
      </c>
      <c r="AF39" s="262">
        <f t="shared" ca="1" si="9"/>
        <v>1</v>
      </c>
      <c r="AG39" s="262">
        <f t="shared" si="10"/>
        <v>1</v>
      </c>
      <c r="AH39" s="268"/>
      <c r="AI39" s="262">
        <f t="shared" ca="1" si="11"/>
        <v>1</v>
      </c>
    </row>
    <row r="40" spans="2:43" x14ac:dyDescent="0.25">
      <c r="B40" s="270">
        <f t="shared" ca="1" si="7"/>
        <v>10</v>
      </c>
      <c r="C40" s="271" t="str">
        <f ca="1">'תחשיב בסיסי ראשוני'!C26</f>
        <v>קונגרס יהודי בוכרה</v>
      </c>
      <c r="D40" s="297">
        <f ca="1">'תחשיב בסיסי לאחר 11ב ו12ג5 '!M26</f>
        <v>0.10382305045298884</v>
      </c>
      <c r="E40" s="284">
        <f>'ריכוז נתונים כללים'!O26</f>
        <v>1071864</v>
      </c>
      <c r="F40" s="286">
        <v>0</v>
      </c>
      <c r="G40" s="275">
        <f t="shared" ca="1" si="8"/>
        <v>8.7786166388013967E-2</v>
      </c>
      <c r="H40" s="272">
        <f t="shared" ca="1" si="0"/>
        <v>9.5804608420501397E-2</v>
      </c>
      <c r="I40" s="276"/>
      <c r="J40" s="274"/>
      <c r="K40" s="274"/>
      <c r="L40" s="274"/>
      <c r="M40" s="274"/>
      <c r="N40" s="274"/>
      <c r="O40" s="274"/>
      <c r="P40" s="274"/>
      <c r="Q40" s="274"/>
      <c r="R40" s="274"/>
      <c r="S40" s="274"/>
      <c r="T40" s="274"/>
      <c r="U40" s="274"/>
      <c r="V40" s="274"/>
      <c r="W40" s="274"/>
      <c r="X40" s="274"/>
      <c r="Y40" s="283">
        <f t="shared" ca="1" si="1"/>
        <v>9.8017486389855704E-2</v>
      </c>
      <c r="Z40" s="277">
        <f t="shared" ca="1" si="2"/>
        <v>1470262.2958478355</v>
      </c>
      <c r="AA40" s="262"/>
      <c r="AB40" s="262"/>
      <c r="AC40" s="262"/>
      <c r="AD40" s="268">
        <f t="shared" ca="1" si="3"/>
        <v>0</v>
      </c>
      <c r="AE40" s="268">
        <f t="shared" ca="1" si="3"/>
        <v>1</v>
      </c>
      <c r="AF40" s="262">
        <f t="shared" ca="1" si="9"/>
        <v>1</v>
      </c>
      <c r="AG40" s="262">
        <f t="shared" si="10"/>
        <v>1</v>
      </c>
      <c r="AH40" s="268"/>
      <c r="AI40" s="262">
        <f t="shared" ca="1" si="11"/>
        <v>1</v>
      </c>
    </row>
    <row r="41" spans="2:43" x14ac:dyDescent="0.25">
      <c r="B41" s="270">
        <f t="shared" ca="1" si="7"/>
        <v>11</v>
      </c>
      <c r="C41" s="271" t="str">
        <f ca="1">'תחשיב בסיסי ראשוני'!C27</f>
        <v>יהדות שאלוניקי יוון</v>
      </c>
      <c r="D41" s="297">
        <f ca="1">'תחשיב בסיסי לאחר 11ב ו12ג5 '!M27</f>
        <v>2.1132179690741399E-2</v>
      </c>
      <c r="E41" s="284">
        <f>'ריכוז נתונים כללים'!O27</f>
        <v>264243.15000000002</v>
      </c>
      <c r="F41" s="286">
        <v>0</v>
      </c>
      <c r="G41" s="275">
        <f t="shared" ca="1" si="8"/>
        <v>2.1641638428749294E-2</v>
      </c>
      <c r="H41" s="272">
        <f t="shared" ca="1" si="0"/>
        <v>2.1386909059745347E-2</v>
      </c>
      <c r="I41" s="276"/>
      <c r="J41" s="274"/>
      <c r="K41" s="274"/>
      <c r="L41" s="274"/>
      <c r="M41" s="274"/>
      <c r="N41" s="274"/>
      <c r="O41" s="274"/>
      <c r="P41" s="274"/>
      <c r="Q41" s="274"/>
      <c r="R41" s="274"/>
      <c r="S41" s="274"/>
      <c r="T41" s="274"/>
      <c r="U41" s="274"/>
      <c r="V41" s="274"/>
      <c r="W41" s="274"/>
      <c r="X41" s="274"/>
      <c r="Y41" s="283">
        <f t="shared" ca="1" si="1"/>
        <v>2.1880900117912095E-2</v>
      </c>
      <c r="Z41" s="277">
        <f t="shared" ca="1" si="2"/>
        <v>328213.50176868145</v>
      </c>
      <c r="AA41" s="262"/>
      <c r="AB41" s="262"/>
      <c r="AC41" s="262"/>
      <c r="AD41" s="268">
        <f t="shared" ca="1" si="3"/>
        <v>0</v>
      </c>
      <c r="AE41" s="268">
        <f t="shared" ca="1" si="3"/>
        <v>1</v>
      </c>
      <c r="AF41" s="262">
        <f t="shared" ca="1" si="9"/>
        <v>1</v>
      </c>
      <c r="AG41" s="262">
        <f t="shared" si="10"/>
        <v>1</v>
      </c>
      <c r="AH41" s="268"/>
      <c r="AI41" s="262">
        <f t="shared" ca="1" si="11"/>
        <v>1</v>
      </c>
    </row>
    <row r="42" spans="2:43" hidden="1" x14ac:dyDescent="0.25">
      <c r="B42" s="270" t="str">
        <f t="shared" ca="1" si="7"/>
        <v/>
      </c>
      <c r="C42" s="271" t="str">
        <f ca="1">'תחשיב בסיסי ראשוני'!C28</f>
        <v/>
      </c>
      <c r="D42" s="297" t="str">
        <f ca="1">'תחשיב בסיסי לאחר 11ב ו12ג5 '!M28</f>
        <v/>
      </c>
      <c r="E42" s="284">
        <f>'ריכוז נתונים כללים'!O28</f>
        <v>0</v>
      </c>
      <c r="F42" s="286"/>
      <c r="G42" s="275" t="str">
        <f t="shared" ca="1" si="8"/>
        <v/>
      </c>
      <c r="H42" s="272" t="str">
        <f t="shared" ca="1" si="0"/>
        <v/>
      </c>
      <c r="I42" s="276"/>
      <c r="J42" s="274"/>
      <c r="K42" s="274"/>
      <c r="L42" s="274"/>
      <c r="M42" s="274"/>
      <c r="N42" s="274"/>
      <c r="O42" s="274"/>
      <c r="P42" s="274"/>
      <c r="Q42" s="274"/>
      <c r="R42" s="274"/>
      <c r="S42" s="274"/>
      <c r="T42" s="274"/>
      <c r="U42" s="274"/>
      <c r="V42" s="274"/>
      <c r="W42" s="274"/>
      <c r="X42" s="274"/>
      <c r="Y42" s="283" t="str">
        <f t="shared" ca="1" si="1"/>
        <v/>
      </c>
      <c r="Z42" s="277" t="str">
        <f t="shared" ca="1" si="2"/>
        <v/>
      </c>
      <c r="AA42" s="262"/>
      <c r="AB42" s="262"/>
      <c r="AC42" s="262"/>
      <c r="AD42" s="268" t="str">
        <f t="shared" ca="1" si="3"/>
        <v/>
      </c>
      <c r="AE42" s="268" t="str">
        <f t="shared" ca="1" si="3"/>
        <v/>
      </c>
      <c r="AF42" s="262">
        <f t="shared" ca="1" si="9"/>
        <v>1</v>
      </c>
      <c r="AG42" s="262">
        <f t="shared" si="10"/>
        <v>1</v>
      </c>
      <c r="AH42" s="268"/>
      <c r="AI42" s="262">
        <f t="shared" ca="1" si="11"/>
        <v>1</v>
      </c>
    </row>
    <row r="43" spans="2:43" hidden="1" x14ac:dyDescent="0.25">
      <c r="B43" s="270" t="str">
        <f t="shared" ca="1" si="7"/>
        <v/>
      </c>
      <c r="C43" s="271" t="str">
        <f ca="1">'תחשיב בסיסי ראשוני'!C29</f>
        <v/>
      </c>
      <c r="D43" s="297" t="str">
        <f ca="1">'תחשיב בסיסי לאחר 11ב ו12ג5 '!M29</f>
        <v/>
      </c>
      <c r="E43" s="284">
        <f>'ריכוז נתונים כללים'!O29</f>
        <v>0</v>
      </c>
      <c r="F43" s="286"/>
      <c r="G43" s="275" t="str">
        <f t="shared" ca="1" si="8"/>
        <v/>
      </c>
      <c r="H43" s="272" t="str">
        <f t="shared" ca="1" si="0"/>
        <v/>
      </c>
      <c r="I43" s="276"/>
      <c r="J43" s="274"/>
      <c r="K43" s="274"/>
      <c r="L43" s="274"/>
      <c r="M43" s="274"/>
      <c r="N43" s="274"/>
      <c r="O43" s="274"/>
      <c r="P43" s="274"/>
      <c r="Q43" s="274"/>
      <c r="R43" s="274"/>
      <c r="S43" s="274"/>
      <c r="T43" s="274"/>
      <c r="U43" s="274"/>
      <c r="V43" s="274"/>
      <c r="W43" s="274"/>
      <c r="X43" s="274"/>
      <c r="Y43" s="283" t="str">
        <f t="shared" ca="1" si="1"/>
        <v/>
      </c>
      <c r="Z43" s="277" t="str">
        <f t="shared" ca="1" si="2"/>
        <v/>
      </c>
      <c r="AA43" s="262"/>
      <c r="AB43" s="262"/>
      <c r="AC43" s="262"/>
      <c r="AD43" s="268" t="str">
        <f t="shared" ca="1" si="3"/>
        <v/>
      </c>
      <c r="AE43" s="268" t="str">
        <f t="shared" ca="1" si="3"/>
        <v/>
      </c>
      <c r="AF43" s="262">
        <f t="shared" ca="1" si="9"/>
        <v>1</v>
      </c>
      <c r="AG43" s="262">
        <f t="shared" si="10"/>
        <v>1</v>
      </c>
      <c r="AH43" s="268"/>
      <c r="AI43" s="262">
        <f t="shared" ca="1" si="11"/>
        <v>1</v>
      </c>
    </row>
    <row r="44" spans="2:43" hidden="1" x14ac:dyDescent="0.25">
      <c r="B44" s="270" t="str">
        <f t="shared" ca="1" si="7"/>
        <v/>
      </c>
      <c r="C44" s="271" t="str">
        <f ca="1">'תחשיב בסיסי ראשוני'!C30</f>
        <v/>
      </c>
      <c r="D44" s="297" t="str">
        <f ca="1">'תחשיב בסיסי לאחר 11ב ו12ג5 '!M30</f>
        <v/>
      </c>
      <c r="E44" s="284">
        <f>'ריכוז נתונים כללים'!O30</f>
        <v>0</v>
      </c>
      <c r="F44" s="286"/>
      <c r="G44" s="275" t="str">
        <f t="shared" ca="1" si="8"/>
        <v/>
      </c>
      <c r="H44" s="272" t="str">
        <f t="shared" ca="1" si="0"/>
        <v/>
      </c>
      <c r="I44" s="276"/>
      <c r="J44" s="274"/>
      <c r="K44" s="274"/>
      <c r="L44" s="274"/>
      <c r="M44" s="274"/>
      <c r="N44" s="274"/>
      <c r="O44" s="274"/>
      <c r="P44" s="274"/>
      <c r="Q44" s="274"/>
      <c r="R44" s="274"/>
      <c r="S44" s="274"/>
      <c r="T44" s="274"/>
      <c r="U44" s="274"/>
      <c r="V44" s="274"/>
      <c r="W44" s="274"/>
      <c r="X44" s="274"/>
      <c r="Y44" s="283" t="str">
        <f t="shared" ca="1" si="1"/>
        <v/>
      </c>
      <c r="Z44" s="277" t="str">
        <f t="shared" ca="1" si="2"/>
        <v/>
      </c>
      <c r="AA44" s="262"/>
      <c r="AB44" s="262"/>
      <c r="AC44" s="262"/>
      <c r="AD44" s="268" t="str">
        <f t="shared" ca="1" si="3"/>
        <v/>
      </c>
      <c r="AE44" s="268" t="str">
        <f t="shared" ca="1" si="3"/>
        <v/>
      </c>
      <c r="AF44" s="262">
        <f t="shared" ca="1" si="9"/>
        <v>1</v>
      </c>
      <c r="AG44" s="262">
        <f t="shared" si="10"/>
        <v>1</v>
      </c>
      <c r="AH44" s="268"/>
      <c r="AI44" s="262">
        <f t="shared" ca="1" si="11"/>
        <v>1</v>
      </c>
    </row>
    <row r="45" spans="2:43" x14ac:dyDescent="0.25">
      <c r="B45" s="270">
        <f t="shared" ca="1" si="7"/>
        <v>15</v>
      </c>
      <c r="C45" s="271" t="str">
        <f ca="1">'תחשיב בסיסי ראשוני'!C31</f>
        <v xml:space="preserve">החברה לטיפוח חברה תרבות תיעוד </v>
      </c>
      <c r="D45" s="297">
        <f ca="1">'תחשיב בסיסי לאחר 11ב ו12ג5 '!M31</f>
        <v>0.18021035712686012</v>
      </c>
      <c r="E45" s="284">
        <f>'ריכוז נתונים כללים'!O31</f>
        <v>1514521.42</v>
      </c>
      <c r="F45" s="286">
        <v>0</v>
      </c>
      <c r="G45" s="275">
        <f t="shared" ca="1" si="8"/>
        <v>0.12404001755290893</v>
      </c>
      <c r="H45" s="272">
        <f t="shared" ca="1" si="0"/>
        <v>0.15212518733988453</v>
      </c>
      <c r="I45" s="276"/>
      <c r="J45" s="274"/>
      <c r="K45" s="274"/>
      <c r="L45" s="274"/>
      <c r="M45" s="274"/>
      <c r="N45" s="274"/>
      <c r="O45" s="274"/>
      <c r="P45" s="274"/>
      <c r="Q45" s="274"/>
      <c r="R45" s="274"/>
      <c r="S45" s="274"/>
      <c r="T45" s="274"/>
      <c r="U45" s="274"/>
      <c r="V45" s="274"/>
      <c r="W45" s="274"/>
      <c r="X45" s="274"/>
      <c r="Y45" s="283">
        <f t="shared" ca="1" si="1"/>
        <v>0.1556389481202719</v>
      </c>
      <c r="Z45" s="277">
        <f t="shared" ca="1" si="2"/>
        <v>2334584.2218040787</v>
      </c>
      <c r="AA45" s="262"/>
      <c r="AB45" s="262"/>
      <c r="AC45" s="262"/>
      <c r="AD45" s="268">
        <f t="shared" ca="1" si="3"/>
        <v>0</v>
      </c>
      <c r="AE45" s="268">
        <f t="shared" ca="1" si="3"/>
        <v>1</v>
      </c>
      <c r="AF45" s="262">
        <f t="shared" ca="1" si="9"/>
        <v>1</v>
      </c>
      <c r="AG45" s="262">
        <f t="shared" si="10"/>
        <v>1</v>
      </c>
      <c r="AH45" s="268"/>
      <c r="AI45" s="262">
        <f t="shared" ca="1" si="11"/>
        <v>1</v>
      </c>
    </row>
    <row r="46" spans="2:43" x14ac:dyDescent="0.25">
      <c r="B46" s="270">
        <f t="shared" ca="1" si="7"/>
        <v>16</v>
      </c>
      <c r="C46" s="271" t="str">
        <f ca="1">'תחשיב בסיסי ראשוני'!C32</f>
        <v>עמותת אור שלום</v>
      </c>
      <c r="D46" s="297">
        <f ca="1">'תחשיב בסיסי לאחר 11ב ו12ג5 '!M32</f>
        <v>3.9060191218748007E-2</v>
      </c>
      <c r="E46" s="284">
        <f>'ריכוז נתונים כללים'!O32</f>
        <v>510958.73</v>
      </c>
      <c r="F46" s="286">
        <v>0</v>
      </c>
      <c r="G46" s="275">
        <f t="shared" ca="1" si="8"/>
        <v>4.1847760619993117E-2</v>
      </c>
      <c r="H46" s="272">
        <f t="shared" ca="1" si="0"/>
        <v>4.0453975919370562E-2</v>
      </c>
      <c r="I46" s="276"/>
      <c r="J46" s="274"/>
      <c r="K46" s="274"/>
      <c r="L46" s="274"/>
      <c r="M46" s="274"/>
      <c r="N46" s="274"/>
      <c r="O46" s="274"/>
      <c r="P46" s="274"/>
      <c r="Q46" s="274"/>
      <c r="R46" s="274"/>
      <c r="S46" s="274"/>
      <c r="T46" s="274"/>
      <c r="U46" s="274"/>
      <c r="V46" s="274"/>
      <c r="W46" s="274"/>
      <c r="X46" s="274"/>
      <c r="Y46" s="283">
        <f t="shared" ca="1" si="1"/>
        <v>4.1388374729204938E-2</v>
      </c>
      <c r="Z46" s="277">
        <f t="shared" ca="1" si="2"/>
        <v>620825.62093807408</v>
      </c>
      <c r="AA46" s="262"/>
      <c r="AB46" s="262"/>
      <c r="AC46" s="262"/>
      <c r="AD46" s="268">
        <f t="shared" ca="1" si="3"/>
        <v>0</v>
      </c>
      <c r="AE46" s="268">
        <f t="shared" ca="1" si="3"/>
        <v>1</v>
      </c>
      <c r="AF46" s="262">
        <f t="shared" ca="1" si="9"/>
        <v>1</v>
      </c>
      <c r="AG46" s="262">
        <f t="shared" si="10"/>
        <v>1</v>
      </c>
      <c r="AH46" s="268"/>
      <c r="AI46" s="262">
        <f t="shared" ca="1" si="11"/>
        <v>1</v>
      </c>
    </row>
    <row r="47" spans="2:43" hidden="1" x14ac:dyDescent="0.25">
      <c r="B47" s="270" t="str">
        <f t="shared" ca="1" si="7"/>
        <v/>
      </c>
      <c r="C47" s="271" t="str">
        <f ca="1">'תחשיב בסיסי ראשוני'!C33</f>
        <v/>
      </c>
      <c r="D47" s="297" t="str">
        <f ca="1">'תחשיב בסיסי לאחר 11ב ו12ג5 '!M33</f>
        <v/>
      </c>
      <c r="E47" s="284">
        <f>'ריכוז נתונים כללים'!O33</f>
        <v>0</v>
      </c>
      <c r="F47" s="286"/>
      <c r="G47" s="275" t="str">
        <f t="shared" ca="1" si="8"/>
        <v/>
      </c>
      <c r="H47" s="272" t="str">
        <f t="shared" ca="1" si="0"/>
        <v/>
      </c>
      <c r="I47" s="276"/>
      <c r="J47" s="274"/>
      <c r="K47" s="274"/>
      <c r="L47" s="274"/>
      <c r="M47" s="274"/>
      <c r="N47" s="274"/>
      <c r="O47" s="274"/>
      <c r="P47" s="274"/>
      <c r="Q47" s="274"/>
      <c r="R47" s="274"/>
      <c r="S47" s="274"/>
      <c r="T47" s="274"/>
      <c r="U47" s="274"/>
      <c r="V47" s="274"/>
      <c r="W47" s="274"/>
      <c r="X47" s="274"/>
      <c r="Y47" s="283" t="str">
        <f t="shared" ca="1" si="1"/>
        <v/>
      </c>
      <c r="Z47" s="277" t="str">
        <f t="shared" ca="1" si="2"/>
        <v/>
      </c>
      <c r="AA47" s="262"/>
      <c r="AB47" s="262"/>
      <c r="AC47" s="262"/>
      <c r="AD47" s="268" t="str">
        <f t="shared" ca="1" si="3"/>
        <v/>
      </c>
      <c r="AE47" s="268" t="str">
        <f t="shared" ca="1" si="3"/>
        <v/>
      </c>
      <c r="AF47" s="262">
        <f t="shared" ca="1" si="9"/>
        <v>1</v>
      </c>
      <c r="AG47" s="262">
        <f t="shared" si="10"/>
        <v>1</v>
      </c>
      <c r="AH47" s="268"/>
      <c r="AI47" s="262">
        <f t="shared" ca="1" si="11"/>
        <v>1</v>
      </c>
    </row>
    <row r="48" spans="2:43" x14ac:dyDescent="0.25">
      <c r="B48" s="270">
        <f t="shared" ca="1" si="7"/>
        <v>18</v>
      </c>
      <c r="C48" s="271" t="str">
        <f ca="1">'תחשיב בסיסי ראשוני'!C34</f>
        <v>ישיבת קרלין סטולין</v>
      </c>
      <c r="D48" s="297">
        <f ca="1">'תחשיב בסיסי לאחר 11ב ו12ג5 '!M34</f>
        <v>2.0450724515467485E-2</v>
      </c>
      <c r="E48" s="284">
        <f>'ריכוז נתונים כללים'!O34</f>
        <v>375308.62</v>
      </c>
      <c r="F48" s="286">
        <v>0</v>
      </c>
      <c r="G48" s="275">
        <f t="shared" ca="1" si="8"/>
        <v>3.0737952727375773E-2</v>
      </c>
      <c r="H48" s="272">
        <f t="shared" ca="1" si="0"/>
        <v>2.5594338621421631E-2</v>
      </c>
      <c r="I48" s="276"/>
      <c r="J48" s="274"/>
      <c r="K48" s="274"/>
      <c r="L48" s="274"/>
      <c r="M48" s="274"/>
      <c r="N48" s="274"/>
      <c r="O48" s="274"/>
      <c r="P48" s="274"/>
      <c r="Q48" s="274"/>
      <c r="R48" s="274"/>
      <c r="S48" s="274"/>
      <c r="T48" s="274"/>
      <c r="U48" s="274"/>
      <c r="V48" s="274"/>
      <c r="W48" s="274"/>
      <c r="X48" s="274"/>
      <c r="Y48" s="283">
        <f t="shared" ca="1" si="1"/>
        <v>2.6185512146466989E-2</v>
      </c>
      <c r="Z48" s="277">
        <f t="shared" ca="1" si="2"/>
        <v>392782.68219700485</v>
      </c>
      <c r="AA48" s="262"/>
      <c r="AB48" s="262"/>
      <c r="AC48" s="262"/>
      <c r="AD48" s="268">
        <f t="shared" ca="1" si="3"/>
        <v>0</v>
      </c>
      <c r="AE48" s="268">
        <f t="shared" ca="1" si="3"/>
        <v>1</v>
      </c>
      <c r="AF48" s="262">
        <f t="shared" ca="1" si="9"/>
        <v>1</v>
      </c>
      <c r="AG48" s="262">
        <f t="shared" si="10"/>
        <v>1</v>
      </c>
      <c r="AH48" s="268"/>
      <c r="AI48" s="262">
        <f t="shared" ca="1" si="11"/>
        <v>1</v>
      </c>
    </row>
    <row r="49" spans="2:35" hidden="1" x14ac:dyDescent="0.25">
      <c r="B49" s="270" t="str">
        <f t="shared" ca="1" si="7"/>
        <v/>
      </c>
      <c r="C49" s="271" t="str">
        <f ca="1">'תחשיב בסיסי ראשוני'!C35</f>
        <v/>
      </c>
      <c r="D49" s="297" t="str">
        <f ca="1">'תחשיב בסיסי לאחר 11ב ו12ג5 '!M35</f>
        <v/>
      </c>
      <c r="E49" s="284">
        <f>'ריכוז נתונים כללים'!O35</f>
        <v>0</v>
      </c>
      <c r="F49" s="286"/>
      <c r="G49" s="275" t="str">
        <f t="shared" ca="1" si="8"/>
        <v/>
      </c>
      <c r="H49" s="272" t="str">
        <f t="shared" ca="1" si="0"/>
        <v/>
      </c>
      <c r="I49" s="276"/>
      <c r="J49" s="274"/>
      <c r="K49" s="274"/>
      <c r="L49" s="274"/>
      <c r="M49" s="274"/>
      <c r="N49" s="274"/>
      <c r="O49" s="274"/>
      <c r="P49" s="274"/>
      <c r="Q49" s="274"/>
      <c r="R49" s="274"/>
      <c r="S49" s="274"/>
      <c r="T49" s="274"/>
      <c r="U49" s="274"/>
      <c r="V49" s="274"/>
      <c r="W49" s="274"/>
      <c r="X49" s="274"/>
      <c r="Y49" s="283" t="str">
        <f t="shared" ca="1" si="1"/>
        <v/>
      </c>
      <c r="Z49" s="277" t="str">
        <f t="shared" ca="1" si="2"/>
        <v/>
      </c>
      <c r="AA49" s="262"/>
      <c r="AB49" s="262"/>
      <c r="AC49" s="262"/>
      <c r="AD49" s="268" t="str">
        <f t="shared" ca="1" si="3"/>
        <v/>
      </c>
      <c r="AE49" s="268" t="str">
        <f t="shared" ca="1" si="3"/>
        <v/>
      </c>
      <c r="AF49" s="262">
        <f t="shared" ca="1" si="9"/>
        <v>1</v>
      </c>
      <c r="AG49" s="262">
        <f t="shared" si="10"/>
        <v>1</v>
      </c>
      <c r="AH49" s="268"/>
      <c r="AI49" s="262">
        <f t="shared" ca="1" si="11"/>
        <v>1</v>
      </c>
    </row>
    <row r="50" spans="2:35" hidden="1" x14ac:dyDescent="0.25">
      <c r="B50" s="270" t="str">
        <f t="shared" ca="1" si="7"/>
        <v/>
      </c>
      <c r="C50" s="271" t="str">
        <f ca="1">'תחשיב בסיסי ראשוני'!C36</f>
        <v/>
      </c>
      <c r="D50" s="297" t="str">
        <f ca="1">'תחשיב בסיסי לאחר 11ב ו12ג5 '!M36</f>
        <v/>
      </c>
      <c r="E50" s="284">
        <f>'ריכוז נתונים כללים'!O36</f>
        <v>0</v>
      </c>
      <c r="F50" s="286"/>
      <c r="G50" s="275" t="str">
        <f t="shared" ca="1" si="8"/>
        <v/>
      </c>
      <c r="H50" s="272" t="str">
        <f t="shared" ca="1" si="0"/>
        <v/>
      </c>
      <c r="I50" s="276"/>
      <c r="J50" s="274"/>
      <c r="K50" s="274"/>
      <c r="L50" s="274"/>
      <c r="M50" s="274"/>
      <c r="N50" s="274"/>
      <c r="O50" s="274"/>
      <c r="P50" s="274"/>
      <c r="Q50" s="274"/>
      <c r="R50" s="274"/>
      <c r="S50" s="274"/>
      <c r="T50" s="274"/>
      <c r="U50" s="274"/>
      <c r="V50" s="274"/>
      <c r="W50" s="274"/>
      <c r="X50" s="274"/>
      <c r="Y50" s="283" t="str">
        <f t="shared" ca="1" si="1"/>
        <v/>
      </c>
      <c r="Z50" s="277" t="str">
        <f t="shared" ca="1" si="2"/>
        <v/>
      </c>
      <c r="AA50" s="262"/>
      <c r="AB50" s="262"/>
      <c r="AC50" s="262"/>
      <c r="AD50" s="268" t="str">
        <f t="shared" ca="1" si="3"/>
        <v/>
      </c>
      <c r="AE50" s="268" t="str">
        <f t="shared" ca="1" si="3"/>
        <v/>
      </c>
      <c r="AF50" s="262">
        <f t="shared" ca="1" si="9"/>
        <v>1</v>
      </c>
      <c r="AG50" s="262">
        <f t="shared" si="10"/>
        <v>1</v>
      </c>
      <c r="AH50" s="268"/>
      <c r="AI50" s="262">
        <f t="shared" ca="1" si="11"/>
        <v>1</v>
      </c>
    </row>
    <row r="51" spans="2:35" x14ac:dyDescent="0.25">
      <c r="B51" s="270">
        <f t="shared" ca="1" si="7"/>
        <v>21</v>
      </c>
      <c r="C51" s="271" t="str">
        <f ca="1">'תחשיב בסיסי ראשוני'!C37</f>
        <v>ברית יוצאי מרוקו</v>
      </c>
      <c r="D51" s="297">
        <f ca="1">'תחשיב בסיסי לאחר 11ב ו12ג5 '!M37</f>
        <v>1.190951653958505E-2</v>
      </c>
      <c r="E51" s="284">
        <f>'ריכוז נתונים כללים'!O37</f>
        <v>182409</v>
      </c>
      <c r="F51" s="286">
        <v>0</v>
      </c>
      <c r="G51" s="275">
        <f t="shared" ca="1" si="8"/>
        <v>1.4939383004440152E-2</v>
      </c>
      <c r="H51" s="272">
        <f t="shared" ca="1" si="0"/>
        <v>1.3424449772012601E-2</v>
      </c>
      <c r="I51" s="276"/>
      <c r="J51" s="274"/>
      <c r="K51" s="274"/>
      <c r="L51" s="274"/>
      <c r="M51" s="274"/>
      <c r="N51" s="274"/>
      <c r="O51" s="274"/>
      <c r="P51" s="274"/>
      <c r="Q51" s="274"/>
      <c r="R51" s="274"/>
      <c r="S51" s="274"/>
      <c r="T51" s="274"/>
      <c r="U51" s="274"/>
      <c r="V51" s="274"/>
      <c r="W51" s="274"/>
      <c r="X51" s="274"/>
      <c r="Y51" s="283">
        <f t="shared" ca="1" si="1"/>
        <v>1.3734525348135233E-2</v>
      </c>
      <c r="Z51" s="277">
        <f t="shared" ca="1" si="2"/>
        <v>206017.8802220285</v>
      </c>
      <c r="AA51" s="262"/>
      <c r="AB51" s="262"/>
      <c r="AC51" s="262"/>
      <c r="AD51" s="268">
        <f t="shared" ca="1" si="3"/>
        <v>0</v>
      </c>
      <c r="AE51" s="268">
        <f t="shared" ca="1" si="3"/>
        <v>1</v>
      </c>
      <c r="AF51" s="262">
        <f t="shared" ca="1" si="9"/>
        <v>1</v>
      </c>
      <c r="AG51" s="262">
        <f t="shared" si="10"/>
        <v>1</v>
      </c>
      <c r="AH51" s="268"/>
      <c r="AI51" s="262">
        <f t="shared" ca="1" si="11"/>
        <v>1</v>
      </c>
    </row>
    <row r="52" spans="2:35" x14ac:dyDescent="0.25">
      <c r="B52" s="270">
        <f t="shared" ca="1" si="7"/>
        <v>22</v>
      </c>
      <c r="C52" s="271" t="str">
        <f ca="1">'תחשיב בסיסי ראשוני'!C38</f>
        <v>הקם - בית הקונפדרציה</v>
      </c>
      <c r="D52" s="297">
        <f ca="1">'תחשיב בסיסי לאחר 11ב ו12ג5 '!M38</f>
        <v>2.8367594175275589E-2</v>
      </c>
      <c r="E52" s="284">
        <f>'ריכוז נתונים כללים'!O38</f>
        <v>612871.59</v>
      </c>
      <c r="F52" s="286">
        <v>0</v>
      </c>
      <c r="G52" s="275">
        <f t="shared" ca="1" si="8"/>
        <v>5.0194471849252027E-2</v>
      </c>
      <c r="H52" s="272">
        <f t="shared" ca="1" si="0"/>
        <v>3.9281033012263808E-2</v>
      </c>
      <c r="I52" s="276"/>
      <c r="J52" s="274"/>
      <c r="K52" s="274"/>
      <c r="L52" s="274"/>
      <c r="M52" s="274"/>
      <c r="N52" s="274"/>
      <c r="O52" s="274"/>
      <c r="P52" s="274"/>
      <c r="Q52" s="274"/>
      <c r="R52" s="274"/>
      <c r="S52" s="274"/>
      <c r="T52" s="274"/>
      <c r="U52" s="274"/>
      <c r="V52" s="274"/>
      <c r="W52" s="274"/>
      <c r="X52" s="274"/>
      <c r="Y52" s="283">
        <f t="shared" ca="1" si="1"/>
        <v>4.018833939344324E-2</v>
      </c>
      <c r="Z52" s="277">
        <f t="shared" ca="1" si="2"/>
        <v>602825.09090164863</v>
      </c>
      <c r="AA52" s="262"/>
      <c r="AB52" s="262"/>
      <c r="AC52" s="262"/>
      <c r="AD52" s="268">
        <f t="shared" ca="1" si="3"/>
        <v>0</v>
      </c>
      <c r="AE52" s="268">
        <f t="shared" ca="1" si="3"/>
        <v>1</v>
      </c>
      <c r="AF52" s="262">
        <f t="shared" ca="1" si="9"/>
        <v>1</v>
      </c>
      <c r="AG52" s="262">
        <f t="shared" si="10"/>
        <v>1</v>
      </c>
      <c r="AH52" s="268"/>
      <c r="AI52" s="262">
        <f t="shared" ca="1" si="11"/>
        <v>1</v>
      </c>
    </row>
    <row r="53" spans="2:35" x14ac:dyDescent="0.25">
      <c r="B53" s="270">
        <f t="shared" ca="1" si="7"/>
        <v>23</v>
      </c>
      <c r="C53" s="271" t="str">
        <f ca="1">'תחשיב בסיסי ראשוני'!C39</f>
        <v>מוסיקה מזרח מערב</v>
      </c>
      <c r="D53" s="297">
        <f ca="1">'תחשיב בסיסי לאחר 11ב ו12ג5 '!M39</f>
        <v>6.3520120623350551E-2</v>
      </c>
      <c r="E53" s="284">
        <f>'ריכוז נתונים כללים'!O39</f>
        <v>690258.18</v>
      </c>
      <c r="F53" s="286">
        <v>0</v>
      </c>
      <c r="G53" s="275">
        <f t="shared" ca="1" si="8"/>
        <v>5.6532470015009086E-2</v>
      </c>
      <c r="H53" s="272">
        <f t="shared" ca="1" si="0"/>
        <v>6.0026295319179815E-2</v>
      </c>
      <c r="I53" s="276"/>
      <c r="J53" s="274"/>
      <c r="K53" s="274"/>
      <c r="L53" s="274"/>
      <c r="M53" s="274"/>
      <c r="N53" s="274"/>
      <c r="O53" s="274"/>
      <c r="P53" s="274"/>
      <c r="Q53" s="274"/>
      <c r="R53" s="274"/>
      <c r="S53" s="274"/>
      <c r="T53" s="274"/>
      <c r="U53" s="274"/>
      <c r="V53" s="274"/>
      <c r="W53" s="274"/>
      <c r="X53" s="274"/>
      <c r="Y53" s="283">
        <f t="shared" ca="1" si="1"/>
        <v>6.1412772114854956E-2</v>
      </c>
      <c r="Z53" s="277">
        <f t="shared" ca="1" si="2"/>
        <v>921191.58172282437</v>
      </c>
      <c r="AA53" s="262"/>
      <c r="AB53" s="262"/>
      <c r="AC53" s="262"/>
      <c r="AD53" s="268">
        <f t="shared" ca="1" si="3"/>
        <v>0</v>
      </c>
      <c r="AE53" s="268">
        <f t="shared" ca="1" si="3"/>
        <v>1</v>
      </c>
      <c r="AF53" s="262">
        <f t="shared" ca="1" si="9"/>
        <v>1</v>
      </c>
      <c r="AG53" s="262">
        <f t="shared" si="10"/>
        <v>1</v>
      </c>
      <c r="AH53" s="268"/>
      <c r="AI53" s="262">
        <f t="shared" ca="1" si="11"/>
        <v>1</v>
      </c>
    </row>
    <row r="54" spans="2:35" x14ac:dyDescent="0.25">
      <c r="B54" s="270">
        <f t="shared" ca="1" si="7"/>
        <v>24</v>
      </c>
      <c r="C54" s="271" t="str">
        <f ca="1">'תחשיב בסיסי ראשוני'!C40</f>
        <v>אעלה בתמר</v>
      </c>
      <c r="D54" s="297">
        <f ca="1">'תחשיב בסיסי לאחר 11ב ו12ג5 '!M40</f>
        <v>0.15435070651467231</v>
      </c>
      <c r="E54" s="284">
        <f>'ריכוז נתונים כללים'!O40</f>
        <v>1206197.58</v>
      </c>
      <c r="F54" s="286">
        <v>0</v>
      </c>
      <c r="G54" s="275">
        <f t="shared" ca="1" si="8"/>
        <v>9.8788149853619292E-2</v>
      </c>
      <c r="H54" s="272">
        <f t="shared" ca="1" si="0"/>
        <v>0.12656942818414579</v>
      </c>
      <c r="I54" s="276"/>
      <c r="J54" s="274"/>
      <c r="K54" s="274"/>
      <c r="L54" s="274"/>
      <c r="M54" s="274"/>
      <c r="N54" s="274"/>
      <c r="O54" s="274"/>
      <c r="P54" s="274"/>
      <c r="Q54" s="274"/>
      <c r="R54" s="274"/>
      <c r="S54" s="274"/>
      <c r="T54" s="274"/>
      <c r="U54" s="274"/>
      <c r="V54" s="274"/>
      <c r="W54" s="274"/>
      <c r="X54" s="274"/>
      <c r="Y54" s="283">
        <f t="shared" ca="1" si="1"/>
        <v>0.12949290654119039</v>
      </c>
      <c r="Z54" s="277">
        <f t="shared" ca="1" si="2"/>
        <v>1942393.5981178558</v>
      </c>
      <c r="AA54" s="262"/>
      <c r="AB54" s="262"/>
      <c r="AC54" s="262"/>
      <c r="AD54" s="268">
        <f t="shared" ca="1" si="3"/>
        <v>0</v>
      </c>
      <c r="AE54" s="268">
        <f t="shared" ca="1" si="3"/>
        <v>1</v>
      </c>
      <c r="AF54" s="262">
        <f t="shared" ca="1" si="9"/>
        <v>1</v>
      </c>
      <c r="AG54" s="262">
        <f t="shared" si="10"/>
        <v>1</v>
      </c>
      <c r="AH54" s="268"/>
      <c r="AI54" s="262">
        <f t="shared" ca="1" si="11"/>
        <v>1</v>
      </c>
    </row>
    <row r="55" spans="2:35" hidden="1" x14ac:dyDescent="0.25">
      <c r="B55" s="270" t="str">
        <f t="shared" ca="1" si="7"/>
        <v/>
      </c>
      <c r="C55" s="271" t="str">
        <f ca="1">'תחשיב בסיסי ראשוני'!C41</f>
        <v/>
      </c>
      <c r="D55" s="297" t="str">
        <f ca="1">'תחשיב בסיסי לאחר 11ב ו12ג5 '!M41</f>
        <v/>
      </c>
      <c r="E55" s="284">
        <f>'ריכוז נתונים כללים'!O41</f>
        <v>0</v>
      </c>
      <c r="F55" s="286"/>
      <c r="G55" s="275" t="str">
        <f t="shared" ca="1" si="8"/>
        <v/>
      </c>
      <c r="H55" s="272" t="str">
        <f t="shared" ca="1" si="0"/>
        <v/>
      </c>
      <c r="I55" s="276"/>
      <c r="J55" s="274"/>
      <c r="K55" s="274"/>
      <c r="L55" s="274"/>
      <c r="M55" s="274"/>
      <c r="N55" s="274"/>
      <c r="O55" s="274"/>
      <c r="P55" s="274"/>
      <c r="Q55" s="274"/>
      <c r="R55" s="274"/>
      <c r="S55" s="274"/>
      <c r="T55" s="274"/>
      <c r="U55" s="274"/>
      <c r="V55" s="274"/>
      <c r="W55" s="274"/>
      <c r="X55" s="274"/>
      <c r="Y55" s="283" t="str">
        <f t="shared" ca="1" si="1"/>
        <v/>
      </c>
      <c r="Z55" s="277" t="str">
        <f t="shared" ca="1" si="2"/>
        <v/>
      </c>
      <c r="AA55" s="262"/>
      <c r="AB55" s="262"/>
      <c r="AC55" s="262"/>
      <c r="AD55" s="268" t="str">
        <f t="shared" ca="1" si="3"/>
        <v/>
      </c>
      <c r="AE55" s="268" t="str">
        <f t="shared" ca="1" si="3"/>
        <v/>
      </c>
      <c r="AF55" s="262">
        <f t="shared" ca="1" si="9"/>
        <v>1</v>
      </c>
      <c r="AG55" s="262">
        <f t="shared" si="10"/>
        <v>1</v>
      </c>
      <c r="AH55" s="268"/>
      <c r="AI55" s="262">
        <f t="shared" ca="1" si="11"/>
        <v>1</v>
      </c>
    </row>
    <row r="56" spans="2:35" hidden="1" x14ac:dyDescent="0.25">
      <c r="B56" s="270" t="str">
        <f t="shared" ca="1" si="7"/>
        <v/>
      </c>
      <c r="C56" s="271" t="str">
        <f ca="1">'תחשיב בסיסי ראשוני'!C42</f>
        <v/>
      </c>
      <c r="D56" s="297" t="str">
        <f ca="1">'תחשיב בסיסי לאחר 11ב ו12ג5 '!M42</f>
        <v/>
      </c>
      <c r="E56" s="284">
        <f>'ריכוז נתונים כללים'!O42</f>
        <v>0</v>
      </c>
      <c r="F56" s="286"/>
      <c r="G56" s="275" t="str">
        <f t="shared" ca="1" si="8"/>
        <v/>
      </c>
      <c r="H56" s="272" t="str">
        <f t="shared" ca="1" si="0"/>
        <v/>
      </c>
      <c r="I56" s="276"/>
      <c r="J56" s="274"/>
      <c r="K56" s="274"/>
      <c r="L56" s="274"/>
      <c r="M56" s="274"/>
      <c r="N56" s="274"/>
      <c r="O56" s="274"/>
      <c r="P56" s="274"/>
      <c r="Q56" s="274"/>
      <c r="R56" s="274"/>
      <c r="S56" s="274"/>
      <c r="T56" s="274"/>
      <c r="U56" s="274"/>
      <c r="V56" s="274"/>
      <c r="W56" s="274"/>
      <c r="X56" s="274"/>
      <c r="Y56" s="283" t="str">
        <f t="shared" ca="1" si="1"/>
        <v/>
      </c>
      <c r="Z56" s="277" t="str">
        <f t="shared" ca="1" si="2"/>
        <v/>
      </c>
      <c r="AA56" s="262"/>
      <c r="AB56" s="262"/>
      <c r="AC56" s="262"/>
      <c r="AD56" s="268" t="str">
        <f t="shared" ca="1" si="3"/>
        <v/>
      </c>
      <c r="AE56" s="268" t="str">
        <f t="shared" ca="1" si="3"/>
        <v/>
      </c>
      <c r="AF56" s="262">
        <f t="shared" ca="1" si="9"/>
        <v>1</v>
      </c>
      <c r="AG56" s="262">
        <f t="shared" si="10"/>
        <v>1</v>
      </c>
      <c r="AH56" s="268"/>
      <c r="AI56" s="262">
        <f t="shared" ca="1" si="11"/>
        <v>1</v>
      </c>
    </row>
    <row r="57" spans="2:35" x14ac:dyDescent="0.25">
      <c r="B57" s="270">
        <f t="shared" ca="1" si="7"/>
        <v>27</v>
      </c>
      <c r="C57" s="271" t="str">
        <f ca="1">'תחשיב בסיסי ראשוני'!C43</f>
        <v>מכון הברמן</v>
      </c>
      <c r="D57" s="297">
        <f ca="1">'תחשיב בסיסי לאחר 11ב ו12ג5 '!M43</f>
        <v>1.9673396455435546E-2</v>
      </c>
      <c r="E57" s="284">
        <f>'ריכוז נתונים כללים'!O43</f>
        <v>268632.15999999997</v>
      </c>
      <c r="F57" s="286">
        <v>0</v>
      </c>
      <c r="G57" s="275">
        <f t="shared" ca="1" si="8"/>
        <v>2.2001100414727602E-2</v>
      </c>
      <c r="H57" s="272">
        <f t="shared" ca="1" si="0"/>
        <v>2.0837248435081574E-2</v>
      </c>
      <c r="I57" s="276"/>
      <c r="J57" s="274"/>
      <c r="K57" s="274"/>
      <c r="L57" s="274"/>
      <c r="M57" s="274"/>
      <c r="N57" s="274"/>
      <c r="O57" s="274"/>
      <c r="P57" s="274"/>
      <c r="Q57" s="274"/>
      <c r="R57" s="274"/>
      <c r="S57" s="274"/>
      <c r="T57" s="274"/>
      <c r="U57" s="274"/>
      <c r="V57" s="274"/>
      <c r="W57" s="274"/>
      <c r="X57" s="274"/>
      <c r="Y57" s="283">
        <f t="shared" ca="1" si="1"/>
        <v>2.1318543528962331E-2</v>
      </c>
      <c r="Z57" s="277">
        <f t="shared" ca="1" si="2"/>
        <v>319778.15293443494</v>
      </c>
      <c r="AA57" s="262"/>
      <c r="AB57" s="262"/>
      <c r="AC57" s="262"/>
      <c r="AD57" s="268">
        <f t="shared" ca="1" si="3"/>
        <v>0</v>
      </c>
      <c r="AE57" s="268">
        <f t="shared" ca="1" si="3"/>
        <v>1</v>
      </c>
      <c r="AF57" s="262">
        <f t="shared" ca="1" si="9"/>
        <v>1</v>
      </c>
      <c r="AG57" s="262">
        <f t="shared" si="10"/>
        <v>1</v>
      </c>
      <c r="AH57" s="268"/>
      <c r="AI57" s="262">
        <f t="shared" ca="1" si="11"/>
        <v>1</v>
      </c>
    </row>
    <row r="58" spans="2:35" hidden="1" x14ac:dyDescent="0.25">
      <c r="B58" s="270" t="str">
        <f t="shared" ca="1" si="7"/>
        <v/>
      </c>
      <c r="C58" s="271" t="str">
        <f ca="1">'תחשיב בסיסי ראשוני'!C44</f>
        <v/>
      </c>
      <c r="D58" s="297" t="str">
        <f ca="1">'תחשיב בסיסי לאחר 11ב ו12ג5 '!M44</f>
        <v/>
      </c>
      <c r="E58" s="284">
        <f>'ריכוז נתונים כללים'!O44</f>
        <v>0</v>
      </c>
      <c r="F58" s="286"/>
      <c r="G58" s="275" t="str">
        <f t="shared" ca="1" si="8"/>
        <v/>
      </c>
      <c r="H58" s="272" t="str">
        <f t="shared" ca="1" si="0"/>
        <v/>
      </c>
      <c r="I58" s="276"/>
      <c r="J58" s="274"/>
      <c r="K58" s="274"/>
      <c r="L58" s="274"/>
      <c r="M58" s="274"/>
      <c r="N58" s="274"/>
      <c r="O58" s="274"/>
      <c r="P58" s="274"/>
      <c r="Q58" s="274"/>
      <c r="R58" s="274"/>
      <c r="S58" s="274"/>
      <c r="T58" s="274"/>
      <c r="U58" s="274"/>
      <c r="V58" s="274"/>
      <c r="W58" s="274"/>
      <c r="X58" s="274"/>
      <c r="Y58" s="283" t="str">
        <f t="shared" ca="1" si="1"/>
        <v/>
      </c>
      <c r="Z58" s="277" t="str">
        <f t="shared" ca="1" si="2"/>
        <v/>
      </c>
      <c r="AA58" s="262"/>
      <c r="AB58" s="262"/>
      <c r="AC58" s="262"/>
      <c r="AD58" s="268" t="str">
        <f t="shared" ca="1" si="3"/>
        <v/>
      </c>
      <c r="AE58" s="268" t="str">
        <f t="shared" ca="1" si="3"/>
        <v/>
      </c>
      <c r="AF58" s="262">
        <f t="shared" ca="1" si="9"/>
        <v>1</v>
      </c>
      <c r="AG58" s="262">
        <f t="shared" si="10"/>
        <v>1</v>
      </c>
      <c r="AH58" s="268"/>
      <c r="AI58" s="262">
        <f t="shared" ca="1" si="11"/>
        <v>1</v>
      </c>
    </row>
    <row r="59" spans="2:35" hidden="1" x14ac:dyDescent="0.25">
      <c r="B59" s="270" t="str">
        <f t="shared" ca="1" si="7"/>
        <v/>
      </c>
      <c r="C59" s="271" t="str">
        <f ca="1">'תחשיב בסיסי ראשוני'!C45</f>
        <v/>
      </c>
      <c r="D59" s="297" t="str">
        <f ca="1">'תחשיב בסיסי לאחר 11ב ו12ג5 '!M45</f>
        <v/>
      </c>
      <c r="E59" s="284">
        <f>'ריכוז נתונים כללים'!O45</f>
        <v>0</v>
      </c>
      <c r="F59" s="286"/>
      <c r="G59" s="275" t="str">
        <f t="shared" ca="1" si="8"/>
        <v/>
      </c>
      <c r="H59" s="272" t="str">
        <f t="shared" ca="1" si="0"/>
        <v/>
      </c>
      <c r="I59" s="276"/>
      <c r="J59" s="274"/>
      <c r="K59" s="274"/>
      <c r="L59" s="274"/>
      <c r="M59" s="274"/>
      <c r="N59" s="274"/>
      <c r="O59" s="274"/>
      <c r="P59" s="274"/>
      <c r="Q59" s="274"/>
      <c r="R59" s="274"/>
      <c r="S59" s="274"/>
      <c r="T59" s="274"/>
      <c r="U59" s="274"/>
      <c r="V59" s="274"/>
      <c r="W59" s="274"/>
      <c r="X59" s="274"/>
      <c r="Y59" s="283" t="str">
        <f t="shared" ca="1" si="1"/>
        <v/>
      </c>
      <c r="Z59" s="277" t="str">
        <f t="shared" ca="1" si="2"/>
        <v/>
      </c>
      <c r="AA59" s="262"/>
      <c r="AB59" s="262"/>
      <c r="AC59" s="262"/>
      <c r="AD59" s="268" t="str">
        <f t="shared" ca="1" si="3"/>
        <v/>
      </c>
      <c r="AE59" s="268" t="str">
        <f t="shared" ca="1" si="3"/>
        <v/>
      </c>
      <c r="AF59" s="262">
        <f t="shared" ca="1" si="9"/>
        <v>1</v>
      </c>
      <c r="AG59" s="262">
        <f t="shared" si="10"/>
        <v>1</v>
      </c>
      <c r="AH59" s="268"/>
      <c r="AI59" s="262">
        <f t="shared" ca="1" si="11"/>
        <v>1</v>
      </c>
    </row>
    <row r="60" spans="2:35" hidden="1" x14ac:dyDescent="0.25">
      <c r="B60" s="270" t="str">
        <f t="shared" ca="1" si="7"/>
        <v/>
      </c>
      <c r="C60" s="271" t="str">
        <f ca="1">'תחשיב בסיסי ראשוני'!C46</f>
        <v/>
      </c>
      <c r="D60" s="297" t="str">
        <f ca="1">'תחשיב בסיסי לאחר 11ב ו12ג5 '!M46</f>
        <v/>
      </c>
      <c r="E60" s="284">
        <f>'ריכוז נתונים כללים'!O46</f>
        <v>0</v>
      </c>
      <c r="F60" s="286"/>
      <c r="G60" s="275" t="str">
        <f t="shared" ca="1" si="8"/>
        <v/>
      </c>
      <c r="H60" s="272" t="str">
        <f t="shared" ca="1" si="0"/>
        <v/>
      </c>
      <c r="I60" s="276"/>
      <c r="J60" s="274"/>
      <c r="K60" s="274"/>
      <c r="L60" s="274"/>
      <c r="M60" s="274"/>
      <c r="N60" s="274"/>
      <c r="O60" s="274"/>
      <c r="P60" s="274"/>
      <c r="Q60" s="274"/>
      <c r="R60" s="274"/>
      <c r="S60" s="274"/>
      <c r="T60" s="274"/>
      <c r="U60" s="274"/>
      <c r="V60" s="274"/>
      <c r="W60" s="274"/>
      <c r="X60" s="274"/>
      <c r="Y60" s="283" t="str">
        <f t="shared" ca="1" si="1"/>
        <v/>
      </c>
      <c r="Z60" s="277" t="str">
        <f t="shared" ca="1" si="2"/>
        <v/>
      </c>
      <c r="AA60" s="262"/>
      <c r="AB60" s="262"/>
      <c r="AC60" s="262"/>
      <c r="AD60" s="268" t="str">
        <f t="shared" ca="1" si="3"/>
        <v/>
      </c>
      <c r="AE60" s="268" t="str">
        <f t="shared" ca="1" si="3"/>
        <v/>
      </c>
      <c r="AF60" s="262">
        <f t="shared" ca="1" si="9"/>
        <v>1</v>
      </c>
      <c r="AG60" s="262">
        <f t="shared" si="10"/>
        <v>1</v>
      </c>
      <c r="AH60" s="268"/>
      <c r="AI60" s="262">
        <f t="shared" ca="1" si="11"/>
        <v>1</v>
      </c>
    </row>
    <row r="61" spans="2:35" hidden="1" x14ac:dyDescent="0.25">
      <c r="B61" s="270">
        <f t="shared" ca="1" si="7"/>
        <v>31</v>
      </c>
      <c r="C61" s="271" t="str">
        <f ca="1">'תחשיב בסיסי ראשוני'!C47</f>
        <v>כולנא</v>
      </c>
      <c r="D61" s="297">
        <f ca="1">'תחשיב בסיסי לאחר 11ב ו12ג5 '!M47</f>
        <v>3.7923204107748319E-2</v>
      </c>
      <c r="E61" s="284">
        <f>'ריכוז נתונים כללים'!O47</f>
        <v>367491.24</v>
      </c>
      <c r="F61" s="286"/>
      <c r="G61" s="275">
        <f t="shared" ca="1" si="8"/>
        <v>3.0097705623826878E-2</v>
      </c>
      <c r="H61" s="272">
        <f t="shared" ca="1" si="0"/>
        <v>3.4010454865787597E-2</v>
      </c>
      <c r="I61" s="276"/>
      <c r="J61" s="274"/>
      <c r="K61" s="274"/>
      <c r="L61" s="274"/>
      <c r="M61" s="274"/>
      <c r="N61" s="274"/>
      <c r="O61" s="274"/>
      <c r="P61" s="274"/>
      <c r="Q61" s="274"/>
      <c r="R61" s="274"/>
      <c r="S61" s="274"/>
      <c r="T61" s="274"/>
      <c r="U61" s="274"/>
      <c r="V61" s="274"/>
      <c r="W61" s="274"/>
      <c r="X61" s="274"/>
      <c r="Y61" s="283">
        <f t="shared" ca="1" si="1"/>
        <v>3.4796022361349897E-2</v>
      </c>
      <c r="Z61" s="277">
        <f t="shared" ca="1" si="2"/>
        <v>521940.33542024845</v>
      </c>
      <c r="AA61" s="262"/>
      <c r="AB61" s="262"/>
      <c r="AC61" s="262"/>
      <c r="AD61" s="268">
        <f t="shared" ca="1" si="3"/>
        <v>0</v>
      </c>
      <c r="AE61" s="268">
        <f t="shared" ca="1" si="3"/>
        <v>1</v>
      </c>
      <c r="AF61" s="262">
        <f t="shared" ca="1" si="9"/>
        <v>1</v>
      </c>
      <c r="AG61" s="262">
        <f t="shared" si="10"/>
        <v>1</v>
      </c>
      <c r="AH61" s="268"/>
      <c r="AI61" s="262">
        <f t="shared" ca="1" si="11"/>
        <v>1</v>
      </c>
    </row>
    <row r="62" spans="2:35" hidden="1" x14ac:dyDescent="0.25">
      <c r="B62" s="270" t="str">
        <f t="shared" ca="1" si="7"/>
        <v/>
      </c>
      <c r="C62" s="271" t="str">
        <f ca="1">'תחשיב בסיסי ראשוני'!C48</f>
        <v/>
      </c>
      <c r="D62" s="297" t="str">
        <f ca="1">'תחשיב בסיסי לאחר 11ב ו12ג5 '!M48</f>
        <v/>
      </c>
      <c r="E62" s="284">
        <f>'ריכוז נתונים כללים'!O48</f>
        <v>0</v>
      </c>
      <c r="F62" s="286"/>
      <c r="G62" s="275" t="str">
        <f t="shared" ca="1" si="8"/>
        <v/>
      </c>
      <c r="H62" s="272" t="str">
        <f t="shared" ca="1" si="0"/>
        <v/>
      </c>
      <c r="I62" s="276"/>
      <c r="J62" s="274"/>
      <c r="K62" s="274"/>
      <c r="L62" s="274"/>
      <c r="M62" s="274"/>
      <c r="N62" s="274"/>
      <c r="O62" s="274"/>
      <c r="P62" s="274"/>
      <c r="Q62" s="274"/>
      <c r="R62" s="274"/>
      <c r="S62" s="274"/>
      <c r="T62" s="274"/>
      <c r="U62" s="274"/>
      <c r="V62" s="274"/>
      <c r="W62" s="274"/>
      <c r="X62" s="274"/>
      <c r="Y62" s="283" t="str">
        <f t="shared" ca="1" si="1"/>
        <v/>
      </c>
      <c r="Z62" s="277" t="str">
        <f t="shared" ca="1" si="2"/>
        <v/>
      </c>
      <c r="AA62" s="262"/>
      <c r="AB62" s="262"/>
      <c r="AC62" s="262"/>
      <c r="AD62" s="268" t="str">
        <f t="shared" ca="1" si="3"/>
        <v/>
      </c>
      <c r="AE62" s="268" t="str">
        <f t="shared" ca="1" si="3"/>
        <v/>
      </c>
      <c r="AF62" s="262">
        <f t="shared" ca="1" si="9"/>
        <v>1</v>
      </c>
      <c r="AG62" s="262">
        <f t="shared" si="10"/>
        <v>1</v>
      </c>
      <c r="AH62" s="268"/>
      <c r="AI62" s="262">
        <f t="shared" ca="1" si="11"/>
        <v>1</v>
      </c>
    </row>
    <row r="63" spans="2:35" hidden="1" x14ac:dyDescent="0.25">
      <c r="B63" s="270" t="str">
        <f t="shared" ca="1" si="7"/>
        <v/>
      </c>
      <c r="C63" s="271" t="str">
        <f ca="1">'תחשיב בסיסי ראשוני'!C49</f>
        <v/>
      </c>
      <c r="D63" s="297" t="str">
        <f ca="1">'תחשיב בסיסי לאחר 11ב ו12ג5 '!M49</f>
        <v/>
      </c>
      <c r="E63" s="284">
        <f>'ריכוז נתונים כללים'!O49</f>
        <v>0</v>
      </c>
      <c r="F63" s="286"/>
      <c r="G63" s="275" t="str">
        <f t="shared" ca="1" si="8"/>
        <v/>
      </c>
      <c r="H63" s="272" t="str">
        <f t="shared" ca="1" si="0"/>
        <v/>
      </c>
      <c r="I63" s="276"/>
      <c r="J63" s="274"/>
      <c r="K63" s="274"/>
      <c r="L63" s="274"/>
      <c r="M63" s="274"/>
      <c r="N63" s="274"/>
      <c r="O63" s="274"/>
      <c r="P63" s="274"/>
      <c r="Q63" s="274"/>
      <c r="R63" s="274"/>
      <c r="S63" s="274"/>
      <c r="T63" s="274"/>
      <c r="U63" s="274"/>
      <c r="V63" s="274"/>
      <c r="W63" s="274"/>
      <c r="X63" s="274"/>
      <c r="Y63" s="283" t="str">
        <f t="shared" ref="Y63:Y90" ca="1" si="12">IF(C63="","",IF($AI$28&lt;&gt;1,$AH$1,H63/$H$93*100%))</f>
        <v/>
      </c>
      <c r="Z63" s="277" t="str">
        <f t="shared" ca="1" si="2"/>
        <v/>
      </c>
      <c r="AA63" s="262"/>
      <c r="AB63" s="262"/>
      <c r="AC63" s="262"/>
      <c r="AD63" s="268" t="str">
        <f t="shared" ca="1" si="3"/>
        <v/>
      </c>
      <c r="AE63" s="268" t="str">
        <f t="shared" ca="1" si="3"/>
        <v/>
      </c>
      <c r="AF63" s="262">
        <f t="shared" ca="1" si="9"/>
        <v>1</v>
      </c>
      <c r="AG63" s="262">
        <f t="shared" si="10"/>
        <v>1</v>
      </c>
      <c r="AH63" s="268"/>
      <c r="AI63" s="262">
        <f t="shared" ca="1" si="11"/>
        <v>1</v>
      </c>
    </row>
    <row r="64" spans="2:35" hidden="1" x14ac:dyDescent="0.25">
      <c r="B64" s="270" t="str">
        <f t="shared" ca="1" si="7"/>
        <v/>
      </c>
      <c r="C64" s="271" t="str">
        <f ca="1">'תחשיב בסיסי ראשוני'!C50</f>
        <v/>
      </c>
      <c r="D64" s="297" t="str">
        <f ca="1">'תחשיב בסיסי לאחר 11ב ו12ג5 '!M50</f>
        <v/>
      </c>
      <c r="E64" s="284">
        <f>'ריכוז נתונים כללים'!O50</f>
        <v>0</v>
      </c>
      <c r="F64" s="286"/>
      <c r="G64" s="275" t="str">
        <f t="shared" ca="1" si="8"/>
        <v/>
      </c>
      <c r="H64" s="272" t="str">
        <f t="shared" ca="1" si="0"/>
        <v/>
      </c>
      <c r="I64" s="276"/>
      <c r="J64" s="274"/>
      <c r="K64" s="274"/>
      <c r="L64" s="274"/>
      <c r="M64" s="274"/>
      <c r="N64" s="274"/>
      <c r="O64" s="274"/>
      <c r="P64" s="274"/>
      <c r="Q64" s="274"/>
      <c r="R64" s="274"/>
      <c r="S64" s="274"/>
      <c r="T64" s="274"/>
      <c r="U64" s="274"/>
      <c r="V64" s="274"/>
      <c r="W64" s="274"/>
      <c r="X64" s="274"/>
      <c r="Y64" s="283" t="str">
        <f t="shared" ca="1" si="12"/>
        <v/>
      </c>
      <c r="Z64" s="277" t="str">
        <f t="shared" ca="1" si="2"/>
        <v/>
      </c>
      <c r="AA64" s="262"/>
      <c r="AB64" s="262"/>
      <c r="AC64" s="262"/>
      <c r="AD64" s="268" t="str">
        <f t="shared" ref="AD64:AE92" ca="1" si="13">IF($C64="","",AD$30)</f>
        <v/>
      </c>
      <c r="AE64" s="268" t="str">
        <f t="shared" ca="1" si="13"/>
        <v/>
      </c>
      <c r="AF64" s="262">
        <f t="shared" ca="1" si="9"/>
        <v>1</v>
      </c>
      <c r="AG64" s="262">
        <f t="shared" si="10"/>
        <v>1</v>
      </c>
      <c r="AH64" s="268"/>
      <c r="AI64" s="262">
        <f t="shared" ca="1" si="11"/>
        <v>1</v>
      </c>
    </row>
    <row r="65" spans="2:35" hidden="1" x14ac:dyDescent="0.25">
      <c r="B65" s="270" t="str">
        <f t="shared" ca="1" si="7"/>
        <v/>
      </c>
      <c r="C65" s="271" t="str">
        <f ca="1">'תחשיב בסיסי ראשוני'!C51</f>
        <v/>
      </c>
      <c r="D65" s="297" t="str">
        <f ca="1">'תחשיב בסיסי לאחר 11ב ו12ג5 '!M51</f>
        <v/>
      </c>
      <c r="E65" s="284">
        <f>'ריכוז נתונים כללים'!O51</f>
        <v>0</v>
      </c>
      <c r="F65" s="286"/>
      <c r="G65" s="275" t="str">
        <f t="shared" ca="1" si="8"/>
        <v/>
      </c>
      <c r="H65" s="272" t="str">
        <f t="shared" ca="1" si="0"/>
        <v/>
      </c>
      <c r="I65" s="276"/>
      <c r="J65" s="274"/>
      <c r="K65" s="274"/>
      <c r="L65" s="274"/>
      <c r="M65" s="274"/>
      <c r="N65" s="274"/>
      <c r="O65" s="274"/>
      <c r="P65" s="274"/>
      <c r="Q65" s="274"/>
      <c r="R65" s="274"/>
      <c r="S65" s="274"/>
      <c r="T65" s="274"/>
      <c r="U65" s="274"/>
      <c r="V65" s="274"/>
      <c r="W65" s="274"/>
      <c r="X65" s="274"/>
      <c r="Y65" s="283" t="str">
        <f t="shared" ca="1" si="12"/>
        <v/>
      </c>
      <c r="Z65" s="277" t="str">
        <f t="shared" ca="1" si="2"/>
        <v/>
      </c>
      <c r="AA65" s="262"/>
      <c r="AB65" s="262"/>
      <c r="AC65" s="262"/>
      <c r="AD65" s="268" t="str">
        <f t="shared" ca="1" si="13"/>
        <v/>
      </c>
      <c r="AE65" s="268" t="str">
        <f t="shared" ca="1" si="13"/>
        <v/>
      </c>
      <c r="AF65" s="262">
        <f t="shared" ca="1" si="9"/>
        <v>1</v>
      </c>
      <c r="AG65" s="262">
        <f t="shared" si="10"/>
        <v>1</v>
      </c>
      <c r="AH65" s="268"/>
      <c r="AI65" s="262">
        <f t="shared" ca="1" si="11"/>
        <v>1</v>
      </c>
    </row>
    <row r="66" spans="2:35" hidden="1" x14ac:dyDescent="0.25">
      <c r="B66" s="270" t="str">
        <f t="shared" ca="1" si="7"/>
        <v/>
      </c>
      <c r="C66" s="271" t="str">
        <f ca="1">'תחשיב בסיסי ראשוני'!C52</f>
        <v/>
      </c>
      <c r="D66" s="297" t="str">
        <f ca="1">'תחשיב בסיסי לאחר 11ב ו12ג5 '!M52</f>
        <v/>
      </c>
      <c r="E66" s="284">
        <f>'ריכוז נתונים כללים'!O52</f>
        <v>0</v>
      </c>
      <c r="F66" s="286"/>
      <c r="G66" s="275" t="str">
        <f t="shared" ca="1" si="8"/>
        <v/>
      </c>
      <c r="H66" s="272" t="str">
        <f t="shared" ca="1" si="0"/>
        <v/>
      </c>
      <c r="I66" s="276"/>
      <c r="J66" s="274"/>
      <c r="K66" s="274"/>
      <c r="L66" s="274"/>
      <c r="M66" s="274"/>
      <c r="N66" s="274"/>
      <c r="O66" s="274"/>
      <c r="P66" s="274"/>
      <c r="Q66" s="274"/>
      <c r="R66" s="274"/>
      <c r="S66" s="274"/>
      <c r="T66" s="274"/>
      <c r="U66" s="274"/>
      <c r="V66" s="274"/>
      <c r="W66" s="274"/>
      <c r="X66" s="274"/>
      <c r="Y66" s="283" t="str">
        <f t="shared" ca="1" si="12"/>
        <v/>
      </c>
      <c r="Z66" s="277" t="str">
        <f t="shared" ca="1" si="2"/>
        <v/>
      </c>
      <c r="AA66" s="262"/>
      <c r="AB66" s="262"/>
      <c r="AC66" s="262"/>
      <c r="AD66" s="268" t="str">
        <f t="shared" ca="1" si="13"/>
        <v/>
      </c>
      <c r="AE66" s="268" t="str">
        <f t="shared" ca="1" si="13"/>
        <v/>
      </c>
      <c r="AF66" s="262">
        <f t="shared" ca="1" si="9"/>
        <v>1</v>
      </c>
      <c r="AG66" s="262">
        <f t="shared" si="10"/>
        <v>1</v>
      </c>
      <c r="AH66" s="268"/>
      <c r="AI66" s="262">
        <f t="shared" ca="1" si="11"/>
        <v>1</v>
      </c>
    </row>
    <row r="67" spans="2:35" hidden="1" x14ac:dyDescent="0.25">
      <c r="B67" s="270" t="str">
        <f t="shared" ca="1" si="7"/>
        <v/>
      </c>
      <c r="C67" s="271" t="str">
        <f ca="1">'תחשיב בסיסי ראשוני'!C53</f>
        <v/>
      </c>
      <c r="D67" s="297" t="str">
        <f ca="1">'תחשיב בסיסי לאחר 11ב ו12ג5 '!M53</f>
        <v/>
      </c>
      <c r="E67" s="284">
        <f>'ריכוז נתונים כללים'!O53</f>
        <v>0</v>
      </c>
      <c r="F67" s="286"/>
      <c r="G67" s="275" t="str">
        <f t="shared" ca="1" si="8"/>
        <v/>
      </c>
      <c r="H67" s="272" t="str">
        <f t="shared" ca="1" si="0"/>
        <v/>
      </c>
      <c r="I67" s="276"/>
      <c r="J67" s="274"/>
      <c r="K67" s="274"/>
      <c r="L67" s="274"/>
      <c r="M67" s="274"/>
      <c r="N67" s="274"/>
      <c r="O67" s="274"/>
      <c r="P67" s="274"/>
      <c r="Q67" s="274"/>
      <c r="R67" s="274"/>
      <c r="S67" s="274"/>
      <c r="T67" s="274"/>
      <c r="U67" s="274"/>
      <c r="V67" s="274"/>
      <c r="W67" s="274"/>
      <c r="X67" s="274"/>
      <c r="Y67" s="283" t="str">
        <f t="shared" ca="1" si="12"/>
        <v/>
      </c>
      <c r="Z67" s="277" t="str">
        <f t="shared" ca="1" si="2"/>
        <v/>
      </c>
      <c r="AA67" s="262"/>
      <c r="AB67" s="262"/>
      <c r="AC67" s="262"/>
      <c r="AD67" s="268" t="str">
        <f t="shared" ca="1" si="13"/>
        <v/>
      </c>
      <c r="AE67" s="268" t="str">
        <f t="shared" ca="1" si="13"/>
        <v/>
      </c>
      <c r="AF67" s="262">
        <f t="shared" ca="1" si="9"/>
        <v>1</v>
      </c>
      <c r="AG67" s="262">
        <f t="shared" si="10"/>
        <v>1</v>
      </c>
      <c r="AH67" s="268"/>
      <c r="AI67" s="262">
        <f t="shared" ca="1" si="11"/>
        <v>1</v>
      </c>
    </row>
    <row r="68" spans="2:35" hidden="1" x14ac:dyDescent="0.25">
      <c r="B68" s="270" t="str">
        <f t="shared" ca="1" si="7"/>
        <v/>
      </c>
      <c r="C68" s="271" t="str">
        <f ca="1">'תחשיב בסיסי ראשוני'!C54</f>
        <v/>
      </c>
      <c r="D68" s="297" t="str">
        <f ca="1">'תחשיב בסיסי לאחר 11ב ו12ג5 '!M54</f>
        <v/>
      </c>
      <c r="E68" s="284">
        <f>'ריכוז נתונים כללים'!O54</f>
        <v>0</v>
      </c>
      <c r="F68" s="286"/>
      <c r="G68" s="275" t="str">
        <f t="shared" ca="1" si="8"/>
        <v/>
      </c>
      <c r="H68" s="272" t="str">
        <f t="shared" ca="1" si="0"/>
        <v/>
      </c>
      <c r="I68" s="276"/>
      <c r="J68" s="274"/>
      <c r="K68" s="274"/>
      <c r="L68" s="274"/>
      <c r="M68" s="274"/>
      <c r="N68" s="274"/>
      <c r="O68" s="274"/>
      <c r="P68" s="274"/>
      <c r="Q68" s="274"/>
      <c r="R68" s="274"/>
      <c r="S68" s="274"/>
      <c r="T68" s="274"/>
      <c r="U68" s="274"/>
      <c r="V68" s="274"/>
      <c r="W68" s="274"/>
      <c r="X68" s="274"/>
      <c r="Y68" s="283" t="str">
        <f t="shared" ca="1" si="12"/>
        <v/>
      </c>
      <c r="Z68" s="277" t="str">
        <f t="shared" ca="1" si="2"/>
        <v/>
      </c>
      <c r="AA68" s="262"/>
      <c r="AB68" s="262"/>
      <c r="AC68" s="262"/>
      <c r="AD68" s="268" t="str">
        <f t="shared" ca="1" si="13"/>
        <v/>
      </c>
      <c r="AE68" s="268" t="str">
        <f t="shared" ca="1" si="13"/>
        <v/>
      </c>
      <c r="AF68" s="262">
        <f t="shared" ca="1" si="9"/>
        <v>1</v>
      </c>
      <c r="AG68" s="262">
        <f t="shared" si="10"/>
        <v>1</v>
      </c>
      <c r="AH68" s="268"/>
      <c r="AI68" s="262">
        <f t="shared" ca="1" si="11"/>
        <v>1</v>
      </c>
    </row>
    <row r="69" spans="2:35" hidden="1" x14ac:dyDescent="0.25">
      <c r="B69" s="270" t="str">
        <f t="shared" ca="1" si="7"/>
        <v/>
      </c>
      <c r="C69" s="271" t="str">
        <f ca="1">'תחשיב בסיסי ראשוני'!C55</f>
        <v/>
      </c>
      <c r="D69" s="297" t="str">
        <f ca="1">'תחשיב בסיסי לאחר 11ב ו12ג5 '!M55</f>
        <v/>
      </c>
      <c r="E69" s="284">
        <f>'ריכוז נתונים כללים'!O55</f>
        <v>0</v>
      </c>
      <c r="F69" s="286"/>
      <c r="G69" s="275" t="str">
        <f t="shared" ca="1" si="8"/>
        <v/>
      </c>
      <c r="H69" s="272" t="str">
        <f t="shared" ca="1" si="0"/>
        <v/>
      </c>
      <c r="I69" s="276"/>
      <c r="J69" s="274"/>
      <c r="K69" s="274"/>
      <c r="L69" s="274"/>
      <c r="M69" s="274"/>
      <c r="N69" s="274"/>
      <c r="O69" s="274"/>
      <c r="P69" s="274"/>
      <c r="Q69" s="274"/>
      <c r="R69" s="274"/>
      <c r="S69" s="274"/>
      <c r="T69" s="274"/>
      <c r="U69" s="274"/>
      <c r="V69" s="274"/>
      <c r="W69" s="274"/>
      <c r="X69" s="274"/>
      <c r="Y69" s="283" t="str">
        <f t="shared" ca="1" si="12"/>
        <v/>
      </c>
      <c r="Z69" s="277" t="str">
        <f t="shared" ca="1" si="2"/>
        <v/>
      </c>
      <c r="AA69" s="262"/>
      <c r="AB69" s="262"/>
      <c r="AC69" s="262"/>
      <c r="AD69" s="268" t="str">
        <f t="shared" ca="1" si="13"/>
        <v/>
      </c>
      <c r="AE69" s="268" t="str">
        <f t="shared" ca="1" si="13"/>
        <v/>
      </c>
      <c r="AF69" s="262">
        <f t="shared" ca="1" si="9"/>
        <v>1</v>
      </c>
      <c r="AG69" s="262">
        <f t="shared" si="10"/>
        <v>1</v>
      </c>
      <c r="AH69" s="268"/>
      <c r="AI69" s="262">
        <f t="shared" ca="1" si="11"/>
        <v>1</v>
      </c>
    </row>
    <row r="70" spans="2:35" hidden="1" x14ac:dyDescent="0.25">
      <c r="B70" s="270" t="str">
        <f t="shared" ca="1" si="7"/>
        <v/>
      </c>
      <c r="C70" s="271" t="str">
        <f ca="1">'תחשיב בסיסי ראשוני'!C56</f>
        <v/>
      </c>
      <c r="D70" s="297" t="str">
        <f ca="1">'תחשיב בסיסי לאחר 11ב ו12ג5 '!M56</f>
        <v/>
      </c>
      <c r="E70" s="284">
        <f>'ריכוז נתונים כללים'!O56</f>
        <v>0</v>
      </c>
      <c r="F70" s="286"/>
      <c r="G70" s="275" t="str">
        <f t="shared" ca="1" si="8"/>
        <v/>
      </c>
      <c r="H70" s="272" t="str">
        <f t="shared" ca="1" si="0"/>
        <v/>
      </c>
      <c r="I70" s="276"/>
      <c r="J70" s="274"/>
      <c r="K70" s="274"/>
      <c r="L70" s="274"/>
      <c r="M70" s="274"/>
      <c r="N70" s="274"/>
      <c r="O70" s="274"/>
      <c r="P70" s="274"/>
      <c r="Q70" s="274"/>
      <c r="R70" s="274"/>
      <c r="S70" s="274"/>
      <c r="T70" s="274"/>
      <c r="U70" s="274"/>
      <c r="V70" s="274"/>
      <c r="W70" s="274"/>
      <c r="X70" s="274"/>
      <c r="Y70" s="283" t="str">
        <f t="shared" ca="1" si="12"/>
        <v/>
      </c>
      <c r="Z70" s="277" t="str">
        <f t="shared" ca="1" si="2"/>
        <v/>
      </c>
      <c r="AA70" s="262"/>
      <c r="AB70" s="262"/>
      <c r="AC70" s="262"/>
      <c r="AD70" s="268" t="str">
        <f t="shared" ca="1" si="13"/>
        <v/>
      </c>
      <c r="AE70" s="268" t="str">
        <f t="shared" ca="1" si="13"/>
        <v/>
      </c>
      <c r="AF70" s="262">
        <f t="shared" ca="1" si="9"/>
        <v>1</v>
      </c>
      <c r="AG70" s="262">
        <f t="shared" si="10"/>
        <v>1</v>
      </c>
      <c r="AH70" s="268"/>
      <c r="AI70" s="262">
        <f t="shared" ca="1" si="11"/>
        <v>1</v>
      </c>
    </row>
    <row r="71" spans="2:35" hidden="1" x14ac:dyDescent="0.25">
      <c r="B71" s="270" t="str">
        <f t="shared" ca="1" si="7"/>
        <v/>
      </c>
      <c r="C71" s="271" t="str">
        <f ca="1">'תחשיב בסיסי ראשוני'!C57</f>
        <v/>
      </c>
      <c r="D71" s="297" t="str">
        <f ca="1">'תחשיב בסיסי לאחר 11ב ו12ג5 '!M57</f>
        <v/>
      </c>
      <c r="E71" s="284">
        <f>'ריכוז נתונים כללים'!O57</f>
        <v>0</v>
      </c>
      <c r="F71" s="286"/>
      <c r="G71" s="275" t="str">
        <f t="shared" ca="1" si="8"/>
        <v/>
      </c>
      <c r="H71" s="272" t="str">
        <f t="shared" ca="1" si="0"/>
        <v/>
      </c>
      <c r="I71" s="276"/>
      <c r="J71" s="274"/>
      <c r="K71" s="274"/>
      <c r="L71" s="274"/>
      <c r="M71" s="274"/>
      <c r="N71" s="274"/>
      <c r="O71" s="274"/>
      <c r="P71" s="274"/>
      <c r="Q71" s="274"/>
      <c r="R71" s="274"/>
      <c r="S71" s="274"/>
      <c r="T71" s="274"/>
      <c r="U71" s="274"/>
      <c r="V71" s="274"/>
      <c r="W71" s="274"/>
      <c r="X71" s="274"/>
      <c r="Y71" s="283" t="str">
        <f t="shared" ca="1" si="12"/>
        <v/>
      </c>
      <c r="Z71" s="277" t="str">
        <f t="shared" ca="1" si="2"/>
        <v/>
      </c>
      <c r="AA71" s="262"/>
      <c r="AB71" s="262"/>
      <c r="AC71" s="262"/>
      <c r="AD71" s="268" t="str">
        <f t="shared" ca="1" si="13"/>
        <v/>
      </c>
      <c r="AE71" s="268" t="str">
        <f t="shared" ca="1" si="13"/>
        <v/>
      </c>
      <c r="AF71" s="262">
        <f t="shared" ca="1" si="9"/>
        <v>1</v>
      </c>
      <c r="AG71" s="262">
        <f t="shared" si="10"/>
        <v>1</v>
      </c>
      <c r="AH71" s="268"/>
      <c r="AI71" s="262">
        <f t="shared" ca="1" si="11"/>
        <v>1</v>
      </c>
    </row>
    <row r="72" spans="2:35" hidden="1" x14ac:dyDescent="0.25">
      <c r="B72" s="270" t="str">
        <f t="shared" ca="1" si="7"/>
        <v/>
      </c>
      <c r="C72" s="271" t="str">
        <f ca="1">'תחשיב בסיסי ראשוני'!C58</f>
        <v/>
      </c>
      <c r="D72" s="297" t="str">
        <f ca="1">'תחשיב בסיסי לאחר 11ב ו12ג5 '!M58</f>
        <v/>
      </c>
      <c r="E72" s="284">
        <f>'ריכוז נתונים כללים'!O58</f>
        <v>0</v>
      </c>
      <c r="F72" s="286"/>
      <c r="G72" s="275" t="str">
        <f t="shared" ca="1" si="8"/>
        <v/>
      </c>
      <c r="H72" s="272" t="str">
        <f t="shared" ca="1" si="0"/>
        <v/>
      </c>
      <c r="I72" s="276"/>
      <c r="J72" s="274"/>
      <c r="K72" s="274"/>
      <c r="L72" s="274"/>
      <c r="M72" s="274"/>
      <c r="N72" s="274"/>
      <c r="O72" s="274"/>
      <c r="P72" s="274"/>
      <c r="Q72" s="274"/>
      <c r="R72" s="274"/>
      <c r="S72" s="274"/>
      <c r="T72" s="274"/>
      <c r="U72" s="274"/>
      <c r="V72" s="274"/>
      <c r="W72" s="274"/>
      <c r="X72" s="274"/>
      <c r="Y72" s="283" t="str">
        <f t="shared" ca="1" si="12"/>
        <v/>
      </c>
      <c r="Z72" s="277" t="str">
        <f t="shared" ca="1" si="2"/>
        <v/>
      </c>
      <c r="AA72" s="262"/>
      <c r="AB72" s="262"/>
      <c r="AC72" s="262"/>
      <c r="AD72" s="268" t="str">
        <f t="shared" ca="1" si="13"/>
        <v/>
      </c>
      <c r="AE72" s="268" t="str">
        <f t="shared" ca="1" si="13"/>
        <v/>
      </c>
      <c r="AF72" s="262">
        <f t="shared" ca="1" si="9"/>
        <v>1</v>
      </c>
      <c r="AG72" s="262">
        <f t="shared" si="10"/>
        <v>1</v>
      </c>
      <c r="AH72" s="268"/>
      <c r="AI72" s="262">
        <f t="shared" ca="1" si="11"/>
        <v>1</v>
      </c>
    </row>
    <row r="73" spans="2:35" hidden="1" x14ac:dyDescent="0.25">
      <c r="B73" s="270" t="str">
        <f t="shared" ca="1" si="7"/>
        <v/>
      </c>
      <c r="C73" s="271" t="str">
        <f ca="1">'תחשיב בסיסי ראשוני'!C59</f>
        <v/>
      </c>
      <c r="D73" s="297" t="str">
        <f ca="1">'תחשיב בסיסי לאחר 11ב ו12ג5 '!M59</f>
        <v/>
      </c>
      <c r="E73" s="284">
        <f>'ריכוז נתונים כללים'!O59</f>
        <v>0</v>
      </c>
      <c r="F73" s="286"/>
      <c r="G73" s="275" t="str">
        <f t="shared" ca="1" si="8"/>
        <v/>
      </c>
      <c r="H73" s="272" t="str">
        <f t="shared" ca="1" si="0"/>
        <v/>
      </c>
      <c r="I73" s="276"/>
      <c r="J73" s="274"/>
      <c r="K73" s="274"/>
      <c r="L73" s="274"/>
      <c r="M73" s="274"/>
      <c r="N73" s="274"/>
      <c r="O73" s="274"/>
      <c r="P73" s="274"/>
      <c r="Q73" s="274"/>
      <c r="R73" s="274"/>
      <c r="S73" s="274"/>
      <c r="T73" s="274"/>
      <c r="U73" s="274"/>
      <c r="V73" s="274"/>
      <c r="W73" s="274"/>
      <c r="X73" s="274"/>
      <c r="Y73" s="283" t="str">
        <f t="shared" ca="1" si="12"/>
        <v/>
      </c>
      <c r="Z73" s="277" t="str">
        <f t="shared" ca="1" si="2"/>
        <v/>
      </c>
      <c r="AA73" s="262"/>
      <c r="AB73" s="262"/>
      <c r="AC73" s="262"/>
      <c r="AD73" s="268" t="str">
        <f t="shared" ca="1" si="13"/>
        <v/>
      </c>
      <c r="AE73" s="268" t="str">
        <f t="shared" ca="1" si="13"/>
        <v/>
      </c>
      <c r="AF73" s="262">
        <f t="shared" ca="1" si="9"/>
        <v>1</v>
      </c>
      <c r="AG73" s="262">
        <f t="shared" si="10"/>
        <v>1</v>
      </c>
      <c r="AH73" s="268"/>
      <c r="AI73" s="262">
        <f t="shared" ca="1" si="11"/>
        <v>1</v>
      </c>
    </row>
    <row r="74" spans="2:35" hidden="1" x14ac:dyDescent="0.25">
      <c r="B74" s="270" t="str">
        <f t="shared" ca="1" si="7"/>
        <v/>
      </c>
      <c r="C74" s="271" t="str">
        <f ca="1">'תחשיב בסיסי ראשוני'!C60</f>
        <v/>
      </c>
      <c r="D74" s="297" t="str">
        <f ca="1">'תחשיב בסיסי לאחר 11ב ו12ג5 '!M60</f>
        <v/>
      </c>
      <c r="E74" s="284">
        <f>'ריכוז נתונים כללים'!O60</f>
        <v>0</v>
      </c>
      <c r="F74" s="286"/>
      <c r="G74" s="275" t="str">
        <f t="shared" ca="1" si="8"/>
        <v/>
      </c>
      <c r="H74" s="272" t="str">
        <f t="shared" ca="1" si="0"/>
        <v/>
      </c>
      <c r="I74" s="276"/>
      <c r="J74" s="274"/>
      <c r="K74" s="274"/>
      <c r="L74" s="274"/>
      <c r="M74" s="274"/>
      <c r="N74" s="274"/>
      <c r="O74" s="274"/>
      <c r="P74" s="274"/>
      <c r="Q74" s="274"/>
      <c r="R74" s="274"/>
      <c r="S74" s="274"/>
      <c r="T74" s="274"/>
      <c r="U74" s="274"/>
      <c r="V74" s="274"/>
      <c r="W74" s="274"/>
      <c r="X74" s="274"/>
      <c r="Y74" s="283" t="str">
        <f t="shared" ca="1" si="12"/>
        <v/>
      </c>
      <c r="Z74" s="277" t="str">
        <f t="shared" ca="1" si="2"/>
        <v/>
      </c>
      <c r="AA74" s="262"/>
      <c r="AB74" s="262"/>
      <c r="AC74" s="262"/>
      <c r="AD74" s="268" t="str">
        <f t="shared" ca="1" si="13"/>
        <v/>
      </c>
      <c r="AE74" s="268" t="str">
        <f t="shared" ca="1" si="13"/>
        <v/>
      </c>
      <c r="AF74" s="262">
        <f t="shared" ca="1" si="9"/>
        <v>1</v>
      </c>
      <c r="AG74" s="262">
        <f t="shared" si="10"/>
        <v>1</v>
      </c>
      <c r="AH74" s="268"/>
      <c r="AI74" s="262">
        <f t="shared" ca="1" si="11"/>
        <v>1</v>
      </c>
    </row>
    <row r="75" spans="2:35" hidden="1" x14ac:dyDescent="0.25">
      <c r="B75" s="270" t="str">
        <f t="shared" ca="1" si="7"/>
        <v/>
      </c>
      <c r="C75" s="271" t="str">
        <f ca="1">'תחשיב בסיסי ראשוני'!C61</f>
        <v/>
      </c>
      <c r="D75" s="297" t="str">
        <f ca="1">'תחשיב בסיסי לאחר 11ב ו12ג5 '!M61</f>
        <v/>
      </c>
      <c r="E75" s="284">
        <f>'ריכוז נתונים כללים'!O61</f>
        <v>0</v>
      </c>
      <c r="F75" s="286"/>
      <c r="G75" s="275" t="str">
        <f t="shared" ca="1" si="8"/>
        <v/>
      </c>
      <c r="H75" s="272" t="str">
        <f t="shared" ca="1" si="0"/>
        <v/>
      </c>
      <c r="I75" s="276"/>
      <c r="J75" s="274"/>
      <c r="K75" s="274"/>
      <c r="L75" s="274"/>
      <c r="M75" s="274"/>
      <c r="N75" s="274"/>
      <c r="O75" s="274"/>
      <c r="P75" s="274"/>
      <c r="Q75" s="274"/>
      <c r="R75" s="274"/>
      <c r="S75" s="274"/>
      <c r="T75" s="274"/>
      <c r="U75" s="274"/>
      <c r="V75" s="274"/>
      <c r="W75" s="274"/>
      <c r="X75" s="274"/>
      <c r="Y75" s="283" t="str">
        <f t="shared" ca="1" si="12"/>
        <v/>
      </c>
      <c r="Z75" s="277" t="str">
        <f t="shared" ca="1" si="2"/>
        <v/>
      </c>
      <c r="AA75" s="262"/>
      <c r="AB75" s="262"/>
      <c r="AC75" s="262"/>
      <c r="AD75" s="268" t="str">
        <f t="shared" ca="1" si="13"/>
        <v/>
      </c>
      <c r="AE75" s="268" t="str">
        <f t="shared" ca="1" si="13"/>
        <v/>
      </c>
      <c r="AF75" s="262">
        <f t="shared" ca="1" si="9"/>
        <v>1</v>
      </c>
      <c r="AG75" s="262">
        <f t="shared" si="10"/>
        <v>1</v>
      </c>
      <c r="AH75" s="268"/>
      <c r="AI75" s="262">
        <f t="shared" ca="1" si="11"/>
        <v>1</v>
      </c>
    </row>
    <row r="76" spans="2:35" x14ac:dyDescent="0.25">
      <c r="B76" s="270">
        <f t="shared" ca="1" si="7"/>
        <v>46</v>
      </c>
      <c r="C76" s="271" t="str">
        <f ca="1">'תחשיב בסיסי ראשוני'!C62</f>
        <v>ענבל מרכז אתני</v>
      </c>
      <c r="D76" s="297">
        <f ca="1">'תחשיב בסיסי לאחר 11ב ו12ג5 '!M62</f>
        <v>2.2619487431305783E-2</v>
      </c>
      <c r="E76" s="284">
        <f>'ריכוז נתונים כללים'!O62</f>
        <v>828405.49</v>
      </c>
      <c r="F76" s="286">
        <v>0</v>
      </c>
      <c r="G76" s="275">
        <f t="shared" ca="1" si="8"/>
        <v>6.7846799763668003E-2</v>
      </c>
      <c r="H76" s="272">
        <f t="shared" ca="1" si="0"/>
        <v>4.5233143597486897E-2</v>
      </c>
      <c r="I76" s="276"/>
      <c r="J76" s="274"/>
      <c r="K76" s="274"/>
      <c r="L76" s="274"/>
      <c r="M76" s="274"/>
      <c r="N76" s="274"/>
      <c r="O76" s="274"/>
      <c r="P76" s="274"/>
      <c r="Q76" s="274"/>
      <c r="R76" s="274"/>
      <c r="S76" s="274"/>
      <c r="T76" s="274"/>
      <c r="U76" s="274"/>
      <c r="V76" s="274"/>
      <c r="W76" s="274"/>
      <c r="X76" s="274"/>
      <c r="Y76" s="283">
        <f t="shared" ca="1" si="12"/>
        <v>4.6277930780501977E-2</v>
      </c>
      <c r="Z76" s="277">
        <f t="shared" ca="1" si="2"/>
        <v>694168.96170752961</v>
      </c>
      <c r="AA76" s="262"/>
      <c r="AB76" s="262"/>
      <c r="AC76" s="262"/>
      <c r="AD76" s="268">
        <f t="shared" ca="1" si="13"/>
        <v>0</v>
      </c>
      <c r="AE76" s="268">
        <f t="shared" ca="1" si="13"/>
        <v>1</v>
      </c>
      <c r="AF76" s="262">
        <f t="shared" ca="1" si="9"/>
        <v>1</v>
      </c>
      <c r="AG76" s="262">
        <f t="shared" si="10"/>
        <v>1</v>
      </c>
      <c r="AH76" s="268"/>
      <c r="AI76" s="262">
        <f t="shared" ca="1" si="11"/>
        <v>1</v>
      </c>
    </row>
    <row r="77" spans="2:35" x14ac:dyDescent="0.25">
      <c r="B77" s="270">
        <f t="shared" ca="1" si="7"/>
        <v>47</v>
      </c>
      <c r="C77" s="271" t="str">
        <f ca="1">'תחשיב בסיסי ראשוני'!C63</f>
        <v>א.ב. חדשות השומרונים</v>
      </c>
      <c r="D77" s="297">
        <f ca="1">'תחשיב בסיסי לאחר 11ב ו12ג5 '!M63</f>
        <v>1.6449752054756635E-2</v>
      </c>
      <c r="E77" s="284">
        <f>'ריכוז נתונים כללים'!O63</f>
        <v>162810.15</v>
      </c>
      <c r="F77" s="286">
        <v>0</v>
      </c>
      <c r="G77" s="275">
        <f t="shared" ca="1" si="8"/>
        <v>1.3334227959477613E-2</v>
      </c>
      <c r="H77" s="272">
        <f t="shared" ca="1" si="0"/>
        <v>1.4891990007117124E-2</v>
      </c>
      <c r="I77" s="276"/>
      <c r="J77" s="274"/>
      <c r="K77" s="274"/>
      <c r="L77" s="274"/>
      <c r="M77" s="274"/>
      <c r="N77" s="274"/>
      <c r="O77" s="274"/>
      <c r="P77" s="274"/>
      <c r="Q77" s="274"/>
      <c r="R77" s="274"/>
      <c r="S77" s="274"/>
      <c r="T77" s="274"/>
      <c r="U77" s="274"/>
      <c r="V77" s="274"/>
      <c r="W77" s="274"/>
      <c r="X77" s="274"/>
      <c r="Y77" s="283">
        <f t="shared" ca="1" si="12"/>
        <v>1.523596256908359E-2</v>
      </c>
      <c r="Z77" s="277">
        <f t="shared" ca="1" si="2"/>
        <v>228539.43853625385</v>
      </c>
      <c r="AA77" s="262"/>
      <c r="AB77" s="262"/>
      <c r="AC77" s="262"/>
      <c r="AD77" s="268">
        <f t="shared" ca="1" si="13"/>
        <v>0</v>
      </c>
      <c r="AE77" s="268">
        <f t="shared" ca="1" si="13"/>
        <v>1</v>
      </c>
      <c r="AF77" s="262">
        <f t="shared" ca="1" si="9"/>
        <v>1</v>
      </c>
      <c r="AG77" s="262">
        <f t="shared" si="10"/>
        <v>1</v>
      </c>
      <c r="AH77" s="268"/>
      <c r="AI77" s="262">
        <f t="shared" ca="1" si="11"/>
        <v>1</v>
      </c>
    </row>
    <row r="78" spans="2:35" hidden="1" x14ac:dyDescent="0.25">
      <c r="B78" s="270" t="str">
        <f t="shared" ca="1" si="7"/>
        <v/>
      </c>
      <c r="C78" s="271" t="str">
        <f ca="1">'תחשיב בסיסי ראשוני'!C64</f>
        <v/>
      </c>
      <c r="D78" s="297" t="str">
        <f ca="1">'תחשיב בסיסי לאחר 11ב ו12ג5 '!M64</f>
        <v/>
      </c>
      <c r="E78" s="284">
        <f>'ריכוז נתונים כללים'!O64</f>
        <v>0</v>
      </c>
      <c r="F78" s="286"/>
      <c r="G78" s="275" t="str">
        <f t="shared" ca="1" si="8"/>
        <v/>
      </c>
      <c r="H78" s="272" t="str">
        <f t="shared" ca="1" si="0"/>
        <v/>
      </c>
      <c r="I78" s="276"/>
      <c r="J78" s="274"/>
      <c r="K78" s="274"/>
      <c r="L78" s="274"/>
      <c r="M78" s="274"/>
      <c r="N78" s="274"/>
      <c r="O78" s="274"/>
      <c r="P78" s="274"/>
      <c r="Q78" s="274"/>
      <c r="R78" s="274"/>
      <c r="S78" s="274"/>
      <c r="T78" s="274"/>
      <c r="U78" s="274"/>
      <c r="V78" s="274"/>
      <c r="W78" s="274"/>
      <c r="X78" s="274"/>
      <c r="Y78" s="283" t="str">
        <f t="shared" ca="1" si="12"/>
        <v/>
      </c>
      <c r="Z78" s="277" t="str">
        <f t="shared" ca="1" si="2"/>
        <v/>
      </c>
      <c r="AA78" s="262"/>
      <c r="AB78" s="262"/>
      <c r="AC78" s="262"/>
      <c r="AD78" s="268" t="str">
        <f t="shared" ca="1" si="13"/>
        <v/>
      </c>
      <c r="AE78" s="268" t="str">
        <f t="shared" ca="1" si="13"/>
        <v/>
      </c>
      <c r="AF78" s="262">
        <f t="shared" ca="1" si="9"/>
        <v>1</v>
      </c>
      <c r="AG78" s="262">
        <f t="shared" si="10"/>
        <v>1</v>
      </c>
      <c r="AH78" s="268"/>
      <c r="AI78" s="262">
        <f t="shared" ca="1" si="11"/>
        <v>1</v>
      </c>
    </row>
    <row r="79" spans="2:35" hidden="1" x14ac:dyDescent="0.25">
      <c r="B79" s="270" t="str">
        <f t="shared" ca="1" si="7"/>
        <v/>
      </c>
      <c r="C79" s="271" t="str">
        <f ca="1">'תחשיב בסיסי ראשוני'!C65</f>
        <v/>
      </c>
      <c r="D79" s="297" t="str">
        <f ca="1">'תחשיב בסיסי לאחר 11ב ו12ג5 '!M65</f>
        <v/>
      </c>
      <c r="E79" s="284">
        <f>'ריכוז נתונים כללים'!O65</f>
        <v>0</v>
      </c>
      <c r="F79" s="286"/>
      <c r="G79" s="275" t="str">
        <f t="shared" ca="1" si="8"/>
        <v/>
      </c>
      <c r="H79" s="272" t="str">
        <f t="shared" ca="1" si="0"/>
        <v/>
      </c>
      <c r="I79" s="276"/>
      <c r="J79" s="274"/>
      <c r="K79" s="274"/>
      <c r="L79" s="274"/>
      <c r="M79" s="274"/>
      <c r="N79" s="274"/>
      <c r="O79" s="274"/>
      <c r="P79" s="274"/>
      <c r="Q79" s="274"/>
      <c r="R79" s="274"/>
      <c r="S79" s="274"/>
      <c r="T79" s="274"/>
      <c r="U79" s="274"/>
      <c r="V79" s="274"/>
      <c r="W79" s="274"/>
      <c r="X79" s="274"/>
      <c r="Y79" s="283" t="str">
        <f t="shared" ca="1" si="12"/>
        <v/>
      </c>
      <c r="Z79" s="277" t="str">
        <f t="shared" ca="1" si="2"/>
        <v/>
      </c>
      <c r="AA79" s="262"/>
      <c r="AB79" s="262"/>
      <c r="AC79" s="262"/>
      <c r="AD79" s="268" t="str">
        <f t="shared" ca="1" si="13"/>
        <v/>
      </c>
      <c r="AE79" s="268" t="str">
        <f t="shared" ca="1" si="13"/>
        <v/>
      </c>
      <c r="AF79" s="262">
        <f t="shared" ca="1" si="9"/>
        <v>1</v>
      </c>
      <c r="AG79" s="262">
        <f t="shared" si="10"/>
        <v>1</v>
      </c>
      <c r="AH79" s="268"/>
      <c r="AI79" s="262">
        <f t="shared" ca="1" si="11"/>
        <v>1</v>
      </c>
    </row>
    <row r="80" spans="2:35" hidden="1" x14ac:dyDescent="0.25">
      <c r="B80" s="270" t="str">
        <f t="shared" ca="1" si="7"/>
        <v/>
      </c>
      <c r="C80" s="271" t="str">
        <f ca="1">'תחשיב בסיסי ראשוני'!C66</f>
        <v/>
      </c>
      <c r="D80" s="297" t="str">
        <f ca="1">'תחשיב בסיסי לאחר 11ב ו12ג5 '!M66</f>
        <v/>
      </c>
      <c r="E80" s="284">
        <f>'ריכוז נתונים כללים'!O66</f>
        <v>0</v>
      </c>
      <c r="F80" s="286"/>
      <c r="G80" s="275" t="str">
        <f t="shared" ca="1" si="8"/>
        <v/>
      </c>
      <c r="H80" s="272" t="str">
        <f t="shared" ca="1" si="0"/>
        <v/>
      </c>
      <c r="I80" s="276"/>
      <c r="J80" s="274"/>
      <c r="K80" s="274"/>
      <c r="L80" s="274"/>
      <c r="M80" s="274"/>
      <c r="N80" s="274"/>
      <c r="O80" s="274"/>
      <c r="P80" s="274"/>
      <c r="Q80" s="274"/>
      <c r="R80" s="274"/>
      <c r="S80" s="274"/>
      <c r="T80" s="274"/>
      <c r="U80" s="274"/>
      <c r="V80" s="274"/>
      <c r="W80" s="274"/>
      <c r="X80" s="274"/>
      <c r="Y80" s="283" t="str">
        <f t="shared" ca="1" si="12"/>
        <v/>
      </c>
      <c r="Z80" s="277" t="str">
        <f t="shared" ca="1" si="2"/>
        <v/>
      </c>
      <c r="AA80" s="262"/>
      <c r="AB80" s="262"/>
      <c r="AC80" s="262"/>
      <c r="AD80" s="268" t="str">
        <f t="shared" ca="1" si="13"/>
        <v/>
      </c>
      <c r="AE80" s="268" t="str">
        <f t="shared" ca="1" si="13"/>
        <v/>
      </c>
      <c r="AF80" s="262">
        <f t="shared" ca="1" si="9"/>
        <v>1</v>
      </c>
      <c r="AG80" s="262">
        <f t="shared" si="10"/>
        <v>1</v>
      </c>
      <c r="AH80" s="268"/>
      <c r="AI80" s="262">
        <f t="shared" ca="1" si="11"/>
        <v>1</v>
      </c>
    </row>
    <row r="81" spans="1:200" hidden="1" x14ac:dyDescent="0.25">
      <c r="B81" s="270" t="str">
        <f t="shared" ca="1" si="7"/>
        <v/>
      </c>
      <c r="C81" s="271" t="str">
        <f ca="1">'תחשיב בסיסי ראשוני'!C67</f>
        <v/>
      </c>
      <c r="D81" s="297" t="str">
        <f ca="1">'תחשיב בסיסי לאחר 11ב ו12ג5 '!M67</f>
        <v/>
      </c>
      <c r="E81" s="284">
        <f>'ריכוז נתונים כללים'!O67</f>
        <v>0</v>
      </c>
      <c r="F81" s="286"/>
      <c r="G81" s="275" t="str">
        <f t="shared" ca="1" si="8"/>
        <v/>
      </c>
      <c r="H81" s="272" t="str">
        <f t="shared" ca="1" si="0"/>
        <v/>
      </c>
      <c r="I81" s="276"/>
      <c r="J81" s="274"/>
      <c r="K81" s="274"/>
      <c r="L81" s="274"/>
      <c r="M81" s="274"/>
      <c r="N81" s="274"/>
      <c r="O81" s="274"/>
      <c r="P81" s="274"/>
      <c r="Q81" s="274"/>
      <c r="R81" s="274"/>
      <c r="S81" s="274"/>
      <c r="T81" s="274"/>
      <c r="U81" s="274"/>
      <c r="V81" s="274"/>
      <c r="W81" s="274"/>
      <c r="X81" s="274"/>
      <c r="Y81" s="283" t="str">
        <f t="shared" ca="1" si="12"/>
        <v/>
      </c>
      <c r="Z81" s="277" t="str">
        <f t="shared" ca="1" si="2"/>
        <v/>
      </c>
      <c r="AA81" s="262"/>
      <c r="AB81" s="262"/>
      <c r="AC81" s="262"/>
      <c r="AD81" s="268" t="str">
        <f t="shared" ca="1" si="13"/>
        <v/>
      </c>
      <c r="AE81" s="268" t="str">
        <f t="shared" ca="1" si="13"/>
        <v/>
      </c>
      <c r="AF81" s="262">
        <f t="shared" ca="1" si="9"/>
        <v>1</v>
      </c>
      <c r="AG81" s="262">
        <f t="shared" si="10"/>
        <v>1</v>
      </c>
      <c r="AH81" s="268"/>
      <c r="AI81" s="262">
        <f t="shared" ca="1" si="11"/>
        <v>1</v>
      </c>
    </row>
    <row r="82" spans="1:200" x14ac:dyDescent="0.25">
      <c r="B82" s="270">
        <f t="shared" ca="1" si="7"/>
        <v>52</v>
      </c>
      <c r="C82" s="271" t="str">
        <f ca="1">'תחשיב בסיסי ראשוני'!C68</f>
        <v>עמותת הנני</v>
      </c>
      <c r="D82" s="297">
        <f ca="1">'תחשיב בסיסי לאחר 11ב ו12ג5 '!M68</f>
        <v>3.8172311797447643E-2</v>
      </c>
      <c r="E82" s="284">
        <f>'ריכוז נתונים כללים'!O68</f>
        <v>440077.17</v>
      </c>
      <c r="F82" s="286">
        <v>0</v>
      </c>
      <c r="G82" s="275">
        <f t="shared" ca="1" si="8"/>
        <v>3.6042527474741487E-2</v>
      </c>
      <c r="H82" s="272">
        <f t="shared" ca="1" si="0"/>
        <v>3.7107419636094569E-2</v>
      </c>
      <c r="I82" s="276"/>
      <c r="J82" s="274"/>
      <c r="K82" s="274"/>
      <c r="L82" s="274"/>
      <c r="M82" s="274"/>
      <c r="N82" s="274"/>
      <c r="O82" s="274"/>
      <c r="P82" s="274"/>
      <c r="Q82" s="274"/>
      <c r="R82" s="274"/>
      <c r="S82" s="274"/>
      <c r="T82" s="274"/>
      <c r="U82" s="274"/>
      <c r="V82" s="274"/>
      <c r="W82" s="274"/>
      <c r="X82" s="274"/>
      <c r="Y82" s="283">
        <f t="shared" ca="1" si="12"/>
        <v>3.7964520278392345E-2</v>
      </c>
      <c r="Z82" s="277">
        <f t="shared" ca="1" si="2"/>
        <v>569467.80417588516</v>
      </c>
      <c r="AA82" s="262"/>
      <c r="AB82" s="262"/>
      <c r="AC82" s="262"/>
      <c r="AD82" s="268">
        <f t="shared" ca="1" si="13"/>
        <v>0</v>
      </c>
      <c r="AE82" s="268">
        <f t="shared" ca="1" si="13"/>
        <v>1</v>
      </c>
      <c r="AF82" s="262">
        <f t="shared" ca="1" si="9"/>
        <v>1</v>
      </c>
      <c r="AG82" s="262">
        <f t="shared" si="10"/>
        <v>1</v>
      </c>
      <c r="AH82" s="268"/>
      <c r="AI82" s="262">
        <f t="shared" ca="1" si="11"/>
        <v>1</v>
      </c>
    </row>
    <row r="83" spans="1:200" hidden="1" x14ac:dyDescent="0.25">
      <c r="B83" s="270" t="str">
        <f t="shared" ca="1" si="7"/>
        <v/>
      </c>
      <c r="C83" s="271" t="str">
        <f ca="1">'תחשיב בסיסי ראשוני'!C69</f>
        <v/>
      </c>
      <c r="D83" s="297" t="str">
        <f ca="1">'תחשיב בסיסי לאחר 11ב ו12ג5 '!M69</f>
        <v/>
      </c>
      <c r="E83" s="284">
        <f>'ריכוז נתונים כללים'!O69</f>
        <v>0</v>
      </c>
      <c r="F83" s="286"/>
      <c r="G83" s="275" t="str">
        <f t="shared" ca="1" si="8"/>
        <v/>
      </c>
      <c r="H83" s="272" t="str">
        <f t="shared" ca="1" si="0"/>
        <v/>
      </c>
      <c r="I83" s="276"/>
      <c r="J83" s="274"/>
      <c r="K83" s="274"/>
      <c r="L83" s="274"/>
      <c r="M83" s="274"/>
      <c r="N83" s="274"/>
      <c r="O83" s="274"/>
      <c r="P83" s="274"/>
      <c r="Q83" s="274"/>
      <c r="R83" s="274"/>
      <c r="S83" s="274"/>
      <c r="T83" s="274"/>
      <c r="U83" s="274"/>
      <c r="V83" s="274"/>
      <c r="W83" s="274"/>
      <c r="X83" s="274"/>
      <c r="Y83" s="283" t="str">
        <f t="shared" ca="1" si="12"/>
        <v/>
      </c>
      <c r="Z83" s="277" t="str">
        <f t="shared" ca="1" si="2"/>
        <v/>
      </c>
      <c r="AA83" s="262"/>
      <c r="AB83" s="262"/>
      <c r="AC83" s="262"/>
      <c r="AD83" s="268" t="str">
        <f t="shared" ca="1" si="13"/>
        <v/>
      </c>
      <c r="AE83" s="268" t="str">
        <f t="shared" ca="1" si="13"/>
        <v/>
      </c>
      <c r="AF83" s="262">
        <f t="shared" ca="1" si="9"/>
        <v>1</v>
      </c>
      <c r="AG83" s="262">
        <f t="shared" si="10"/>
        <v>1</v>
      </c>
      <c r="AH83" s="268"/>
      <c r="AI83" s="262">
        <f t="shared" ca="1" si="11"/>
        <v>1</v>
      </c>
    </row>
    <row r="84" spans="1:200" hidden="1" x14ac:dyDescent="0.25">
      <c r="B84" s="270" t="str">
        <f t="shared" ca="1" si="7"/>
        <v/>
      </c>
      <c r="C84" s="271" t="str">
        <f ca="1">'תחשיב בסיסי ראשוני'!C70</f>
        <v/>
      </c>
      <c r="D84" s="297" t="str">
        <f ca="1">'תחשיב בסיסי לאחר 11ב ו12ג5 '!M70</f>
        <v/>
      </c>
      <c r="E84" s="284">
        <f>'ריכוז נתונים כללים'!O70</f>
        <v>0</v>
      </c>
      <c r="F84" s="286"/>
      <c r="G84" s="275" t="str">
        <f t="shared" ca="1" si="8"/>
        <v/>
      </c>
      <c r="H84" s="272" t="str">
        <f t="shared" ca="1" si="0"/>
        <v/>
      </c>
      <c r="I84" s="276"/>
      <c r="J84" s="274"/>
      <c r="K84" s="274"/>
      <c r="L84" s="274"/>
      <c r="M84" s="274"/>
      <c r="N84" s="274"/>
      <c r="O84" s="274"/>
      <c r="P84" s="274"/>
      <c r="Q84" s="274"/>
      <c r="R84" s="274"/>
      <c r="S84" s="274"/>
      <c r="T84" s="274"/>
      <c r="U84" s="274"/>
      <c r="V84" s="274"/>
      <c r="W84" s="274"/>
      <c r="X84" s="274"/>
      <c r="Y84" s="283" t="str">
        <f t="shared" ca="1" si="12"/>
        <v/>
      </c>
      <c r="Z84" s="277" t="str">
        <f t="shared" ca="1" si="2"/>
        <v/>
      </c>
      <c r="AA84" s="262"/>
      <c r="AB84" s="262"/>
      <c r="AC84" s="262"/>
      <c r="AD84" s="268" t="str">
        <f t="shared" ca="1" si="13"/>
        <v/>
      </c>
      <c r="AE84" s="268" t="str">
        <f t="shared" ca="1" si="13"/>
        <v/>
      </c>
      <c r="AF84" s="262">
        <f t="shared" ca="1" si="9"/>
        <v>1</v>
      </c>
      <c r="AG84" s="262">
        <f t="shared" si="10"/>
        <v>1</v>
      </c>
      <c r="AH84" s="268"/>
      <c r="AI84" s="262">
        <f t="shared" ca="1" si="11"/>
        <v>1</v>
      </c>
    </row>
    <row r="85" spans="1:200" hidden="1" x14ac:dyDescent="0.25">
      <c r="B85" s="270" t="str">
        <f t="shared" ca="1" si="7"/>
        <v/>
      </c>
      <c r="C85" s="271" t="str">
        <f ca="1">'תחשיב בסיסי ראשוני'!C71</f>
        <v/>
      </c>
      <c r="D85" s="297" t="str">
        <f ca="1">'תחשיב בסיסי לאחר 11ב ו12ג5 '!M71</f>
        <v/>
      </c>
      <c r="E85" s="284">
        <f>'ריכוז נתונים כללים'!O71</f>
        <v>0</v>
      </c>
      <c r="F85" s="286"/>
      <c r="G85" s="275" t="str">
        <f t="shared" ca="1" si="8"/>
        <v/>
      </c>
      <c r="H85" s="272" t="str">
        <f t="shared" ca="1" si="0"/>
        <v/>
      </c>
      <c r="I85" s="276"/>
      <c r="J85" s="274"/>
      <c r="K85" s="274"/>
      <c r="L85" s="274"/>
      <c r="M85" s="274"/>
      <c r="N85" s="274"/>
      <c r="O85" s="274"/>
      <c r="P85" s="274"/>
      <c r="Q85" s="274"/>
      <c r="R85" s="274"/>
      <c r="S85" s="274"/>
      <c r="T85" s="274"/>
      <c r="U85" s="274"/>
      <c r="V85" s="274"/>
      <c r="W85" s="274"/>
      <c r="X85" s="274"/>
      <c r="Y85" s="283" t="str">
        <f t="shared" ca="1" si="12"/>
        <v/>
      </c>
      <c r="Z85" s="277" t="str">
        <f t="shared" ca="1" si="2"/>
        <v/>
      </c>
      <c r="AA85" s="262"/>
      <c r="AB85" s="262"/>
      <c r="AC85" s="262"/>
      <c r="AD85" s="268" t="str">
        <f t="shared" ca="1" si="13"/>
        <v/>
      </c>
      <c r="AE85" s="268" t="str">
        <f t="shared" ca="1" si="13"/>
        <v/>
      </c>
      <c r="AF85" s="262">
        <f t="shared" ca="1" si="9"/>
        <v>1</v>
      </c>
      <c r="AG85" s="262">
        <f t="shared" si="10"/>
        <v>1</v>
      </c>
      <c r="AH85" s="268"/>
      <c r="AI85" s="262">
        <f t="shared" ca="1" si="11"/>
        <v>1</v>
      </c>
    </row>
    <row r="86" spans="1:200" hidden="1" x14ac:dyDescent="0.25">
      <c r="B86" s="270" t="str">
        <f t="shared" ca="1" si="7"/>
        <v/>
      </c>
      <c r="C86" s="271" t="str">
        <f ca="1">'תחשיב בסיסי ראשוני'!C72</f>
        <v/>
      </c>
      <c r="D86" s="297" t="str">
        <f ca="1">'תחשיב בסיסי לאחר 11ב ו12ג5 '!M72</f>
        <v/>
      </c>
      <c r="E86" s="284">
        <f>'ריכוז נתונים כללים'!O72</f>
        <v>0</v>
      </c>
      <c r="F86" s="286"/>
      <c r="G86" s="275" t="str">
        <f t="shared" ca="1" si="8"/>
        <v/>
      </c>
      <c r="H86" s="272" t="str">
        <f t="shared" ca="1" si="0"/>
        <v/>
      </c>
      <c r="I86" s="276"/>
      <c r="J86" s="274"/>
      <c r="K86" s="274"/>
      <c r="L86" s="274"/>
      <c r="M86" s="274"/>
      <c r="N86" s="274"/>
      <c r="O86" s="274"/>
      <c r="P86" s="274"/>
      <c r="Q86" s="274"/>
      <c r="R86" s="274"/>
      <c r="S86" s="274"/>
      <c r="T86" s="274"/>
      <c r="U86" s="274"/>
      <c r="V86" s="274"/>
      <c r="W86" s="274"/>
      <c r="X86" s="274"/>
      <c r="Y86" s="283" t="str">
        <f t="shared" ca="1" si="12"/>
        <v/>
      </c>
      <c r="Z86" s="277" t="str">
        <f t="shared" ca="1" si="2"/>
        <v/>
      </c>
      <c r="AA86" s="262"/>
      <c r="AB86" s="262"/>
      <c r="AC86" s="262"/>
      <c r="AD86" s="268" t="str">
        <f t="shared" ca="1" si="13"/>
        <v/>
      </c>
      <c r="AE86" s="268" t="str">
        <f t="shared" ca="1" si="13"/>
        <v/>
      </c>
      <c r="AF86" s="262">
        <f t="shared" ca="1" si="9"/>
        <v>1</v>
      </c>
      <c r="AG86" s="262">
        <f t="shared" si="10"/>
        <v>1</v>
      </c>
      <c r="AH86" s="268"/>
      <c r="AI86" s="262">
        <f t="shared" ca="1" si="11"/>
        <v>1</v>
      </c>
    </row>
    <row r="87" spans="1:200" hidden="1" x14ac:dyDescent="0.25">
      <c r="B87" s="270" t="str">
        <f t="shared" ca="1" si="7"/>
        <v/>
      </c>
      <c r="C87" s="271" t="str">
        <f ca="1">'תחשיב בסיסי ראשוני'!C73</f>
        <v/>
      </c>
      <c r="D87" s="297" t="str">
        <f ca="1">'תחשיב בסיסי לאחר 11ב ו12ג5 '!M73</f>
        <v/>
      </c>
      <c r="E87" s="284">
        <f>'ריכוז נתונים כללים'!O73</f>
        <v>0</v>
      </c>
      <c r="F87" s="286"/>
      <c r="G87" s="275" t="str">
        <f t="shared" ca="1" si="8"/>
        <v/>
      </c>
      <c r="H87" s="272" t="str">
        <f t="shared" ca="1" si="0"/>
        <v/>
      </c>
      <c r="I87" s="276"/>
      <c r="J87" s="274"/>
      <c r="K87" s="274"/>
      <c r="L87" s="274"/>
      <c r="M87" s="274"/>
      <c r="N87" s="274"/>
      <c r="O87" s="274"/>
      <c r="P87" s="274"/>
      <c r="Q87" s="274"/>
      <c r="R87" s="274"/>
      <c r="S87" s="274"/>
      <c r="T87" s="274"/>
      <c r="U87" s="274"/>
      <c r="V87" s="274"/>
      <c r="W87" s="274"/>
      <c r="X87" s="274"/>
      <c r="Y87" s="283" t="str">
        <f t="shared" ca="1" si="12"/>
        <v/>
      </c>
      <c r="Z87" s="277" t="str">
        <f t="shared" ca="1" si="2"/>
        <v/>
      </c>
      <c r="AA87" s="262"/>
      <c r="AB87" s="262"/>
      <c r="AC87" s="262"/>
      <c r="AD87" s="268" t="str">
        <f t="shared" ca="1" si="13"/>
        <v/>
      </c>
      <c r="AE87" s="268" t="str">
        <f t="shared" ca="1" si="13"/>
        <v/>
      </c>
      <c r="AF87" s="262">
        <f t="shared" ca="1" si="9"/>
        <v>1</v>
      </c>
      <c r="AG87" s="262">
        <f t="shared" si="10"/>
        <v>1</v>
      </c>
      <c r="AH87" s="268"/>
      <c r="AI87" s="262">
        <f t="shared" ca="1" si="11"/>
        <v>1</v>
      </c>
    </row>
    <row r="88" spans="1:200" hidden="1" x14ac:dyDescent="0.25">
      <c r="B88" s="270" t="str">
        <f t="shared" ca="1" si="7"/>
        <v/>
      </c>
      <c r="C88" s="271" t="str">
        <f ca="1">'תחשיב בסיסי ראשוני'!C74</f>
        <v/>
      </c>
      <c r="D88" s="297" t="str">
        <f ca="1">'תחשיב בסיסי לאחר 11ב ו12ג5 '!M74</f>
        <v/>
      </c>
      <c r="E88" s="284">
        <f>'ריכוז נתונים כללים'!O74</f>
        <v>0</v>
      </c>
      <c r="F88" s="286"/>
      <c r="G88" s="275" t="str">
        <f t="shared" ca="1" si="8"/>
        <v/>
      </c>
      <c r="H88" s="272" t="str">
        <f t="shared" ca="1" si="0"/>
        <v/>
      </c>
      <c r="I88" s="276"/>
      <c r="J88" s="274"/>
      <c r="K88" s="274"/>
      <c r="L88" s="274"/>
      <c r="M88" s="274"/>
      <c r="N88" s="274"/>
      <c r="O88" s="274"/>
      <c r="P88" s="274"/>
      <c r="Q88" s="274"/>
      <c r="R88" s="274"/>
      <c r="S88" s="274"/>
      <c r="T88" s="274"/>
      <c r="U88" s="274"/>
      <c r="V88" s="274"/>
      <c r="W88" s="274"/>
      <c r="X88" s="274"/>
      <c r="Y88" s="283" t="str">
        <f t="shared" ca="1" si="12"/>
        <v/>
      </c>
      <c r="Z88" s="277" t="str">
        <f t="shared" ca="1" si="2"/>
        <v/>
      </c>
      <c r="AA88" s="262"/>
      <c r="AB88" s="262"/>
      <c r="AC88" s="262"/>
      <c r="AD88" s="268" t="str">
        <f t="shared" ca="1" si="13"/>
        <v/>
      </c>
      <c r="AE88" s="268" t="str">
        <f t="shared" ca="1" si="13"/>
        <v/>
      </c>
      <c r="AF88" s="262">
        <f t="shared" ca="1" si="9"/>
        <v>1</v>
      </c>
      <c r="AG88" s="262">
        <f t="shared" si="10"/>
        <v>1</v>
      </c>
      <c r="AH88" s="268"/>
      <c r="AI88" s="262">
        <f t="shared" ca="1" si="11"/>
        <v>1</v>
      </c>
    </row>
    <row r="89" spans="1:200" hidden="1" x14ac:dyDescent="0.25">
      <c r="B89" s="270" t="str">
        <f t="shared" ca="1" si="7"/>
        <v/>
      </c>
      <c r="C89" s="271" t="str">
        <f ca="1">'תחשיב בסיסי ראשוני'!C75</f>
        <v/>
      </c>
      <c r="D89" s="297" t="str">
        <f ca="1">'תחשיב בסיסי לאחר 11ב ו12ג5 '!M75</f>
        <v/>
      </c>
      <c r="E89" s="284">
        <f>'ריכוז נתונים כללים'!O75</f>
        <v>0</v>
      </c>
      <c r="F89" s="286"/>
      <c r="G89" s="275" t="str">
        <f t="shared" ca="1" si="8"/>
        <v/>
      </c>
      <c r="H89" s="272" t="str">
        <f t="shared" ca="1" si="0"/>
        <v/>
      </c>
      <c r="I89" s="276"/>
      <c r="J89" s="274"/>
      <c r="K89" s="274"/>
      <c r="L89" s="274"/>
      <c r="M89" s="274"/>
      <c r="N89" s="274"/>
      <c r="O89" s="274"/>
      <c r="P89" s="274"/>
      <c r="Q89" s="274"/>
      <c r="R89" s="274"/>
      <c r="S89" s="274"/>
      <c r="T89" s="274"/>
      <c r="U89" s="274"/>
      <c r="V89" s="274"/>
      <c r="W89" s="274"/>
      <c r="X89" s="274"/>
      <c r="Y89" s="283" t="str">
        <f t="shared" ca="1" si="12"/>
        <v/>
      </c>
      <c r="Z89" s="277" t="str">
        <f t="shared" ca="1" si="2"/>
        <v/>
      </c>
      <c r="AA89" s="262"/>
      <c r="AB89" s="262"/>
      <c r="AC89" s="262"/>
      <c r="AD89" s="268" t="str">
        <f t="shared" ca="1" si="13"/>
        <v/>
      </c>
      <c r="AE89" s="268" t="str">
        <f t="shared" ca="1" si="13"/>
        <v/>
      </c>
      <c r="AF89" s="262">
        <f t="shared" ca="1" si="9"/>
        <v>1</v>
      </c>
      <c r="AG89" s="262">
        <f t="shared" si="10"/>
        <v>1</v>
      </c>
      <c r="AH89" s="268"/>
      <c r="AI89" s="262">
        <f t="shared" ca="1" si="11"/>
        <v>1</v>
      </c>
    </row>
    <row r="90" spans="1:200" x14ac:dyDescent="0.25">
      <c r="B90" s="270">
        <f t="shared" ca="1" si="7"/>
        <v>60</v>
      </c>
      <c r="C90" s="271" t="str">
        <f ca="1">'תחשיב בסיסי ראשוני'!C76</f>
        <v>שרשרת הדורות</v>
      </c>
      <c r="D90" s="297">
        <f ca="1">'תחשיב בסיסי לאחר 11ב ו12ג5 '!M76</f>
        <v>1.4647587357517816E-2</v>
      </c>
      <c r="E90" s="284">
        <f>'ריכוז נתונים כללים'!O76</f>
        <v>89206.74</v>
      </c>
      <c r="F90" s="286">
        <v>0</v>
      </c>
      <c r="G90" s="275">
        <f t="shared" ca="1" si="8"/>
        <v>7.3060740173868152E-3</v>
      </c>
      <c r="H90" s="272">
        <f t="shared" ca="1" si="0"/>
        <v>1.0976830687452315E-2</v>
      </c>
      <c r="I90" s="276"/>
      <c r="J90" s="274"/>
      <c r="K90" s="274"/>
      <c r="L90" s="274"/>
      <c r="M90" s="274"/>
      <c r="N90" s="274"/>
      <c r="O90" s="274"/>
      <c r="P90" s="274"/>
      <c r="Q90" s="274"/>
      <c r="R90" s="274"/>
      <c r="S90" s="274"/>
      <c r="T90" s="274"/>
      <c r="U90" s="274"/>
      <c r="V90" s="274"/>
      <c r="W90" s="274"/>
      <c r="X90" s="274"/>
      <c r="Y90" s="283">
        <f t="shared" ca="1" si="12"/>
        <v>1.123037158910687E-2</v>
      </c>
      <c r="Z90" s="277">
        <f t="shared" ca="1" si="2"/>
        <v>168455.57383660306</v>
      </c>
      <c r="AA90" s="262"/>
      <c r="AB90" s="262"/>
      <c r="AC90" s="262"/>
      <c r="AD90" s="268">
        <f t="shared" ca="1" si="13"/>
        <v>0</v>
      </c>
      <c r="AE90" s="268">
        <f t="shared" ca="1" si="13"/>
        <v>1</v>
      </c>
      <c r="AF90" s="262">
        <f t="shared" ca="1" si="9"/>
        <v>1</v>
      </c>
      <c r="AG90" s="262">
        <f t="shared" si="10"/>
        <v>1</v>
      </c>
      <c r="AH90" s="268"/>
      <c r="AI90" s="262">
        <f t="shared" ca="1" si="11"/>
        <v>1</v>
      </c>
    </row>
    <row r="91" spans="1:200" ht="16.5" thickBot="1" x14ac:dyDescent="0.3">
      <c r="B91" s="270">
        <f t="shared" ca="1" si="7"/>
        <v>61</v>
      </c>
      <c r="C91" s="271" t="str">
        <f ca="1">'תחשיב בסיסי ראשוני'!C77</f>
        <v>חיבה</v>
      </c>
      <c r="D91" s="297">
        <f ca="1">'תחשיב בסיסי לאחר 11ב ו12ג5 '!M77</f>
        <v>2.1722171615778593E-2</v>
      </c>
      <c r="E91" s="284">
        <f>'ריכוז נתונים כללים'!O77</f>
        <v>248599.4</v>
      </c>
      <c r="F91" s="286">
        <v>0</v>
      </c>
      <c r="G91" s="275">
        <f t="shared" ref="G91:G92" ca="1" si="14">IF(C91="","",IFERROR(E91/$E$6,$AH$1))</f>
        <v>2.0360407936417715E-2</v>
      </c>
      <c r="H91" s="272">
        <f t="shared" ref="H91:H92" ca="1" si="15">IF(C91="","",IF(AI91&lt;&gt;1,$AH$1,IF(F91=1,D91,AVERAGE($G91,$D91))))</f>
        <v>2.1041289776098156E-2</v>
      </c>
      <c r="I91" s="276"/>
      <c r="J91" s="274"/>
      <c r="K91" s="274"/>
      <c r="L91" s="274"/>
      <c r="M91" s="274"/>
      <c r="N91" s="274"/>
      <c r="O91" s="274"/>
      <c r="P91" s="274"/>
      <c r="Q91" s="274"/>
      <c r="R91" s="274"/>
      <c r="S91" s="274"/>
      <c r="T91" s="274"/>
      <c r="U91" s="274"/>
      <c r="V91" s="274"/>
      <c r="W91" s="274"/>
      <c r="X91" s="274"/>
      <c r="Y91" s="283">
        <f t="shared" ref="Y91:Y92" ca="1" si="16">IF(C91="","",IF($AI$28&lt;&gt;1,$AH$1,H91/$H$93*100%))</f>
        <v>2.1527297780931917E-2</v>
      </c>
      <c r="Z91" s="277">
        <f t="shared" ref="Z91:Z92" ca="1" si="17">IF(C91="","",IF(AND($AI$28&lt;&gt;1),$AH$1,Y91*$C$2))</f>
        <v>322909.46671397873</v>
      </c>
      <c r="AA91" s="262"/>
      <c r="AB91" s="262"/>
      <c r="AC91" s="262"/>
      <c r="AD91" s="268">
        <f t="shared" ca="1" si="13"/>
        <v>0</v>
      </c>
      <c r="AE91" s="268">
        <f t="shared" ca="1" si="13"/>
        <v>1</v>
      </c>
      <c r="AF91" s="262">
        <f t="shared" ref="AF91:AF92" ca="1" si="18">IF(D91=$AH$1,0,1)</f>
        <v>1</v>
      </c>
      <c r="AG91" s="262">
        <f t="shared" ref="AG91:AG92" si="19">IF(E91="",0,IFERROR(IF(E91&gt;=0,1,0),0))</f>
        <v>1</v>
      </c>
      <c r="AH91" s="268"/>
      <c r="AI91" s="262">
        <f t="shared" ref="AI91:AI92" ca="1" si="20">IF($C91="",1,IFERROR(IF(SUM(AF91:AG91)=COUNT(AF91:AG91),1,0),0))</f>
        <v>1</v>
      </c>
    </row>
    <row r="92" spans="1:200" ht="16.5" hidden="1" thickBot="1" x14ac:dyDescent="0.3">
      <c r="B92" s="270" t="str">
        <f t="shared" ca="1" si="7"/>
        <v/>
      </c>
      <c r="C92" s="271" t="str">
        <f ca="1">'תחשיב בסיסי ראשוני'!C78</f>
        <v/>
      </c>
      <c r="D92" s="282" t="str">
        <f ca="1">'תחשיב בסיסי ראשוני'!M78</f>
        <v/>
      </c>
      <c r="E92" s="284" t="str">
        <f ca="1">'ריכוז נתונים כללים'!O78</f>
        <v/>
      </c>
      <c r="F92" s="286"/>
      <c r="G92" s="275" t="str">
        <f t="shared" ca="1" si="14"/>
        <v/>
      </c>
      <c r="H92" s="272" t="str">
        <f t="shared" ca="1" si="15"/>
        <v/>
      </c>
      <c r="I92" s="276"/>
      <c r="J92" s="274"/>
      <c r="K92" s="274"/>
      <c r="L92" s="274"/>
      <c r="M92" s="274"/>
      <c r="N92" s="274"/>
      <c r="O92" s="274"/>
      <c r="P92" s="274"/>
      <c r="Q92" s="274"/>
      <c r="R92" s="274"/>
      <c r="S92" s="274"/>
      <c r="T92" s="274"/>
      <c r="U92" s="274"/>
      <c r="V92" s="274"/>
      <c r="W92" s="274"/>
      <c r="X92" s="274"/>
      <c r="Y92" s="283" t="str">
        <f t="shared" ca="1" si="16"/>
        <v/>
      </c>
      <c r="Z92" s="277" t="str">
        <f t="shared" ca="1" si="17"/>
        <v/>
      </c>
      <c r="AA92" s="262"/>
      <c r="AB92" s="262"/>
      <c r="AC92" s="262"/>
      <c r="AD92" s="268" t="str">
        <f t="shared" ca="1" si="13"/>
        <v/>
      </c>
      <c r="AE92" s="268" t="str">
        <f t="shared" ca="1" si="13"/>
        <v/>
      </c>
      <c r="AF92" s="262">
        <f t="shared" ca="1" si="18"/>
        <v>1</v>
      </c>
      <c r="AG92" s="262">
        <f t="shared" ca="1" si="19"/>
        <v>0</v>
      </c>
      <c r="AH92" s="268"/>
      <c r="AI92" s="262">
        <f t="shared" ca="1" si="20"/>
        <v>1</v>
      </c>
    </row>
    <row r="93" spans="1:200" s="263" customFormat="1" ht="16.5" thickBot="1" x14ac:dyDescent="0.3">
      <c r="A93"/>
      <c r="B93" s="551" t="s">
        <v>187</v>
      </c>
      <c r="C93" s="552"/>
      <c r="D93" s="278">
        <f ca="1">SUM(D31:D92)</f>
        <v>1</v>
      </c>
      <c r="E93" s="279">
        <f ca="1">SUM(E31:E92)-SUMIF(C31:C92,"",E31:E92)</f>
        <v>11658629.93</v>
      </c>
      <c r="F93" s="279">
        <f>SUM(F31:F92)</f>
        <v>0</v>
      </c>
      <c r="G93" s="280">
        <f ca="1">SUM(G31:G92)</f>
        <v>0.95484728182983991</v>
      </c>
      <c r="H93" s="280">
        <f t="shared" ref="H93:Y93" ca="1" si="21">SUM(H31:H92)</f>
        <v>0.97742364091492018</v>
      </c>
      <c r="I93" s="280">
        <f t="shared" si="21"/>
        <v>0</v>
      </c>
      <c r="J93" s="280">
        <f t="shared" si="21"/>
        <v>0</v>
      </c>
      <c r="K93" s="280">
        <f t="shared" si="21"/>
        <v>0</v>
      </c>
      <c r="L93" s="280">
        <f t="shared" si="21"/>
        <v>0</v>
      </c>
      <c r="M93" s="280">
        <f t="shared" si="21"/>
        <v>0</v>
      </c>
      <c r="N93" s="280">
        <f t="shared" si="21"/>
        <v>0</v>
      </c>
      <c r="O93" s="280">
        <f t="shared" si="21"/>
        <v>0</v>
      </c>
      <c r="P93" s="280">
        <f t="shared" si="21"/>
        <v>0</v>
      </c>
      <c r="Q93" s="280">
        <f t="shared" si="21"/>
        <v>0</v>
      </c>
      <c r="R93" s="280">
        <f t="shared" si="21"/>
        <v>0</v>
      </c>
      <c r="S93" s="280">
        <f t="shared" si="21"/>
        <v>0</v>
      </c>
      <c r="T93" s="280">
        <f t="shared" si="21"/>
        <v>0</v>
      </c>
      <c r="U93" s="280">
        <f t="shared" si="21"/>
        <v>0</v>
      </c>
      <c r="V93" s="280">
        <f t="shared" si="21"/>
        <v>0</v>
      </c>
      <c r="W93" s="280">
        <f t="shared" si="21"/>
        <v>0</v>
      </c>
      <c r="X93" s="280">
        <f t="shared" si="21"/>
        <v>0</v>
      </c>
      <c r="Y93" s="280">
        <f t="shared" ca="1" si="21"/>
        <v>1</v>
      </c>
      <c r="Z93" s="281">
        <f ca="1">SUM(Z31:Z92)</f>
        <v>14999999.999999998</v>
      </c>
      <c r="AA93" s="262"/>
      <c r="AB93" s="262"/>
      <c r="AC93" s="262"/>
      <c r="AD93" s="268" t="str">
        <f t="shared" ref="AD93:AE93" si="22">IF($C93="","",AD$30)</f>
        <v/>
      </c>
      <c r="AE93" s="268" t="str">
        <f t="shared" si="22"/>
        <v/>
      </c>
      <c r="AF93" s="262"/>
      <c r="AG93" s="262"/>
      <c r="AH93" s="268"/>
      <c r="AI93" s="262"/>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row>
    <row r="96" spans="1:200" s="263" customFormat="1" hidden="1" x14ac:dyDescent="0.25">
      <c r="A96"/>
      <c r="B96" s="262"/>
      <c r="C96" s="262" t="s">
        <v>202</v>
      </c>
      <c r="D96" s="262"/>
      <c r="E96" s="262">
        <f ca="1">IFERROR(IF(E93&lt;1,1,0),0)</f>
        <v>0</v>
      </c>
      <c r="F96" s="262"/>
      <c r="G96" s="262"/>
      <c r="H96" s="262"/>
      <c r="I96" s="262">
        <f ca="1">IF(Y93=1,1,0)</f>
        <v>1</v>
      </c>
      <c r="J96" s="262"/>
      <c r="K96" s="262"/>
      <c r="L96" s="262"/>
      <c r="M96" s="262"/>
      <c r="N96" s="262"/>
      <c r="O96" s="262"/>
      <c r="P96" s="262"/>
      <c r="Q96" s="262"/>
      <c r="R96" s="262"/>
      <c r="S96" s="262"/>
      <c r="T96" s="262"/>
      <c r="U96" s="262"/>
      <c r="V96" s="262"/>
      <c r="W96" s="262"/>
      <c r="X96" s="262"/>
      <c r="Y96" s="262"/>
      <c r="Z96" s="262">
        <f ca="1">IF(Z93=C2,1,0)</f>
        <v>1</v>
      </c>
      <c r="AA96" s="262"/>
      <c r="AB96" s="262"/>
      <c r="AC96" s="262"/>
      <c r="AD96" s="262"/>
      <c r="AE96" s="262"/>
      <c r="AF96" s="262"/>
      <c r="AG96" s="262"/>
      <c r="AH96" s="262"/>
      <c r="AI96" s="262"/>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row>
    <row r="97" spans="1:200" s="263" customFormat="1" x14ac:dyDescent="0.25">
      <c r="A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row>
  </sheetData>
  <sheetProtection algorithmName="SHA-512" hashValue="GxjHDrOk3O5HGyntuU2xFizf/5YhDKMsFjlGU6P7dDxwCG47UbYVrEzXF0grPX1FMExLDCN1tbvb/tDzswG8Zw==" saltValue="VZX6sAHOwq1A6uyCFOOzjg==" spinCount="100000" sheet="1" scenarios="1" formatColumns="0" formatRows="0" autoFilter="0"/>
  <mergeCells count="13">
    <mergeCell ref="AF29:AF30"/>
    <mergeCell ref="AG29:AG30"/>
    <mergeCell ref="B93:C93"/>
    <mergeCell ref="E29:E30"/>
    <mergeCell ref="D1:Z2"/>
    <mergeCell ref="B28:Z28"/>
    <mergeCell ref="B29:B30"/>
    <mergeCell ref="C29:C30"/>
    <mergeCell ref="D29:D30"/>
    <mergeCell ref="G29:G30"/>
    <mergeCell ref="H29:H30"/>
    <mergeCell ref="Y29:Y30"/>
    <mergeCell ref="Z29:Z30"/>
  </mergeCells>
  <conditionalFormatting sqref="B31:X31 Y31:Z34 F32:X34 B32:E91 F35:Z91 B92:Z92">
    <cfRule type="expression" dxfId="228" priority="1" stopIfTrue="1">
      <formula>AND($C31="",B31&lt;&gt;"")</formula>
    </cfRule>
    <cfRule type="expression" dxfId="227" priority="2">
      <formula>$C31=""</formula>
    </cfRule>
    <cfRule type="expression" dxfId="226" priority="3">
      <formula>B$30&lt;&gt;""</formula>
    </cfRule>
  </conditionalFormatting>
  <conditionalFormatting sqref="C1:C2">
    <cfRule type="containsBlanks" dxfId="225" priority="6">
      <formula>LEN(TRIM(C1))=0</formula>
    </cfRule>
  </conditionalFormatting>
  <conditionalFormatting sqref="D1">
    <cfRule type="notContainsBlanks" dxfId="224" priority="5">
      <formula>LEN(TRIM(D1))&gt;0</formula>
    </cfRule>
  </conditionalFormatting>
  <dataValidations count="2">
    <dataValidation type="decimal" operator="greaterThanOrEqual" allowBlank="1" showInputMessage="1" showErrorMessage="1" errorTitle="נתון שגוי." error="ניתן להזין רק מספר גדול או שווה ל-0." sqref="E6 E31:E92" xr:uid="{00000000-0002-0000-0F00-000000000000}">
      <formula1>0</formula1>
    </dataValidation>
    <dataValidation type="list" allowBlank="1" showInputMessage="1" showErrorMessage="1" error="יש להזין 0 או 1._x000a_0 = הפעילות נתמכה בעבר_x000a_1= הפעילות נתמכת לראשונה" sqref="F31:F92" xr:uid="{00000000-0002-0000-0F00-000001000000}">
      <formula1>$AD31:$AE31</formula1>
    </dataValidation>
  </dataValidations>
  <printOptions horizontalCentered="1"/>
  <pageMargins left="0.51181102362204722" right="0.51181102362204722" top="0.74803149606299213" bottom="0.74803149606299213" header="0.31496062992125984" footer="0.31496062992125984"/>
  <pageSetup paperSize="9" scale="85"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8459099B-6A5C-426F-9DB1-A7C56BE39B89}">
            <xm:f>NOT(ISERROR(SEARCH($AH$1,B31)))</xm:f>
            <xm:f>$AH$1</xm:f>
            <x14:dxf>
              <fill>
                <patternFill>
                  <bgColor rgb="FFFF0000"/>
                </patternFill>
              </fill>
            </x14:dxf>
          </x14:cfRule>
          <xm:sqref>B31:X31 Y31:Z34 F32:X34 B32:E91 F35:Z91 B92:Z92</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גיליון15">
    <tabColor theme="1"/>
  </sheetPr>
  <dimension ref="B2:BS77"/>
  <sheetViews>
    <sheetView rightToLeft="1" view="pageBreakPreview" zoomScale="90" zoomScaleNormal="80" zoomScaleSheetLayoutView="90" workbookViewId="0">
      <selection activeCell="BS16" sqref="B15:BS28"/>
    </sheetView>
  </sheetViews>
  <sheetFormatPr defaultColWidth="9" defaultRowHeight="15.75" x14ac:dyDescent="0.25"/>
  <cols>
    <col min="2" max="2" width="19.5703125" bestFit="1" customWidth="1"/>
    <col min="3" max="3" width="29.85546875" bestFit="1" customWidth="1"/>
    <col min="4" max="4" width="16.140625" customWidth="1"/>
    <col min="5" max="5" width="18.85546875" bestFit="1" customWidth="1"/>
    <col min="6" max="64" width="12.85546875" hidden="1" customWidth="1"/>
    <col min="65" max="66" width="14.140625" hidden="1" customWidth="1"/>
    <col min="67" max="67" width="16.140625" customWidth="1"/>
    <col min="68" max="68" width="14.140625" customWidth="1"/>
    <col min="70" max="70" width="11.42578125" hidden="1" customWidth="1"/>
    <col min="71" max="71" width="11.42578125" bestFit="1" customWidth="1"/>
  </cols>
  <sheetData>
    <row r="2" spans="2:71" x14ac:dyDescent="0.25">
      <c r="B2" s="38" t="str">
        <f>פרמטרים!B3</f>
        <v>שנת תקציב</v>
      </c>
      <c r="C2" s="9">
        <f>פרמטרים!C3</f>
        <v>2025</v>
      </c>
    </row>
    <row r="3" spans="2:71" x14ac:dyDescent="0.25">
      <c r="B3" s="38" t="str">
        <f>פרמטרים!B4</f>
        <v xml:space="preserve">גובה תמיכה </v>
      </c>
      <c r="C3" s="14">
        <f>פרמטרים!C4</f>
        <v>15000000</v>
      </c>
    </row>
    <row r="6" spans="2:71" x14ac:dyDescent="0.25">
      <c r="B6" s="477" t="s">
        <v>141</v>
      </c>
      <c r="C6" s="478"/>
    </row>
    <row r="7" spans="2:71" ht="32.25" customHeight="1" x14ac:dyDescent="0.25">
      <c r="B7" s="26" t="str">
        <f>פרמטרים!B128</f>
        <v>לא יפחת שיעור התמיכה במוסד בשנת</v>
      </c>
      <c r="C7" s="26" t="str">
        <f>פרמטרים!C128</f>
        <v>ביחס לשנת קודמת</v>
      </c>
      <c r="H7" s="10" t="str">
        <f>B7</f>
        <v>לא יפחת שיעור התמיכה במוסד בשנת</v>
      </c>
      <c r="I7" s="10" t="s">
        <v>207</v>
      </c>
    </row>
    <row r="8" spans="2:71" x14ac:dyDescent="0.25">
      <c r="B8" s="18">
        <f>פרמטרים!B129</f>
        <v>2025</v>
      </c>
      <c r="C8" s="19">
        <f>פרמטרים!C129</f>
        <v>0</v>
      </c>
      <c r="H8" s="6">
        <f>B8</f>
        <v>2025</v>
      </c>
      <c r="I8" s="16">
        <f>C8</f>
        <v>0</v>
      </c>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row>
    <row r="9" spans="2:71" x14ac:dyDescent="0.25">
      <c r="H9" s="6">
        <f>B9</f>
        <v>0</v>
      </c>
      <c r="I9" s="16" t="e">
        <f>C9/C8</f>
        <v>#DIV/0!</v>
      </c>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row>
    <row r="11" spans="2:71" hidden="1" x14ac:dyDescent="0.25"/>
    <row r="12" spans="2:71" hidden="1" x14ac:dyDescent="0.25"/>
    <row r="14" spans="2:71" hidden="1" x14ac:dyDescent="0.25">
      <c r="G14">
        <v>1</v>
      </c>
      <c r="H14">
        <f t="shared" ref="H14:BM14" si="0">0.5+G14</f>
        <v>1.5</v>
      </c>
      <c r="I14">
        <f t="shared" si="0"/>
        <v>2</v>
      </c>
      <c r="J14">
        <f t="shared" si="0"/>
        <v>2.5</v>
      </c>
      <c r="K14">
        <f t="shared" si="0"/>
        <v>3</v>
      </c>
      <c r="L14">
        <f t="shared" si="0"/>
        <v>3.5</v>
      </c>
      <c r="M14">
        <f t="shared" si="0"/>
        <v>4</v>
      </c>
      <c r="N14">
        <f t="shared" si="0"/>
        <v>4.5</v>
      </c>
      <c r="O14">
        <f t="shared" si="0"/>
        <v>5</v>
      </c>
      <c r="P14">
        <f t="shared" si="0"/>
        <v>5.5</v>
      </c>
      <c r="Q14">
        <f t="shared" si="0"/>
        <v>6</v>
      </c>
      <c r="R14">
        <f>0.5+Q14</f>
        <v>6.5</v>
      </c>
      <c r="S14">
        <f t="shared" si="0"/>
        <v>7</v>
      </c>
      <c r="T14">
        <f t="shared" si="0"/>
        <v>7.5</v>
      </c>
      <c r="U14">
        <f t="shared" si="0"/>
        <v>8</v>
      </c>
      <c r="V14">
        <f t="shared" si="0"/>
        <v>8.5</v>
      </c>
      <c r="W14">
        <f t="shared" si="0"/>
        <v>9</v>
      </c>
      <c r="X14">
        <f t="shared" si="0"/>
        <v>9.5</v>
      </c>
      <c r="Y14">
        <f t="shared" si="0"/>
        <v>10</v>
      </c>
      <c r="Z14">
        <f t="shared" si="0"/>
        <v>10.5</v>
      </c>
      <c r="AA14">
        <f t="shared" si="0"/>
        <v>11</v>
      </c>
      <c r="AB14">
        <f t="shared" si="0"/>
        <v>11.5</v>
      </c>
      <c r="AC14">
        <f t="shared" si="0"/>
        <v>12</v>
      </c>
      <c r="AD14">
        <f t="shared" si="0"/>
        <v>12.5</v>
      </c>
      <c r="AE14">
        <f t="shared" si="0"/>
        <v>13</v>
      </c>
      <c r="AF14">
        <f t="shared" si="0"/>
        <v>13.5</v>
      </c>
      <c r="AG14">
        <f t="shared" si="0"/>
        <v>14</v>
      </c>
      <c r="AH14">
        <f t="shared" si="0"/>
        <v>14.5</v>
      </c>
      <c r="AI14">
        <f t="shared" si="0"/>
        <v>15</v>
      </c>
      <c r="AJ14">
        <f t="shared" si="0"/>
        <v>15.5</v>
      </c>
      <c r="AK14">
        <f t="shared" si="0"/>
        <v>16</v>
      </c>
      <c r="AL14">
        <f t="shared" si="0"/>
        <v>16.5</v>
      </c>
      <c r="AM14">
        <f t="shared" si="0"/>
        <v>17</v>
      </c>
      <c r="AN14">
        <f t="shared" si="0"/>
        <v>17.5</v>
      </c>
      <c r="AO14">
        <f t="shared" si="0"/>
        <v>18</v>
      </c>
      <c r="AP14">
        <f t="shared" si="0"/>
        <v>18.5</v>
      </c>
      <c r="AQ14">
        <f t="shared" si="0"/>
        <v>19</v>
      </c>
      <c r="AR14">
        <f t="shared" si="0"/>
        <v>19.5</v>
      </c>
      <c r="AS14">
        <f t="shared" si="0"/>
        <v>20</v>
      </c>
      <c r="AT14">
        <f t="shared" si="0"/>
        <v>20.5</v>
      </c>
      <c r="AU14">
        <f t="shared" si="0"/>
        <v>21</v>
      </c>
      <c r="AV14">
        <f t="shared" si="0"/>
        <v>21.5</v>
      </c>
      <c r="AW14">
        <f t="shared" si="0"/>
        <v>22</v>
      </c>
      <c r="AX14">
        <f t="shared" si="0"/>
        <v>22.5</v>
      </c>
      <c r="AY14">
        <f t="shared" si="0"/>
        <v>23</v>
      </c>
      <c r="AZ14">
        <f t="shared" si="0"/>
        <v>23.5</v>
      </c>
      <c r="BA14">
        <f t="shared" si="0"/>
        <v>24</v>
      </c>
      <c r="BB14">
        <f t="shared" si="0"/>
        <v>24.5</v>
      </c>
      <c r="BC14">
        <f t="shared" si="0"/>
        <v>25</v>
      </c>
      <c r="BD14">
        <f t="shared" si="0"/>
        <v>25.5</v>
      </c>
      <c r="BE14">
        <f t="shared" si="0"/>
        <v>26</v>
      </c>
      <c r="BF14">
        <f t="shared" si="0"/>
        <v>26.5</v>
      </c>
      <c r="BG14">
        <f t="shared" si="0"/>
        <v>27</v>
      </c>
      <c r="BH14">
        <f t="shared" si="0"/>
        <v>27.5</v>
      </c>
      <c r="BI14">
        <f t="shared" si="0"/>
        <v>28</v>
      </c>
      <c r="BJ14">
        <f t="shared" si="0"/>
        <v>28.5</v>
      </c>
      <c r="BK14">
        <f t="shared" si="0"/>
        <v>29</v>
      </c>
      <c r="BL14">
        <f t="shared" si="0"/>
        <v>29.5</v>
      </c>
      <c r="BM14">
        <f t="shared" si="0"/>
        <v>30</v>
      </c>
    </row>
    <row r="15" spans="2:71" ht="49.5" customHeight="1" x14ac:dyDescent="0.25">
      <c r="B15" s="489" t="str">
        <f>'ריכוז נתונים'!C15:C16</f>
        <v>מספר סידורי</v>
      </c>
      <c r="C15" s="489" t="str">
        <f>'ריכוז נתונים'!D15:D16</f>
        <v>שם המוסד</v>
      </c>
      <c r="D15" s="479" t="s">
        <v>167</v>
      </c>
      <c r="E15" s="535"/>
      <c r="F15" s="535"/>
      <c r="G15" s="535"/>
      <c r="H15" s="535"/>
      <c r="I15" s="535"/>
      <c r="J15" s="535"/>
      <c r="K15" s="535"/>
      <c r="L15" s="535"/>
      <c r="M15" s="535"/>
      <c r="N15" s="535"/>
      <c r="O15" s="535"/>
      <c r="P15" s="535"/>
      <c r="Q15" s="535"/>
      <c r="R15" s="535"/>
      <c r="S15" s="535"/>
      <c r="T15" s="535"/>
      <c r="U15" s="535"/>
      <c r="V15" s="535"/>
      <c r="W15" s="535"/>
      <c r="X15" s="535"/>
      <c r="Y15" s="535"/>
      <c r="Z15" s="535"/>
      <c r="AA15" s="535"/>
      <c r="AB15" s="535"/>
      <c r="AC15" s="535"/>
      <c r="AD15" s="535"/>
      <c r="AE15" s="535"/>
      <c r="AF15" s="535"/>
      <c r="AG15" s="535"/>
      <c r="AH15" s="535"/>
      <c r="AI15" s="535"/>
      <c r="AJ15" s="535"/>
      <c r="AK15" s="535"/>
      <c r="AL15" s="535"/>
      <c r="AM15" s="535"/>
      <c r="AN15" s="535"/>
      <c r="AO15" s="535"/>
      <c r="AP15" s="535"/>
      <c r="AQ15" s="535"/>
      <c r="AR15" s="535"/>
      <c r="AS15" s="535"/>
      <c r="AT15" s="535"/>
      <c r="AU15" s="535"/>
      <c r="AV15" s="535"/>
      <c r="AW15" s="535"/>
      <c r="AX15" s="535"/>
      <c r="AY15" s="535"/>
      <c r="AZ15" s="535"/>
      <c r="BA15" s="535"/>
      <c r="BB15" s="535"/>
      <c r="BC15" s="535"/>
      <c r="BD15" s="535"/>
      <c r="BE15" s="535"/>
      <c r="BF15" s="535"/>
      <c r="BG15" s="535"/>
      <c r="BH15" s="535"/>
      <c r="BI15" s="535"/>
      <c r="BJ15" s="535"/>
      <c r="BK15" s="535"/>
      <c r="BL15" s="535"/>
      <c r="BM15" s="535"/>
      <c r="BN15" s="535"/>
      <c r="BO15" s="535"/>
      <c r="BP15" s="480"/>
      <c r="BQ15" s="565" t="s">
        <v>208</v>
      </c>
      <c r="BR15" s="566"/>
      <c r="BS15" s="567"/>
    </row>
    <row r="16" spans="2:71" ht="47.25" x14ac:dyDescent="0.25">
      <c r="B16" s="504"/>
      <c r="C16" s="504"/>
      <c r="D16" s="29" t="s">
        <v>203</v>
      </c>
      <c r="E16" s="29" t="str">
        <f>"שיעור תמיכה יחסי בשנה קודמת- "&amp;" "&amp;C2-1</f>
        <v>שיעור תמיכה יחסי בשנה קודמת-  2024</v>
      </c>
      <c r="F16" s="29" t="str">
        <f>"הגנה "&amp;G14</f>
        <v>הגנה 1</v>
      </c>
      <c r="G16" s="29" t="str">
        <f>"שיעור יחסי לאחר הגנה "&amp;G14</f>
        <v>שיעור יחסי לאחר הגנה 1</v>
      </c>
      <c r="H16" s="29" t="str">
        <f>"הגנה "&amp;I14</f>
        <v>הגנה 2</v>
      </c>
      <c r="I16" s="29" t="str">
        <f>"שיעור יחסי לאחר הגנה "&amp;I14</f>
        <v>שיעור יחסי לאחר הגנה 2</v>
      </c>
      <c r="J16" s="29" t="str">
        <f>"הגנה "&amp;K14</f>
        <v>הגנה 3</v>
      </c>
      <c r="K16" s="29" t="str">
        <f>"שיעור יחסי לאחר הגנה "&amp;K14</f>
        <v>שיעור יחסי לאחר הגנה 3</v>
      </c>
      <c r="L16" s="29" t="str">
        <f>"הגנה "&amp;M14</f>
        <v>הגנה 4</v>
      </c>
      <c r="M16" s="29" t="str">
        <f>"שיעור יחסי לאחר הגנה "&amp;M14</f>
        <v>שיעור יחסי לאחר הגנה 4</v>
      </c>
      <c r="N16" s="29" t="str">
        <f>"הגנה "&amp;O14</f>
        <v>הגנה 5</v>
      </c>
      <c r="O16" s="29" t="str">
        <f>"שיעור יחסי לאחר הגנה "&amp;O14</f>
        <v>שיעור יחסי לאחר הגנה 5</v>
      </c>
      <c r="P16" s="29" t="str">
        <f>"הגנה "&amp;Q14</f>
        <v>הגנה 6</v>
      </c>
      <c r="Q16" s="29" t="str">
        <f>"שיעור יחסי לאחר הגנה "&amp;Q14</f>
        <v>שיעור יחסי לאחר הגנה 6</v>
      </c>
      <c r="R16" s="29" t="str">
        <f>"הגנה "&amp;S14</f>
        <v>הגנה 7</v>
      </c>
      <c r="S16" s="29" t="str">
        <f>"שיעור יחסי לאחר הגנה "&amp;S14</f>
        <v>שיעור יחסי לאחר הגנה 7</v>
      </c>
      <c r="T16" s="29" t="str">
        <f>"הגנה "&amp;U14</f>
        <v>הגנה 8</v>
      </c>
      <c r="U16" s="29" t="str">
        <f>"שיעור יחסי לאחר הגנה "&amp;U14</f>
        <v>שיעור יחסי לאחר הגנה 8</v>
      </c>
      <c r="V16" s="29" t="str">
        <f>"הגנה "&amp;W14</f>
        <v>הגנה 9</v>
      </c>
      <c r="W16" s="29" t="str">
        <f>"שיעור יחסי לאחר הגנה "&amp;W14</f>
        <v>שיעור יחסי לאחר הגנה 9</v>
      </c>
      <c r="X16" s="29" t="str">
        <f>"הגנה "&amp;Y14</f>
        <v>הגנה 10</v>
      </c>
      <c r="Y16" s="29" t="str">
        <f>"שיעור יחסי לאחר הגנה "&amp;Y14</f>
        <v>שיעור יחסי לאחר הגנה 10</v>
      </c>
      <c r="Z16" s="29" t="str">
        <f>"הגנה "&amp;AA14</f>
        <v>הגנה 11</v>
      </c>
      <c r="AA16" s="29" t="str">
        <f>"שיעור יחסי לאחר הגנה "&amp;AA14</f>
        <v>שיעור יחסי לאחר הגנה 11</v>
      </c>
      <c r="AB16" s="29" t="str">
        <f>"הגנה "&amp;AC14</f>
        <v>הגנה 12</v>
      </c>
      <c r="AC16" s="29" t="str">
        <f>"שיעור יחסי לאחר הגנה "&amp;AC14</f>
        <v>שיעור יחסי לאחר הגנה 12</v>
      </c>
      <c r="AD16" s="29" t="str">
        <f>"הגנה "&amp;AE14</f>
        <v>הגנה 13</v>
      </c>
      <c r="AE16" s="29" t="str">
        <f>"שיעור יחסי לאחר הגנה "&amp;AE14</f>
        <v>שיעור יחסי לאחר הגנה 13</v>
      </c>
      <c r="AF16" s="29" t="str">
        <f>"הגנה "&amp;AG14</f>
        <v>הגנה 14</v>
      </c>
      <c r="AG16" s="29" t="str">
        <f>"שיעור יחסי לאחר הגנה "&amp;AG14</f>
        <v>שיעור יחסי לאחר הגנה 14</v>
      </c>
      <c r="AH16" s="29" t="str">
        <f>"הגנה "&amp;AI14</f>
        <v>הגנה 15</v>
      </c>
      <c r="AI16" s="29" t="str">
        <f>"שיעור יחסי לאחר הגנה "&amp;AI14</f>
        <v>שיעור יחסי לאחר הגנה 15</v>
      </c>
      <c r="AJ16" s="29" t="str">
        <f>"הגנה "&amp;AK14</f>
        <v>הגנה 16</v>
      </c>
      <c r="AK16" s="29" t="str">
        <f>"שיעור יחסי לאחר הגנה "&amp;AK14</f>
        <v>שיעור יחסי לאחר הגנה 16</v>
      </c>
      <c r="AL16" s="29" t="str">
        <f>"הגנה "&amp;AM14</f>
        <v>הגנה 17</v>
      </c>
      <c r="AM16" s="29" t="str">
        <f>"שיעור יחסי לאחר הגנה "&amp;AM14</f>
        <v>שיעור יחסי לאחר הגנה 17</v>
      </c>
      <c r="AN16" s="29" t="str">
        <f>"הגנה "&amp;AO14</f>
        <v>הגנה 18</v>
      </c>
      <c r="AO16" s="29" t="str">
        <f>"שיעור יחסי לאחר הגנה "&amp;AO14</f>
        <v>שיעור יחסי לאחר הגנה 18</v>
      </c>
      <c r="AP16" s="29" t="str">
        <f>"הגנה "&amp;AQ14</f>
        <v>הגנה 19</v>
      </c>
      <c r="AQ16" s="29" t="str">
        <f>"שיעור יחסי לאחר הגנה "&amp;AQ14</f>
        <v>שיעור יחסי לאחר הגנה 19</v>
      </c>
      <c r="AR16" s="29" t="str">
        <f>"הגנה "&amp;AS14</f>
        <v>הגנה 20</v>
      </c>
      <c r="AS16" s="29" t="str">
        <f>"שיעור יחסי לאחר הגנה "&amp;AS14</f>
        <v>שיעור יחסי לאחר הגנה 20</v>
      </c>
      <c r="AT16" s="29" t="str">
        <f>"הגנה "&amp;AU14</f>
        <v>הגנה 21</v>
      </c>
      <c r="AU16" s="29" t="str">
        <f>"שיעור יחסי לאחר הגנה "&amp;AU14</f>
        <v>שיעור יחסי לאחר הגנה 21</v>
      </c>
      <c r="AV16" s="29" t="str">
        <f>"הגנה "&amp;AW14</f>
        <v>הגנה 22</v>
      </c>
      <c r="AW16" s="29" t="str">
        <f>"שיעור יחסי לאחר הגנה "&amp;AW14</f>
        <v>שיעור יחסי לאחר הגנה 22</v>
      </c>
      <c r="AX16" s="29" t="str">
        <f>"הגנה "&amp;AY14</f>
        <v>הגנה 23</v>
      </c>
      <c r="AY16" s="29" t="str">
        <f>"שיעור יחסי לאחר הגנה "&amp;AY14</f>
        <v>שיעור יחסי לאחר הגנה 23</v>
      </c>
      <c r="AZ16" s="29" t="str">
        <f>"הגנה "&amp;BA14</f>
        <v>הגנה 24</v>
      </c>
      <c r="BA16" s="29" t="str">
        <f>"שיעור יחסי לאחר הגנה "&amp;BA14</f>
        <v>שיעור יחסי לאחר הגנה 24</v>
      </c>
      <c r="BB16" s="29" t="str">
        <f>"הגנה "&amp;BC14</f>
        <v>הגנה 25</v>
      </c>
      <c r="BC16" s="29" t="str">
        <f>"שיעור יחסי לאחר הגנה "&amp;BC14</f>
        <v>שיעור יחסי לאחר הגנה 25</v>
      </c>
      <c r="BD16" s="29" t="str">
        <f>"הגנה "&amp;BE14</f>
        <v>הגנה 26</v>
      </c>
      <c r="BE16" s="29" t="str">
        <f>"שיעור יחסי לאחר הגנה "&amp;BE14</f>
        <v>שיעור יחסי לאחר הגנה 26</v>
      </c>
      <c r="BF16" s="29" t="str">
        <f>"הגנה "&amp;BG14</f>
        <v>הגנה 27</v>
      </c>
      <c r="BG16" s="29" t="str">
        <f>"שיעור יחסי לאחר הגנה "&amp;BG14</f>
        <v>שיעור יחסי לאחר הגנה 27</v>
      </c>
      <c r="BH16" s="29" t="str">
        <f>"הגנה "&amp;BI14</f>
        <v>הגנה 28</v>
      </c>
      <c r="BI16" s="29" t="str">
        <f>"שיעור יחסי לאחר הגנה "&amp;BI14</f>
        <v>שיעור יחסי לאחר הגנה 28</v>
      </c>
      <c r="BJ16" s="29" t="str">
        <f>"הגנה "&amp;BK14</f>
        <v>הגנה 29</v>
      </c>
      <c r="BK16" s="29" t="str">
        <f>"שיעור יחסי לאחר הגנה "&amp;BK14</f>
        <v>שיעור יחסי לאחר הגנה 29</v>
      </c>
      <c r="BL16" s="29" t="str">
        <f>"הגנה "&amp;BM14</f>
        <v>הגנה 30</v>
      </c>
      <c r="BM16" s="29" t="str">
        <f>"שיעור יחסי לאחר הגנה "&amp;BM14</f>
        <v>שיעור יחסי לאחר הגנה 30</v>
      </c>
      <c r="BN16" s="29" t="s">
        <v>209</v>
      </c>
      <c r="BO16" s="29" t="s">
        <v>175</v>
      </c>
      <c r="BP16" s="29" t="s">
        <v>210</v>
      </c>
      <c r="BQ16" s="291" t="s">
        <v>204</v>
      </c>
      <c r="BR16" s="292" t="s">
        <v>205</v>
      </c>
      <c r="BS16" s="292" t="s">
        <v>206</v>
      </c>
    </row>
    <row r="17" spans="2:71" x14ac:dyDescent="0.25">
      <c r="B17" s="7">
        <f>'ריכוז נתונים'!C17</f>
        <v>1</v>
      </c>
      <c r="C17" s="7" t="e">
        <f>#REF!</f>
        <v>#REF!</v>
      </c>
      <c r="D17" s="22" t="e">
        <f>IF(C17="","",#REF!)</f>
        <v>#REF!</v>
      </c>
      <c r="E17" s="22" t="e">
        <f>IF(C17="","",#REF!)</f>
        <v>#REF!</v>
      </c>
      <c r="F17" s="22" t="str">
        <f t="shared" ref="F17:F76" si="1">IFERROR(MAX(D17,$E17*VLOOKUP($C$2,$H$8:$I$9,2,FALSE)),"")</f>
        <v/>
      </c>
      <c r="G17" s="22" t="e">
        <f>IF($C17="","",IFERROR(F17/SUM(F$17:F$76),0))</f>
        <v>#REF!</v>
      </c>
      <c r="H17" s="22" t="str">
        <f t="shared" ref="H17:H48" si="2">IFERROR(MAX(F17,$E17*VLOOKUP($C$2,$H$8:$I$9,2,FALSE)),"")</f>
        <v/>
      </c>
      <c r="I17" s="22" t="e">
        <f>IF($C17="","",IFERROR(H17/SUM(H$17:H$76),0))</f>
        <v>#REF!</v>
      </c>
      <c r="J17" s="22" t="str">
        <f t="shared" ref="J17:J48" si="3">IFERROR(MAX(H17,$E17*VLOOKUP($C$2,$H$8:$I$9,2,FALSE)),"")</f>
        <v/>
      </c>
      <c r="K17" s="22" t="e">
        <f t="shared" ref="K17:K48" si="4">IF($C17="","",IFERROR(J17/SUM(J$17:J$76),0))</f>
        <v>#REF!</v>
      </c>
      <c r="L17" s="22" t="str">
        <f t="shared" ref="L17:L48" si="5">IFERROR(MAX(J17,$E17*VLOOKUP($C$2,$H$8:$I$9,2,FALSE)),"")</f>
        <v/>
      </c>
      <c r="M17" s="22" t="e">
        <f t="shared" ref="M17:M48" si="6">IF($C17="","",IFERROR(L17/SUM(L$17:L$76),0))</f>
        <v>#REF!</v>
      </c>
      <c r="N17" s="22" t="str">
        <f t="shared" ref="N17:N48" si="7">IFERROR(MAX(L17,$E17*VLOOKUP($C$2,$H$8:$I$9,2,FALSE)),"")</f>
        <v/>
      </c>
      <c r="O17" s="22" t="e">
        <f t="shared" ref="O17:O48" si="8">IF($C17="","",IFERROR(N17/SUM(N$17:N$76),0))</f>
        <v>#REF!</v>
      </c>
      <c r="P17" s="22" t="str">
        <f t="shared" ref="P17:P48" si="9">IFERROR(MAX(N17,$E17*VLOOKUP($C$2,$H$8:$I$9,2,FALSE)),"")</f>
        <v/>
      </c>
      <c r="Q17" s="22" t="e">
        <f t="shared" ref="Q17:Q48" si="10">IF($C17="","",IFERROR(P17/SUM(P$17:P$76),0))</f>
        <v>#REF!</v>
      </c>
      <c r="R17" s="22" t="str">
        <f t="shared" ref="R17:R48" si="11">IFERROR(MAX(P17,$E17*VLOOKUP($C$2,$H$8:$I$9,2,FALSE)),"")</f>
        <v/>
      </c>
      <c r="S17" s="22" t="e">
        <f t="shared" ref="S17:S48" si="12">IF($C17="","",IFERROR(R17/SUM(R$17:R$76),0))</f>
        <v>#REF!</v>
      </c>
      <c r="T17" s="22" t="str">
        <f t="shared" ref="T17:T48" si="13">IFERROR(MAX(R17,$E17*VLOOKUP($C$2,$H$8:$I$9,2,FALSE)),"")</f>
        <v/>
      </c>
      <c r="U17" s="22" t="e">
        <f t="shared" ref="U17:U48" si="14">IF($C17="","",IFERROR(T17/SUM(T$17:T$76),0))</f>
        <v>#REF!</v>
      </c>
      <c r="V17" s="22" t="str">
        <f t="shared" ref="V17:V48" si="15">IFERROR(MAX(T17,$E17*VLOOKUP($C$2,$H$8:$I$9,2,FALSE)),"")</f>
        <v/>
      </c>
      <c r="W17" s="22" t="e">
        <f t="shared" ref="W17:W48" si="16">IF($C17="","",IFERROR(V17/SUM(V$17:V$76),0))</f>
        <v>#REF!</v>
      </c>
      <c r="X17" s="22" t="str">
        <f t="shared" ref="X17:X48" si="17">IFERROR(MAX(V17,$E17*VLOOKUP($C$2,$H$8:$I$9,2,FALSE)),"")</f>
        <v/>
      </c>
      <c r="Y17" s="22" t="e">
        <f t="shared" ref="Y17:Y48" si="18">IF($C17="","",IFERROR(X17/SUM(X$17:X$76),0))</f>
        <v>#REF!</v>
      </c>
      <c r="Z17" s="22" t="str">
        <f t="shared" ref="Z17:Z48" si="19">IFERROR(MAX(X17,$E17*VLOOKUP($C$2,$H$8:$I$9,2,FALSE)),"")</f>
        <v/>
      </c>
      <c r="AA17" s="22" t="e">
        <f t="shared" ref="AA17:AA48" si="20">IF($C17="","",IFERROR(Z17/SUM(Z$17:Z$76),0))</f>
        <v>#REF!</v>
      </c>
      <c r="AB17" s="22" t="str">
        <f t="shared" ref="AB17:AB48" si="21">IFERROR(MAX(Z17,$E17*VLOOKUP($C$2,$H$8:$I$9,2,FALSE)),"")</f>
        <v/>
      </c>
      <c r="AC17" s="22" t="e">
        <f t="shared" ref="AC17:AC48" si="22">IF($C17="","",IFERROR(AB17/SUM(AB$17:AB$76),0))</f>
        <v>#REF!</v>
      </c>
      <c r="AD17" s="22" t="str">
        <f t="shared" ref="AD17:AD48" si="23">IFERROR(MAX(AB17,$E17*VLOOKUP($C$2,$H$8:$I$9,2,FALSE)),"")</f>
        <v/>
      </c>
      <c r="AE17" s="22" t="e">
        <f t="shared" ref="AE17:AE48" si="24">IF($C17="","",IFERROR(AD17/SUM(AD$17:AD$76),0))</f>
        <v>#REF!</v>
      </c>
      <c r="AF17" s="22" t="str">
        <f t="shared" ref="AF17:AF48" si="25">IFERROR(MAX(AD17,$E17*VLOOKUP($C$2,$H$8:$I$9,2,FALSE)),"")</f>
        <v/>
      </c>
      <c r="AG17" s="22" t="e">
        <f t="shared" ref="AG17:AG48" si="26">IF($C17="","",IFERROR(AF17/SUM(AF$17:AF$76),0))</f>
        <v>#REF!</v>
      </c>
      <c r="AH17" s="22" t="str">
        <f t="shared" ref="AH17:AH48" si="27">IFERROR(MAX(AF17,$E17*VLOOKUP($C$2,$H$8:$I$9,2,FALSE)),"")</f>
        <v/>
      </c>
      <c r="AI17" s="22" t="e">
        <f t="shared" ref="AI17:AI48" si="28">IF($C17="","",IFERROR(AH17/SUM(AH$17:AH$76),0))</f>
        <v>#REF!</v>
      </c>
      <c r="AJ17" s="22" t="str">
        <f t="shared" ref="AJ17:AJ48" si="29">IFERROR(MAX(AH17,$E17*VLOOKUP($C$2,$H$8:$I$9,2,FALSE)),"")</f>
        <v/>
      </c>
      <c r="AK17" s="22" t="e">
        <f t="shared" ref="AK17:AK48" si="30">IF($C17="","",IFERROR(AJ17/SUM(AJ$17:AJ$76),0))</f>
        <v>#REF!</v>
      </c>
      <c r="AL17" s="22" t="str">
        <f t="shared" ref="AL17:AL48" si="31">IFERROR(MAX(AJ17,$E17*VLOOKUP($C$2,$H$8:$I$9,2,FALSE)),"")</f>
        <v/>
      </c>
      <c r="AM17" s="22" t="e">
        <f t="shared" ref="AM17:AM48" si="32">IF($C17="","",IFERROR(AL17/SUM(AL$17:AL$76),0))</f>
        <v>#REF!</v>
      </c>
      <c r="AN17" s="22" t="str">
        <f t="shared" ref="AN17:AN48" si="33">IFERROR(MAX(AL17,$E17*VLOOKUP($C$2,$H$8:$I$9,2,FALSE)),"")</f>
        <v/>
      </c>
      <c r="AO17" s="22" t="e">
        <f t="shared" ref="AO17:AO48" si="34">IF($C17="","",IFERROR(AN17/SUM(AN$17:AN$76),0))</f>
        <v>#REF!</v>
      </c>
      <c r="AP17" s="22" t="str">
        <f t="shared" ref="AP17:AP48" si="35">IFERROR(MAX(AN17,$E17*VLOOKUP($C$2,$H$8:$I$9,2,FALSE)),"")</f>
        <v/>
      </c>
      <c r="AQ17" s="22" t="e">
        <f t="shared" ref="AQ17:AQ48" si="36">IF($C17="","",IFERROR(AP17/SUM(AP$17:AP$76),0))</f>
        <v>#REF!</v>
      </c>
      <c r="AR17" s="22" t="str">
        <f t="shared" ref="AR17:AR48" si="37">IFERROR(MAX(AP17,$E17*VLOOKUP($C$2,$H$8:$I$9,2,FALSE)),"")</f>
        <v/>
      </c>
      <c r="AS17" s="22" t="e">
        <f t="shared" ref="AS17:AS48" si="38">IF($C17="","",IFERROR(AR17/SUM(AR$17:AR$76),0))</f>
        <v>#REF!</v>
      </c>
      <c r="AT17" s="22" t="str">
        <f t="shared" ref="AT17:AT48" si="39">IFERROR(MAX(AR17,$E17*VLOOKUP($C$2,$H$8:$I$9,2,FALSE)),"")</f>
        <v/>
      </c>
      <c r="AU17" s="22" t="e">
        <f t="shared" ref="AU17:AU48" si="40">IF($C17="","",IFERROR(AT17/SUM(AT$17:AT$76),0))</f>
        <v>#REF!</v>
      </c>
      <c r="AV17" s="22" t="str">
        <f t="shared" ref="AV17:AV48" si="41">IFERROR(MAX(AT17,$E17*VLOOKUP($C$2,$H$8:$I$9,2,FALSE)),"")</f>
        <v/>
      </c>
      <c r="AW17" s="22" t="e">
        <f t="shared" ref="AW17:AW48" si="42">IF($C17="","",IFERROR(AV17/SUM(AV$17:AV$76),0))</f>
        <v>#REF!</v>
      </c>
      <c r="AX17" s="22" t="str">
        <f t="shared" ref="AX17:AX48" si="43">IFERROR(MAX(AV17,$E17*VLOOKUP($C$2,$H$8:$I$9,2,FALSE)),"")</f>
        <v/>
      </c>
      <c r="AY17" s="22" t="e">
        <f t="shared" ref="AY17:AY48" si="44">IF($C17="","",IFERROR(AX17/SUM(AX$17:AX$76),0))</f>
        <v>#REF!</v>
      </c>
      <c r="AZ17" s="22" t="str">
        <f t="shared" ref="AZ17:AZ48" si="45">IFERROR(MAX(AX17,$E17*VLOOKUP($C$2,$H$8:$I$9,2,FALSE)),"")</f>
        <v/>
      </c>
      <c r="BA17" s="22" t="e">
        <f t="shared" ref="BA17:BA48" si="46">IF($C17="","",IFERROR(AZ17/SUM(AZ$17:AZ$76),0))</f>
        <v>#REF!</v>
      </c>
      <c r="BB17" s="22" t="str">
        <f t="shared" ref="BB17:BB48" si="47">IFERROR(MAX(AZ17,$E17*VLOOKUP($C$2,$H$8:$I$9,2,FALSE)),"")</f>
        <v/>
      </c>
      <c r="BC17" s="22" t="e">
        <f t="shared" ref="BC17:BC48" si="48">IF($C17="","",IFERROR(BB17/SUM(BB$17:BB$76),0))</f>
        <v>#REF!</v>
      </c>
      <c r="BD17" s="22" t="str">
        <f t="shared" ref="BD17:BD48" si="49">IFERROR(MAX(BB17,$E17*VLOOKUP($C$2,$H$8:$I$9,2,FALSE)),"")</f>
        <v/>
      </c>
      <c r="BE17" s="22" t="e">
        <f t="shared" ref="BE17:BE48" si="50">IF($C17="","",IFERROR(BD17/SUM(BD$17:BD$76),0))</f>
        <v>#REF!</v>
      </c>
      <c r="BF17" s="22" t="str">
        <f t="shared" ref="BF17:BF48" si="51">IFERROR(MAX(BD17,$E17*VLOOKUP($C$2,$H$8:$I$9,2,FALSE)),"")</f>
        <v/>
      </c>
      <c r="BG17" s="22" t="e">
        <f t="shared" ref="BG17:BG48" si="52">IF($C17="","",IFERROR(BF17/SUM(BF$17:BF$76),0))</f>
        <v>#REF!</v>
      </c>
      <c r="BH17" s="22" t="str">
        <f t="shared" ref="BH17:BH48" si="53">IFERROR(MAX(BF17,$E17*VLOOKUP($C$2,$H$8:$I$9,2,FALSE)),"")</f>
        <v/>
      </c>
      <c r="BI17" s="22" t="e">
        <f t="shared" ref="BI17:BI48" si="54">IF($C17="","",IFERROR(BH17/SUM(BH$17:BH$76),0))</f>
        <v>#REF!</v>
      </c>
      <c r="BJ17" s="22" t="str">
        <f t="shared" ref="BJ17:BJ48" si="55">IFERROR(MAX(BH17,$E17*VLOOKUP($C$2,$H$8:$I$9,2,FALSE)),"")</f>
        <v/>
      </c>
      <c r="BK17" s="22" t="e">
        <f t="shared" ref="BK17:BK48" si="56">IF($C17="","",IFERROR(BJ17/SUM(BJ$17:BJ$76),0))</f>
        <v>#REF!</v>
      </c>
      <c r="BL17" s="22" t="str">
        <f t="shared" ref="BL17:BL48" si="57">IFERROR(MAX(BJ17,$E17*VLOOKUP($C$2,$H$8:$I$9,2,FALSE)),"")</f>
        <v/>
      </c>
      <c r="BM17" s="22" t="e">
        <f>IF($C17="","",IFERROR(BL17/SUM(BL$17:BL$76),0))</f>
        <v>#REF!</v>
      </c>
      <c r="BN17" s="113" t="e">
        <f>IF(C17="","",IF(BM17/E17&lt;=$C$8,1,0))</f>
        <v>#REF!</v>
      </c>
      <c r="BO17" s="41" t="e">
        <f>BM17</f>
        <v>#REF!</v>
      </c>
      <c r="BP17" s="15" t="str">
        <f>IFERROR(BO17*$C$3,"")</f>
        <v/>
      </c>
      <c r="BQ17" s="101" t="e">
        <f>IF($C17="","",BS17/BS$77)</f>
        <v>#REF!</v>
      </c>
      <c r="BR17" s="15" t="str">
        <f>IF('ריכוז נתונים כללים'!$W17='ריכוז נתונים כללים'!$AN$16,MIN(BP17,'ריכוז נתונים כללים'!$AB17),BP17)</f>
        <v/>
      </c>
      <c r="BS17" s="15" t="e">
        <f>IF($C17="","",IF('ריכוז נתונים כללים'!$W17='ריכוז נתונים כללים'!$AN$16,BR17,BR17+($C$3-BR$77)*(BR17/(BR$77-SUMIF('ריכוז נתונים כללים'!$W$17:$W$76,'ריכוז נתונים כללים'!$AN$16,BR$17:BR$76)))))</f>
        <v>#REF!</v>
      </c>
    </row>
    <row r="18" spans="2:71" x14ac:dyDescent="0.25">
      <c r="B18" s="7">
        <f>'ריכוז נתונים'!C18</f>
        <v>2</v>
      </c>
      <c r="C18" s="7" t="e">
        <f>#REF!</f>
        <v>#REF!</v>
      </c>
      <c r="D18" s="22" t="e">
        <f>IF(C18="","",#REF!)</f>
        <v>#REF!</v>
      </c>
      <c r="E18" s="22" t="e">
        <f>IF(C18="","",#REF!)</f>
        <v>#REF!</v>
      </c>
      <c r="F18" s="22" t="str">
        <f t="shared" si="1"/>
        <v/>
      </c>
      <c r="G18" s="22" t="e">
        <f t="shared" ref="G18:I76" si="58">IF($C18="","",IFERROR(F18/SUM(F$17:F$76),0))</f>
        <v>#REF!</v>
      </c>
      <c r="H18" s="22" t="str">
        <f t="shared" si="2"/>
        <v/>
      </c>
      <c r="I18" s="22" t="e">
        <f t="shared" si="58"/>
        <v>#REF!</v>
      </c>
      <c r="J18" s="22" t="str">
        <f t="shared" si="3"/>
        <v/>
      </c>
      <c r="K18" s="22" t="e">
        <f t="shared" si="4"/>
        <v>#REF!</v>
      </c>
      <c r="L18" s="22" t="str">
        <f t="shared" si="5"/>
        <v/>
      </c>
      <c r="M18" s="22" t="e">
        <f t="shared" si="6"/>
        <v>#REF!</v>
      </c>
      <c r="N18" s="22" t="str">
        <f t="shared" si="7"/>
        <v/>
      </c>
      <c r="O18" s="22" t="e">
        <f t="shared" si="8"/>
        <v>#REF!</v>
      </c>
      <c r="P18" s="22" t="str">
        <f t="shared" si="9"/>
        <v/>
      </c>
      <c r="Q18" s="22" t="e">
        <f t="shared" si="10"/>
        <v>#REF!</v>
      </c>
      <c r="R18" s="22" t="str">
        <f t="shared" si="11"/>
        <v/>
      </c>
      <c r="S18" s="22" t="e">
        <f t="shared" si="12"/>
        <v>#REF!</v>
      </c>
      <c r="T18" s="22" t="str">
        <f t="shared" si="13"/>
        <v/>
      </c>
      <c r="U18" s="22" t="e">
        <f t="shared" si="14"/>
        <v>#REF!</v>
      </c>
      <c r="V18" s="22" t="str">
        <f t="shared" si="15"/>
        <v/>
      </c>
      <c r="W18" s="22" t="e">
        <f t="shared" si="16"/>
        <v>#REF!</v>
      </c>
      <c r="X18" s="22" t="str">
        <f t="shared" si="17"/>
        <v/>
      </c>
      <c r="Y18" s="22" t="e">
        <f t="shared" si="18"/>
        <v>#REF!</v>
      </c>
      <c r="Z18" s="22" t="str">
        <f t="shared" si="19"/>
        <v/>
      </c>
      <c r="AA18" s="22" t="e">
        <f t="shared" si="20"/>
        <v>#REF!</v>
      </c>
      <c r="AB18" s="22" t="str">
        <f t="shared" si="21"/>
        <v/>
      </c>
      <c r="AC18" s="22" t="e">
        <f t="shared" si="22"/>
        <v>#REF!</v>
      </c>
      <c r="AD18" s="22" t="str">
        <f t="shared" si="23"/>
        <v/>
      </c>
      <c r="AE18" s="22" t="e">
        <f t="shared" si="24"/>
        <v>#REF!</v>
      </c>
      <c r="AF18" s="22" t="str">
        <f t="shared" si="25"/>
        <v/>
      </c>
      <c r="AG18" s="22" t="e">
        <f t="shared" si="26"/>
        <v>#REF!</v>
      </c>
      <c r="AH18" s="22" t="str">
        <f t="shared" si="27"/>
        <v/>
      </c>
      <c r="AI18" s="22" t="e">
        <f t="shared" si="28"/>
        <v>#REF!</v>
      </c>
      <c r="AJ18" s="22" t="str">
        <f t="shared" si="29"/>
        <v/>
      </c>
      <c r="AK18" s="22" t="e">
        <f t="shared" si="30"/>
        <v>#REF!</v>
      </c>
      <c r="AL18" s="22" t="str">
        <f t="shared" si="31"/>
        <v/>
      </c>
      <c r="AM18" s="22" t="e">
        <f t="shared" si="32"/>
        <v>#REF!</v>
      </c>
      <c r="AN18" s="22" t="str">
        <f t="shared" si="33"/>
        <v/>
      </c>
      <c r="AO18" s="22" t="e">
        <f t="shared" si="34"/>
        <v>#REF!</v>
      </c>
      <c r="AP18" s="22" t="str">
        <f t="shared" si="35"/>
        <v/>
      </c>
      <c r="AQ18" s="22" t="e">
        <f t="shared" si="36"/>
        <v>#REF!</v>
      </c>
      <c r="AR18" s="22" t="str">
        <f t="shared" si="37"/>
        <v/>
      </c>
      <c r="AS18" s="22" t="e">
        <f t="shared" si="38"/>
        <v>#REF!</v>
      </c>
      <c r="AT18" s="22" t="str">
        <f t="shared" si="39"/>
        <v/>
      </c>
      <c r="AU18" s="22" t="e">
        <f t="shared" si="40"/>
        <v>#REF!</v>
      </c>
      <c r="AV18" s="22" t="str">
        <f t="shared" si="41"/>
        <v/>
      </c>
      <c r="AW18" s="22" t="e">
        <f t="shared" si="42"/>
        <v>#REF!</v>
      </c>
      <c r="AX18" s="22" t="str">
        <f t="shared" si="43"/>
        <v/>
      </c>
      <c r="AY18" s="22" t="e">
        <f t="shared" si="44"/>
        <v>#REF!</v>
      </c>
      <c r="AZ18" s="22" t="str">
        <f t="shared" si="45"/>
        <v/>
      </c>
      <c r="BA18" s="22" t="e">
        <f t="shared" si="46"/>
        <v>#REF!</v>
      </c>
      <c r="BB18" s="22" t="str">
        <f t="shared" si="47"/>
        <v/>
      </c>
      <c r="BC18" s="22" t="e">
        <f t="shared" si="48"/>
        <v>#REF!</v>
      </c>
      <c r="BD18" s="22" t="str">
        <f t="shared" si="49"/>
        <v/>
      </c>
      <c r="BE18" s="22" t="e">
        <f t="shared" si="50"/>
        <v>#REF!</v>
      </c>
      <c r="BF18" s="22" t="str">
        <f t="shared" si="51"/>
        <v/>
      </c>
      <c r="BG18" s="22" t="e">
        <f t="shared" si="52"/>
        <v>#REF!</v>
      </c>
      <c r="BH18" s="22" t="str">
        <f t="shared" si="53"/>
        <v/>
      </c>
      <c r="BI18" s="22" t="e">
        <f t="shared" si="54"/>
        <v>#REF!</v>
      </c>
      <c r="BJ18" s="22" t="str">
        <f t="shared" si="55"/>
        <v/>
      </c>
      <c r="BK18" s="22" t="e">
        <f t="shared" si="56"/>
        <v>#REF!</v>
      </c>
      <c r="BL18" s="22" t="str">
        <f t="shared" si="57"/>
        <v/>
      </c>
      <c r="BM18" s="22" t="e">
        <f t="shared" ref="BM18:BM76" si="59">IF($C18="","",IFERROR(BL18/SUM(BL$17:BL$76),0))</f>
        <v>#REF!</v>
      </c>
      <c r="BN18" s="113" t="e">
        <f t="shared" ref="BN18:BN76" si="60">IF(C18="","",IF(BM18/E18&lt;=$C$8,1,0))</f>
        <v>#REF!</v>
      </c>
      <c r="BO18" s="41" t="e">
        <f t="shared" ref="BO18:BO76" si="61">BM18</f>
        <v>#REF!</v>
      </c>
      <c r="BP18" s="15" t="str">
        <f t="shared" ref="BP18:BP76" si="62">IFERROR(BO18*$C$3,"")</f>
        <v/>
      </c>
      <c r="BQ18" s="101" t="e">
        <f t="shared" ref="BQ18:BQ76" si="63">IF($C18="","",BS18/BS$77)</f>
        <v>#REF!</v>
      </c>
      <c r="BR18" s="15" t="str">
        <f>IF('ריכוז נתונים כללים'!$W18='ריכוז נתונים כללים'!$AN$16,MIN(BP18,'ריכוז נתונים כללים'!$AB18),BP18)</f>
        <v/>
      </c>
      <c r="BS18" s="15" t="e">
        <f>IF($C18="","",IF('ריכוז נתונים כללים'!$W18='ריכוז נתונים כללים'!$AN$16,BR18,BR18+($C$3-BR$77)*(BR18/(BR$77-SUMIF('ריכוז נתונים כללים'!$W$17:$W$76,'ריכוז נתונים כללים'!$AN$16,BR$17:BR$76)))))</f>
        <v>#REF!</v>
      </c>
    </row>
    <row r="19" spans="2:71" x14ac:dyDescent="0.25">
      <c r="B19" s="7">
        <f>'ריכוז נתונים'!C19</f>
        <v>3</v>
      </c>
      <c r="C19" s="7" t="e">
        <f>#REF!</f>
        <v>#REF!</v>
      </c>
      <c r="D19" s="22" t="e">
        <f>IF(C19="","",#REF!)</f>
        <v>#REF!</v>
      </c>
      <c r="E19" s="22" t="e">
        <f>IF(C19="","",#REF!)</f>
        <v>#REF!</v>
      </c>
      <c r="F19" s="22" t="str">
        <f t="shared" si="1"/>
        <v/>
      </c>
      <c r="G19" s="22" t="e">
        <f t="shared" si="58"/>
        <v>#REF!</v>
      </c>
      <c r="H19" s="22" t="str">
        <f t="shared" si="2"/>
        <v/>
      </c>
      <c r="I19" s="22" t="e">
        <f t="shared" si="58"/>
        <v>#REF!</v>
      </c>
      <c r="J19" s="22" t="str">
        <f t="shared" si="3"/>
        <v/>
      </c>
      <c r="K19" s="22" t="e">
        <f t="shared" si="4"/>
        <v>#REF!</v>
      </c>
      <c r="L19" s="22" t="str">
        <f t="shared" si="5"/>
        <v/>
      </c>
      <c r="M19" s="22" t="e">
        <f t="shared" si="6"/>
        <v>#REF!</v>
      </c>
      <c r="N19" s="22" t="str">
        <f t="shared" si="7"/>
        <v/>
      </c>
      <c r="O19" s="22" t="e">
        <f t="shared" si="8"/>
        <v>#REF!</v>
      </c>
      <c r="P19" s="22" t="str">
        <f t="shared" si="9"/>
        <v/>
      </c>
      <c r="Q19" s="22" t="e">
        <f t="shared" si="10"/>
        <v>#REF!</v>
      </c>
      <c r="R19" s="22" t="str">
        <f t="shared" si="11"/>
        <v/>
      </c>
      <c r="S19" s="22" t="e">
        <f t="shared" si="12"/>
        <v>#REF!</v>
      </c>
      <c r="T19" s="22" t="str">
        <f t="shared" si="13"/>
        <v/>
      </c>
      <c r="U19" s="22" t="e">
        <f t="shared" si="14"/>
        <v>#REF!</v>
      </c>
      <c r="V19" s="22" t="str">
        <f t="shared" si="15"/>
        <v/>
      </c>
      <c r="W19" s="22" t="e">
        <f t="shared" si="16"/>
        <v>#REF!</v>
      </c>
      <c r="X19" s="22" t="str">
        <f t="shared" si="17"/>
        <v/>
      </c>
      <c r="Y19" s="22" t="e">
        <f t="shared" si="18"/>
        <v>#REF!</v>
      </c>
      <c r="Z19" s="22" t="str">
        <f t="shared" si="19"/>
        <v/>
      </c>
      <c r="AA19" s="22" t="e">
        <f t="shared" si="20"/>
        <v>#REF!</v>
      </c>
      <c r="AB19" s="22" t="str">
        <f t="shared" si="21"/>
        <v/>
      </c>
      <c r="AC19" s="22" t="e">
        <f t="shared" si="22"/>
        <v>#REF!</v>
      </c>
      <c r="AD19" s="22" t="str">
        <f t="shared" si="23"/>
        <v/>
      </c>
      <c r="AE19" s="22" t="e">
        <f t="shared" si="24"/>
        <v>#REF!</v>
      </c>
      <c r="AF19" s="22" t="str">
        <f t="shared" si="25"/>
        <v/>
      </c>
      <c r="AG19" s="22" t="e">
        <f t="shared" si="26"/>
        <v>#REF!</v>
      </c>
      <c r="AH19" s="22" t="str">
        <f t="shared" si="27"/>
        <v/>
      </c>
      <c r="AI19" s="22" t="e">
        <f t="shared" si="28"/>
        <v>#REF!</v>
      </c>
      <c r="AJ19" s="22" t="str">
        <f t="shared" si="29"/>
        <v/>
      </c>
      <c r="AK19" s="22" t="e">
        <f t="shared" si="30"/>
        <v>#REF!</v>
      </c>
      <c r="AL19" s="22" t="str">
        <f t="shared" si="31"/>
        <v/>
      </c>
      <c r="AM19" s="22" t="e">
        <f t="shared" si="32"/>
        <v>#REF!</v>
      </c>
      <c r="AN19" s="22" t="str">
        <f t="shared" si="33"/>
        <v/>
      </c>
      <c r="AO19" s="22" t="e">
        <f t="shared" si="34"/>
        <v>#REF!</v>
      </c>
      <c r="AP19" s="22" t="str">
        <f t="shared" si="35"/>
        <v/>
      </c>
      <c r="AQ19" s="22" t="e">
        <f t="shared" si="36"/>
        <v>#REF!</v>
      </c>
      <c r="AR19" s="22" t="str">
        <f t="shared" si="37"/>
        <v/>
      </c>
      <c r="AS19" s="22" t="e">
        <f t="shared" si="38"/>
        <v>#REF!</v>
      </c>
      <c r="AT19" s="22" t="str">
        <f t="shared" si="39"/>
        <v/>
      </c>
      <c r="AU19" s="22" t="e">
        <f t="shared" si="40"/>
        <v>#REF!</v>
      </c>
      <c r="AV19" s="22" t="str">
        <f t="shared" si="41"/>
        <v/>
      </c>
      <c r="AW19" s="22" t="e">
        <f t="shared" si="42"/>
        <v>#REF!</v>
      </c>
      <c r="AX19" s="22" t="str">
        <f t="shared" si="43"/>
        <v/>
      </c>
      <c r="AY19" s="22" t="e">
        <f t="shared" si="44"/>
        <v>#REF!</v>
      </c>
      <c r="AZ19" s="22" t="str">
        <f t="shared" si="45"/>
        <v/>
      </c>
      <c r="BA19" s="22" t="e">
        <f t="shared" si="46"/>
        <v>#REF!</v>
      </c>
      <c r="BB19" s="22" t="str">
        <f t="shared" si="47"/>
        <v/>
      </c>
      <c r="BC19" s="22" t="e">
        <f t="shared" si="48"/>
        <v>#REF!</v>
      </c>
      <c r="BD19" s="22" t="str">
        <f t="shared" si="49"/>
        <v/>
      </c>
      <c r="BE19" s="22" t="e">
        <f t="shared" si="50"/>
        <v>#REF!</v>
      </c>
      <c r="BF19" s="22" t="str">
        <f t="shared" si="51"/>
        <v/>
      </c>
      <c r="BG19" s="22" t="e">
        <f t="shared" si="52"/>
        <v>#REF!</v>
      </c>
      <c r="BH19" s="22" t="str">
        <f t="shared" si="53"/>
        <v/>
      </c>
      <c r="BI19" s="22" t="e">
        <f t="shared" si="54"/>
        <v>#REF!</v>
      </c>
      <c r="BJ19" s="22" t="str">
        <f t="shared" si="55"/>
        <v/>
      </c>
      <c r="BK19" s="22" t="e">
        <f t="shared" si="56"/>
        <v>#REF!</v>
      </c>
      <c r="BL19" s="22" t="str">
        <f t="shared" si="57"/>
        <v/>
      </c>
      <c r="BM19" s="22" t="e">
        <f t="shared" si="59"/>
        <v>#REF!</v>
      </c>
      <c r="BN19" s="113" t="e">
        <f t="shared" si="60"/>
        <v>#REF!</v>
      </c>
      <c r="BO19" s="41" t="e">
        <f t="shared" si="61"/>
        <v>#REF!</v>
      </c>
      <c r="BP19" s="15" t="str">
        <f t="shared" si="62"/>
        <v/>
      </c>
      <c r="BQ19" s="101" t="e">
        <f t="shared" si="63"/>
        <v>#REF!</v>
      </c>
      <c r="BR19" s="15" t="str">
        <f>IF('ריכוז נתונים כללים'!$W19='ריכוז נתונים כללים'!$AN$16,MIN(BP19,'ריכוז נתונים כללים'!$AB19),BP19)</f>
        <v/>
      </c>
      <c r="BS19" s="15" t="e">
        <f>IF($C19="","",IF('ריכוז נתונים כללים'!$W19='ריכוז נתונים כללים'!$AN$16,BR19,BR19+($C$3-BR$77)*(BR19/(BR$77-SUMIF('ריכוז נתונים כללים'!$W$17:$W$76,'ריכוז נתונים כללים'!$AN$16,BR$17:BR$76)))))</f>
        <v>#REF!</v>
      </c>
    </row>
    <row r="20" spans="2:71" x14ac:dyDescent="0.25">
      <c r="B20" s="7">
        <f>'ריכוז נתונים'!C20</f>
        <v>4</v>
      </c>
      <c r="C20" s="7" t="e">
        <f>#REF!</f>
        <v>#REF!</v>
      </c>
      <c r="D20" s="22" t="e">
        <f>IF(C20="","",#REF!)</f>
        <v>#REF!</v>
      </c>
      <c r="E20" s="22" t="e">
        <f>IF(C20="","",#REF!)</f>
        <v>#REF!</v>
      </c>
      <c r="F20" s="22" t="str">
        <f t="shared" si="1"/>
        <v/>
      </c>
      <c r="G20" s="11" t="e">
        <f t="shared" si="58"/>
        <v>#REF!</v>
      </c>
      <c r="H20" s="11" t="str">
        <f t="shared" si="2"/>
        <v/>
      </c>
      <c r="I20" s="11" t="e">
        <f t="shared" si="58"/>
        <v>#REF!</v>
      </c>
      <c r="J20" s="11" t="str">
        <f t="shared" si="3"/>
        <v/>
      </c>
      <c r="K20" s="11" t="e">
        <f t="shared" si="4"/>
        <v>#REF!</v>
      </c>
      <c r="L20" s="11" t="str">
        <f t="shared" si="5"/>
        <v/>
      </c>
      <c r="M20" s="11" t="e">
        <f t="shared" si="6"/>
        <v>#REF!</v>
      </c>
      <c r="N20" s="11" t="str">
        <f t="shared" si="7"/>
        <v/>
      </c>
      <c r="O20" s="11" t="e">
        <f t="shared" si="8"/>
        <v>#REF!</v>
      </c>
      <c r="P20" s="11" t="str">
        <f t="shared" si="9"/>
        <v/>
      </c>
      <c r="Q20" s="11" t="e">
        <f t="shared" si="10"/>
        <v>#REF!</v>
      </c>
      <c r="R20" s="11" t="str">
        <f t="shared" si="11"/>
        <v/>
      </c>
      <c r="S20" s="11" t="e">
        <f t="shared" si="12"/>
        <v>#REF!</v>
      </c>
      <c r="T20" s="11" t="str">
        <f t="shared" si="13"/>
        <v/>
      </c>
      <c r="U20" s="11" t="e">
        <f t="shared" si="14"/>
        <v>#REF!</v>
      </c>
      <c r="V20" s="11" t="str">
        <f t="shared" si="15"/>
        <v/>
      </c>
      <c r="W20" s="11" t="e">
        <f t="shared" si="16"/>
        <v>#REF!</v>
      </c>
      <c r="X20" s="11" t="str">
        <f t="shared" si="17"/>
        <v/>
      </c>
      <c r="Y20" s="11" t="e">
        <f t="shared" si="18"/>
        <v>#REF!</v>
      </c>
      <c r="Z20" s="11" t="str">
        <f t="shared" si="19"/>
        <v/>
      </c>
      <c r="AA20" s="11" t="e">
        <f t="shared" si="20"/>
        <v>#REF!</v>
      </c>
      <c r="AB20" s="11" t="str">
        <f t="shared" si="21"/>
        <v/>
      </c>
      <c r="AC20" s="11" t="e">
        <f t="shared" si="22"/>
        <v>#REF!</v>
      </c>
      <c r="AD20" s="11" t="str">
        <f t="shared" si="23"/>
        <v/>
      </c>
      <c r="AE20" s="11" t="e">
        <f t="shared" si="24"/>
        <v>#REF!</v>
      </c>
      <c r="AF20" s="11" t="str">
        <f t="shared" si="25"/>
        <v/>
      </c>
      <c r="AG20" s="11" t="e">
        <f t="shared" si="26"/>
        <v>#REF!</v>
      </c>
      <c r="AH20" s="11" t="str">
        <f t="shared" si="27"/>
        <v/>
      </c>
      <c r="AI20" s="11" t="e">
        <f t="shared" si="28"/>
        <v>#REF!</v>
      </c>
      <c r="AJ20" s="11" t="str">
        <f t="shared" si="29"/>
        <v/>
      </c>
      <c r="AK20" s="11" t="e">
        <f t="shared" si="30"/>
        <v>#REF!</v>
      </c>
      <c r="AL20" s="11" t="str">
        <f t="shared" si="31"/>
        <v/>
      </c>
      <c r="AM20" s="11" t="e">
        <f t="shared" si="32"/>
        <v>#REF!</v>
      </c>
      <c r="AN20" s="11" t="str">
        <f t="shared" si="33"/>
        <v/>
      </c>
      <c r="AO20" s="11" t="e">
        <f t="shared" si="34"/>
        <v>#REF!</v>
      </c>
      <c r="AP20" s="11" t="str">
        <f t="shared" si="35"/>
        <v/>
      </c>
      <c r="AQ20" s="11" t="e">
        <f t="shared" si="36"/>
        <v>#REF!</v>
      </c>
      <c r="AR20" s="11" t="str">
        <f t="shared" si="37"/>
        <v/>
      </c>
      <c r="AS20" s="11" t="e">
        <f t="shared" si="38"/>
        <v>#REF!</v>
      </c>
      <c r="AT20" s="11" t="str">
        <f t="shared" si="39"/>
        <v/>
      </c>
      <c r="AU20" s="11" t="e">
        <f t="shared" si="40"/>
        <v>#REF!</v>
      </c>
      <c r="AV20" s="11" t="str">
        <f t="shared" si="41"/>
        <v/>
      </c>
      <c r="AW20" s="11" t="e">
        <f t="shared" si="42"/>
        <v>#REF!</v>
      </c>
      <c r="AX20" s="11" t="str">
        <f t="shared" si="43"/>
        <v/>
      </c>
      <c r="AY20" s="11" t="e">
        <f t="shared" si="44"/>
        <v>#REF!</v>
      </c>
      <c r="AZ20" s="11" t="str">
        <f t="shared" si="45"/>
        <v/>
      </c>
      <c r="BA20" s="11" t="e">
        <f t="shared" si="46"/>
        <v>#REF!</v>
      </c>
      <c r="BB20" s="11" t="str">
        <f t="shared" si="47"/>
        <v/>
      </c>
      <c r="BC20" s="11" t="e">
        <f t="shared" si="48"/>
        <v>#REF!</v>
      </c>
      <c r="BD20" s="11" t="str">
        <f t="shared" si="49"/>
        <v/>
      </c>
      <c r="BE20" s="11" t="e">
        <f t="shared" si="50"/>
        <v>#REF!</v>
      </c>
      <c r="BF20" s="11" t="str">
        <f t="shared" si="51"/>
        <v/>
      </c>
      <c r="BG20" s="11" t="e">
        <f t="shared" si="52"/>
        <v>#REF!</v>
      </c>
      <c r="BH20" s="11" t="str">
        <f t="shared" si="53"/>
        <v/>
      </c>
      <c r="BI20" s="11" t="e">
        <f t="shared" si="54"/>
        <v>#REF!</v>
      </c>
      <c r="BJ20" s="11" t="str">
        <f t="shared" si="55"/>
        <v/>
      </c>
      <c r="BK20" s="11" t="e">
        <f t="shared" si="56"/>
        <v>#REF!</v>
      </c>
      <c r="BL20" s="11" t="str">
        <f t="shared" si="57"/>
        <v/>
      </c>
      <c r="BM20" s="22" t="e">
        <f t="shared" si="59"/>
        <v>#REF!</v>
      </c>
      <c r="BN20" s="113" t="e">
        <f t="shared" si="60"/>
        <v>#REF!</v>
      </c>
      <c r="BO20" s="41" t="e">
        <f t="shared" si="61"/>
        <v>#REF!</v>
      </c>
      <c r="BP20" s="15" t="str">
        <f t="shared" si="62"/>
        <v/>
      </c>
      <c r="BQ20" s="101" t="e">
        <f t="shared" si="63"/>
        <v>#REF!</v>
      </c>
      <c r="BR20" s="15">
        <f ca="1">IF('ריכוז נתונים כללים'!$W20='ריכוז נתונים כללים'!$AN$16,MIN(BP20,'ריכוז נתונים כללים'!$AB20),BP20)</f>
        <v>1.1284992180962039E-2</v>
      </c>
      <c r="BS20" s="15" t="e">
        <f>IF($C20="","",IF('ריכוז נתונים כללים'!$W20='ריכוז נתונים כללים'!$AN$16,BR20,BR20+($C$3-BR$77)*(BR20/(BR$77-SUMIF('ריכוז נתונים כללים'!$W$17:$W$76,'ריכוז נתונים כללים'!$AN$16,BR$17:BR$76)))))</f>
        <v>#REF!</v>
      </c>
    </row>
    <row r="21" spans="2:71" x14ac:dyDescent="0.25">
      <c r="B21" s="7">
        <f>'ריכוז נתונים'!C21</f>
        <v>5</v>
      </c>
      <c r="C21" s="7" t="e">
        <f>#REF!</f>
        <v>#REF!</v>
      </c>
      <c r="D21" s="22" t="e">
        <f>IF(C21="","",#REF!)</f>
        <v>#REF!</v>
      </c>
      <c r="E21" s="22" t="e">
        <f>IF(C21="","",#REF!)</f>
        <v>#REF!</v>
      </c>
      <c r="F21" s="22" t="str">
        <f t="shared" si="1"/>
        <v/>
      </c>
      <c r="G21" s="11" t="e">
        <f t="shared" si="58"/>
        <v>#REF!</v>
      </c>
      <c r="H21" s="11" t="str">
        <f t="shared" si="2"/>
        <v/>
      </c>
      <c r="I21" s="11" t="e">
        <f t="shared" si="58"/>
        <v>#REF!</v>
      </c>
      <c r="J21" s="11" t="str">
        <f t="shared" si="3"/>
        <v/>
      </c>
      <c r="K21" s="11" t="e">
        <f t="shared" si="4"/>
        <v>#REF!</v>
      </c>
      <c r="L21" s="11" t="str">
        <f t="shared" si="5"/>
        <v/>
      </c>
      <c r="M21" s="11" t="e">
        <f t="shared" si="6"/>
        <v>#REF!</v>
      </c>
      <c r="N21" s="11" t="str">
        <f t="shared" si="7"/>
        <v/>
      </c>
      <c r="O21" s="11" t="e">
        <f t="shared" si="8"/>
        <v>#REF!</v>
      </c>
      <c r="P21" s="11" t="str">
        <f t="shared" si="9"/>
        <v/>
      </c>
      <c r="Q21" s="11" t="e">
        <f t="shared" si="10"/>
        <v>#REF!</v>
      </c>
      <c r="R21" s="11" t="str">
        <f t="shared" si="11"/>
        <v/>
      </c>
      <c r="S21" s="11" t="e">
        <f t="shared" si="12"/>
        <v>#REF!</v>
      </c>
      <c r="T21" s="11" t="str">
        <f t="shared" si="13"/>
        <v/>
      </c>
      <c r="U21" s="11" t="e">
        <f t="shared" si="14"/>
        <v>#REF!</v>
      </c>
      <c r="V21" s="11" t="str">
        <f t="shared" si="15"/>
        <v/>
      </c>
      <c r="W21" s="11" t="e">
        <f t="shared" si="16"/>
        <v>#REF!</v>
      </c>
      <c r="X21" s="11" t="str">
        <f t="shared" si="17"/>
        <v/>
      </c>
      <c r="Y21" s="11" t="e">
        <f t="shared" si="18"/>
        <v>#REF!</v>
      </c>
      <c r="Z21" s="11" t="str">
        <f t="shared" si="19"/>
        <v/>
      </c>
      <c r="AA21" s="11" t="e">
        <f t="shared" si="20"/>
        <v>#REF!</v>
      </c>
      <c r="AB21" s="11" t="str">
        <f t="shared" si="21"/>
        <v/>
      </c>
      <c r="AC21" s="11" t="e">
        <f t="shared" si="22"/>
        <v>#REF!</v>
      </c>
      <c r="AD21" s="11" t="str">
        <f t="shared" si="23"/>
        <v/>
      </c>
      <c r="AE21" s="11" t="e">
        <f t="shared" si="24"/>
        <v>#REF!</v>
      </c>
      <c r="AF21" s="11" t="str">
        <f t="shared" si="25"/>
        <v/>
      </c>
      <c r="AG21" s="11" t="e">
        <f t="shared" si="26"/>
        <v>#REF!</v>
      </c>
      <c r="AH21" s="11" t="str">
        <f t="shared" si="27"/>
        <v/>
      </c>
      <c r="AI21" s="11" t="e">
        <f t="shared" si="28"/>
        <v>#REF!</v>
      </c>
      <c r="AJ21" s="11" t="str">
        <f t="shared" si="29"/>
        <v/>
      </c>
      <c r="AK21" s="11" t="e">
        <f t="shared" si="30"/>
        <v>#REF!</v>
      </c>
      <c r="AL21" s="11" t="str">
        <f t="shared" si="31"/>
        <v/>
      </c>
      <c r="AM21" s="11" t="e">
        <f t="shared" si="32"/>
        <v>#REF!</v>
      </c>
      <c r="AN21" s="11" t="str">
        <f t="shared" si="33"/>
        <v/>
      </c>
      <c r="AO21" s="11" t="e">
        <f t="shared" si="34"/>
        <v>#REF!</v>
      </c>
      <c r="AP21" s="11" t="str">
        <f t="shared" si="35"/>
        <v/>
      </c>
      <c r="AQ21" s="11" t="e">
        <f t="shared" si="36"/>
        <v>#REF!</v>
      </c>
      <c r="AR21" s="11" t="str">
        <f t="shared" si="37"/>
        <v/>
      </c>
      <c r="AS21" s="11" t="e">
        <f t="shared" si="38"/>
        <v>#REF!</v>
      </c>
      <c r="AT21" s="11" t="str">
        <f t="shared" si="39"/>
        <v/>
      </c>
      <c r="AU21" s="11" t="e">
        <f t="shared" si="40"/>
        <v>#REF!</v>
      </c>
      <c r="AV21" s="11" t="str">
        <f t="shared" si="41"/>
        <v/>
      </c>
      <c r="AW21" s="11" t="e">
        <f t="shared" si="42"/>
        <v>#REF!</v>
      </c>
      <c r="AX21" s="11" t="str">
        <f t="shared" si="43"/>
        <v/>
      </c>
      <c r="AY21" s="11" t="e">
        <f t="shared" si="44"/>
        <v>#REF!</v>
      </c>
      <c r="AZ21" s="11" t="str">
        <f t="shared" si="45"/>
        <v/>
      </c>
      <c r="BA21" s="11" t="e">
        <f t="shared" si="46"/>
        <v>#REF!</v>
      </c>
      <c r="BB21" s="11" t="str">
        <f t="shared" si="47"/>
        <v/>
      </c>
      <c r="BC21" s="11" t="e">
        <f t="shared" si="48"/>
        <v>#REF!</v>
      </c>
      <c r="BD21" s="11" t="str">
        <f t="shared" si="49"/>
        <v/>
      </c>
      <c r="BE21" s="11" t="e">
        <f t="shared" si="50"/>
        <v>#REF!</v>
      </c>
      <c r="BF21" s="11" t="str">
        <f t="shared" si="51"/>
        <v/>
      </c>
      <c r="BG21" s="11" t="e">
        <f t="shared" si="52"/>
        <v>#REF!</v>
      </c>
      <c r="BH21" s="11" t="str">
        <f t="shared" si="53"/>
        <v/>
      </c>
      <c r="BI21" s="11" t="e">
        <f t="shared" si="54"/>
        <v>#REF!</v>
      </c>
      <c r="BJ21" s="11" t="str">
        <f t="shared" si="55"/>
        <v/>
      </c>
      <c r="BK21" s="11" t="e">
        <f t="shared" si="56"/>
        <v>#REF!</v>
      </c>
      <c r="BL21" s="11" t="str">
        <f t="shared" si="57"/>
        <v/>
      </c>
      <c r="BM21" s="22" t="e">
        <f t="shared" si="59"/>
        <v>#REF!</v>
      </c>
      <c r="BN21" s="113" t="e">
        <f t="shared" si="60"/>
        <v>#REF!</v>
      </c>
      <c r="BO21" s="41" t="e">
        <f t="shared" si="61"/>
        <v>#REF!</v>
      </c>
      <c r="BP21" s="15" t="str">
        <f t="shared" si="62"/>
        <v/>
      </c>
      <c r="BQ21" s="101" t="e">
        <f t="shared" si="63"/>
        <v>#REF!</v>
      </c>
      <c r="BR21" s="15" t="str">
        <f>IF('ריכוז נתונים כללים'!$W21='ריכוז נתונים כללים'!$AN$16,MIN(BP21,'ריכוז נתונים כללים'!$AB21),BP21)</f>
        <v/>
      </c>
      <c r="BS21" s="15" t="e">
        <f>IF($C21="","",IF('ריכוז נתונים כללים'!$W21='ריכוז נתונים כללים'!$AN$16,BR21,BR21+($C$3-BR$77)*(BR21/(BR$77-SUMIF('ריכוז נתונים כללים'!$W$17:$W$76,'ריכוז נתונים כללים'!$AN$16,BR$17:BR$76)))))</f>
        <v>#REF!</v>
      </c>
    </row>
    <row r="22" spans="2:71" x14ac:dyDescent="0.25">
      <c r="B22" s="7">
        <f>'ריכוז נתונים'!C22</f>
        <v>6</v>
      </c>
      <c r="C22" s="7" t="e">
        <f>#REF!</f>
        <v>#REF!</v>
      </c>
      <c r="D22" s="22" t="e">
        <f>IF(C22="","",#REF!)</f>
        <v>#REF!</v>
      </c>
      <c r="E22" s="22" t="e">
        <f>IF(C22="","",#REF!)</f>
        <v>#REF!</v>
      </c>
      <c r="F22" s="22" t="str">
        <f t="shared" si="1"/>
        <v/>
      </c>
      <c r="G22" s="11" t="e">
        <f t="shared" si="58"/>
        <v>#REF!</v>
      </c>
      <c r="H22" s="11" t="str">
        <f t="shared" si="2"/>
        <v/>
      </c>
      <c r="I22" s="11" t="e">
        <f t="shared" si="58"/>
        <v>#REF!</v>
      </c>
      <c r="J22" s="11" t="str">
        <f t="shared" si="3"/>
        <v/>
      </c>
      <c r="K22" s="11" t="e">
        <f t="shared" si="4"/>
        <v>#REF!</v>
      </c>
      <c r="L22" s="11" t="str">
        <f t="shared" si="5"/>
        <v/>
      </c>
      <c r="M22" s="11" t="e">
        <f t="shared" si="6"/>
        <v>#REF!</v>
      </c>
      <c r="N22" s="11" t="str">
        <f t="shared" si="7"/>
        <v/>
      </c>
      <c r="O22" s="11" t="e">
        <f t="shared" si="8"/>
        <v>#REF!</v>
      </c>
      <c r="P22" s="11" t="str">
        <f t="shared" si="9"/>
        <v/>
      </c>
      <c r="Q22" s="11" t="e">
        <f t="shared" si="10"/>
        <v>#REF!</v>
      </c>
      <c r="R22" s="11" t="str">
        <f t="shared" si="11"/>
        <v/>
      </c>
      <c r="S22" s="11" t="e">
        <f t="shared" si="12"/>
        <v>#REF!</v>
      </c>
      <c r="T22" s="11" t="str">
        <f t="shared" si="13"/>
        <v/>
      </c>
      <c r="U22" s="11" t="e">
        <f t="shared" si="14"/>
        <v>#REF!</v>
      </c>
      <c r="V22" s="11" t="str">
        <f t="shared" si="15"/>
        <v/>
      </c>
      <c r="W22" s="11" t="e">
        <f t="shared" si="16"/>
        <v>#REF!</v>
      </c>
      <c r="X22" s="11" t="str">
        <f t="shared" si="17"/>
        <v/>
      </c>
      <c r="Y22" s="11" t="e">
        <f t="shared" si="18"/>
        <v>#REF!</v>
      </c>
      <c r="Z22" s="11" t="str">
        <f t="shared" si="19"/>
        <v/>
      </c>
      <c r="AA22" s="11" t="e">
        <f t="shared" si="20"/>
        <v>#REF!</v>
      </c>
      <c r="AB22" s="11" t="str">
        <f t="shared" si="21"/>
        <v/>
      </c>
      <c r="AC22" s="11" t="e">
        <f t="shared" si="22"/>
        <v>#REF!</v>
      </c>
      <c r="AD22" s="11" t="str">
        <f t="shared" si="23"/>
        <v/>
      </c>
      <c r="AE22" s="11" t="e">
        <f t="shared" si="24"/>
        <v>#REF!</v>
      </c>
      <c r="AF22" s="11" t="str">
        <f t="shared" si="25"/>
        <v/>
      </c>
      <c r="AG22" s="11" t="e">
        <f t="shared" si="26"/>
        <v>#REF!</v>
      </c>
      <c r="AH22" s="11" t="str">
        <f t="shared" si="27"/>
        <v/>
      </c>
      <c r="AI22" s="11" t="e">
        <f t="shared" si="28"/>
        <v>#REF!</v>
      </c>
      <c r="AJ22" s="11" t="str">
        <f t="shared" si="29"/>
        <v/>
      </c>
      <c r="AK22" s="11" t="e">
        <f t="shared" si="30"/>
        <v>#REF!</v>
      </c>
      <c r="AL22" s="11" t="str">
        <f t="shared" si="31"/>
        <v/>
      </c>
      <c r="AM22" s="11" t="e">
        <f t="shared" si="32"/>
        <v>#REF!</v>
      </c>
      <c r="AN22" s="11" t="str">
        <f t="shared" si="33"/>
        <v/>
      </c>
      <c r="AO22" s="11" t="e">
        <f t="shared" si="34"/>
        <v>#REF!</v>
      </c>
      <c r="AP22" s="11" t="str">
        <f t="shared" si="35"/>
        <v/>
      </c>
      <c r="AQ22" s="11" t="e">
        <f t="shared" si="36"/>
        <v>#REF!</v>
      </c>
      <c r="AR22" s="11" t="str">
        <f t="shared" si="37"/>
        <v/>
      </c>
      <c r="AS22" s="11" t="e">
        <f t="shared" si="38"/>
        <v>#REF!</v>
      </c>
      <c r="AT22" s="11" t="str">
        <f t="shared" si="39"/>
        <v/>
      </c>
      <c r="AU22" s="11" t="e">
        <f t="shared" si="40"/>
        <v>#REF!</v>
      </c>
      <c r="AV22" s="11" t="str">
        <f t="shared" si="41"/>
        <v/>
      </c>
      <c r="AW22" s="11" t="e">
        <f t="shared" si="42"/>
        <v>#REF!</v>
      </c>
      <c r="AX22" s="11" t="str">
        <f t="shared" si="43"/>
        <v/>
      </c>
      <c r="AY22" s="11" t="e">
        <f t="shared" si="44"/>
        <v>#REF!</v>
      </c>
      <c r="AZ22" s="11" t="str">
        <f t="shared" si="45"/>
        <v/>
      </c>
      <c r="BA22" s="11" t="e">
        <f t="shared" si="46"/>
        <v>#REF!</v>
      </c>
      <c r="BB22" s="11" t="str">
        <f t="shared" si="47"/>
        <v/>
      </c>
      <c r="BC22" s="11" t="e">
        <f t="shared" si="48"/>
        <v>#REF!</v>
      </c>
      <c r="BD22" s="11" t="str">
        <f t="shared" si="49"/>
        <v/>
      </c>
      <c r="BE22" s="11" t="e">
        <f t="shared" si="50"/>
        <v>#REF!</v>
      </c>
      <c r="BF22" s="11" t="str">
        <f t="shared" si="51"/>
        <v/>
      </c>
      <c r="BG22" s="11" t="e">
        <f t="shared" si="52"/>
        <v>#REF!</v>
      </c>
      <c r="BH22" s="11" t="str">
        <f t="shared" si="53"/>
        <v/>
      </c>
      <c r="BI22" s="11" t="e">
        <f t="shared" si="54"/>
        <v>#REF!</v>
      </c>
      <c r="BJ22" s="11" t="str">
        <f t="shared" si="55"/>
        <v/>
      </c>
      <c r="BK22" s="11" t="e">
        <f t="shared" si="56"/>
        <v>#REF!</v>
      </c>
      <c r="BL22" s="11" t="str">
        <f t="shared" si="57"/>
        <v/>
      </c>
      <c r="BM22" s="22" t="e">
        <f t="shared" si="59"/>
        <v>#REF!</v>
      </c>
      <c r="BN22" s="113" t="e">
        <f t="shared" si="60"/>
        <v>#REF!</v>
      </c>
      <c r="BO22" s="41" t="e">
        <f t="shared" si="61"/>
        <v>#REF!</v>
      </c>
      <c r="BP22" s="15" t="str">
        <f t="shared" si="62"/>
        <v/>
      </c>
      <c r="BQ22" s="101" t="e">
        <f t="shared" si="63"/>
        <v>#REF!</v>
      </c>
      <c r="BR22" s="15" t="str">
        <f>IF('ריכוז נתונים כללים'!$W22='ריכוז נתונים כללים'!$AN$16,MIN(BP22,'ריכוז נתונים כללים'!$AB22),BP22)</f>
        <v/>
      </c>
      <c r="BS22" s="15" t="e">
        <f>IF($C22="","",IF('ריכוז נתונים כללים'!$W22='ריכוז נתונים כללים'!$AN$16,BR22,BR22+($C$3-BR$77)*(BR22/(BR$77-SUMIF('ריכוז נתונים כללים'!$W$17:$W$76,'ריכוז נתונים כללים'!$AN$16,BR$17:BR$76)))))</f>
        <v>#REF!</v>
      </c>
    </row>
    <row r="23" spans="2:71" x14ac:dyDescent="0.25">
      <c r="B23" s="7">
        <f>'ריכוז נתונים'!C23</f>
        <v>7</v>
      </c>
      <c r="C23" s="7" t="e">
        <f>#REF!</f>
        <v>#REF!</v>
      </c>
      <c r="D23" s="22" t="e">
        <f>IF(C23="","",#REF!)</f>
        <v>#REF!</v>
      </c>
      <c r="E23" s="22" t="e">
        <f>IF(C23="","",#REF!)</f>
        <v>#REF!</v>
      </c>
      <c r="F23" s="22" t="str">
        <f t="shared" si="1"/>
        <v/>
      </c>
      <c r="G23" s="11" t="e">
        <f t="shared" si="58"/>
        <v>#REF!</v>
      </c>
      <c r="H23" s="11" t="str">
        <f t="shared" si="2"/>
        <v/>
      </c>
      <c r="I23" s="11" t="e">
        <f t="shared" si="58"/>
        <v>#REF!</v>
      </c>
      <c r="J23" s="11" t="str">
        <f t="shared" si="3"/>
        <v/>
      </c>
      <c r="K23" s="11" t="e">
        <f t="shared" si="4"/>
        <v>#REF!</v>
      </c>
      <c r="L23" s="11" t="str">
        <f t="shared" si="5"/>
        <v/>
      </c>
      <c r="M23" s="11" t="e">
        <f t="shared" si="6"/>
        <v>#REF!</v>
      </c>
      <c r="N23" s="11" t="str">
        <f t="shared" si="7"/>
        <v/>
      </c>
      <c r="O23" s="11" t="e">
        <f t="shared" si="8"/>
        <v>#REF!</v>
      </c>
      <c r="P23" s="11" t="str">
        <f t="shared" si="9"/>
        <v/>
      </c>
      <c r="Q23" s="11" t="e">
        <f t="shared" si="10"/>
        <v>#REF!</v>
      </c>
      <c r="R23" s="11" t="str">
        <f t="shared" si="11"/>
        <v/>
      </c>
      <c r="S23" s="11" t="e">
        <f t="shared" si="12"/>
        <v>#REF!</v>
      </c>
      <c r="T23" s="11" t="str">
        <f t="shared" si="13"/>
        <v/>
      </c>
      <c r="U23" s="11" t="e">
        <f t="shared" si="14"/>
        <v>#REF!</v>
      </c>
      <c r="V23" s="11" t="str">
        <f t="shared" si="15"/>
        <v/>
      </c>
      <c r="W23" s="11" t="e">
        <f t="shared" si="16"/>
        <v>#REF!</v>
      </c>
      <c r="X23" s="11" t="str">
        <f t="shared" si="17"/>
        <v/>
      </c>
      <c r="Y23" s="11" t="e">
        <f t="shared" si="18"/>
        <v>#REF!</v>
      </c>
      <c r="Z23" s="11" t="str">
        <f t="shared" si="19"/>
        <v/>
      </c>
      <c r="AA23" s="11" t="e">
        <f t="shared" si="20"/>
        <v>#REF!</v>
      </c>
      <c r="AB23" s="11" t="str">
        <f t="shared" si="21"/>
        <v/>
      </c>
      <c r="AC23" s="11" t="e">
        <f t="shared" si="22"/>
        <v>#REF!</v>
      </c>
      <c r="AD23" s="11" t="str">
        <f t="shared" si="23"/>
        <v/>
      </c>
      <c r="AE23" s="11" t="e">
        <f t="shared" si="24"/>
        <v>#REF!</v>
      </c>
      <c r="AF23" s="11" t="str">
        <f t="shared" si="25"/>
        <v/>
      </c>
      <c r="AG23" s="11" t="e">
        <f t="shared" si="26"/>
        <v>#REF!</v>
      </c>
      <c r="AH23" s="11" t="str">
        <f t="shared" si="27"/>
        <v/>
      </c>
      <c r="AI23" s="11" t="e">
        <f t="shared" si="28"/>
        <v>#REF!</v>
      </c>
      <c r="AJ23" s="11" t="str">
        <f t="shared" si="29"/>
        <v/>
      </c>
      <c r="AK23" s="11" t="e">
        <f t="shared" si="30"/>
        <v>#REF!</v>
      </c>
      <c r="AL23" s="11" t="str">
        <f t="shared" si="31"/>
        <v/>
      </c>
      <c r="AM23" s="11" t="e">
        <f t="shared" si="32"/>
        <v>#REF!</v>
      </c>
      <c r="AN23" s="11" t="str">
        <f t="shared" si="33"/>
        <v/>
      </c>
      <c r="AO23" s="11" t="e">
        <f t="shared" si="34"/>
        <v>#REF!</v>
      </c>
      <c r="AP23" s="11" t="str">
        <f t="shared" si="35"/>
        <v/>
      </c>
      <c r="AQ23" s="11" t="e">
        <f t="shared" si="36"/>
        <v>#REF!</v>
      </c>
      <c r="AR23" s="11" t="str">
        <f t="shared" si="37"/>
        <v/>
      </c>
      <c r="AS23" s="11" t="e">
        <f t="shared" si="38"/>
        <v>#REF!</v>
      </c>
      <c r="AT23" s="11" t="str">
        <f t="shared" si="39"/>
        <v/>
      </c>
      <c r="AU23" s="11" t="e">
        <f t="shared" si="40"/>
        <v>#REF!</v>
      </c>
      <c r="AV23" s="11" t="str">
        <f t="shared" si="41"/>
        <v/>
      </c>
      <c r="AW23" s="11" t="e">
        <f t="shared" si="42"/>
        <v>#REF!</v>
      </c>
      <c r="AX23" s="11" t="str">
        <f t="shared" si="43"/>
        <v/>
      </c>
      <c r="AY23" s="11" t="e">
        <f t="shared" si="44"/>
        <v>#REF!</v>
      </c>
      <c r="AZ23" s="11" t="str">
        <f t="shared" si="45"/>
        <v/>
      </c>
      <c r="BA23" s="11" t="e">
        <f t="shared" si="46"/>
        <v>#REF!</v>
      </c>
      <c r="BB23" s="11" t="str">
        <f t="shared" si="47"/>
        <v/>
      </c>
      <c r="BC23" s="11" t="e">
        <f t="shared" si="48"/>
        <v>#REF!</v>
      </c>
      <c r="BD23" s="11" t="str">
        <f t="shared" si="49"/>
        <v/>
      </c>
      <c r="BE23" s="11" t="e">
        <f t="shared" si="50"/>
        <v>#REF!</v>
      </c>
      <c r="BF23" s="11" t="str">
        <f t="shared" si="51"/>
        <v/>
      </c>
      <c r="BG23" s="11" t="e">
        <f t="shared" si="52"/>
        <v>#REF!</v>
      </c>
      <c r="BH23" s="11" t="str">
        <f t="shared" si="53"/>
        <v/>
      </c>
      <c r="BI23" s="11" t="e">
        <f t="shared" si="54"/>
        <v>#REF!</v>
      </c>
      <c r="BJ23" s="11" t="str">
        <f t="shared" si="55"/>
        <v/>
      </c>
      <c r="BK23" s="11" t="e">
        <f t="shared" si="56"/>
        <v>#REF!</v>
      </c>
      <c r="BL23" s="11" t="str">
        <f t="shared" si="57"/>
        <v/>
      </c>
      <c r="BM23" s="22" t="e">
        <f t="shared" si="59"/>
        <v>#REF!</v>
      </c>
      <c r="BN23" s="113" t="e">
        <f t="shared" si="60"/>
        <v>#REF!</v>
      </c>
      <c r="BO23" s="41" t="e">
        <f t="shared" si="61"/>
        <v>#REF!</v>
      </c>
      <c r="BP23" s="15" t="str">
        <f t="shared" si="62"/>
        <v/>
      </c>
      <c r="BQ23" s="101" t="e">
        <f t="shared" si="63"/>
        <v>#REF!</v>
      </c>
      <c r="BR23" s="15" t="str">
        <f>IF('ריכוז נתונים כללים'!$W23='ריכוז נתונים כללים'!$AN$16,MIN(BP23,'ריכוז נתונים כללים'!$AB23),BP23)</f>
        <v/>
      </c>
      <c r="BS23" s="15" t="e">
        <f>IF($C23="","",IF('ריכוז נתונים כללים'!$W23='ריכוז נתונים כללים'!$AN$16,BR23,BR23+($C$3-BR$77)*(BR23/(BR$77-SUMIF('ריכוז נתונים כללים'!$W$17:$W$76,'ריכוז נתונים כללים'!$AN$16,BR$17:BR$76)))))</f>
        <v>#REF!</v>
      </c>
    </row>
    <row r="24" spans="2:71" x14ac:dyDescent="0.25">
      <c r="B24" s="7">
        <f>'ריכוז נתונים'!C24</f>
        <v>8</v>
      </c>
      <c r="C24" s="7" t="e">
        <f>#REF!</f>
        <v>#REF!</v>
      </c>
      <c r="D24" s="22" t="e">
        <f>IF(C24="","",#REF!)</f>
        <v>#REF!</v>
      </c>
      <c r="E24" s="22" t="e">
        <f>IF(C24="","",#REF!)</f>
        <v>#REF!</v>
      </c>
      <c r="F24" s="22" t="str">
        <f t="shared" si="1"/>
        <v/>
      </c>
      <c r="G24" s="11" t="e">
        <f t="shared" si="58"/>
        <v>#REF!</v>
      </c>
      <c r="H24" s="11" t="str">
        <f t="shared" si="2"/>
        <v/>
      </c>
      <c r="I24" s="11" t="e">
        <f t="shared" si="58"/>
        <v>#REF!</v>
      </c>
      <c r="J24" s="11" t="str">
        <f t="shared" si="3"/>
        <v/>
      </c>
      <c r="K24" s="11" t="e">
        <f t="shared" si="4"/>
        <v>#REF!</v>
      </c>
      <c r="L24" s="11" t="str">
        <f t="shared" si="5"/>
        <v/>
      </c>
      <c r="M24" s="11" t="e">
        <f t="shared" si="6"/>
        <v>#REF!</v>
      </c>
      <c r="N24" s="11" t="str">
        <f t="shared" si="7"/>
        <v/>
      </c>
      <c r="O24" s="11" t="e">
        <f t="shared" si="8"/>
        <v>#REF!</v>
      </c>
      <c r="P24" s="11" t="str">
        <f t="shared" si="9"/>
        <v/>
      </c>
      <c r="Q24" s="11" t="e">
        <f t="shared" si="10"/>
        <v>#REF!</v>
      </c>
      <c r="R24" s="11" t="str">
        <f t="shared" si="11"/>
        <v/>
      </c>
      <c r="S24" s="11" t="e">
        <f t="shared" si="12"/>
        <v>#REF!</v>
      </c>
      <c r="T24" s="11" t="str">
        <f t="shared" si="13"/>
        <v/>
      </c>
      <c r="U24" s="11" t="e">
        <f t="shared" si="14"/>
        <v>#REF!</v>
      </c>
      <c r="V24" s="11" t="str">
        <f t="shared" si="15"/>
        <v/>
      </c>
      <c r="W24" s="11" t="e">
        <f t="shared" si="16"/>
        <v>#REF!</v>
      </c>
      <c r="X24" s="11" t="str">
        <f t="shared" si="17"/>
        <v/>
      </c>
      <c r="Y24" s="11" t="e">
        <f t="shared" si="18"/>
        <v>#REF!</v>
      </c>
      <c r="Z24" s="11" t="str">
        <f t="shared" si="19"/>
        <v/>
      </c>
      <c r="AA24" s="11" t="e">
        <f t="shared" si="20"/>
        <v>#REF!</v>
      </c>
      <c r="AB24" s="11" t="str">
        <f t="shared" si="21"/>
        <v/>
      </c>
      <c r="AC24" s="11" t="e">
        <f t="shared" si="22"/>
        <v>#REF!</v>
      </c>
      <c r="AD24" s="11" t="str">
        <f t="shared" si="23"/>
        <v/>
      </c>
      <c r="AE24" s="11" t="e">
        <f t="shared" si="24"/>
        <v>#REF!</v>
      </c>
      <c r="AF24" s="11" t="str">
        <f t="shared" si="25"/>
        <v/>
      </c>
      <c r="AG24" s="11" t="e">
        <f t="shared" si="26"/>
        <v>#REF!</v>
      </c>
      <c r="AH24" s="11" t="str">
        <f t="shared" si="27"/>
        <v/>
      </c>
      <c r="AI24" s="11" t="e">
        <f t="shared" si="28"/>
        <v>#REF!</v>
      </c>
      <c r="AJ24" s="11" t="str">
        <f t="shared" si="29"/>
        <v/>
      </c>
      <c r="AK24" s="11" t="e">
        <f t="shared" si="30"/>
        <v>#REF!</v>
      </c>
      <c r="AL24" s="11" t="str">
        <f t="shared" si="31"/>
        <v/>
      </c>
      <c r="AM24" s="11" t="e">
        <f t="shared" si="32"/>
        <v>#REF!</v>
      </c>
      <c r="AN24" s="11" t="str">
        <f t="shared" si="33"/>
        <v/>
      </c>
      <c r="AO24" s="11" t="e">
        <f t="shared" si="34"/>
        <v>#REF!</v>
      </c>
      <c r="AP24" s="11" t="str">
        <f t="shared" si="35"/>
        <v/>
      </c>
      <c r="AQ24" s="11" t="e">
        <f t="shared" si="36"/>
        <v>#REF!</v>
      </c>
      <c r="AR24" s="11" t="str">
        <f t="shared" si="37"/>
        <v/>
      </c>
      <c r="AS24" s="11" t="e">
        <f t="shared" si="38"/>
        <v>#REF!</v>
      </c>
      <c r="AT24" s="11" t="str">
        <f t="shared" si="39"/>
        <v/>
      </c>
      <c r="AU24" s="11" t="e">
        <f t="shared" si="40"/>
        <v>#REF!</v>
      </c>
      <c r="AV24" s="11" t="str">
        <f t="shared" si="41"/>
        <v/>
      </c>
      <c r="AW24" s="11" t="e">
        <f t="shared" si="42"/>
        <v>#REF!</v>
      </c>
      <c r="AX24" s="11" t="str">
        <f t="shared" si="43"/>
        <v/>
      </c>
      <c r="AY24" s="11" t="e">
        <f t="shared" si="44"/>
        <v>#REF!</v>
      </c>
      <c r="AZ24" s="11" t="str">
        <f t="shared" si="45"/>
        <v/>
      </c>
      <c r="BA24" s="11" t="e">
        <f t="shared" si="46"/>
        <v>#REF!</v>
      </c>
      <c r="BB24" s="11" t="str">
        <f t="shared" si="47"/>
        <v/>
      </c>
      <c r="BC24" s="11" t="e">
        <f t="shared" si="48"/>
        <v>#REF!</v>
      </c>
      <c r="BD24" s="11" t="str">
        <f t="shared" si="49"/>
        <v/>
      </c>
      <c r="BE24" s="11" t="e">
        <f t="shared" si="50"/>
        <v>#REF!</v>
      </c>
      <c r="BF24" s="11" t="str">
        <f t="shared" si="51"/>
        <v/>
      </c>
      <c r="BG24" s="11" t="e">
        <f t="shared" si="52"/>
        <v>#REF!</v>
      </c>
      <c r="BH24" s="11" t="str">
        <f t="shared" si="53"/>
        <v/>
      </c>
      <c r="BI24" s="11" t="e">
        <f t="shared" si="54"/>
        <v>#REF!</v>
      </c>
      <c r="BJ24" s="11" t="str">
        <f t="shared" si="55"/>
        <v/>
      </c>
      <c r="BK24" s="11" t="e">
        <f t="shared" si="56"/>
        <v>#REF!</v>
      </c>
      <c r="BL24" s="11" t="str">
        <f t="shared" si="57"/>
        <v/>
      </c>
      <c r="BM24" s="22" t="e">
        <f t="shared" si="59"/>
        <v>#REF!</v>
      </c>
      <c r="BN24" s="113" t="e">
        <f t="shared" si="60"/>
        <v>#REF!</v>
      </c>
      <c r="BO24" s="41" t="e">
        <f t="shared" si="61"/>
        <v>#REF!</v>
      </c>
      <c r="BP24" s="15" t="str">
        <f t="shared" si="62"/>
        <v/>
      </c>
      <c r="BQ24" s="101" t="e">
        <f t="shared" si="63"/>
        <v>#REF!</v>
      </c>
      <c r="BR24" s="15" t="str">
        <f>IF('ריכוז נתונים כללים'!$W24='ריכוז נתונים כללים'!$AN$16,MIN(BP24,'ריכוז נתונים כללים'!$AB24),BP24)</f>
        <v/>
      </c>
      <c r="BS24" s="15" t="e">
        <f>IF($C24="","",IF('ריכוז נתונים כללים'!$W24='ריכוז נתונים כללים'!$AN$16,BR24,BR24+($C$3-BR$77)*(BR24/(BR$77-SUMIF('ריכוז נתונים כללים'!$W$17:$W$76,'ריכוז נתונים כללים'!$AN$16,BR$17:BR$76)))))</f>
        <v>#REF!</v>
      </c>
    </row>
    <row r="25" spans="2:71" x14ac:dyDescent="0.25">
      <c r="B25" s="7">
        <f>'ריכוז נתונים'!C25</f>
        <v>9</v>
      </c>
      <c r="C25" s="7" t="e">
        <f>#REF!</f>
        <v>#REF!</v>
      </c>
      <c r="D25" s="22" t="e">
        <f>IF(C25="","",#REF!)</f>
        <v>#REF!</v>
      </c>
      <c r="E25" s="22" t="e">
        <f>IF(C25="","",#REF!)</f>
        <v>#REF!</v>
      </c>
      <c r="F25" s="22" t="str">
        <f t="shared" si="1"/>
        <v/>
      </c>
      <c r="G25" s="11" t="e">
        <f t="shared" si="58"/>
        <v>#REF!</v>
      </c>
      <c r="H25" s="11" t="str">
        <f t="shared" si="2"/>
        <v/>
      </c>
      <c r="I25" s="11" t="e">
        <f t="shared" si="58"/>
        <v>#REF!</v>
      </c>
      <c r="J25" s="11" t="str">
        <f t="shared" si="3"/>
        <v/>
      </c>
      <c r="K25" s="11" t="e">
        <f t="shared" si="4"/>
        <v>#REF!</v>
      </c>
      <c r="L25" s="11" t="str">
        <f t="shared" si="5"/>
        <v/>
      </c>
      <c r="M25" s="11" t="e">
        <f t="shared" si="6"/>
        <v>#REF!</v>
      </c>
      <c r="N25" s="11" t="str">
        <f t="shared" si="7"/>
        <v/>
      </c>
      <c r="O25" s="11" t="e">
        <f t="shared" si="8"/>
        <v>#REF!</v>
      </c>
      <c r="P25" s="11" t="str">
        <f t="shared" si="9"/>
        <v/>
      </c>
      <c r="Q25" s="11" t="e">
        <f t="shared" si="10"/>
        <v>#REF!</v>
      </c>
      <c r="R25" s="11" t="str">
        <f t="shared" si="11"/>
        <v/>
      </c>
      <c r="S25" s="11" t="e">
        <f t="shared" si="12"/>
        <v>#REF!</v>
      </c>
      <c r="T25" s="11" t="str">
        <f t="shared" si="13"/>
        <v/>
      </c>
      <c r="U25" s="11" t="e">
        <f t="shared" si="14"/>
        <v>#REF!</v>
      </c>
      <c r="V25" s="11" t="str">
        <f t="shared" si="15"/>
        <v/>
      </c>
      <c r="W25" s="11" t="e">
        <f t="shared" si="16"/>
        <v>#REF!</v>
      </c>
      <c r="X25" s="11" t="str">
        <f t="shared" si="17"/>
        <v/>
      </c>
      <c r="Y25" s="11" t="e">
        <f t="shared" si="18"/>
        <v>#REF!</v>
      </c>
      <c r="Z25" s="11" t="str">
        <f t="shared" si="19"/>
        <v/>
      </c>
      <c r="AA25" s="11" t="e">
        <f t="shared" si="20"/>
        <v>#REF!</v>
      </c>
      <c r="AB25" s="11" t="str">
        <f t="shared" si="21"/>
        <v/>
      </c>
      <c r="AC25" s="11" t="e">
        <f t="shared" si="22"/>
        <v>#REF!</v>
      </c>
      <c r="AD25" s="11" t="str">
        <f t="shared" si="23"/>
        <v/>
      </c>
      <c r="AE25" s="11" t="e">
        <f t="shared" si="24"/>
        <v>#REF!</v>
      </c>
      <c r="AF25" s="11" t="str">
        <f t="shared" si="25"/>
        <v/>
      </c>
      <c r="AG25" s="11" t="e">
        <f t="shared" si="26"/>
        <v>#REF!</v>
      </c>
      <c r="AH25" s="11" t="str">
        <f t="shared" si="27"/>
        <v/>
      </c>
      <c r="AI25" s="11" t="e">
        <f t="shared" si="28"/>
        <v>#REF!</v>
      </c>
      <c r="AJ25" s="11" t="str">
        <f t="shared" si="29"/>
        <v/>
      </c>
      <c r="AK25" s="11" t="e">
        <f t="shared" si="30"/>
        <v>#REF!</v>
      </c>
      <c r="AL25" s="11" t="str">
        <f t="shared" si="31"/>
        <v/>
      </c>
      <c r="AM25" s="11" t="e">
        <f t="shared" si="32"/>
        <v>#REF!</v>
      </c>
      <c r="AN25" s="11" t="str">
        <f t="shared" si="33"/>
        <v/>
      </c>
      <c r="AO25" s="11" t="e">
        <f t="shared" si="34"/>
        <v>#REF!</v>
      </c>
      <c r="AP25" s="11" t="str">
        <f t="shared" si="35"/>
        <v/>
      </c>
      <c r="AQ25" s="11" t="e">
        <f t="shared" si="36"/>
        <v>#REF!</v>
      </c>
      <c r="AR25" s="11" t="str">
        <f t="shared" si="37"/>
        <v/>
      </c>
      <c r="AS25" s="11" t="e">
        <f t="shared" si="38"/>
        <v>#REF!</v>
      </c>
      <c r="AT25" s="11" t="str">
        <f t="shared" si="39"/>
        <v/>
      </c>
      <c r="AU25" s="11" t="e">
        <f t="shared" si="40"/>
        <v>#REF!</v>
      </c>
      <c r="AV25" s="11" t="str">
        <f t="shared" si="41"/>
        <v/>
      </c>
      <c r="AW25" s="11" t="e">
        <f t="shared" si="42"/>
        <v>#REF!</v>
      </c>
      <c r="AX25" s="11" t="str">
        <f t="shared" si="43"/>
        <v/>
      </c>
      <c r="AY25" s="11" t="e">
        <f t="shared" si="44"/>
        <v>#REF!</v>
      </c>
      <c r="AZ25" s="11" t="str">
        <f t="shared" si="45"/>
        <v/>
      </c>
      <c r="BA25" s="11" t="e">
        <f t="shared" si="46"/>
        <v>#REF!</v>
      </c>
      <c r="BB25" s="11" t="str">
        <f t="shared" si="47"/>
        <v/>
      </c>
      <c r="BC25" s="11" t="e">
        <f t="shared" si="48"/>
        <v>#REF!</v>
      </c>
      <c r="BD25" s="11" t="str">
        <f t="shared" si="49"/>
        <v/>
      </c>
      <c r="BE25" s="11" t="e">
        <f t="shared" si="50"/>
        <v>#REF!</v>
      </c>
      <c r="BF25" s="11" t="str">
        <f t="shared" si="51"/>
        <v/>
      </c>
      <c r="BG25" s="11" t="e">
        <f t="shared" si="52"/>
        <v>#REF!</v>
      </c>
      <c r="BH25" s="11" t="str">
        <f t="shared" si="53"/>
        <v/>
      </c>
      <c r="BI25" s="11" t="e">
        <f t="shared" si="54"/>
        <v>#REF!</v>
      </c>
      <c r="BJ25" s="11" t="str">
        <f t="shared" si="55"/>
        <v/>
      </c>
      <c r="BK25" s="11" t="e">
        <f t="shared" si="56"/>
        <v>#REF!</v>
      </c>
      <c r="BL25" s="11" t="str">
        <f t="shared" si="57"/>
        <v/>
      </c>
      <c r="BM25" s="22" t="e">
        <f t="shared" si="59"/>
        <v>#REF!</v>
      </c>
      <c r="BN25" s="113" t="e">
        <f t="shared" si="60"/>
        <v>#REF!</v>
      </c>
      <c r="BO25" s="41" t="e">
        <f t="shared" si="61"/>
        <v>#REF!</v>
      </c>
      <c r="BP25" s="15" t="str">
        <f t="shared" si="62"/>
        <v/>
      </c>
      <c r="BQ25" s="101" t="e">
        <f t="shared" si="63"/>
        <v>#REF!</v>
      </c>
      <c r="BR25" s="15" t="str">
        <f>IF('ריכוז נתונים כללים'!$W25='ריכוז נתונים כללים'!$AN$16,MIN(BP25,'ריכוז נתונים כללים'!$AB25),BP25)</f>
        <v/>
      </c>
      <c r="BS25" s="15" t="e">
        <f>IF($C25="","",IF('ריכוז נתונים כללים'!$W25='ריכוז נתונים כללים'!$AN$16,BR25,BR25+($C$3-BR$77)*(BR25/(BR$77-SUMIF('ריכוז נתונים כללים'!$W$17:$W$76,'ריכוז נתונים כללים'!$AN$16,BR$17:BR$76)))))</f>
        <v>#REF!</v>
      </c>
    </row>
    <row r="26" spans="2:71" x14ac:dyDescent="0.25">
      <c r="B26" s="7">
        <f>'ריכוז נתונים'!C26</f>
        <v>10</v>
      </c>
      <c r="C26" s="7" t="e">
        <f>#REF!</f>
        <v>#REF!</v>
      </c>
      <c r="D26" s="22" t="e">
        <f>IF(C26="","",#REF!)</f>
        <v>#REF!</v>
      </c>
      <c r="E26" s="22" t="e">
        <f>IF(C26="","",#REF!)</f>
        <v>#REF!</v>
      </c>
      <c r="F26" s="22" t="str">
        <f t="shared" si="1"/>
        <v/>
      </c>
      <c r="G26" s="11" t="e">
        <f t="shared" si="58"/>
        <v>#REF!</v>
      </c>
      <c r="H26" s="11" t="str">
        <f t="shared" si="2"/>
        <v/>
      </c>
      <c r="I26" s="11" t="e">
        <f t="shared" si="58"/>
        <v>#REF!</v>
      </c>
      <c r="J26" s="11" t="str">
        <f t="shared" si="3"/>
        <v/>
      </c>
      <c r="K26" s="11" t="e">
        <f t="shared" si="4"/>
        <v>#REF!</v>
      </c>
      <c r="L26" s="11" t="str">
        <f t="shared" si="5"/>
        <v/>
      </c>
      <c r="M26" s="11" t="e">
        <f t="shared" si="6"/>
        <v>#REF!</v>
      </c>
      <c r="N26" s="11" t="str">
        <f t="shared" si="7"/>
        <v/>
      </c>
      <c r="O26" s="11" t="e">
        <f t="shared" si="8"/>
        <v>#REF!</v>
      </c>
      <c r="P26" s="11" t="str">
        <f t="shared" si="9"/>
        <v/>
      </c>
      <c r="Q26" s="11" t="e">
        <f t="shared" si="10"/>
        <v>#REF!</v>
      </c>
      <c r="R26" s="11" t="str">
        <f t="shared" si="11"/>
        <v/>
      </c>
      <c r="S26" s="11" t="e">
        <f t="shared" si="12"/>
        <v>#REF!</v>
      </c>
      <c r="T26" s="11" t="str">
        <f t="shared" si="13"/>
        <v/>
      </c>
      <c r="U26" s="11" t="e">
        <f t="shared" si="14"/>
        <v>#REF!</v>
      </c>
      <c r="V26" s="11" t="str">
        <f t="shared" si="15"/>
        <v/>
      </c>
      <c r="W26" s="11" t="e">
        <f t="shared" si="16"/>
        <v>#REF!</v>
      </c>
      <c r="X26" s="11" t="str">
        <f t="shared" si="17"/>
        <v/>
      </c>
      <c r="Y26" s="11" t="e">
        <f t="shared" si="18"/>
        <v>#REF!</v>
      </c>
      <c r="Z26" s="11" t="str">
        <f t="shared" si="19"/>
        <v/>
      </c>
      <c r="AA26" s="11" t="e">
        <f t="shared" si="20"/>
        <v>#REF!</v>
      </c>
      <c r="AB26" s="11" t="str">
        <f t="shared" si="21"/>
        <v/>
      </c>
      <c r="AC26" s="11" t="e">
        <f t="shared" si="22"/>
        <v>#REF!</v>
      </c>
      <c r="AD26" s="11" t="str">
        <f t="shared" si="23"/>
        <v/>
      </c>
      <c r="AE26" s="11" t="e">
        <f t="shared" si="24"/>
        <v>#REF!</v>
      </c>
      <c r="AF26" s="11" t="str">
        <f t="shared" si="25"/>
        <v/>
      </c>
      <c r="AG26" s="11" t="e">
        <f t="shared" si="26"/>
        <v>#REF!</v>
      </c>
      <c r="AH26" s="11" t="str">
        <f t="shared" si="27"/>
        <v/>
      </c>
      <c r="AI26" s="11" t="e">
        <f t="shared" si="28"/>
        <v>#REF!</v>
      </c>
      <c r="AJ26" s="11" t="str">
        <f t="shared" si="29"/>
        <v/>
      </c>
      <c r="AK26" s="11" t="e">
        <f t="shared" si="30"/>
        <v>#REF!</v>
      </c>
      <c r="AL26" s="11" t="str">
        <f t="shared" si="31"/>
        <v/>
      </c>
      <c r="AM26" s="11" t="e">
        <f t="shared" si="32"/>
        <v>#REF!</v>
      </c>
      <c r="AN26" s="11" t="str">
        <f t="shared" si="33"/>
        <v/>
      </c>
      <c r="AO26" s="11" t="e">
        <f t="shared" si="34"/>
        <v>#REF!</v>
      </c>
      <c r="AP26" s="11" t="str">
        <f t="shared" si="35"/>
        <v/>
      </c>
      <c r="AQ26" s="11" t="e">
        <f t="shared" si="36"/>
        <v>#REF!</v>
      </c>
      <c r="AR26" s="11" t="str">
        <f t="shared" si="37"/>
        <v/>
      </c>
      <c r="AS26" s="11" t="e">
        <f t="shared" si="38"/>
        <v>#REF!</v>
      </c>
      <c r="AT26" s="11" t="str">
        <f t="shared" si="39"/>
        <v/>
      </c>
      <c r="AU26" s="11" t="e">
        <f t="shared" si="40"/>
        <v>#REF!</v>
      </c>
      <c r="AV26" s="11" t="str">
        <f t="shared" si="41"/>
        <v/>
      </c>
      <c r="AW26" s="11" t="e">
        <f t="shared" si="42"/>
        <v>#REF!</v>
      </c>
      <c r="AX26" s="11" t="str">
        <f t="shared" si="43"/>
        <v/>
      </c>
      <c r="AY26" s="11" t="e">
        <f t="shared" si="44"/>
        <v>#REF!</v>
      </c>
      <c r="AZ26" s="11" t="str">
        <f t="shared" si="45"/>
        <v/>
      </c>
      <c r="BA26" s="11" t="e">
        <f t="shared" si="46"/>
        <v>#REF!</v>
      </c>
      <c r="BB26" s="11" t="str">
        <f t="shared" si="47"/>
        <v/>
      </c>
      <c r="BC26" s="11" t="e">
        <f t="shared" si="48"/>
        <v>#REF!</v>
      </c>
      <c r="BD26" s="11" t="str">
        <f t="shared" si="49"/>
        <v/>
      </c>
      <c r="BE26" s="11" t="e">
        <f t="shared" si="50"/>
        <v>#REF!</v>
      </c>
      <c r="BF26" s="11" t="str">
        <f t="shared" si="51"/>
        <v/>
      </c>
      <c r="BG26" s="11" t="e">
        <f t="shared" si="52"/>
        <v>#REF!</v>
      </c>
      <c r="BH26" s="11" t="str">
        <f t="shared" si="53"/>
        <v/>
      </c>
      <c r="BI26" s="11" t="e">
        <f t="shared" si="54"/>
        <v>#REF!</v>
      </c>
      <c r="BJ26" s="11" t="str">
        <f t="shared" si="55"/>
        <v/>
      </c>
      <c r="BK26" s="11" t="e">
        <f t="shared" si="56"/>
        <v>#REF!</v>
      </c>
      <c r="BL26" s="11" t="str">
        <f t="shared" si="57"/>
        <v/>
      </c>
      <c r="BM26" s="22" t="e">
        <f t="shared" si="59"/>
        <v>#REF!</v>
      </c>
      <c r="BN26" s="113" t="e">
        <f t="shared" si="60"/>
        <v>#REF!</v>
      </c>
      <c r="BO26" s="41" t="e">
        <f t="shared" si="61"/>
        <v>#REF!</v>
      </c>
      <c r="BP26" s="15" t="str">
        <f t="shared" si="62"/>
        <v/>
      </c>
      <c r="BQ26" s="101" t="e">
        <f t="shared" si="63"/>
        <v>#REF!</v>
      </c>
      <c r="BR26" s="15" t="str">
        <f>IF('ריכוז נתונים כללים'!$W26='ריכוז נתונים כללים'!$AN$16,MIN(BP26,'ריכוז נתונים כללים'!$AB26),BP26)</f>
        <v/>
      </c>
      <c r="BS26" s="15" t="e">
        <f>IF($C26="","",IF('ריכוז נתונים כללים'!$W26='ריכוז נתונים כללים'!$AN$16,BR26,BR26+($C$3-BR$77)*(BR26/(BR$77-SUMIF('ריכוז נתונים כללים'!$W$17:$W$76,'ריכוז נתונים כללים'!$AN$16,BR$17:BR$76)))))</f>
        <v>#REF!</v>
      </c>
    </row>
    <row r="27" spans="2:71" x14ac:dyDescent="0.25">
      <c r="B27" s="7">
        <f>'ריכוז נתונים'!C27</f>
        <v>11</v>
      </c>
      <c r="C27" s="7" t="e">
        <f>#REF!</f>
        <v>#REF!</v>
      </c>
      <c r="D27" s="22" t="e">
        <f>IF(C27="","",#REF!)</f>
        <v>#REF!</v>
      </c>
      <c r="E27" s="22" t="e">
        <f>IF(C27="","",#REF!)</f>
        <v>#REF!</v>
      </c>
      <c r="F27" s="22" t="str">
        <f t="shared" si="1"/>
        <v/>
      </c>
      <c r="G27" s="11" t="e">
        <f t="shared" si="58"/>
        <v>#REF!</v>
      </c>
      <c r="H27" s="11" t="str">
        <f t="shared" si="2"/>
        <v/>
      </c>
      <c r="I27" s="11" t="e">
        <f t="shared" si="58"/>
        <v>#REF!</v>
      </c>
      <c r="J27" s="11" t="str">
        <f t="shared" si="3"/>
        <v/>
      </c>
      <c r="K27" s="11" t="e">
        <f t="shared" si="4"/>
        <v>#REF!</v>
      </c>
      <c r="L27" s="11" t="str">
        <f t="shared" si="5"/>
        <v/>
      </c>
      <c r="M27" s="11" t="e">
        <f t="shared" si="6"/>
        <v>#REF!</v>
      </c>
      <c r="N27" s="11" t="str">
        <f t="shared" si="7"/>
        <v/>
      </c>
      <c r="O27" s="11" t="e">
        <f t="shared" si="8"/>
        <v>#REF!</v>
      </c>
      <c r="P27" s="11" t="str">
        <f t="shared" si="9"/>
        <v/>
      </c>
      <c r="Q27" s="11" t="e">
        <f t="shared" si="10"/>
        <v>#REF!</v>
      </c>
      <c r="R27" s="11" t="str">
        <f t="shared" si="11"/>
        <v/>
      </c>
      <c r="S27" s="11" t="e">
        <f t="shared" si="12"/>
        <v>#REF!</v>
      </c>
      <c r="T27" s="11" t="str">
        <f t="shared" si="13"/>
        <v/>
      </c>
      <c r="U27" s="11" t="e">
        <f t="shared" si="14"/>
        <v>#REF!</v>
      </c>
      <c r="V27" s="11" t="str">
        <f t="shared" si="15"/>
        <v/>
      </c>
      <c r="W27" s="11" t="e">
        <f t="shared" si="16"/>
        <v>#REF!</v>
      </c>
      <c r="X27" s="11" t="str">
        <f t="shared" si="17"/>
        <v/>
      </c>
      <c r="Y27" s="11" t="e">
        <f t="shared" si="18"/>
        <v>#REF!</v>
      </c>
      <c r="Z27" s="11" t="str">
        <f t="shared" si="19"/>
        <v/>
      </c>
      <c r="AA27" s="11" t="e">
        <f t="shared" si="20"/>
        <v>#REF!</v>
      </c>
      <c r="AB27" s="11" t="str">
        <f t="shared" si="21"/>
        <v/>
      </c>
      <c r="AC27" s="11" t="e">
        <f t="shared" si="22"/>
        <v>#REF!</v>
      </c>
      <c r="AD27" s="11" t="str">
        <f t="shared" si="23"/>
        <v/>
      </c>
      <c r="AE27" s="11" t="e">
        <f t="shared" si="24"/>
        <v>#REF!</v>
      </c>
      <c r="AF27" s="11" t="str">
        <f t="shared" si="25"/>
        <v/>
      </c>
      <c r="AG27" s="11" t="e">
        <f t="shared" si="26"/>
        <v>#REF!</v>
      </c>
      <c r="AH27" s="11" t="str">
        <f t="shared" si="27"/>
        <v/>
      </c>
      <c r="AI27" s="11" t="e">
        <f t="shared" si="28"/>
        <v>#REF!</v>
      </c>
      <c r="AJ27" s="11" t="str">
        <f t="shared" si="29"/>
        <v/>
      </c>
      <c r="AK27" s="11" t="e">
        <f t="shared" si="30"/>
        <v>#REF!</v>
      </c>
      <c r="AL27" s="11" t="str">
        <f t="shared" si="31"/>
        <v/>
      </c>
      <c r="AM27" s="11" t="e">
        <f t="shared" si="32"/>
        <v>#REF!</v>
      </c>
      <c r="AN27" s="11" t="str">
        <f t="shared" si="33"/>
        <v/>
      </c>
      <c r="AO27" s="11" t="e">
        <f t="shared" si="34"/>
        <v>#REF!</v>
      </c>
      <c r="AP27" s="11" t="str">
        <f t="shared" si="35"/>
        <v/>
      </c>
      <c r="AQ27" s="11" t="e">
        <f t="shared" si="36"/>
        <v>#REF!</v>
      </c>
      <c r="AR27" s="11" t="str">
        <f t="shared" si="37"/>
        <v/>
      </c>
      <c r="AS27" s="11" t="e">
        <f t="shared" si="38"/>
        <v>#REF!</v>
      </c>
      <c r="AT27" s="11" t="str">
        <f t="shared" si="39"/>
        <v/>
      </c>
      <c r="AU27" s="11" t="e">
        <f t="shared" si="40"/>
        <v>#REF!</v>
      </c>
      <c r="AV27" s="11" t="str">
        <f t="shared" si="41"/>
        <v/>
      </c>
      <c r="AW27" s="11" t="e">
        <f t="shared" si="42"/>
        <v>#REF!</v>
      </c>
      <c r="AX27" s="11" t="str">
        <f t="shared" si="43"/>
        <v/>
      </c>
      <c r="AY27" s="11" t="e">
        <f t="shared" si="44"/>
        <v>#REF!</v>
      </c>
      <c r="AZ27" s="11" t="str">
        <f t="shared" si="45"/>
        <v/>
      </c>
      <c r="BA27" s="11" t="e">
        <f t="shared" si="46"/>
        <v>#REF!</v>
      </c>
      <c r="BB27" s="11" t="str">
        <f t="shared" si="47"/>
        <v/>
      </c>
      <c r="BC27" s="11" t="e">
        <f t="shared" si="48"/>
        <v>#REF!</v>
      </c>
      <c r="BD27" s="11" t="str">
        <f t="shared" si="49"/>
        <v/>
      </c>
      <c r="BE27" s="11" t="e">
        <f t="shared" si="50"/>
        <v>#REF!</v>
      </c>
      <c r="BF27" s="11" t="str">
        <f t="shared" si="51"/>
        <v/>
      </c>
      <c r="BG27" s="11" t="e">
        <f t="shared" si="52"/>
        <v>#REF!</v>
      </c>
      <c r="BH27" s="11" t="str">
        <f t="shared" si="53"/>
        <v/>
      </c>
      <c r="BI27" s="11" t="e">
        <f t="shared" si="54"/>
        <v>#REF!</v>
      </c>
      <c r="BJ27" s="11" t="str">
        <f t="shared" si="55"/>
        <v/>
      </c>
      <c r="BK27" s="11" t="e">
        <f t="shared" si="56"/>
        <v>#REF!</v>
      </c>
      <c r="BL27" s="11" t="str">
        <f t="shared" si="57"/>
        <v/>
      </c>
      <c r="BM27" s="22" t="e">
        <f t="shared" si="59"/>
        <v>#REF!</v>
      </c>
      <c r="BN27" s="113" t="e">
        <f t="shared" si="60"/>
        <v>#REF!</v>
      </c>
      <c r="BO27" s="41" t="e">
        <f t="shared" si="61"/>
        <v>#REF!</v>
      </c>
      <c r="BP27" s="15" t="str">
        <f t="shared" si="62"/>
        <v/>
      </c>
      <c r="BQ27" s="101" t="e">
        <f t="shared" si="63"/>
        <v>#REF!</v>
      </c>
      <c r="BR27" s="15" t="str">
        <f>IF('ריכוז נתונים כללים'!$W27='ריכוז נתונים כללים'!$AN$16,MIN(BP27,'ריכוז נתונים כללים'!$AB27),BP27)</f>
        <v/>
      </c>
      <c r="BS27" s="15" t="e">
        <f>IF($C27="","",IF('ריכוז נתונים כללים'!$W27='ריכוז נתונים כללים'!$AN$16,BR27,BR27+($C$3-BR$77)*(BR27/(BR$77-SUMIF('ריכוז נתונים כללים'!$W$17:$W$76,'ריכוז נתונים כללים'!$AN$16,BR$17:BR$76)))))</f>
        <v>#REF!</v>
      </c>
    </row>
    <row r="28" spans="2:71" x14ac:dyDescent="0.25">
      <c r="B28" s="7">
        <f>'ריכוז נתונים'!C28</f>
        <v>12</v>
      </c>
      <c r="C28" s="7" t="e">
        <f>#REF!</f>
        <v>#REF!</v>
      </c>
      <c r="D28" s="22" t="e">
        <f>IF(C28="","",#REF!)</f>
        <v>#REF!</v>
      </c>
      <c r="E28" s="22" t="e">
        <f>IF(C28="","",#REF!)</f>
        <v>#REF!</v>
      </c>
      <c r="F28" s="22" t="str">
        <f t="shared" si="1"/>
        <v/>
      </c>
      <c r="G28" s="11" t="e">
        <f t="shared" si="58"/>
        <v>#REF!</v>
      </c>
      <c r="H28" s="11" t="str">
        <f t="shared" si="2"/>
        <v/>
      </c>
      <c r="I28" s="11" t="e">
        <f t="shared" si="58"/>
        <v>#REF!</v>
      </c>
      <c r="J28" s="11" t="str">
        <f t="shared" si="3"/>
        <v/>
      </c>
      <c r="K28" s="11" t="e">
        <f t="shared" si="4"/>
        <v>#REF!</v>
      </c>
      <c r="L28" s="11" t="str">
        <f t="shared" si="5"/>
        <v/>
      </c>
      <c r="M28" s="11" t="e">
        <f t="shared" si="6"/>
        <v>#REF!</v>
      </c>
      <c r="N28" s="11" t="str">
        <f t="shared" si="7"/>
        <v/>
      </c>
      <c r="O28" s="11" t="e">
        <f t="shared" si="8"/>
        <v>#REF!</v>
      </c>
      <c r="P28" s="11" t="str">
        <f t="shared" si="9"/>
        <v/>
      </c>
      <c r="Q28" s="11" t="e">
        <f t="shared" si="10"/>
        <v>#REF!</v>
      </c>
      <c r="R28" s="11" t="str">
        <f t="shared" si="11"/>
        <v/>
      </c>
      <c r="S28" s="11" t="e">
        <f t="shared" si="12"/>
        <v>#REF!</v>
      </c>
      <c r="T28" s="11" t="str">
        <f t="shared" si="13"/>
        <v/>
      </c>
      <c r="U28" s="11" t="e">
        <f t="shared" si="14"/>
        <v>#REF!</v>
      </c>
      <c r="V28" s="11" t="str">
        <f t="shared" si="15"/>
        <v/>
      </c>
      <c r="W28" s="11" t="e">
        <f t="shared" si="16"/>
        <v>#REF!</v>
      </c>
      <c r="X28" s="11" t="str">
        <f t="shared" si="17"/>
        <v/>
      </c>
      <c r="Y28" s="11" t="e">
        <f t="shared" si="18"/>
        <v>#REF!</v>
      </c>
      <c r="Z28" s="11" t="str">
        <f t="shared" si="19"/>
        <v/>
      </c>
      <c r="AA28" s="11" t="e">
        <f t="shared" si="20"/>
        <v>#REF!</v>
      </c>
      <c r="AB28" s="11" t="str">
        <f t="shared" si="21"/>
        <v/>
      </c>
      <c r="AC28" s="11" t="e">
        <f t="shared" si="22"/>
        <v>#REF!</v>
      </c>
      <c r="AD28" s="11" t="str">
        <f t="shared" si="23"/>
        <v/>
      </c>
      <c r="AE28" s="11" t="e">
        <f t="shared" si="24"/>
        <v>#REF!</v>
      </c>
      <c r="AF28" s="11" t="str">
        <f t="shared" si="25"/>
        <v/>
      </c>
      <c r="AG28" s="11" t="e">
        <f t="shared" si="26"/>
        <v>#REF!</v>
      </c>
      <c r="AH28" s="11" t="str">
        <f t="shared" si="27"/>
        <v/>
      </c>
      <c r="AI28" s="11" t="e">
        <f t="shared" si="28"/>
        <v>#REF!</v>
      </c>
      <c r="AJ28" s="11" t="str">
        <f t="shared" si="29"/>
        <v/>
      </c>
      <c r="AK28" s="11" t="e">
        <f t="shared" si="30"/>
        <v>#REF!</v>
      </c>
      <c r="AL28" s="11" t="str">
        <f t="shared" si="31"/>
        <v/>
      </c>
      <c r="AM28" s="11" t="e">
        <f t="shared" si="32"/>
        <v>#REF!</v>
      </c>
      <c r="AN28" s="11" t="str">
        <f t="shared" si="33"/>
        <v/>
      </c>
      <c r="AO28" s="11" t="e">
        <f t="shared" si="34"/>
        <v>#REF!</v>
      </c>
      <c r="AP28" s="11" t="str">
        <f t="shared" si="35"/>
        <v/>
      </c>
      <c r="AQ28" s="11" t="e">
        <f t="shared" si="36"/>
        <v>#REF!</v>
      </c>
      <c r="AR28" s="11" t="str">
        <f t="shared" si="37"/>
        <v/>
      </c>
      <c r="AS28" s="11" t="e">
        <f t="shared" si="38"/>
        <v>#REF!</v>
      </c>
      <c r="AT28" s="11" t="str">
        <f t="shared" si="39"/>
        <v/>
      </c>
      <c r="AU28" s="11" t="e">
        <f t="shared" si="40"/>
        <v>#REF!</v>
      </c>
      <c r="AV28" s="11" t="str">
        <f t="shared" si="41"/>
        <v/>
      </c>
      <c r="AW28" s="11" t="e">
        <f t="shared" si="42"/>
        <v>#REF!</v>
      </c>
      <c r="AX28" s="11" t="str">
        <f t="shared" si="43"/>
        <v/>
      </c>
      <c r="AY28" s="11" t="e">
        <f t="shared" si="44"/>
        <v>#REF!</v>
      </c>
      <c r="AZ28" s="11" t="str">
        <f t="shared" si="45"/>
        <v/>
      </c>
      <c r="BA28" s="11" t="e">
        <f t="shared" si="46"/>
        <v>#REF!</v>
      </c>
      <c r="BB28" s="11" t="str">
        <f t="shared" si="47"/>
        <v/>
      </c>
      <c r="BC28" s="11" t="e">
        <f t="shared" si="48"/>
        <v>#REF!</v>
      </c>
      <c r="BD28" s="11" t="str">
        <f t="shared" si="49"/>
        <v/>
      </c>
      <c r="BE28" s="11" t="e">
        <f t="shared" si="50"/>
        <v>#REF!</v>
      </c>
      <c r="BF28" s="11" t="str">
        <f t="shared" si="51"/>
        <v/>
      </c>
      <c r="BG28" s="11" t="e">
        <f t="shared" si="52"/>
        <v>#REF!</v>
      </c>
      <c r="BH28" s="11" t="str">
        <f t="shared" si="53"/>
        <v/>
      </c>
      <c r="BI28" s="11" t="e">
        <f t="shared" si="54"/>
        <v>#REF!</v>
      </c>
      <c r="BJ28" s="11" t="str">
        <f t="shared" si="55"/>
        <v/>
      </c>
      <c r="BK28" s="11" t="e">
        <f t="shared" si="56"/>
        <v>#REF!</v>
      </c>
      <c r="BL28" s="11" t="str">
        <f t="shared" si="57"/>
        <v/>
      </c>
      <c r="BM28" s="22" t="e">
        <f t="shared" si="59"/>
        <v>#REF!</v>
      </c>
      <c r="BN28" s="113" t="e">
        <f t="shared" si="60"/>
        <v>#REF!</v>
      </c>
      <c r="BO28" s="41" t="e">
        <f t="shared" si="61"/>
        <v>#REF!</v>
      </c>
      <c r="BP28" s="15" t="str">
        <f t="shared" si="62"/>
        <v/>
      </c>
      <c r="BQ28" s="101" t="e">
        <f t="shared" si="63"/>
        <v>#REF!</v>
      </c>
      <c r="BR28" s="15" t="str">
        <f>IF('ריכוז נתונים כללים'!$W28='ריכוז נתונים כללים'!$AN$16,MIN(BP28,'ריכוז נתונים כללים'!$AB28),BP28)</f>
        <v/>
      </c>
      <c r="BS28" s="15" t="e">
        <f>IF($C28="","",IF('ריכוז נתונים כללים'!$W28='ריכוז נתונים כללים'!$AN$16,BR28,BR28+($C$3-BR$77)*(BR28/(BR$77-SUMIF('ריכוז נתונים כללים'!$W$17:$W$76,'ריכוז נתונים כללים'!$AN$16,BR$17:BR$76)))))</f>
        <v>#REF!</v>
      </c>
    </row>
    <row r="29" spans="2:71" x14ac:dyDescent="0.25">
      <c r="B29" s="7">
        <f>'ריכוז נתונים'!C29</f>
        <v>13</v>
      </c>
      <c r="C29" s="7" t="e">
        <f>#REF!</f>
        <v>#REF!</v>
      </c>
      <c r="D29" s="22" t="e">
        <f>IF(C29="","",#REF!)</f>
        <v>#REF!</v>
      </c>
      <c r="E29" s="22" t="e">
        <f>IF(C29="","",#REF!)</f>
        <v>#REF!</v>
      </c>
      <c r="F29" s="22" t="str">
        <f t="shared" si="1"/>
        <v/>
      </c>
      <c r="G29" s="11" t="e">
        <f t="shared" si="58"/>
        <v>#REF!</v>
      </c>
      <c r="H29" s="11" t="str">
        <f t="shared" si="2"/>
        <v/>
      </c>
      <c r="I29" s="11" t="e">
        <f t="shared" si="58"/>
        <v>#REF!</v>
      </c>
      <c r="J29" s="11" t="str">
        <f t="shared" si="3"/>
        <v/>
      </c>
      <c r="K29" s="11" t="e">
        <f t="shared" si="4"/>
        <v>#REF!</v>
      </c>
      <c r="L29" s="11" t="str">
        <f t="shared" si="5"/>
        <v/>
      </c>
      <c r="M29" s="11" t="e">
        <f t="shared" si="6"/>
        <v>#REF!</v>
      </c>
      <c r="N29" s="11" t="str">
        <f t="shared" si="7"/>
        <v/>
      </c>
      <c r="O29" s="11" t="e">
        <f t="shared" si="8"/>
        <v>#REF!</v>
      </c>
      <c r="P29" s="11" t="str">
        <f t="shared" si="9"/>
        <v/>
      </c>
      <c r="Q29" s="11" t="e">
        <f t="shared" si="10"/>
        <v>#REF!</v>
      </c>
      <c r="R29" s="11" t="str">
        <f t="shared" si="11"/>
        <v/>
      </c>
      <c r="S29" s="11" t="e">
        <f t="shared" si="12"/>
        <v>#REF!</v>
      </c>
      <c r="T29" s="11" t="str">
        <f t="shared" si="13"/>
        <v/>
      </c>
      <c r="U29" s="11" t="e">
        <f t="shared" si="14"/>
        <v>#REF!</v>
      </c>
      <c r="V29" s="11" t="str">
        <f t="shared" si="15"/>
        <v/>
      </c>
      <c r="W29" s="11" t="e">
        <f t="shared" si="16"/>
        <v>#REF!</v>
      </c>
      <c r="X29" s="11" t="str">
        <f t="shared" si="17"/>
        <v/>
      </c>
      <c r="Y29" s="11" t="e">
        <f t="shared" si="18"/>
        <v>#REF!</v>
      </c>
      <c r="Z29" s="11" t="str">
        <f t="shared" si="19"/>
        <v/>
      </c>
      <c r="AA29" s="11" t="e">
        <f t="shared" si="20"/>
        <v>#REF!</v>
      </c>
      <c r="AB29" s="11" t="str">
        <f t="shared" si="21"/>
        <v/>
      </c>
      <c r="AC29" s="11" t="e">
        <f t="shared" si="22"/>
        <v>#REF!</v>
      </c>
      <c r="AD29" s="11" t="str">
        <f t="shared" si="23"/>
        <v/>
      </c>
      <c r="AE29" s="11" t="e">
        <f t="shared" si="24"/>
        <v>#REF!</v>
      </c>
      <c r="AF29" s="11" t="str">
        <f t="shared" si="25"/>
        <v/>
      </c>
      <c r="AG29" s="11" t="e">
        <f t="shared" si="26"/>
        <v>#REF!</v>
      </c>
      <c r="AH29" s="11" t="str">
        <f t="shared" si="27"/>
        <v/>
      </c>
      <c r="AI29" s="11" t="e">
        <f t="shared" si="28"/>
        <v>#REF!</v>
      </c>
      <c r="AJ29" s="11" t="str">
        <f t="shared" si="29"/>
        <v/>
      </c>
      <c r="AK29" s="11" t="e">
        <f t="shared" si="30"/>
        <v>#REF!</v>
      </c>
      <c r="AL29" s="11" t="str">
        <f t="shared" si="31"/>
        <v/>
      </c>
      <c r="AM29" s="11" t="e">
        <f t="shared" si="32"/>
        <v>#REF!</v>
      </c>
      <c r="AN29" s="11" t="str">
        <f t="shared" si="33"/>
        <v/>
      </c>
      <c r="AO29" s="11" t="e">
        <f t="shared" si="34"/>
        <v>#REF!</v>
      </c>
      <c r="AP29" s="11" t="str">
        <f t="shared" si="35"/>
        <v/>
      </c>
      <c r="AQ29" s="11" t="e">
        <f t="shared" si="36"/>
        <v>#REF!</v>
      </c>
      <c r="AR29" s="11" t="str">
        <f t="shared" si="37"/>
        <v/>
      </c>
      <c r="AS29" s="11" t="e">
        <f t="shared" si="38"/>
        <v>#REF!</v>
      </c>
      <c r="AT29" s="11" t="str">
        <f t="shared" si="39"/>
        <v/>
      </c>
      <c r="AU29" s="11" t="e">
        <f t="shared" si="40"/>
        <v>#REF!</v>
      </c>
      <c r="AV29" s="11" t="str">
        <f t="shared" si="41"/>
        <v/>
      </c>
      <c r="AW29" s="11" t="e">
        <f t="shared" si="42"/>
        <v>#REF!</v>
      </c>
      <c r="AX29" s="11" t="str">
        <f t="shared" si="43"/>
        <v/>
      </c>
      <c r="AY29" s="11" t="e">
        <f t="shared" si="44"/>
        <v>#REF!</v>
      </c>
      <c r="AZ29" s="11" t="str">
        <f t="shared" si="45"/>
        <v/>
      </c>
      <c r="BA29" s="11" t="e">
        <f t="shared" si="46"/>
        <v>#REF!</v>
      </c>
      <c r="BB29" s="11" t="str">
        <f t="shared" si="47"/>
        <v/>
      </c>
      <c r="BC29" s="11" t="e">
        <f t="shared" si="48"/>
        <v>#REF!</v>
      </c>
      <c r="BD29" s="11" t="str">
        <f t="shared" si="49"/>
        <v/>
      </c>
      <c r="BE29" s="11" t="e">
        <f t="shared" si="50"/>
        <v>#REF!</v>
      </c>
      <c r="BF29" s="11" t="str">
        <f t="shared" si="51"/>
        <v/>
      </c>
      <c r="BG29" s="11" t="e">
        <f t="shared" si="52"/>
        <v>#REF!</v>
      </c>
      <c r="BH29" s="11" t="str">
        <f t="shared" si="53"/>
        <v/>
      </c>
      <c r="BI29" s="11" t="e">
        <f t="shared" si="54"/>
        <v>#REF!</v>
      </c>
      <c r="BJ29" s="11" t="str">
        <f t="shared" si="55"/>
        <v/>
      </c>
      <c r="BK29" s="11" t="e">
        <f t="shared" si="56"/>
        <v>#REF!</v>
      </c>
      <c r="BL29" s="11" t="str">
        <f t="shared" si="57"/>
        <v/>
      </c>
      <c r="BM29" s="22" t="e">
        <f t="shared" si="59"/>
        <v>#REF!</v>
      </c>
      <c r="BN29" s="113" t="e">
        <f t="shared" si="60"/>
        <v>#REF!</v>
      </c>
      <c r="BO29" s="41" t="e">
        <f t="shared" si="61"/>
        <v>#REF!</v>
      </c>
      <c r="BP29" s="15" t="str">
        <f t="shared" si="62"/>
        <v/>
      </c>
      <c r="BQ29" s="101" t="e">
        <f t="shared" si="63"/>
        <v>#REF!</v>
      </c>
      <c r="BR29" s="15" t="str">
        <f>IF('ריכוז נתונים כללים'!$W29='ריכוז נתונים כללים'!$AN$16,MIN(BP29,'ריכוז נתונים כללים'!$AB29),BP29)</f>
        <v/>
      </c>
      <c r="BS29" s="15" t="e">
        <f>IF($C29="","",IF('ריכוז נתונים כללים'!$W29='ריכוז נתונים כללים'!$AN$16,BR29,BR29+($C$3-BR$77)*(BR29/(BR$77-SUMIF('ריכוז נתונים כללים'!$W$17:$W$76,'ריכוז נתונים כללים'!$AN$16,BR$17:BR$76)))))</f>
        <v>#REF!</v>
      </c>
    </row>
    <row r="30" spans="2:71" x14ac:dyDescent="0.25">
      <c r="B30" s="7">
        <f>'ריכוז נתונים'!C30</f>
        <v>14</v>
      </c>
      <c r="C30" s="7" t="e">
        <f>#REF!</f>
        <v>#REF!</v>
      </c>
      <c r="D30" s="22" t="e">
        <f>IF(C30="","",#REF!)</f>
        <v>#REF!</v>
      </c>
      <c r="E30" s="22" t="e">
        <f>IF(C30="","",#REF!)</f>
        <v>#REF!</v>
      </c>
      <c r="F30" s="22" t="str">
        <f t="shared" si="1"/>
        <v/>
      </c>
      <c r="G30" s="11" t="e">
        <f t="shared" si="58"/>
        <v>#REF!</v>
      </c>
      <c r="H30" s="11" t="str">
        <f t="shared" si="2"/>
        <v/>
      </c>
      <c r="I30" s="11" t="e">
        <f t="shared" si="58"/>
        <v>#REF!</v>
      </c>
      <c r="J30" s="11" t="str">
        <f t="shared" si="3"/>
        <v/>
      </c>
      <c r="K30" s="11" t="e">
        <f t="shared" si="4"/>
        <v>#REF!</v>
      </c>
      <c r="L30" s="11" t="str">
        <f t="shared" si="5"/>
        <v/>
      </c>
      <c r="M30" s="11" t="e">
        <f t="shared" si="6"/>
        <v>#REF!</v>
      </c>
      <c r="N30" s="11" t="str">
        <f t="shared" si="7"/>
        <v/>
      </c>
      <c r="O30" s="11" t="e">
        <f t="shared" si="8"/>
        <v>#REF!</v>
      </c>
      <c r="P30" s="11" t="str">
        <f t="shared" si="9"/>
        <v/>
      </c>
      <c r="Q30" s="11" t="e">
        <f t="shared" si="10"/>
        <v>#REF!</v>
      </c>
      <c r="R30" s="11" t="str">
        <f t="shared" si="11"/>
        <v/>
      </c>
      <c r="S30" s="11" t="e">
        <f t="shared" si="12"/>
        <v>#REF!</v>
      </c>
      <c r="T30" s="11" t="str">
        <f t="shared" si="13"/>
        <v/>
      </c>
      <c r="U30" s="11" t="e">
        <f t="shared" si="14"/>
        <v>#REF!</v>
      </c>
      <c r="V30" s="11" t="str">
        <f t="shared" si="15"/>
        <v/>
      </c>
      <c r="W30" s="11" t="e">
        <f t="shared" si="16"/>
        <v>#REF!</v>
      </c>
      <c r="X30" s="11" t="str">
        <f t="shared" si="17"/>
        <v/>
      </c>
      <c r="Y30" s="11" t="e">
        <f t="shared" si="18"/>
        <v>#REF!</v>
      </c>
      <c r="Z30" s="11" t="str">
        <f t="shared" si="19"/>
        <v/>
      </c>
      <c r="AA30" s="11" t="e">
        <f t="shared" si="20"/>
        <v>#REF!</v>
      </c>
      <c r="AB30" s="11" t="str">
        <f t="shared" si="21"/>
        <v/>
      </c>
      <c r="AC30" s="11" t="e">
        <f t="shared" si="22"/>
        <v>#REF!</v>
      </c>
      <c r="AD30" s="11" t="str">
        <f t="shared" si="23"/>
        <v/>
      </c>
      <c r="AE30" s="11" t="e">
        <f t="shared" si="24"/>
        <v>#REF!</v>
      </c>
      <c r="AF30" s="11" t="str">
        <f t="shared" si="25"/>
        <v/>
      </c>
      <c r="AG30" s="11" t="e">
        <f t="shared" si="26"/>
        <v>#REF!</v>
      </c>
      <c r="AH30" s="11" t="str">
        <f t="shared" si="27"/>
        <v/>
      </c>
      <c r="AI30" s="11" t="e">
        <f t="shared" si="28"/>
        <v>#REF!</v>
      </c>
      <c r="AJ30" s="11" t="str">
        <f t="shared" si="29"/>
        <v/>
      </c>
      <c r="AK30" s="11" t="e">
        <f t="shared" si="30"/>
        <v>#REF!</v>
      </c>
      <c r="AL30" s="11" t="str">
        <f t="shared" si="31"/>
        <v/>
      </c>
      <c r="AM30" s="11" t="e">
        <f t="shared" si="32"/>
        <v>#REF!</v>
      </c>
      <c r="AN30" s="11" t="str">
        <f t="shared" si="33"/>
        <v/>
      </c>
      <c r="AO30" s="11" t="e">
        <f t="shared" si="34"/>
        <v>#REF!</v>
      </c>
      <c r="AP30" s="11" t="str">
        <f t="shared" si="35"/>
        <v/>
      </c>
      <c r="AQ30" s="11" t="e">
        <f t="shared" si="36"/>
        <v>#REF!</v>
      </c>
      <c r="AR30" s="11" t="str">
        <f t="shared" si="37"/>
        <v/>
      </c>
      <c r="AS30" s="11" t="e">
        <f t="shared" si="38"/>
        <v>#REF!</v>
      </c>
      <c r="AT30" s="11" t="str">
        <f t="shared" si="39"/>
        <v/>
      </c>
      <c r="AU30" s="11" t="e">
        <f t="shared" si="40"/>
        <v>#REF!</v>
      </c>
      <c r="AV30" s="11" t="str">
        <f t="shared" si="41"/>
        <v/>
      </c>
      <c r="AW30" s="11" t="e">
        <f t="shared" si="42"/>
        <v>#REF!</v>
      </c>
      <c r="AX30" s="11" t="str">
        <f t="shared" si="43"/>
        <v/>
      </c>
      <c r="AY30" s="11" t="e">
        <f t="shared" si="44"/>
        <v>#REF!</v>
      </c>
      <c r="AZ30" s="11" t="str">
        <f t="shared" si="45"/>
        <v/>
      </c>
      <c r="BA30" s="11" t="e">
        <f t="shared" si="46"/>
        <v>#REF!</v>
      </c>
      <c r="BB30" s="11" t="str">
        <f t="shared" si="47"/>
        <v/>
      </c>
      <c r="BC30" s="11" t="e">
        <f t="shared" si="48"/>
        <v>#REF!</v>
      </c>
      <c r="BD30" s="11" t="str">
        <f t="shared" si="49"/>
        <v/>
      </c>
      <c r="BE30" s="11" t="e">
        <f t="shared" si="50"/>
        <v>#REF!</v>
      </c>
      <c r="BF30" s="11" t="str">
        <f t="shared" si="51"/>
        <v/>
      </c>
      <c r="BG30" s="11" t="e">
        <f t="shared" si="52"/>
        <v>#REF!</v>
      </c>
      <c r="BH30" s="11" t="str">
        <f t="shared" si="53"/>
        <v/>
      </c>
      <c r="BI30" s="11" t="e">
        <f t="shared" si="54"/>
        <v>#REF!</v>
      </c>
      <c r="BJ30" s="11" t="str">
        <f t="shared" si="55"/>
        <v/>
      </c>
      <c r="BK30" s="11" t="e">
        <f t="shared" si="56"/>
        <v>#REF!</v>
      </c>
      <c r="BL30" s="11" t="str">
        <f t="shared" si="57"/>
        <v/>
      </c>
      <c r="BM30" s="22" t="e">
        <f t="shared" si="59"/>
        <v>#REF!</v>
      </c>
      <c r="BN30" s="113" t="e">
        <f t="shared" si="60"/>
        <v>#REF!</v>
      </c>
      <c r="BO30" s="41" t="e">
        <f t="shared" si="61"/>
        <v>#REF!</v>
      </c>
      <c r="BP30" s="15" t="str">
        <f t="shared" si="62"/>
        <v/>
      </c>
      <c r="BQ30" s="101" t="e">
        <f t="shared" si="63"/>
        <v>#REF!</v>
      </c>
      <c r="BR30" s="15" t="str">
        <f>IF('ריכוז נתונים כללים'!$W30='ריכוז נתונים כללים'!$AN$16,MIN(BP30,'ריכוז נתונים כללים'!$AB30),BP30)</f>
        <v/>
      </c>
      <c r="BS30" s="15" t="e">
        <f>IF($C30="","",IF('ריכוז נתונים כללים'!$W30='ריכוז נתונים כללים'!$AN$16,BR30,BR30+($C$3-BR$77)*(BR30/(BR$77-SUMIF('ריכוז נתונים כללים'!$W$17:$W$76,'ריכוז נתונים כללים'!$AN$16,BR$17:BR$76)))))</f>
        <v>#REF!</v>
      </c>
    </row>
    <row r="31" spans="2:71" x14ac:dyDescent="0.25">
      <c r="B31" s="7">
        <f>'ריכוז נתונים'!C31</f>
        <v>15</v>
      </c>
      <c r="C31" s="7" t="e">
        <f>#REF!</f>
        <v>#REF!</v>
      </c>
      <c r="D31" s="22" t="e">
        <f>IF(C31="","",#REF!)</f>
        <v>#REF!</v>
      </c>
      <c r="E31" s="22" t="e">
        <f>IF(C31="","",#REF!)</f>
        <v>#REF!</v>
      </c>
      <c r="F31" s="22" t="str">
        <f t="shared" si="1"/>
        <v/>
      </c>
      <c r="G31" s="11" t="e">
        <f t="shared" si="58"/>
        <v>#REF!</v>
      </c>
      <c r="H31" s="11" t="str">
        <f t="shared" si="2"/>
        <v/>
      </c>
      <c r="I31" s="11" t="e">
        <f t="shared" si="58"/>
        <v>#REF!</v>
      </c>
      <c r="J31" s="11" t="str">
        <f t="shared" si="3"/>
        <v/>
      </c>
      <c r="K31" s="11" t="e">
        <f t="shared" si="4"/>
        <v>#REF!</v>
      </c>
      <c r="L31" s="11" t="str">
        <f t="shared" si="5"/>
        <v/>
      </c>
      <c r="M31" s="11" t="e">
        <f t="shared" si="6"/>
        <v>#REF!</v>
      </c>
      <c r="N31" s="11" t="str">
        <f t="shared" si="7"/>
        <v/>
      </c>
      <c r="O31" s="11" t="e">
        <f t="shared" si="8"/>
        <v>#REF!</v>
      </c>
      <c r="P31" s="11" t="str">
        <f t="shared" si="9"/>
        <v/>
      </c>
      <c r="Q31" s="11" t="e">
        <f t="shared" si="10"/>
        <v>#REF!</v>
      </c>
      <c r="R31" s="11" t="str">
        <f t="shared" si="11"/>
        <v/>
      </c>
      <c r="S31" s="11" t="e">
        <f t="shared" si="12"/>
        <v>#REF!</v>
      </c>
      <c r="T31" s="11" t="str">
        <f t="shared" si="13"/>
        <v/>
      </c>
      <c r="U31" s="11" t="e">
        <f t="shared" si="14"/>
        <v>#REF!</v>
      </c>
      <c r="V31" s="11" t="str">
        <f t="shared" si="15"/>
        <v/>
      </c>
      <c r="W31" s="11" t="e">
        <f t="shared" si="16"/>
        <v>#REF!</v>
      </c>
      <c r="X31" s="11" t="str">
        <f t="shared" si="17"/>
        <v/>
      </c>
      <c r="Y31" s="11" t="e">
        <f t="shared" si="18"/>
        <v>#REF!</v>
      </c>
      <c r="Z31" s="11" t="str">
        <f t="shared" si="19"/>
        <v/>
      </c>
      <c r="AA31" s="11" t="e">
        <f t="shared" si="20"/>
        <v>#REF!</v>
      </c>
      <c r="AB31" s="11" t="str">
        <f t="shared" si="21"/>
        <v/>
      </c>
      <c r="AC31" s="11" t="e">
        <f t="shared" si="22"/>
        <v>#REF!</v>
      </c>
      <c r="AD31" s="11" t="str">
        <f t="shared" si="23"/>
        <v/>
      </c>
      <c r="AE31" s="11" t="e">
        <f t="shared" si="24"/>
        <v>#REF!</v>
      </c>
      <c r="AF31" s="11" t="str">
        <f t="shared" si="25"/>
        <v/>
      </c>
      <c r="AG31" s="11" t="e">
        <f t="shared" si="26"/>
        <v>#REF!</v>
      </c>
      <c r="AH31" s="11" t="str">
        <f t="shared" si="27"/>
        <v/>
      </c>
      <c r="AI31" s="11" t="e">
        <f t="shared" si="28"/>
        <v>#REF!</v>
      </c>
      <c r="AJ31" s="11" t="str">
        <f t="shared" si="29"/>
        <v/>
      </c>
      <c r="AK31" s="11" t="e">
        <f t="shared" si="30"/>
        <v>#REF!</v>
      </c>
      <c r="AL31" s="11" t="str">
        <f t="shared" si="31"/>
        <v/>
      </c>
      <c r="AM31" s="11" t="e">
        <f t="shared" si="32"/>
        <v>#REF!</v>
      </c>
      <c r="AN31" s="11" t="str">
        <f t="shared" si="33"/>
        <v/>
      </c>
      <c r="AO31" s="11" t="e">
        <f t="shared" si="34"/>
        <v>#REF!</v>
      </c>
      <c r="AP31" s="11" t="str">
        <f t="shared" si="35"/>
        <v/>
      </c>
      <c r="AQ31" s="11" t="e">
        <f t="shared" si="36"/>
        <v>#REF!</v>
      </c>
      <c r="AR31" s="11" t="str">
        <f t="shared" si="37"/>
        <v/>
      </c>
      <c r="AS31" s="11" t="e">
        <f t="shared" si="38"/>
        <v>#REF!</v>
      </c>
      <c r="AT31" s="11" t="str">
        <f t="shared" si="39"/>
        <v/>
      </c>
      <c r="AU31" s="11" t="e">
        <f t="shared" si="40"/>
        <v>#REF!</v>
      </c>
      <c r="AV31" s="11" t="str">
        <f t="shared" si="41"/>
        <v/>
      </c>
      <c r="AW31" s="11" t="e">
        <f t="shared" si="42"/>
        <v>#REF!</v>
      </c>
      <c r="AX31" s="11" t="str">
        <f t="shared" si="43"/>
        <v/>
      </c>
      <c r="AY31" s="11" t="e">
        <f t="shared" si="44"/>
        <v>#REF!</v>
      </c>
      <c r="AZ31" s="11" t="str">
        <f t="shared" si="45"/>
        <v/>
      </c>
      <c r="BA31" s="11" t="e">
        <f t="shared" si="46"/>
        <v>#REF!</v>
      </c>
      <c r="BB31" s="11" t="str">
        <f t="shared" si="47"/>
        <v/>
      </c>
      <c r="BC31" s="11" t="e">
        <f t="shared" si="48"/>
        <v>#REF!</v>
      </c>
      <c r="BD31" s="11" t="str">
        <f t="shared" si="49"/>
        <v/>
      </c>
      <c r="BE31" s="11" t="e">
        <f t="shared" si="50"/>
        <v>#REF!</v>
      </c>
      <c r="BF31" s="11" t="str">
        <f t="shared" si="51"/>
        <v/>
      </c>
      <c r="BG31" s="11" t="e">
        <f t="shared" si="52"/>
        <v>#REF!</v>
      </c>
      <c r="BH31" s="11" t="str">
        <f t="shared" si="53"/>
        <v/>
      </c>
      <c r="BI31" s="11" t="e">
        <f t="shared" si="54"/>
        <v>#REF!</v>
      </c>
      <c r="BJ31" s="11" t="str">
        <f t="shared" si="55"/>
        <v/>
      </c>
      <c r="BK31" s="11" t="e">
        <f t="shared" si="56"/>
        <v>#REF!</v>
      </c>
      <c r="BL31" s="11" t="str">
        <f t="shared" si="57"/>
        <v/>
      </c>
      <c r="BM31" s="22" t="e">
        <f t="shared" si="59"/>
        <v>#REF!</v>
      </c>
      <c r="BN31" s="113" t="e">
        <f t="shared" si="60"/>
        <v>#REF!</v>
      </c>
      <c r="BO31" s="41" t="e">
        <f t="shared" si="61"/>
        <v>#REF!</v>
      </c>
      <c r="BP31" s="15" t="str">
        <f t="shared" si="62"/>
        <v/>
      </c>
      <c r="BQ31" s="101" t="e">
        <f t="shared" si="63"/>
        <v>#REF!</v>
      </c>
      <c r="BR31" s="15" t="str">
        <f>IF('ריכוז נתונים כללים'!$W31='ריכוז נתונים כללים'!$AN$16,MIN(BP31,'ריכוז נתונים כללים'!$AB31),BP31)</f>
        <v/>
      </c>
      <c r="BS31" s="15" t="e">
        <f>IF($C31="","",IF('ריכוז נתונים כללים'!$W31='ריכוז נתונים כללים'!$AN$16,BR31,BR31+($C$3-BR$77)*(BR31/(BR$77-SUMIF('ריכוז נתונים כללים'!$W$17:$W$76,'ריכוז נתונים כללים'!$AN$16,BR$17:BR$76)))))</f>
        <v>#REF!</v>
      </c>
    </row>
    <row r="32" spans="2:71" x14ac:dyDescent="0.25">
      <c r="B32" s="7">
        <f>'ריכוז נתונים'!C32</f>
        <v>16</v>
      </c>
      <c r="C32" s="7" t="e">
        <f>#REF!</f>
        <v>#REF!</v>
      </c>
      <c r="D32" s="22" t="e">
        <f>IF(C32="","",#REF!)</f>
        <v>#REF!</v>
      </c>
      <c r="E32" s="22" t="e">
        <f>IF(C32="","",#REF!)</f>
        <v>#REF!</v>
      </c>
      <c r="F32" s="22" t="str">
        <f t="shared" si="1"/>
        <v/>
      </c>
      <c r="G32" s="11" t="e">
        <f t="shared" si="58"/>
        <v>#REF!</v>
      </c>
      <c r="H32" s="11" t="str">
        <f t="shared" si="2"/>
        <v/>
      </c>
      <c r="I32" s="11" t="e">
        <f t="shared" si="58"/>
        <v>#REF!</v>
      </c>
      <c r="J32" s="11" t="str">
        <f t="shared" si="3"/>
        <v/>
      </c>
      <c r="K32" s="11" t="e">
        <f t="shared" si="4"/>
        <v>#REF!</v>
      </c>
      <c r="L32" s="11" t="str">
        <f t="shared" si="5"/>
        <v/>
      </c>
      <c r="M32" s="11" t="e">
        <f t="shared" si="6"/>
        <v>#REF!</v>
      </c>
      <c r="N32" s="11" t="str">
        <f t="shared" si="7"/>
        <v/>
      </c>
      <c r="O32" s="11" t="e">
        <f t="shared" si="8"/>
        <v>#REF!</v>
      </c>
      <c r="P32" s="11" t="str">
        <f t="shared" si="9"/>
        <v/>
      </c>
      <c r="Q32" s="11" t="e">
        <f t="shared" si="10"/>
        <v>#REF!</v>
      </c>
      <c r="R32" s="11" t="str">
        <f t="shared" si="11"/>
        <v/>
      </c>
      <c r="S32" s="11" t="e">
        <f t="shared" si="12"/>
        <v>#REF!</v>
      </c>
      <c r="T32" s="11" t="str">
        <f t="shared" si="13"/>
        <v/>
      </c>
      <c r="U32" s="11" t="e">
        <f t="shared" si="14"/>
        <v>#REF!</v>
      </c>
      <c r="V32" s="11" t="str">
        <f t="shared" si="15"/>
        <v/>
      </c>
      <c r="W32" s="11" t="e">
        <f t="shared" si="16"/>
        <v>#REF!</v>
      </c>
      <c r="X32" s="11" t="str">
        <f t="shared" si="17"/>
        <v/>
      </c>
      <c r="Y32" s="11" t="e">
        <f t="shared" si="18"/>
        <v>#REF!</v>
      </c>
      <c r="Z32" s="11" t="str">
        <f t="shared" si="19"/>
        <v/>
      </c>
      <c r="AA32" s="11" t="e">
        <f t="shared" si="20"/>
        <v>#REF!</v>
      </c>
      <c r="AB32" s="11" t="str">
        <f t="shared" si="21"/>
        <v/>
      </c>
      <c r="AC32" s="11" t="e">
        <f t="shared" si="22"/>
        <v>#REF!</v>
      </c>
      <c r="AD32" s="11" t="str">
        <f t="shared" si="23"/>
        <v/>
      </c>
      <c r="AE32" s="11" t="e">
        <f t="shared" si="24"/>
        <v>#REF!</v>
      </c>
      <c r="AF32" s="11" t="str">
        <f t="shared" si="25"/>
        <v/>
      </c>
      <c r="AG32" s="11" t="e">
        <f t="shared" si="26"/>
        <v>#REF!</v>
      </c>
      <c r="AH32" s="11" t="str">
        <f t="shared" si="27"/>
        <v/>
      </c>
      <c r="AI32" s="11" t="e">
        <f t="shared" si="28"/>
        <v>#REF!</v>
      </c>
      <c r="AJ32" s="11" t="str">
        <f t="shared" si="29"/>
        <v/>
      </c>
      <c r="AK32" s="11" t="e">
        <f t="shared" si="30"/>
        <v>#REF!</v>
      </c>
      <c r="AL32" s="11" t="str">
        <f t="shared" si="31"/>
        <v/>
      </c>
      <c r="AM32" s="11" t="e">
        <f t="shared" si="32"/>
        <v>#REF!</v>
      </c>
      <c r="AN32" s="11" t="str">
        <f t="shared" si="33"/>
        <v/>
      </c>
      <c r="AO32" s="11" t="e">
        <f t="shared" si="34"/>
        <v>#REF!</v>
      </c>
      <c r="AP32" s="11" t="str">
        <f t="shared" si="35"/>
        <v/>
      </c>
      <c r="AQ32" s="11" t="e">
        <f t="shared" si="36"/>
        <v>#REF!</v>
      </c>
      <c r="AR32" s="11" t="str">
        <f t="shared" si="37"/>
        <v/>
      </c>
      <c r="AS32" s="11" t="e">
        <f t="shared" si="38"/>
        <v>#REF!</v>
      </c>
      <c r="AT32" s="11" t="str">
        <f t="shared" si="39"/>
        <v/>
      </c>
      <c r="AU32" s="11" t="e">
        <f t="shared" si="40"/>
        <v>#REF!</v>
      </c>
      <c r="AV32" s="11" t="str">
        <f t="shared" si="41"/>
        <v/>
      </c>
      <c r="AW32" s="11" t="e">
        <f t="shared" si="42"/>
        <v>#REF!</v>
      </c>
      <c r="AX32" s="11" t="str">
        <f t="shared" si="43"/>
        <v/>
      </c>
      <c r="AY32" s="11" t="e">
        <f t="shared" si="44"/>
        <v>#REF!</v>
      </c>
      <c r="AZ32" s="11" t="str">
        <f t="shared" si="45"/>
        <v/>
      </c>
      <c r="BA32" s="11" t="e">
        <f t="shared" si="46"/>
        <v>#REF!</v>
      </c>
      <c r="BB32" s="11" t="str">
        <f t="shared" si="47"/>
        <v/>
      </c>
      <c r="BC32" s="11" t="e">
        <f t="shared" si="48"/>
        <v>#REF!</v>
      </c>
      <c r="BD32" s="11" t="str">
        <f t="shared" si="49"/>
        <v/>
      </c>
      <c r="BE32" s="11" t="e">
        <f t="shared" si="50"/>
        <v>#REF!</v>
      </c>
      <c r="BF32" s="11" t="str">
        <f t="shared" si="51"/>
        <v/>
      </c>
      <c r="BG32" s="11" t="e">
        <f t="shared" si="52"/>
        <v>#REF!</v>
      </c>
      <c r="BH32" s="11" t="str">
        <f t="shared" si="53"/>
        <v/>
      </c>
      <c r="BI32" s="11" t="e">
        <f t="shared" si="54"/>
        <v>#REF!</v>
      </c>
      <c r="BJ32" s="11" t="str">
        <f t="shared" si="55"/>
        <v/>
      </c>
      <c r="BK32" s="11" t="e">
        <f t="shared" si="56"/>
        <v>#REF!</v>
      </c>
      <c r="BL32" s="11" t="str">
        <f t="shared" si="57"/>
        <v/>
      </c>
      <c r="BM32" s="22" t="e">
        <f t="shared" si="59"/>
        <v>#REF!</v>
      </c>
      <c r="BN32" s="113" t="e">
        <f t="shared" si="60"/>
        <v>#REF!</v>
      </c>
      <c r="BO32" s="41" t="e">
        <f t="shared" si="61"/>
        <v>#REF!</v>
      </c>
      <c r="BP32" s="15" t="str">
        <f t="shared" si="62"/>
        <v/>
      </c>
      <c r="BQ32" s="101" t="e">
        <f t="shared" si="63"/>
        <v>#REF!</v>
      </c>
      <c r="BR32" s="15" t="str">
        <f>IF('ריכוז נתונים כללים'!$W32='ריכוז נתונים כללים'!$AN$16,MIN(BP32,'ריכוז נתונים כללים'!$AB32),BP32)</f>
        <v/>
      </c>
      <c r="BS32" s="15" t="e">
        <f>IF($C32="","",IF('ריכוז נתונים כללים'!$W32='ריכוז נתונים כללים'!$AN$16,BR32,BR32+($C$3-BR$77)*(BR32/(BR$77-SUMIF('ריכוז נתונים כללים'!$W$17:$W$76,'ריכוז נתונים כללים'!$AN$16,BR$17:BR$76)))))</f>
        <v>#REF!</v>
      </c>
    </row>
    <row r="33" spans="2:71" x14ac:dyDescent="0.25">
      <c r="B33" s="7">
        <f>'ריכוז נתונים'!C33</f>
        <v>17</v>
      </c>
      <c r="C33" s="7" t="e">
        <f>#REF!</f>
        <v>#REF!</v>
      </c>
      <c r="D33" s="22" t="e">
        <f>IF(C33="","",#REF!)</f>
        <v>#REF!</v>
      </c>
      <c r="E33" s="22" t="e">
        <f>IF(C33="","",#REF!)</f>
        <v>#REF!</v>
      </c>
      <c r="F33" s="22" t="str">
        <f t="shared" si="1"/>
        <v/>
      </c>
      <c r="G33" s="11" t="e">
        <f t="shared" si="58"/>
        <v>#REF!</v>
      </c>
      <c r="H33" s="11" t="str">
        <f t="shared" si="2"/>
        <v/>
      </c>
      <c r="I33" s="11" t="e">
        <f t="shared" si="58"/>
        <v>#REF!</v>
      </c>
      <c r="J33" s="11" t="str">
        <f t="shared" si="3"/>
        <v/>
      </c>
      <c r="K33" s="11" t="e">
        <f t="shared" si="4"/>
        <v>#REF!</v>
      </c>
      <c r="L33" s="11" t="str">
        <f t="shared" si="5"/>
        <v/>
      </c>
      <c r="M33" s="11" t="e">
        <f t="shared" si="6"/>
        <v>#REF!</v>
      </c>
      <c r="N33" s="11" t="str">
        <f t="shared" si="7"/>
        <v/>
      </c>
      <c r="O33" s="11" t="e">
        <f t="shared" si="8"/>
        <v>#REF!</v>
      </c>
      <c r="P33" s="11" t="str">
        <f t="shared" si="9"/>
        <v/>
      </c>
      <c r="Q33" s="11" t="e">
        <f t="shared" si="10"/>
        <v>#REF!</v>
      </c>
      <c r="R33" s="11" t="str">
        <f t="shared" si="11"/>
        <v/>
      </c>
      <c r="S33" s="11" t="e">
        <f t="shared" si="12"/>
        <v>#REF!</v>
      </c>
      <c r="T33" s="11" t="str">
        <f t="shared" si="13"/>
        <v/>
      </c>
      <c r="U33" s="11" t="e">
        <f t="shared" si="14"/>
        <v>#REF!</v>
      </c>
      <c r="V33" s="11" t="str">
        <f t="shared" si="15"/>
        <v/>
      </c>
      <c r="W33" s="11" t="e">
        <f t="shared" si="16"/>
        <v>#REF!</v>
      </c>
      <c r="X33" s="11" t="str">
        <f t="shared" si="17"/>
        <v/>
      </c>
      <c r="Y33" s="11" t="e">
        <f t="shared" si="18"/>
        <v>#REF!</v>
      </c>
      <c r="Z33" s="11" t="str">
        <f t="shared" si="19"/>
        <v/>
      </c>
      <c r="AA33" s="11" t="e">
        <f t="shared" si="20"/>
        <v>#REF!</v>
      </c>
      <c r="AB33" s="11" t="str">
        <f t="shared" si="21"/>
        <v/>
      </c>
      <c r="AC33" s="11" t="e">
        <f t="shared" si="22"/>
        <v>#REF!</v>
      </c>
      <c r="AD33" s="11" t="str">
        <f t="shared" si="23"/>
        <v/>
      </c>
      <c r="AE33" s="11" t="e">
        <f t="shared" si="24"/>
        <v>#REF!</v>
      </c>
      <c r="AF33" s="11" t="str">
        <f t="shared" si="25"/>
        <v/>
      </c>
      <c r="AG33" s="11" t="e">
        <f t="shared" si="26"/>
        <v>#REF!</v>
      </c>
      <c r="AH33" s="11" t="str">
        <f t="shared" si="27"/>
        <v/>
      </c>
      <c r="AI33" s="11" t="e">
        <f t="shared" si="28"/>
        <v>#REF!</v>
      </c>
      <c r="AJ33" s="11" t="str">
        <f t="shared" si="29"/>
        <v/>
      </c>
      <c r="AK33" s="11" t="e">
        <f t="shared" si="30"/>
        <v>#REF!</v>
      </c>
      <c r="AL33" s="11" t="str">
        <f t="shared" si="31"/>
        <v/>
      </c>
      <c r="AM33" s="11" t="e">
        <f t="shared" si="32"/>
        <v>#REF!</v>
      </c>
      <c r="AN33" s="11" t="str">
        <f t="shared" si="33"/>
        <v/>
      </c>
      <c r="AO33" s="11" t="e">
        <f t="shared" si="34"/>
        <v>#REF!</v>
      </c>
      <c r="AP33" s="11" t="str">
        <f t="shared" si="35"/>
        <v/>
      </c>
      <c r="AQ33" s="11" t="e">
        <f t="shared" si="36"/>
        <v>#REF!</v>
      </c>
      <c r="AR33" s="11" t="str">
        <f t="shared" si="37"/>
        <v/>
      </c>
      <c r="AS33" s="11" t="e">
        <f t="shared" si="38"/>
        <v>#REF!</v>
      </c>
      <c r="AT33" s="11" t="str">
        <f t="shared" si="39"/>
        <v/>
      </c>
      <c r="AU33" s="11" t="e">
        <f t="shared" si="40"/>
        <v>#REF!</v>
      </c>
      <c r="AV33" s="11" t="str">
        <f t="shared" si="41"/>
        <v/>
      </c>
      <c r="AW33" s="11" t="e">
        <f t="shared" si="42"/>
        <v>#REF!</v>
      </c>
      <c r="AX33" s="11" t="str">
        <f t="shared" si="43"/>
        <v/>
      </c>
      <c r="AY33" s="11" t="e">
        <f t="shared" si="44"/>
        <v>#REF!</v>
      </c>
      <c r="AZ33" s="11" t="str">
        <f t="shared" si="45"/>
        <v/>
      </c>
      <c r="BA33" s="11" t="e">
        <f t="shared" si="46"/>
        <v>#REF!</v>
      </c>
      <c r="BB33" s="11" t="str">
        <f t="shared" si="47"/>
        <v/>
      </c>
      <c r="BC33" s="11" t="e">
        <f t="shared" si="48"/>
        <v>#REF!</v>
      </c>
      <c r="BD33" s="11" t="str">
        <f t="shared" si="49"/>
        <v/>
      </c>
      <c r="BE33" s="11" t="e">
        <f t="shared" si="50"/>
        <v>#REF!</v>
      </c>
      <c r="BF33" s="11" t="str">
        <f t="shared" si="51"/>
        <v/>
      </c>
      <c r="BG33" s="11" t="e">
        <f t="shared" si="52"/>
        <v>#REF!</v>
      </c>
      <c r="BH33" s="11" t="str">
        <f t="shared" si="53"/>
        <v/>
      </c>
      <c r="BI33" s="11" t="e">
        <f t="shared" si="54"/>
        <v>#REF!</v>
      </c>
      <c r="BJ33" s="11" t="str">
        <f t="shared" si="55"/>
        <v/>
      </c>
      <c r="BK33" s="11" t="e">
        <f t="shared" si="56"/>
        <v>#REF!</v>
      </c>
      <c r="BL33" s="11" t="str">
        <f t="shared" si="57"/>
        <v/>
      </c>
      <c r="BM33" s="22" t="e">
        <f t="shared" si="59"/>
        <v>#REF!</v>
      </c>
      <c r="BN33" s="113" t="e">
        <f t="shared" si="60"/>
        <v>#REF!</v>
      </c>
      <c r="BO33" s="41" t="e">
        <f t="shared" si="61"/>
        <v>#REF!</v>
      </c>
      <c r="BP33" s="15" t="str">
        <f t="shared" si="62"/>
        <v/>
      </c>
      <c r="BQ33" s="101" t="e">
        <f t="shared" si="63"/>
        <v>#REF!</v>
      </c>
      <c r="BR33" s="15" t="str">
        <f>IF('ריכוז נתונים כללים'!$W33='ריכוז נתונים כללים'!$AN$16,MIN(BP33,'ריכוז נתונים כללים'!$AB33),BP33)</f>
        <v/>
      </c>
      <c r="BS33" s="15" t="e">
        <f>IF($C33="","",IF('ריכוז נתונים כללים'!$W33='ריכוז נתונים כללים'!$AN$16,BR33,BR33+($C$3-BR$77)*(BR33/(BR$77-SUMIF('ריכוז נתונים כללים'!$W$17:$W$76,'ריכוז נתונים כללים'!$AN$16,BR$17:BR$76)))))</f>
        <v>#REF!</v>
      </c>
    </row>
    <row r="34" spans="2:71" x14ac:dyDescent="0.25">
      <c r="B34" s="7">
        <f>'ריכוז נתונים'!C34</f>
        <v>18</v>
      </c>
      <c r="C34" s="7" t="e">
        <f>#REF!</f>
        <v>#REF!</v>
      </c>
      <c r="D34" s="22" t="e">
        <f>IF(C34="","",#REF!)</f>
        <v>#REF!</v>
      </c>
      <c r="E34" s="22" t="e">
        <f>IF(C34="","",#REF!)</f>
        <v>#REF!</v>
      </c>
      <c r="F34" s="22" t="str">
        <f t="shared" si="1"/>
        <v/>
      </c>
      <c r="G34" s="11" t="e">
        <f t="shared" si="58"/>
        <v>#REF!</v>
      </c>
      <c r="H34" s="11" t="str">
        <f t="shared" si="2"/>
        <v/>
      </c>
      <c r="I34" s="11" t="e">
        <f t="shared" si="58"/>
        <v>#REF!</v>
      </c>
      <c r="J34" s="11" t="str">
        <f t="shared" si="3"/>
        <v/>
      </c>
      <c r="K34" s="11" t="e">
        <f t="shared" si="4"/>
        <v>#REF!</v>
      </c>
      <c r="L34" s="11" t="str">
        <f t="shared" si="5"/>
        <v/>
      </c>
      <c r="M34" s="11" t="e">
        <f t="shared" si="6"/>
        <v>#REF!</v>
      </c>
      <c r="N34" s="11" t="str">
        <f t="shared" si="7"/>
        <v/>
      </c>
      <c r="O34" s="11" t="e">
        <f t="shared" si="8"/>
        <v>#REF!</v>
      </c>
      <c r="P34" s="11" t="str">
        <f t="shared" si="9"/>
        <v/>
      </c>
      <c r="Q34" s="11" t="e">
        <f t="shared" si="10"/>
        <v>#REF!</v>
      </c>
      <c r="R34" s="11" t="str">
        <f t="shared" si="11"/>
        <v/>
      </c>
      <c r="S34" s="11" t="e">
        <f t="shared" si="12"/>
        <v>#REF!</v>
      </c>
      <c r="T34" s="11" t="str">
        <f t="shared" si="13"/>
        <v/>
      </c>
      <c r="U34" s="11" t="e">
        <f t="shared" si="14"/>
        <v>#REF!</v>
      </c>
      <c r="V34" s="11" t="str">
        <f t="shared" si="15"/>
        <v/>
      </c>
      <c r="W34" s="11" t="e">
        <f t="shared" si="16"/>
        <v>#REF!</v>
      </c>
      <c r="X34" s="11" t="str">
        <f t="shared" si="17"/>
        <v/>
      </c>
      <c r="Y34" s="11" t="e">
        <f t="shared" si="18"/>
        <v>#REF!</v>
      </c>
      <c r="Z34" s="11" t="str">
        <f t="shared" si="19"/>
        <v/>
      </c>
      <c r="AA34" s="11" t="e">
        <f t="shared" si="20"/>
        <v>#REF!</v>
      </c>
      <c r="AB34" s="11" t="str">
        <f t="shared" si="21"/>
        <v/>
      </c>
      <c r="AC34" s="11" t="e">
        <f t="shared" si="22"/>
        <v>#REF!</v>
      </c>
      <c r="AD34" s="11" t="str">
        <f t="shared" si="23"/>
        <v/>
      </c>
      <c r="AE34" s="11" t="e">
        <f t="shared" si="24"/>
        <v>#REF!</v>
      </c>
      <c r="AF34" s="11" t="str">
        <f t="shared" si="25"/>
        <v/>
      </c>
      <c r="AG34" s="11" t="e">
        <f t="shared" si="26"/>
        <v>#REF!</v>
      </c>
      <c r="AH34" s="11" t="str">
        <f t="shared" si="27"/>
        <v/>
      </c>
      <c r="AI34" s="11" t="e">
        <f t="shared" si="28"/>
        <v>#REF!</v>
      </c>
      <c r="AJ34" s="11" t="str">
        <f t="shared" si="29"/>
        <v/>
      </c>
      <c r="AK34" s="11" t="e">
        <f t="shared" si="30"/>
        <v>#REF!</v>
      </c>
      <c r="AL34" s="11" t="str">
        <f t="shared" si="31"/>
        <v/>
      </c>
      <c r="AM34" s="11" t="e">
        <f t="shared" si="32"/>
        <v>#REF!</v>
      </c>
      <c r="AN34" s="11" t="str">
        <f t="shared" si="33"/>
        <v/>
      </c>
      <c r="AO34" s="11" t="e">
        <f t="shared" si="34"/>
        <v>#REF!</v>
      </c>
      <c r="AP34" s="11" t="str">
        <f t="shared" si="35"/>
        <v/>
      </c>
      <c r="AQ34" s="11" t="e">
        <f t="shared" si="36"/>
        <v>#REF!</v>
      </c>
      <c r="AR34" s="11" t="str">
        <f t="shared" si="37"/>
        <v/>
      </c>
      <c r="AS34" s="11" t="e">
        <f t="shared" si="38"/>
        <v>#REF!</v>
      </c>
      <c r="AT34" s="11" t="str">
        <f t="shared" si="39"/>
        <v/>
      </c>
      <c r="AU34" s="11" t="e">
        <f t="shared" si="40"/>
        <v>#REF!</v>
      </c>
      <c r="AV34" s="11" t="str">
        <f t="shared" si="41"/>
        <v/>
      </c>
      <c r="AW34" s="11" t="e">
        <f t="shared" si="42"/>
        <v>#REF!</v>
      </c>
      <c r="AX34" s="11" t="str">
        <f t="shared" si="43"/>
        <v/>
      </c>
      <c r="AY34" s="11" t="e">
        <f t="shared" si="44"/>
        <v>#REF!</v>
      </c>
      <c r="AZ34" s="11" t="str">
        <f t="shared" si="45"/>
        <v/>
      </c>
      <c r="BA34" s="11" t="e">
        <f t="shared" si="46"/>
        <v>#REF!</v>
      </c>
      <c r="BB34" s="11" t="str">
        <f t="shared" si="47"/>
        <v/>
      </c>
      <c r="BC34" s="11" t="e">
        <f t="shared" si="48"/>
        <v>#REF!</v>
      </c>
      <c r="BD34" s="11" t="str">
        <f t="shared" si="49"/>
        <v/>
      </c>
      <c r="BE34" s="11" t="e">
        <f t="shared" si="50"/>
        <v>#REF!</v>
      </c>
      <c r="BF34" s="11" t="str">
        <f t="shared" si="51"/>
        <v/>
      </c>
      <c r="BG34" s="11" t="e">
        <f t="shared" si="52"/>
        <v>#REF!</v>
      </c>
      <c r="BH34" s="11" t="str">
        <f t="shared" si="53"/>
        <v/>
      </c>
      <c r="BI34" s="11" t="e">
        <f t="shared" si="54"/>
        <v>#REF!</v>
      </c>
      <c r="BJ34" s="11" t="str">
        <f t="shared" si="55"/>
        <v/>
      </c>
      <c r="BK34" s="11" t="e">
        <f t="shared" si="56"/>
        <v>#REF!</v>
      </c>
      <c r="BL34" s="11" t="str">
        <f t="shared" si="57"/>
        <v/>
      </c>
      <c r="BM34" s="22" t="e">
        <f t="shared" si="59"/>
        <v>#REF!</v>
      </c>
      <c r="BN34" s="113" t="e">
        <f t="shared" si="60"/>
        <v>#REF!</v>
      </c>
      <c r="BO34" s="41" t="e">
        <f t="shared" si="61"/>
        <v>#REF!</v>
      </c>
      <c r="BP34" s="15" t="str">
        <f t="shared" si="62"/>
        <v/>
      </c>
      <c r="BQ34" s="101" t="e">
        <f t="shared" si="63"/>
        <v>#REF!</v>
      </c>
      <c r="BR34" s="15" t="str">
        <f>IF('ריכוז נתונים כללים'!$W34='ריכוז נתונים כללים'!$AN$16,MIN(BP34,'ריכוז נתונים כללים'!$AB34),BP34)</f>
        <v/>
      </c>
      <c r="BS34" s="15" t="e">
        <f>IF($C34="","",IF('ריכוז נתונים כללים'!$W34='ריכוז נתונים כללים'!$AN$16,BR34,BR34+($C$3-BR$77)*(BR34/(BR$77-SUMIF('ריכוז נתונים כללים'!$W$17:$W$76,'ריכוז נתונים כללים'!$AN$16,BR$17:BR$76)))))</f>
        <v>#REF!</v>
      </c>
    </row>
    <row r="35" spans="2:71" x14ac:dyDescent="0.25">
      <c r="B35" s="7">
        <f>'ריכוז נתונים'!C35</f>
        <v>19</v>
      </c>
      <c r="C35" s="7" t="e">
        <f>#REF!</f>
        <v>#REF!</v>
      </c>
      <c r="D35" s="22" t="e">
        <f>IF(C35="","",#REF!)</f>
        <v>#REF!</v>
      </c>
      <c r="E35" s="22" t="e">
        <f>IF(C35="","",#REF!)</f>
        <v>#REF!</v>
      </c>
      <c r="F35" s="22" t="str">
        <f t="shared" si="1"/>
        <v/>
      </c>
      <c r="G35" s="11" t="e">
        <f t="shared" si="58"/>
        <v>#REF!</v>
      </c>
      <c r="H35" s="11" t="str">
        <f t="shared" si="2"/>
        <v/>
      </c>
      <c r="I35" s="11" t="e">
        <f t="shared" si="58"/>
        <v>#REF!</v>
      </c>
      <c r="J35" s="11" t="str">
        <f t="shared" si="3"/>
        <v/>
      </c>
      <c r="K35" s="11" t="e">
        <f t="shared" si="4"/>
        <v>#REF!</v>
      </c>
      <c r="L35" s="11" t="str">
        <f t="shared" si="5"/>
        <v/>
      </c>
      <c r="M35" s="11" t="e">
        <f t="shared" si="6"/>
        <v>#REF!</v>
      </c>
      <c r="N35" s="11" t="str">
        <f t="shared" si="7"/>
        <v/>
      </c>
      <c r="O35" s="11" t="e">
        <f t="shared" si="8"/>
        <v>#REF!</v>
      </c>
      <c r="P35" s="11" t="str">
        <f t="shared" si="9"/>
        <v/>
      </c>
      <c r="Q35" s="11" t="e">
        <f t="shared" si="10"/>
        <v>#REF!</v>
      </c>
      <c r="R35" s="11" t="str">
        <f t="shared" si="11"/>
        <v/>
      </c>
      <c r="S35" s="11" t="e">
        <f t="shared" si="12"/>
        <v>#REF!</v>
      </c>
      <c r="T35" s="11" t="str">
        <f t="shared" si="13"/>
        <v/>
      </c>
      <c r="U35" s="11" t="e">
        <f t="shared" si="14"/>
        <v>#REF!</v>
      </c>
      <c r="V35" s="11" t="str">
        <f t="shared" si="15"/>
        <v/>
      </c>
      <c r="W35" s="11" t="e">
        <f t="shared" si="16"/>
        <v>#REF!</v>
      </c>
      <c r="X35" s="11" t="str">
        <f t="shared" si="17"/>
        <v/>
      </c>
      <c r="Y35" s="11" t="e">
        <f t="shared" si="18"/>
        <v>#REF!</v>
      </c>
      <c r="Z35" s="11" t="str">
        <f t="shared" si="19"/>
        <v/>
      </c>
      <c r="AA35" s="11" t="e">
        <f t="shared" si="20"/>
        <v>#REF!</v>
      </c>
      <c r="AB35" s="11" t="str">
        <f t="shared" si="21"/>
        <v/>
      </c>
      <c r="AC35" s="11" t="e">
        <f t="shared" si="22"/>
        <v>#REF!</v>
      </c>
      <c r="AD35" s="11" t="str">
        <f t="shared" si="23"/>
        <v/>
      </c>
      <c r="AE35" s="11" t="e">
        <f t="shared" si="24"/>
        <v>#REF!</v>
      </c>
      <c r="AF35" s="11" t="str">
        <f t="shared" si="25"/>
        <v/>
      </c>
      <c r="AG35" s="11" t="e">
        <f t="shared" si="26"/>
        <v>#REF!</v>
      </c>
      <c r="AH35" s="11" t="str">
        <f t="shared" si="27"/>
        <v/>
      </c>
      <c r="AI35" s="11" t="e">
        <f t="shared" si="28"/>
        <v>#REF!</v>
      </c>
      <c r="AJ35" s="11" t="str">
        <f t="shared" si="29"/>
        <v/>
      </c>
      <c r="AK35" s="11" t="e">
        <f t="shared" si="30"/>
        <v>#REF!</v>
      </c>
      <c r="AL35" s="11" t="str">
        <f t="shared" si="31"/>
        <v/>
      </c>
      <c r="AM35" s="11" t="e">
        <f t="shared" si="32"/>
        <v>#REF!</v>
      </c>
      <c r="AN35" s="11" t="str">
        <f t="shared" si="33"/>
        <v/>
      </c>
      <c r="AO35" s="11" t="e">
        <f t="shared" si="34"/>
        <v>#REF!</v>
      </c>
      <c r="AP35" s="11" t="str">
        <f t="shared" si="35"/>
        <v/>
      </c>
      <c r="AQ35" s="11" t="e">
        <f t="shared" si="36"/>
        <v>#REF!</v>
      </c>
      <c r="AR35" s="11" t="str">
        <f t="shared" si="37"/>
        <v/>
      </c>
      <c r="AS35" s="11" t="e">
        <f t="shared" si="38"/>
        <v>#REF!</v>
      </c>
      <c r="AT35" s="11" t="str">
        <f t="shared" si="39"/>
        <v/>
      </c>
      <c r="AU35" s="11" t="e">
        <f t="shared" si="40"/>
        <v>#REF!</v>
      </c>
      <c r="AV35" s="11" t="str">
        <f t="shared" si="41"/>
        <v/>
      </c>
      <c r="AW35" s="11" t="e">
        <f t="shared" si="42"/>
        <v>#REF!</v>
      </c>
      <c r="AX35" s="11" t="str">
        <f t="shared" si="43"/>
        <v/>
      </c>
      <c r="AY35" s="11" t="e">
        <f t="shared" si="44"/>
        <v>#REF!</v>
      </c>
      <c r="AZ35" s="11" t="str">
        <f t="shared" si="45"/>
        <v/>
      </c>
      <c r="BA35" s="11" t="e">
        <f t="shared" si="46"/>
        <v>#REF!</v>
      </c>
      <c r="BB35" s="11" t="str">
        <f t="shared" si="47"/>
        <v/>
      </c>
      <c r="BC35" s="11" t="e">
        <f t="shared" si="48"/>
        <v>#REF!</v>
      </c>
      <c r="BD35" s="11" t="str">
        <f t="shared" si="49"/>
        <v/>
      </c>
      <c r="BE35" s="11" t="e">
        <f t="shared" si="50"/>
        <v>#REF!</v>
      </c>
      <c r="BF35" s="11" t="str">
        <f t="shared" si="51"/>
        <v/>
      </c>
      <c r="BG35" s="11" t="e">
        <f t="shared" si="52"/>
        <v>#REF!</v>
      </c>
      <c r="BH35" s="11" t="str">
        <f t="shared" si="53"/>
        <v/>
      </c>
      <c r="BI35" s="11" t="e">
        <f t="shared" si="54"/>
        <v>#REF!</v>
      </c>
      <c r="BJ35" s="11" t="str">
        <f t="shared" si="55"/>
        <v/>
      </c>
      <c r="BK35" s="11" t="e">
        <f t="shared" si="56"/>
        <v>#REF!</v>
      </c>
      <c r="BL35" s="11" t="str">
        <f t="shared" si="57"/>
        <v/>
      </c>
      <c r="BM35" s="22" t="e">
        <f t="shared" si="59"/>
        <v>#REF!</v>
      </c>
      <c r="BN35" s="113" t="e">
        <f t="shared" si="60"/>
        <v>#REF!</v>
      </c>
      <c r="BO35" s="41" t="e">
        <f t="shared" si="61"/>
        <v>#REF!</v>
      </c>
      <c r="BP35" s="15" t="str">
        <f t="shared" si="62"/>
        <v/>
      </c>
      <c r="BQ35" s="101" t="e">
        <f t="shared" si="63"/>
        <v>#REF!</v>
      </c>
      <c r="BR35" s="15" t="str">
        <f>IF('ריכוז נתונים כללים'!$W35='ריכוז נתונים כללים'!$AN$16,MIN(BP35,'ריכוז נתונים כללים'!$AB35),BP35)</f>
        <v/>
      </c>
      <c r="BS35" s="15" t="e">
        <f>IF($C35="","",IF('ריכוז נתונים כללים'!$W35='ריכוז נתונים כללים'!$AN$16,BR35,BR35+($C$3-BR$77)*(BR35/(BR$77-SUMIF('ריכוז נתונים כללים'!$W$17:$W$76,'ריכוז נתונים כללים'!$AN$16,BR$17:BR$76)))))</f>
        <v>#REF!</v>
      </c>
    </row>
    <row r="36" spans="2:71" x14ac:dyDescent="0.25">
      <c r="B36" s="7">
        <f>'ריכוז נתונים'!C36</f>
        <v>20</v>
      </c>
      <c r="C36" s="7" t="e">
        <f>#REF!</f>
        <v>#REF!</v>
      </c>
      <c r="D36" s="22" t="e">
        <f>IF(C36="","",#REF!)</f>
        <v>#REF!</v>
      </c>
      <c r="E36" s="22" t="e">
        <f>IF(C36="","",#REF!)</f>
        <v>#REF!</v>
      </c>
      <c r="F36" s="22" t="str">
        <f t="shared" si="1"/>
        <v/>
      </c>
      <c r="G36" s="11" t="e">
        <f t="shared" si="58"/>
        <v>#REF!</v>
      </c>
      <c r="H36" s="11" t="str">
        <f t="shared" si="2"/>
        <v/>
      </c>
      <c r="I36" s="11" t="e">
        <f t="shared" si="58"/>
        <v>#REF!</v>
      </c>
      <c r="J36" s="11" t="str">
        <f t="shared" si="3"/>
        <v/>
      </c>
      <c r="K36" s="11" t="e">
        <f t="shared" si="4"/>
        <v>#REF!</v>
      </c>
      <c r="L36" s="11" t="str">
        <f t="shared" si="5"/>
        <v/>
      </c>
      <c r="M36" s="11" t="e">
        <f t="shared" si="6"/>
        <v>#REF!</v>
      </c>
      <c r="N36" s="11" t="str">
        <f t="shared" si="7"/>
        <v/>
      </c>
      <c r="O36" s="11" t="e">
        <f t="shared" si="8"/>
        <v>#REF!</v>
      </c>
      <c r="P36" s="11" t="str">
        <f t="shared" si="9"/>
        <v/>
      </c>
      <c r="Q36" s="11" t="e">
        <f t="shared" si="10"/>
        <v>#REF!</v>
      </c>
      <c r="R36" s="11" t="str">
        <f t="shared" si="11"/>
        <v/>
      </c>
      <c r="S36" s="11" t="e">
        <f t="shared" si="12"/>
        <v>#REF!</v>
      </c>
      <c r="T36" s="11" t="str">
        <f t="shared" si="13"/>
        <v/>
      </c>
      <c r="U36" s="11" t="e">
        <f t="shared" si="14"/>
        <v>#REF!</v>
      </c>
      <c r="V36" s="11" t="str">
        <f t="shared" si="15"/>
        <v/>
      </c>
      <c r="W36" s="11" t="e">
        <f t="shared" si="16"/>
        <v>#REF!</v>
      </c>
      <c r="X36" s="11" t="str">
        <f t="shared" si="17"/>
        <v/>
      </c>
      <c r="Y36" s="11" t="e">
        <f t="shared" si="18"/>
        <v>#REF!</v>
      </c>
      <c r="Z36" s="11" t="str">
        <f t="shared" si="19"/>
        <v/>
      </c>
      <c r="AA36" s="11" t="e">
        <f t="shared" si="20"/>
        <v>#REF!</v>
      </c>
      <c r="AB36" s="11" t="str">
        <f t="shared" si="21"/>
        <v/>
      </c>
      <c r="AC36" s="11" t="e">
        <f t="shared" si="22"/>
        <v>#REF!</v>
      </c>
      <c r="AD36" s="11" t="str">
        <f t="shared" si="23"/>
        <v/>
      </c>
      <c r="AE36" s="11" t="e">
        <f t="shared" si="24"/>
        <v>#REF!</v>
      </c>
      <c r="AF36" s="11" t="str">
        <f t="shared" si="25"/>
        <v/>
      </c>
      <c r="AG36" s="11" t="e">
        <f t="shared" si="26"/>
        <v>#REF!</v>
      </c>
      <c r="AH36" s="11" t="str">
        <f t="shared" si="27"/>
        <v/>
      </c>
      <c r="AI36" s="11" t="e">
        <f t="shared" si="28"/>
        <v>#REF!</v>
      </c>
      <c r="AJ36" s="11" t="str">
        <f t="shared" si="29"/>
        <v/>
      </c>
      <c r="AK36" s="11" t="e">
        <f t="shared" si="30"/>
        <v>#REF!</v>
      </c>
      <c r="AL36" s="11" t="str">
        <f t="shared" si="31"/>
        <v/>
      </c>
      <c r="AM36" s="11" t="e">
        <f t="shared" si="32"/>
        <v>#REF!</v>
      </c>
      <c r="AN36" s="11" t="str">
        <f t="shared" si="33"/>
        <v/>
      </c>
      <c r="AO36" s="11" t="e">
        <f t="shared" si="34"/>
        <v>#REF!</v>
      </c>
      <c r="AP36" s="11" t="str">
        <f t="shared" si="35"/>
        <v/>
      </c>
      <c r="AQ36" s="11" t="e">
        <f t="shared" si="36"/>
        <v>#REF!</v>
      </c>
      <c r="AR36" s="11" t="str">
        <f t="shared" si="37"/>
        <v/>
      </c>
      <c r="AS36" s="11" t="e">
        <f t="shared" si="38"/>
        <v>#REF!</v>
      </c>
      <c r="AT36" s="11" t="str">
        <f t="shared" si="39"/>
        <v/>
      </c>
      <c r="AU36" s="11" t="e">
        <f t="shared" si="40"/>
        <v>#REF!</v>
      </c>
      <c r="AV36" s="11" t="str">
        <f t="shared" si="41"/>
        <v/>
      </c>
      <c r="AW36" s="11" t="e">
        <f t="shared" si="42"/>
        <v>#REF!</v>
      </c>
      <c r="AX36" s="11" t="str">
        <f t="shared" si="43"/>
        <v/>
      </c>
      <c r="AY36" s="11" t="e">
        <f t="shared" si="44"/>
        <v>#REF!</v>
      </c>
      <c r="AZ36" s="11" t="str">
        <f t="shared" si="45"/>
        <v/>
      </c>
      <c r="BA36" s="11" t="e">
        <f t="shared" si="46"/>
        <v>#REF!</v>
      </c>
      <c r="BB36" s="11" t="str">
        <f t="shared" si="47"/>
        <v/>
      </c>
      <c r="BC36" s="11" t="e">
        <f t="shared" si="48"/>
        <v>#REF!</v>
      </c>
      <c r="BD36" s="11" t="str">
        <f t="shared" si="49"/>
        <v/>
      </c>
      <c r="BE36" s="11" t="e">
        <f t="shared" si="50"/>
        <v>#REF!</v>
      </c>
      <c r="BF36" s="11" t="str">
        <f t="shared" si="51"/>
        <v/>
      </c>
      <c r="BG36" s="11" t="e">
        <f t="shared" si="52"/>
        <v>#REF!</v>
      </c>
      <c r="BH36" s="11" t="str">
        <f t="shared" si="53"/>
        <v/>
      </c>
      <c r="BI36" s="11" t="e">
        <f t="shared" si="54"/>
        <v>#REF!</v>
      </c>
      <c r="BJ36" s="11" t="str">
        <f t="shared" si="55"/>
        <v/>
      </c>
      <c r="BK36" s="11" t="e">
        <f t="shared" si="56"/>
        <v>#REF!</v>
      </c>
      <c r="BL36" s="11" t="str">
        <f t="shared" si="57"/>
        <v/>
      </c>
      <c r="BM36" s="22" t="e">
        <f t="shared" si="59"/>
        <v>#REF!</v>
      </c>
      <c r="BN36" s="113" t="e">
        <f t="shared" si="60"/>
        <v>#REF!</v>
      </c>
      <c r="BO36" s="41" t="e">
        <f t="shared" si="61"/>
        <v>#REF!</v>
      </c>
      <c r="BP36" s="15" t="str">
        <f t="shared" si="62"/>
        <v/>
      </c>
      <c r="BQ36" s="101" t="e">
        <f t="shared" si="63"/>
        <v>#REF!</v>
      </c>
      <c r="BR36" s="15" t="str">
        <f>IF('ריכוז נתונים כללים'!$W36='ריכוז נתונים כללים'!$AN$16,MIN(BP36,'ריכוז נתונים כללים'!$AB36),BP36)</f>
        <v/>
      </c>
      <c r="BS36" s="15" t="e">
        <f>IF($C36="","",IF('ריכוז נתונים כללים'!$W36='ריכוז נתונים כללים'!$AN$16,BR36,BR36+($C$3-BR$77)*(BR36/(BR$77-SUMIF('ריכוז נתונים כללים'!$W$17:$W$76,'ריכוז נתונים כללים'!$AN$16,BR$17:BR$76)))))</f>
        <v>#REF!</v>
      </c>
    </row>
    <row r="37" spans="2:71" x14ac:dyDescent="0.25">
      <c r="B37" s="7">
        <f>'ריכוז נתונים'!C37</f>
        <v>21</v>
      </c>
      <c r="C37" s="7" t="e">
        <f>#REF!</f>
        <v>#REF!</v>
      </c>
      <c r="D37" s="22" t="e">
        <f>IF(C37="","",#REF!)</f>
        <v>#REF!</v>
      </c>
      <c r="E37" s="22" t="e">
        <f>IF(C37="","",#REF!)</f>
        <v>#REF!</v>
      </c>
      <c r="F37" s="22" t="str">
        <f t="shared" si="1"/>
        <v/>
      </c>
      <c r="G37" s="11" t="e">
        <f t="shared" si="58"/>
        <v>#REF!</v>
      </c>
      <c r="H37" s="11" t="str">
        <f t="shared" si="2"/>
        <v/>
      </c>
      <c r="I37" s="11" t="e">
        <f t="shared" si="58"/>
        <v>#REF!</v>
      </c>
      <c r="J37" s="11" t="str">
        <f t="shared" si="3"/>
        <v/>
      </c>
      <c r="K37" s="11" t="e">
        <f t="shared" si="4"/>
        <v>#REF!</v>
      </c>
      <c r="L37" s="11" t="str">
        <f t="shared" si="5"/>
        <v/>
      </c>
      <c r="M37" s="11" t="e">
        <f t="shared" si="6"/>
        <v>#REF!</v>
      </c>
      <c r="N37" s="11" t="str">
        <f t="shared" si="7"/>
        <v/>
      </c>
      <c r="O37" s="11" t="e">
        <f t="shared" si="8"/>
        <v>#REF!</v>
      </c>
      <c r="P37" s="11" t="str">
        <f t="shared" si="9"/>
        <v/>
      </c>
      <c r="Q37" s="11" t="e">
        <f t="shared" si="10"/>
        <v>#REF!</v>
      </c>
      <c r="R37" s="11" t="str">
        <f t="shared" si="11"/>
        <v/>
      </c>
      <c r="S37" s="11" t="e">
        <f t="shared" si="12"/>
        <v>#REF!</v>
      </c>
      <c r="T37" s="11" t="str">
        <f t="shared" si="13"/>
        <v/>
      </c>
      <c r="U37" s="11" t="e">
        <f t="shared" si="14"/>
        <v>#REF!</v>
      </c>
      <c r="V37" s="11" t="str">
        <f t="shared" si="15"/>
        <v/>
      </c>
      <c r="W37" s="11" t="e">
        <f t="shared" si="16"/>
        <v>#REF!</v>
      </c>
      <c r="X37" s="11" t="str">
        <f t="shared" si="17"/>
        <v/>
      </c>
      <c r="Y37" s="11" t="e">
        <f t="shared" si="18"/>
        <v>#REF!</v>
      </c>
      <c r="Z37" s="11" t="str">
        <f t="shared" si="19"/>
        <v/>
      </c>
      <c r="AA37" s="11" t="e">
        <f t="shared" si="20"/>
        <v>#REF!</v>
      </c>
      <c r="AB37" s="11" t="str">
        <f t="shared" si="21"/>
        <v/>
      </c>
      <c r="AC37" s="11" t="e">
        <f t="shared" si="22"/>
        <v>#REF!</v>
      </c>
      <c r="AD37" s="11" t="str">
        <f t="shared" si="23"/>
        <v/>
      </c>
      <c r="AE37" s="11" t="e">
        <f t="shared" si="24"/>
        <v>#REF!</v>
      </c>
      <c r="AF37" s="11" t="str">
        <f t="shared" si="25"/>
        <v/>
      </c>
      <c r="AG37" s="11" t="e">
        <f t="shared" si="26"/>
        <v>#REF!</v>
      </c>
      <c r="AH37" s="11" t="str">
        <f t="shared" si="27"/>
        <v/>
      </c>
      <c r="AI37" s="11" t="e">
        <f t="shared" si="28"/>
        <v>#REF!</v>
      </c>
      <c r="AJ37" s="11" t="str">
        <f t="shared" si="29"/>
        <v/>
      </c>
      <c r="AK37" s="11" t="e">
        <f t="shared" si="30"/>
        <v>#REF!</v>
      </c>
      <c r="AL37" s="11" t="str">
        <f t="shared" si="31"/>
        <v/>
      </c>
      <c r="AM37" s="11" t="e">
        <f t="shared" si="32"/>
        <v>#REF!</v>
      </c>
      <c r="AN37" s="11" t="str">
        <f t="shared" si="33"/>
        <v/>
      </c>
      <c r="AO37" s="11" t="e">
        <f t="shared" si="34"/>
        <v>#REF!</v>
      </c>
      <c r="AP37" s="11" t="str">
        <f t="shared" si="35"/>
        <v/>
      </c>
      <c r="AQ37" s="11" t="e">
        <f t="shared" si="36"/>
        <v>#REF!</v>
      </c>
      <c r="AR37" s="11" t="str">
        <f t="shared" si="37"/>
        <v/>
      </c>
      <c r="AS37" s="11" t="e">
        <f t="shared" si="38"/>
        <v>#REF!</v>
      </c>
      <c r="AT37" s="11" t="str">
        <f t="shared" si="39"/>
        <v/>
      </c>
      <c r="AU37" s="11" t="e">
        <f t="shared" si="40"/>
        <v>#REF!</v>
      </c>
      <c r="AV37" s="11" t="str">
        <f t="shared" si="41"/>
        <v/>
      </c>
      <c r="AW37" s="11" t="e">
        <f t="shared" si="42"/>
        <v>#REF!</v>
      </c>
      <c r="AX37" s="11" t="str">
        <f t="shared" si="43"/>
        <v/>
      </c>
      <c r="AY37" s="11" t="e">
        <f t="shared" si="44"/>
        <v>#REF!</v>
      </c>
      <c r="AZ37" s="11" t="str">
        <f t="shared" si="45"/>
        <v/>
      </c>
      <c r="BA37" s="11" t="e">
        <f t="shared" si="46"/>
        <v>#REF!</v>
      </c>
      <c r="BB37" s="11" t="str">
        <f t="shared" si="47"/>
        <v/>
      </c>
      <c r="BC37" s="11" t="e">
        <f t="shared" si="48"/>
        <v>#REF!</v>
      </c>
      <c r="BD37" s="11" t="str">
        <f t="shared" si="49"/>
        <v/>
      </c>
      <c r="BE37" s="11" t="e">
        <f t="shared" si="50"/>
        <v>#REF!</v>
      </c>
      <c r="BF37" s="11" t="str">
        <f t="shared" si="51"/>
        <v/>
      </c>
      <c r="BG37" s="11" t="e">
        <f t="shared" si="52"/>
        <v>#REF!</v>
      </c>
      <c r="BH37" s="11" t="str">
        <f t="shared" si="53"/>
        <v/>
      </c>
      <c r="BI37" s="11" t="e">
        <f t="shared" si="54"/>
        <v>#REF!</v>
      </c>
      <c r="BJ37" s="11" t="str">
        <f t="shared" si="55"/>
        <v/>
      </c>
      <c r="BK37" s="11" t="e">
        <f t="shared" si="56"/>
        <v>#REF!</v>
      </c>
      <c r="BL37" s="11" t="str">
        <f t="shared" si="57"/>
        <v/>
      </c>
      <c r="BM37" s="22" t="e">
        <f t="shared" si="59"/>
        <v>#REF!</v>
      </c>
      <c r="BN37" s="113" t="e">
        <f t="shared" si="60"/>
        <v>#REF!</v>
      </c>
      <c r="BO37" s="41" t="e">
        <f t="shared" si="61"/>
        <v>#REF!</v>
      </c>
      <c r="BP37" s="15" t="str">
        <f t="shared" si="62"/>
        <v/>
      </c>
      <c r="BQ37" s="101" t="e">
        <f t="shared" si="63"/>
        <v>#REF!</v>
      </c>
      <c r="BR37" s="15" t="str">
        <f>IF('ריכוז נתונים כללים'!$W37='ריכוז נתונים כללים'!$AN$16,MIN(BP37,'ריכוז נתונים כללים'!$AB37),BP37)</f>
        <v/>
      </c>
      <c r="BS37" s="15" t="e">
        <f>IF($C37="","",IF('ריכוז נתונים כללים'!$W37='ריכוז נתונים כללים'!$AN$16,BR37,BR37+($C$3-BR$77)*(BR37/(BR$77-SUMIF('ריכוז נתונים כללים'!$W$17:$W$76,'ריכוז נתונים כללים'!$AN$16,BR$17:BR$76)))))</f>
        <v>#REF!</v>
      </c>
    </row>
    <row r="38" spans="2:71" x14ac:dyDescent="0.25">
      <c r="B38" s="7">
        <f>'ריכוז נתונים'!C38</f>
        <v>22</v>
      </c>
      <c r="C38" s="7" t="e">
        <f>#REF!</f>
        <v>#REF!</v>
      </c>
      <c r="D38" s="22" t="e">
        <f>IF(C38="","",#REF!)</f>
        <v>#REF!</v>
      </c>
      <c r="E38" s="22" t="e">
        <f>IF(C38="","",#REF!)</f>
        <v>#REF!</v>
      </c>
      <c r="F38" s="22" t="str">
        <f t="shared" si="1"/>
        <v/>
      </c>
      <c r="G38" s="11" t="e">
        <f t="shared" si="58"/>
        <v>#REF!</v>
      </c>
      <c r="H38" s="11" t="str">
        <f t="shared" si="2"/>
        <v/>
      </c>
      <c r="I38" s="11" t="e">
        <f t="shared" si="58"/>
        <v>#REF!</v>
      </c>
      <c r="J38" s="11" t="str">
        <f t="shared" si="3"/>
        <v/>
      </c>
      <c r="K38" s="11" t="e">
        <f t="shared" si="4"/>
        <v>#REF!</v>
      </c>
      <c r="L38" s="11" t="str">
        <f t="shared" si="5"/>
        <v/>
      </c>
      <c r="M38" s="11" t="e">
        <f t="shared" si="6"/>
        <v>#REF!</v>
      </c>
      <c r="N38" s="11" t="str">
        <f t="shared" si="7"/>
        <v/>
      </c>
      <c r="O38" s="11" t="e">
        <f t="shared" si="8"/>
        <v>#REF!</v>
      </c>
      <c r="P38" s="11" t="str">
        <f t="shared" si="9"/>
        <v/>
      </c>
      <c r="Q38" s="11" t="e">
        <f t="shared" si="10"/>
        <v>#REF!</v>
      </c>
      <c r="R38" s="11" t="str">
        <f t="shared" si="11"/>
        <v/>
      </c>
      <c r="S38" s="11" t="e">
        <f t="shared" si="12"/>
        <v>#REF!</v>
      </c>
      <c r="T38" s="11" t="str">
        <f t="shared" si="13"/>
        <v/>
      </c>
      <c r="U38" s="11" t="e">
        <f t="shared" si="14"/>
        <v>#REF!</v>
      </c>
      <c r="V38" s="11" t="str">
        <f t="shared" si="15"/>
        <v/>
      </c>
      <c r="W38" s="11" t="e">
        <f t="shared" si="16"/>
        <v>#REF!</v>
      </c>
      <c r="X38" s="11" t="str">
        <f t="shared" si="17"/>
        <v/>
      </c>
      <c r="Y38" s="11" t="e">
        <f t="shared" si="18"/>
        <v>#REF!</v>
      </c>
      <c r="Z38" s="11" t="str">
        <f t="shared" si="19"/>
        <v/>
      </c>
      <c r="AA38" s="11" t="e">
        <f t="shared" si="20"/>
        <v>#REF!</v>
      </c>
      <c r="AB38" s="11" t="str">
        <f t="shared" si="21"/>
        <v/>
      </c>
      <c r="AC38" s="11" t="e">
        <f t="shared" si="22"/>
        <v>#REF!</v>
      </c>
      <c r="AD38" s="11" t="str">
        <f t="shared" si="23"/>
        <v/>
      </c>
      <c r="AE38" s="11" t="e">
        <f t="shared" si="24"/>
        <v>#REF!</v>
      </c>
      <c r="AF38" s="11" t="str">
        <f t="shared" si="25"/>
        <v/>
      </c>
      <c r="AG38" s="11" t="e">
        <f t="shared" si="26"/>
        <v>#REF!</v>
      </c>
      <c r="AH38" s="11" t="str">
        <f t="shared" si="27"/>
        <v/>
      </c>
      <c r="AI38" s="11" t="e">
        <f t="shared" si="28"/>
        <v>#REF!</v>
      </c>
      <c r="AJ38" s="11" t="str">
        <f t="shared" si="29"/>
        <v/>
      </c>
      <c r="AK38" s="11" t="e">
        <f t="shared" si="30"/>
        <v>#REF!</v>
      </c>
      <c r="AL38" s="11" t="str">
        <f t="shared" si="31"/>
        <v/>
      </c>
      <c r="AM38" s="11" t="e">
        <f t="shared" si="32"/>
        <v>#REF!</v>
      </c>
      <c r="AN38" s="11" t="str">
        <f t="shared" si="33"/>
        <v/>
      </c>
      <c r="AO38" s="11" t="e">
        <f t="shared" si="34"/>
        <v>#REF!</v>
      </c>
      <c r="AP38" s="11" t="str">
        <f t="shared" si="35"/>
        <v/>
      </c>
      <c r="AQ38" s="11" t="e">
        <f t="shared" si="36"/>
        <v>#REF!</v>
      </c>
      <c r="AR38" s="11" t="str">
        <f t="shared" si="37"/>
        <v/>
      </c>
      <c r="AS38" s="11" t="e">
        <f t="shared" si="38"/>
        <v>#REF!</v>
      </c>
      <c r="AT38" s="11" t="str">
        <f t="shared" si="39"/>
        <v/>
      </c>
      <c r="AU38" s="11" t="e">
        <f t="shared" si="40"/>
        <v>#REF!</v>
      </c>
      <c r="AV38" s="11" t="str">
        <f t="shared" si="41"/>
        <v/>
      </c>
      <c r="AW38" s="11" t="e">
        <f t="shared" si="42"/>
        <v>#REF!</v>
      </c>
      <c r="AX38" s="11" t="str">
        <f t="shared" si="43"/>
        <v/>
      </c>
      <c r="AY38" s="11" t="e">
        <f t="shared" si="44"/>
        <v>#REF!</v>
      </c>
      <c r="AZ38" s="11" t="str">
        <f t="shared" si="45"/>
        <v/>
      </c>
      <c r="BA38" s="11" t="e">
        <f t="shared" si="46"/>
        <v>#REF!</v>
      </c>
      <c r="BB38" s="11" t="str">
        <f t="shared" si="47"/>
        <v/>
      </c>
      <c r="BC38" s="11" t="e">
        <f t="shared" si="48"/>
        <v>#REF!</v>
      </c>
      <c r="BD38" s="11" t="str">
        <f t="shared" si="49"/>
        <v/>
      </c>
      <c r="BE38" s="11" t="e">
        <f t="shared" si="50"/>
        <v>#REF!</v>
      </c>
      <c r="BF38" s="11" t="str">
        <f t="shared" si="51"/>
        <v/>
      </c>
      <c r="BG38" s="11" t="e">
        <f t="shared" si="52"/>
        <v>#REF!</v>
      </c>
      <c r="BH38" s="11" t="str">
        <f t="shared" si="53"/>
        <v/>
      </c>
      <c r="BI38" s="11" t="e">
        <f t="shared" si="54"/>
        <v>#REF!</v>
      </c>
      <c r="BJ38" s="11" t="str">
        <f t="shared" si="55"/>
        <v/>
      </c>
      <c r="BK38" s="11" t="e">
        <f t="shared" si="56"/>
        <v>#REF!</v>
      </c>
      <c r="BL38" s="11" t="str">
        <f t="shared" si="57"/>
        <v/>
      </c>
      <c r="BM38" s="22" t="e">
        <f t="shared" si="59"/>
        <v>#REF!</v>
      </c>
      <c r="BN38" s="113" t="e">
        <f t="shared" si="60"/>
        <v>#REF!</v>
      </c>
      <c r="BO38" s="41" t="e">
        <f t="shared" si="61"/>
        <v>#REF!</v>
      </c>
      <c r="BP38" s="15" t="str">
        <f t="shared" si="62"/>
        <v/>
      </c>
      <c r="BQ38" s="101" t="e">
        <f t="shared" si="63"/>
        <v>#REF!</v>
      </c>
      <c r="BR38" s="15" t="str">
        <f>IF('ריכוז נתונים כללים'!$W38='ריכוז נתונים כללים'!$AN$16,MIN(BP38,'ריכוז נתונים כללים'!$AB38),BP38)</f>
        <v/>
      </c>
      <c r="BS38" s="15" t="e">
        <f>IF($C38="","",IF('ריכוז נתונים כללים'!$W38='ריכוז נתונים כללים'!$AN$16,BR38,BR38+($C$3-BR$77)*(BR38/(BR$77-SUMIF('ריכוז נתונים כללים'!$W$17:$W$76,'ריכוז נתונים כללים'!$AN$16,BR$17:BR$76)))))</f>
        <v>#REF!</v>
      </c>
    </row>
    <row r="39" spans="2:71" x14ac:dyDescent="0.25">
      <c r="B39" s="7">
        <f>'ריכוז נתונים'!C39</f>
        <v>23</v>
      </c>
      <c r="C39" s="7" t="e">
        <f>#REF!</f>
        <v>#REF!</v>
      </c>
      <c r="D39" s="22" t="e">
        <f>IF(C39="","",#REF!)</f>
        <v>#REF!</v>
      </c>
      <c r="E39" s="22" t="e">
        <f>IF(C39="","",#REF!)</f>
        <v>#REF!</v>
      </c>
      <c r="F39" s="22" t="str">
        <f t="shared" si="1"/>
        <v/>
      </c>
      <c r="G39" s="11" t="e">
        <f t="shared" si="58"/>
        <v>#REF!</v>
      </c>
      <c r="H39" s="11" t="str">
        <f t="shared" si="2"/>
        <v/>
      </c>
      <c r="I39" s="11" t="e">
        <f t="shared" si="58"/>
        <v>#REF!</v>
      </c>
      <c r="J39" s="11" t="str">
        <f t="shared" si="3"/>
        <v/>
      </c>
      <c r="K39" s="11" t="e">
        <f t="shared" si="4"/>
        <v>#REF!</v>
      </c>
      <c r="L39" s="11" t="str">
        <f t="shared" si="5"/>
        <v/>
      </c>
      <c r="M39" s="11" t="e">
        <f t="shared" si="6"/>
        <v>#REF!</v>
      </c>
      <c r="N39" s="11" t="str">
        <f t="shared" si="7"/>
        <v/>
      </c>
      <c r="O39" s="11" t="e">
        <f t="shared" si="8"/>
        <v>#REF!</v>
      </c>
      <c r="P39" s="11" t="str">
        <f t="shared" si="9"/>
        <v/>
      </c>
      <c r="Q39" s="11" t="e">
        <f t="shared" si="10"/>
        <v>#REF!</v>
      </c>
      <c r="R39" s="11" t="str">
        <f t="shared" si="11"/>
        <v/>
      </c>
      <c r="S39" s="11" t="e">
        <f t="shared" si="12"/>
        <v>#REF!</v>
      </c>
      <c r="T39" s="11" t="str">
        <f t="shared" si="13"/>
        <v/>
      </c>
      <c r="U39" s="11" t="e">
        <f t="shared" si="14"/>
        <v>#REF!</v>
      </c>
      <c r="V39" s="11" t="str">
        <f t="shared" si="15"/>
        <v/>
      </c>
      <c r="W39" s="11" t="e">
        <f t="shared" si="16"/>
        <v>#REF!</v>
      </c>
      <c r="X39" s="11" t="str">
        <f t="shared" si="17"/>
        <v/>
      </c>
      <c r="Y39" s="11" t="e">
        <f t="shared" si="18"/>
        <v>#REF!</v>
      </c>
      <c r="Z39" s="11" t="str">
        <f t="shared" si="19"/>
        <v/>
      </c>
      <c r="AA39" s="11" t="e">
        <f t="shared" si="20"/>
        <v>#REF!</v>
      </c>
      <c r="AB39" s="11" t="str">
        <f t="shared" si="21"/>
        <v/>
      </c>
      <c r="AC39" s="11" t="e">
        <f t="shared" si="22"/>
        <v>#REF!</v>
      </c>
      <c r="AD39" s="11" t="str">
        <f t="shared" si="23"/>
        <v/>
      </c>
      <c r="AE39" s="11" t="e">
        <f t="shared" si="24"/>
        <v>#REF!</v>
      </c>
      <c r="AF39" s="11" t="str">
        <f t="shared" si="25"/>
        <v/>
      </c>
      <c r="AG39" s="11" t="e">
        <f t="shared" si="26"/>
        <v>#REF!</v>
      </c>
      <c r="AH39" s="11" t="str">
        <f t="shared" si="27"/>
        <v/>
      </c>
      <c r="AI39" s="11" t="e">
        <f t="shared" si="28"/>
        <v>#REF!</v>
      </c>
      <c r="AJ39" s="11" t="str">
        <f t="shared" si="29"/>
        <v/>
      </c>
      <c r="AK39" s="11" t="e">
        <f t="shared" si="30"/>
        <v>#REF!</v>
      </c>
      <c r="AL39" s="11" t="str">
        <f t="shared" si="31"/>
        <v/>
      </c>
      <c r="AM39" s="11" t="e">
        <f t="shared" si="32"/>
        <v>#REF!</v>
      </c>
      <c r="AN39" s="11" t="str">
        <f t="shared" si="33"/>
        <v/>
      </c>
      <c r="AO39" s="11" t="e">
        <f t="shared" si="34"/>
        <v>#REF!</v>
      </c>
      <c r="AP39" s="11" t="str">
        <f t="shared" si="35"/>
        <v/>
      </c>
      <c r="AQ39" s="11" t="e">
        <f t="shared" si="36"/>
        <v>#REF!</v>
      </c>
      <c r="AR39" s="11" t="str">
        <f t="shared" si="37"/>
        <v/>
      </c>
      <c r="AS39" s="11" t="e">
        <f t="shared" si="38"/>
        <v>#REF!</v>
      </c>
      <c r="AT39" s="11" t="str">
        <f t="shared" si="39"/>
        <v/>
      </c>
      <c r="AU39" s="11" t="e">
        <f t="shared" si="40"/>
        <v>#REF!</v>
      </c>
      <c r="AV39" s="11" t="str">
        <f t="shared" si="41"/>
        <v/>
      </c>
      <c r="AW39" s="11" t="e">
        <f t="shared" si="42"/>
        <v>#REF!</v>
      </c>
      <c r="AX39" s="11" t="str">
        <f t="shared" si="43"/>
        <v/>
      </c>
      <c r="AY39" s="11" t="e">
        <f t="shared" si="44"/>
        <v>#REF!</v>
      </c>
      <c r="AZ39" s="11" t="str">
        <f t="shared" si="45"/>
        <v/>
      </c>
      <c r="BA39" s="11" t="e">
        <f t="shared" si="46"/>
        <v>#REF!</v>
      </c>
      <c r="BB39" s="11" t="str">
        <f t="shared" si="47"/>
        <v/>
      </c>
      <c r="BC39" s="11" t="e">
        <f t="shared" si="48"/>
        <v>#REF!</v>
      </c>
      <c r="BD39" s="11" t="str">
        <f t="shared" si="49"/>
        <v/>
      </c>
      <c r="BE39" s="11" t="e">
        <f t="shared" si="50"/>
        <v>#REF!</v>
      </c>
      <c r="BF39" s="11" t="str">
        <f t="shared" si="51"/>
        <v/>
      </c>
      <c r="BG39" s="11" t="e">
        <f t="shared" si="52"/>
        <v>#REF!</v>
      </c>
      <c r="BH39" s="11" t="str">
        <f t="shared" si="53"/>
        <v/>
      </c>
      <c r="BI39" s="11" t="e">
        <f t="shared" si="54"/>
        <v>#REF!</v>
      </c>
      <c r="BJ39" s="11" t="str">
        <f t="shared" si="55"/>
        <v/>
      </c>
      <c r="BK39" s="11" t="e">
        <f t="shared" si="56"/>
        <v>#REF!</v>
      </c>
      <c r="BL39" s="11" t="str">
        <f t="shared" si="57"/>
        <v/>
      </c>
      <c r="BM39" s="22" t="e">
        <f t="shared" si="59"/>
        <v>#REF!</v>
      </c>
      <c r="BN39" s="113" t="e">
        <f t="shared" si="60"/>
        <v>#REF!</v>
      </c>
      <c r="BO39" s="41" t="e">
        <f t="shared" si="61"/>
        <v>#REF!</v>
      </c>
      <c r="BP39" s="15" t="str">
        <f t="shared" si="62"/>
        <v/>
      </c>
      <c r="BQ39" s="101" t="e">
        <f t="shared" si="63"/>
        <v>#REF!</v>
      </c>
      <c r="BR39" s="15" t="str">
        <f>IF('ריכוז נתונים כללים'!$W39='ריכוז נתונים כללים'!$AN$16,MIN(BP39,'ריכוז נתונים כללים'!$AB39),BP39)</f>
        <v/>
      </c>
      <c r="BS39" s="15" t="e">
        <f>IF($C39="","",IF('ריכוז נתונים כללים'!$W39='ריכוז נתונים כללים'!$AN$16,BR39,BR39+($C$3-BR$77)*(BR39/(BR$77-SUMIF('ריכוז נתונים כללים'!$W$17:$W$76,'ריכוז נתונים כללים'!$AN$16,BR$17:BR$76)))))</f>
        <v>#REF!</v>
      </c>
    </row>
    <row r="40" spans="2:71" x14ac:dyDescent="0.25">
      <c r="B40" s="7">
        <f>'ריכוז נתונים'!C40</f>
        <v>24</v>
      </c>
      <c r="C40" s="7" t="e">
        <f>#REF!</f>
        <v>#REF!</v>
      </c>
      <c r="D40" s="22" t="e">
        <f>IF(C40="","",#REF!)</f>
        <v>#REF!</v>
      </c>
      <c r="E40" s="22" t="e">
        <f>IF(C40="","",#REF!)</f>
        <v>#REF!</v>
      </c>
      <c r="F40" s="22" t="str">
        <f t="shared" si="1"/>
        <v/>
      </c>
      <c r="G40" s="11" t="e">
        <f t="shared" si="58"/>
        <v>#REF!</v>
      </c>
      <c r="H40" s="11" t="str">
        <f t="shared" si="2"/>
        <v/>
      </c>
      <c r="I40" s="11" t="e">
        <f t="shared" si="58"/>
        <v>#REF!</v>
      </c>
      <c r="J40" s="11" t="str">
        <f t="shared" si="3"/>
        <v/>
      </c>
      <c r="K40" s="11" t="e">
        <f t="shared" si="4"/>
        <v>#REF!</v>
      </c>
      <c r="L40" s="11" t="str">
        <f t="shared" si="5"/>
        <v/>
      </c>
      <c r="M40" s="11" t="e">
        <f t="shared" si="6"/>
        <v>#REF!</v>
      </c>
      <c r="N40" s="11" t="str">
        <f t="shared" si="7"/>
        <v/>
      </c>
      <c r="O40" s="11" t="e">
        <f t="shared" si="8"/>
        <v>#REF!</v>
      </c>
      <c r="P40" s="11" t="str">
        <f t="shared" si="9"/>
        <v/>
      </c>
      <c r="Q40" s="11" t="e">
        <f t="shared" si="10"/>
        <v>#REF!</v>
      </c>
      <c r="R40" s="11" t="str">
        <f t="shared" si="11"/>
        <v/>
      </c>
      <c r="S40" s="11" t="e">
        <f t="shared" si="12"/>
        <v>#REF!</v>
      </c>
      <c r="T40" s="11" t="str">
        <f t="shared" si="13"/>
        <v/>
      </c>
      <c r="U40" s="11" t="e">
        <f t="shared" si="14"/>
        <v>#REF!</v>
      </c>
      <c r="V40" s="11" t="str">
        <f t="shared" si="15"/>
        <v/>
      </c>
      <c r="W40" s="11" t="e">
        <f t="shared" si="16"/>
        <v>#REF!</v>
      </c>
      <c r="X40" s="11" t="str">
        <f t="shared" si="17"/>
        <v/>
      </c>
      <c r="Y40" s="11" t="e">
        <f t="shared" si="18"/>
        <v>#REF!</v>
      </c>
      <c r="Z40" s="11" t="str">
        <f t="shared" si="19"/>
        <v/>
      </c>
      <c r="AA40" s="11" t="e">
        <f t="shared" si="20"/>
        <v>#REF!</v>
      </c>
      <c r="AB40" s="11" t="str">
        <f t="shared" si="21"/>
        <v/>
      </c>
      <c r="AC40" s="11" t="e">
        <f t="shared" si="22"/>
        <v>#REF!</v>
      </c>
      <c r="AD40" s="11" t="str">
        <f t="shared" si="23"/>
        <v/>
      </c>
      <c r="AE40" s="11" t="e">
        <f t="shared" si="24"/>
        <v>#REF!</v>
      </c>
      <c r="AF40" s="11" t="str">
        <f t="shared" si="25"/>
        <v/>
      </c>
      <c r="AG40" s="11" t="e">
        <f t="shared" si="26"/>
        <v>#REF!</v>
      </c>
      <c r="AH40" s="11" t="str">
        <f t="shared" si="27"/>
        <v/>
      </c>
      <c r="AI40" s="11" t="e">
        <f t="shared" si="28"/>
        <v>#REF!</v>
      </c>
      <c r="AJ40" s="11" t="str">
        <f t="shared" si="29"/>
        <v/>
      </c>
      <c r="AK40" s="11" t="e">
        <f t="shared" si="30"/>
        <v>#REF!</v>
      </c>
      <c r="AL40" s="11" t="str">
        <f t="shared" si="31"/>
        <v/>
      </c>
      <c r="AM40" s="11" t="e">
        <f t="shared" si="32"/>
        <v>#REF!</v>
      </c>
      <c r="AN40" s="11" t="str">
        <f t="shared" si="33"/>
        <v/>
      </c>
      <c r="AO40" s="11" t="e">
        <f t="shared" si="34"/>
        <v>#REF!</v>
      </c>
      <c r="AP40" s="11" t="str">
        <f t="shared" si="35"/>
        <v/>
      </c>
      <c r="AQ40" s="11" t="e">
        <f t="shared" si="36"/>
        <v>#REF!</v>
      </c>
      <c r="AR40" s="11" t="str">
        <f t="shared" si="37"/>
        <v/>
      </c>
      <c r="AS40" s="11" t="e">
        <f t="shared" si="38"/>
        <v>#REF!</v>
      </c>
      <c r="AT40" s="11" t="str">
        <f t="shared" si="39"/>
        <v/>
      </c>
      <c r="AU40" s="11" t="e">
        <f t="shared" si="40"/>
        <v>#REF!</v>
      </c>
      <c r="AV40" s="11" t="str">
        <f t="shared" si="41"/>
        <v/>
      </c>
      <c r="AW40" s="11" t="e">
        <f t="shared" si="42"/>
        <v>#REF!</v>
      </c>
      <c r="AX40" s="11" t="str">
        <f t="shared" si="43"/>
        <v/>
      </c>
      <c r="AY40" s="11" t="e">
        <f t="shared" si="44"/>
        <v>#REF!</v>
      </c>
      <c r="AZ40" s="11" t="str">
        <f t="shared" si="45"/>
        <v/>
      </c>
      <c r="BA40" s="11" t="e">
        <f t="shared" si="46"/>
        <v>#REF!</v>
      </c>
      <c r="BB40" s="11" t="str">
        <f t="shared" si="47"/>
        <v/>
      </c>
      <c r="BC40" s="11" t="e">
        <f t="shared" si="48"/>
        <v>#REF!</v>
      </c>
      <c r="BD40" s="11" t="str">
        <f t="shared" si="49"/>
        <v/>
      </c>
      <c r="BE40" s="11" t="e">
        <f t="shared" si="50"/>
        <v>#REF!</v>
      </c>
      <c r="BF40" s="11" t="str">
        <f t="shared" si="51"/>
        <v/>
      </c>
      <c r="BG40" s="11" t="e">
        <f t="shared" si="52"/>
        <v>#REF!</v>
      </c>
      <c r="BH40" s="11" t="str">
        <f t="shared" si="53"/>
        <v/>
      </c>
      <c r="BI40" s="11" t="e">
        <f t="shared" si="54"/>
        <v>#REF!</v>
      </c>
      <c r="BJ40" s="11" t="str">
        <f t="shared" si="55"/>
        <v/>
      </c>
      <c r="BK40" s="11" t="e">
        <f t="shared" si="56"/>
        <v>#REF!</v>
      </c>
      <c r="BL40" s="11" t="str">
        <f t="shared" si="57"/>
        <v/>
      </c>
      <c r="BM40" s="22" t="e">
        <f t="shared" si="59"/>
        <v>#REF!</v>
      </c>
      <c r="BN40" s="113" t="e">
        <f t="shared" si="60"/>
        <v>#REF!</v>
      </c>
      <c r="BO40" s="41" t="e">
        <f t="shared" si="61"/>
        <v>#REF!</v>
      </c>
      <c r="BP40" s="15" t="str">
        <f t="shared" si="62"/>
        <v/>
      </c>
      <c r="BQ40" s="101" t="e">
        <f t="shared" si="63"/>
        <v>#REF!</v>
      </c>
      <c r="BR40" s="15" t="str">
        <f>IF('ריכוז נתונים כללים'!$W40='ריכוז נתונים כללים'!$AN$16,MIN(BP40,'ריכוז נתונים כללים'!$AB40),BP40)</f>
        <v/>
      </c>
      <c r="BS40" s="15" t="e">
        <f>IF($C40="","",IF('ריכוז נתונים כללים'!$W40='ריכוז נתונים כללים'!$AN$16,BR40,BR40+($C$3-BR$77)*(BR40/(BR$77-SUMIF('ריכוז נתונים כללים'!$W$17:$W$76,'ריכוז נתונים כללים'!$AN$16,BR$17:BR$76)))))</f>
        <v>#REF!</v>
      </c>
    </row>
    <row r="41" spans="2:71" x14ac:dyDescent="0.25">
      <c r="B41" s="7">
        <f>'ריכוז נתונים'!C41</f>
        <v>25</v>
      </c>
      <c r="C41" s="7" t="e">
        <f>#REF!</f>
        <v>#REF!</v>
      </c>
      <c r="D41" s="22" t="e">
        <f>IF(C41="","",#REF!)</f>
        <v>#REF!</v>
      </c>
      <c r="E41" s="22" t="e">
        <f>IF(C41="","",#REF!)</f>
        <v>#REF!</v>
      </c>
      <c r="F41" s="22" t="str">
        <f t="shared" si="1"/>
        <v/>
      </c>
      <c r="G41" s="11" t="e">
        <f t="shared" si="58"/>
        <v>#REF!</v>
      </c>
      <c r="H41" s="11" t="str">
        <f t="shared" si="2"/>
        <v/>
      </c>
      <c r="I41" s="11" t="e">
        <f t="shared" si="58"/>
        <v>#REF!</v>
      </c>
      <c r="J41" s="11" t="str">
        <f t="shared" si="3"/>
        <v/>
      </c>
      <c r="K41" s="11" t="e">
        <f t="shared" si="4"/>
        <v>#REF!</v>
      </c>
      <c r="L41" s="11" t="str">
        <f t="shared" si="5"/>
        <v/>
      </c>
      <c r="M41" s="11" t="e">
        <f t="shared" si="6"/>
        <v>#REF!</v>
      </c>
      <c r="N41" s="11" t="str">
        <f t="shared" si="7"/>
        <v/>
      </c>
      <c r="O41" s="11" t="e">
        <f t="shared" si="8"/>
        <v>#REF!</v>
      </c>
      <c r="P41" s="11" t="str">
        <f t="shared" si="9"/>
        <v/>
      </c>
      <c r="Q41" s="11" t="e">
        <f t="shared" si="10"/>
        <v>#REF!</v>
      </c>
      <c r="R41" s="11" t="str">
        <f t="shared" si="11"/>
        <v/>
      </c>
      <c r="S41" s="11" t="e">
        <f t="shared" si="12"/>
        <v>#REF!</v>
      </c>
      <c r="T41" s="11" t="str">
        <f t="shared" si="13"/>
        <v/>
      </c>
      <c r="U41" s="11" t="e">
        <f t="shared" si="14"/>
        <v>#REF!</v>
      </c>
      <c r="V41" s="11" t="str">
        <f t="shared" si="15"/>
        <v/>
      </c>
      <c r="W41" s="11" t="e">
        <f t="shared" si="16"/>
        <v>#REF!</v>
      </c>
      <c r="X41" s="11" t="str">
        <f t="shared" si="17"/>
        <v/>
      </c>
      <c r="Y41" s="11" t="e">
        <f t="shared" si="18"/>
        <v>#REF!</v>
      </c>
      <c r="Z41" s="11" t="str">
        <f t="shared" si="19"/>
        <v/>
      </c>
      <c r="AA41" s="11" t="e">
        <f t="shared" si="20"/>
        <v>#REF!</v>
      </c>
      <c r="AB41" s="11" t="str">
        <f t="shared" si="21"/>
        <v/>
      </c>
      <c r="AC41" s="11" t="e">
        <f t="shared" si="22"/>
        <v>#REF!</v>
      </c>
      <c r="AD41" s="11" t="str">
        <f t="shared" si="23"/>
        <v/>
      </c>
      <c r="AE41" s="11" t="e">
        <f t="shared" si="24"/>
        <v>#REF!</v>
      </c>
      <c r="AF41" s="11" t="str">
        <f t="shared" si="25"/>
        <v/>
      </c>
      <c r="AG41" s="11" t="e">
        <f t="shared" si="26"/>
        <v>#REF!</v>
      </c>
      <c r="AH41" s="11" t="str">
        <f t="shared" si="27"/>
        <v/>
      </c>
      <c r="AI41" s="11" t="e">
        <f t="shared" si="28"/>
        <v>#REF!</v>
      </c>
      <c r="AJ41" s="11" t="str">
        <f t="shared" si="29"/>
        <v/>
      </c>
      <c r="AK41" s="11" t="e">
        <f t="shared" si="30"/>
        <v>#REF!</v>
      </c>
      <c r="AL41" s="11" t="str">
        <f t="shared" si="31"/>
        <v/>
      </c>
      <c r="AM41" s="11" t="e">
        <f t="shared" si="32"/>
        <v>#REF!</v>
      </c>
      <c r="AN41" s="11" t="str">
        <f t="shared" si="33"/>
        <v/>
      </c>
      <c r="AO41" s="11" t="e">
        <f t="shared" si="34"/>
        <v>#REF!</v>
      </c>
      <c r="AP41" s="11" t="str">
        <f t="shared" si="35"/>
        <v/>
      </c>
      <c r="AQ41" s="11" t="e">
        <f t="shared" si="36"/>
        <v>#REF!</v>
      </c>
      <c r="AR41" s="11" t="str">
        <f t="shared" si="37"/>
        <v/>
      </c>
      <c r="AS41" s="11" t="e">
        <f t="shared" si="38"/>
        <v>#REF!</v>
      </c>
      <c r="AT41" s="11" t="str">
        <f t="shared" si="39"/>
        <v/>
      </c>
      <c r="AU41" s="11" t="e">
        <f t="shared" si="40"/>
        <v>#REF!</v>
      </c>
      <c r="AV41" s="11" t="str">
        <f t="shared" si="41"/>
        <v/>
      </c>
      <c r="AW41" s="11" t="e">
        <f t="shared" si="42"/>
        <v>#REF!</v>
      </c>
      <c r="AX41" s="11" t="str">
        <f t="shared" si="43"/>
        <v/>
      </c>
      <c r="AY41" s="11" t="e">
        <f t="shared" si="44"/>
        <v>#REF!</v>
      </c>
      <c r="AZ41" s="11" t="str">
        <f t="shared" si="45"/>
        <v/>
      </c>
      <c r="BA41" s="11" t="e">
        <f t="shared" si="46"/>
        <v>#REF!</v>
      </c>
      <c r="BB41" s="11" t="str">
        <f t="shared" si="47"/>
        <v/>
      </c>
      <c r="BC41" s="11" t="e">
        <f t="shared" si="48"/>
        <v>#REF!</v>
      </c>
      <c r="BD41" s="11" t="str">
        <f t="shared" si="49"/>
        <v/>
      </c>
      <c r="BE41" s="11" t="e">
        <f t="shared" si="50"/>
        <v>#REF!</v>
      </c>
      <c r="BF41" s="11" t="str">
        <f t="shared" si="51"/>
        <v/>
      </c>
      <c r="BG41" s="11" t="e">
        <f t="shared" si="52"/>
        <v>#REF!</v>
      </c>
      <c r="BH41" s="11" t="str">
        <f t="shared" si="53"/>
        <v/>
      </c>
      <c r="BI41" s="11" t="e">
        <f t="shared" si="54"/>
        <v>#REF!</v>
      </c>
      <c r="BJ41" s="11" t="str">
        <f t="shared" si="55"/>
        <v/>
      </c>
      <c r="BK41" s="11" t="e">
        <f t="shared" si="56"/>
        <v>#REF!</v>
      </c>
      <c r="BL41" s="11" t="str">
        <f t="shared" si="57"/>
        <v/>
      </c>
      <c r="BM41" s="22" t="e">
        <f t="shared" si="59"/>
        <v>#REF!</v>
      </c>
      <c r="BN41" s="113" t="e">
        <f t="shared" si="60"/>
        <v>#REF!</v>
      </c>
      <c r="BO41" s="41" t="e">
        <f t="shared" si="61"/>
        <v>#REF!</v>
      </c>
      <c r="BP41" s="15" t="str">
        <f t="shared" si="62"/>
        <v/>
      </c>
      <c r="BQ41" s="101" t="e">
        <f t="shared" si="63"/>
        <v>#REF!</v>
      </c>
      <c r="BR41" s="15" t="str">
        <f>IF('ריכוז נתונים כללים'!$W41='ריכוז נתונים כללים'!$AN$16,MIN(BP41,'ריכוז נתונים כללים'!$AB41),BP41)</f>
        <v/>
      </c>
      <c r="BS41" s="15" t="e">
        <f>IF($C41="","",IF('ריכוז נתונים כללים'!$W41='ריכוז נתונים כללים'!$AN$16,BR41,BR41+($C$3-BR$77)*(BR41/(BR$77-SUMIF('ריכוז נתונים כללים'!$W$17:$W$76,'ריכוז נתונים כללים'!$AN$16,BR$17:BR$76)))))</f>
        <v>#REF!</v>
      </c>
    </row>
    <row r="42" spans="2:71" x14ac:dyDescent="0.25">
      <c r="B42" s="7">
        <f>'ריכוז נתונים'!C42</f>
        <v>26</v>
      </c>
      <c r="C42" s="7" t="e">
        <f>#REF!</f>
        <v>#REF!</v>
      </c>
      <c r="D42" s="22" t="e">
        <f>IF(C42="","",#REF!)</f>
        <v>#REF!</v>
      </c>
      <c r="E42" s="22" t="e">
        <f>IF(C42="","",#REF!)</f>
        <v>#REF!</v>
      </c>
      <c r="F42" s="22" t="str">
        <f t="shared" si="1"/>
        <v/>
      </c>
      <c r="G42" s="11" t="e">
        <f t="shared" si="58"/>
        <v>#REF!</v>
      </c>
      <c r="H42" s="11" t="str">
        <f t="shared" si="2"/>
        <v/>
      </c>
      <c r="I42" s="11" t="e">
        <f t="shared" si="58"/>
        <v>#REF!</v>
      </c>
      <c r="J42" s="11" t="str">
        <f t="shared" si="3"/>
        <v/>
      </c>
      <c r="K42" s="11" t="e">
        <f t="shared" si="4"/>
        <v>#REF!</v>
      </c>
      <c r="L42" s="11" t="str">
        <f t="shared" si="5"/>
        <v/>
      </c>
      <c r="M42" s="11" t="e">
        <f t="shared" si="6"/>
        <v>#REF!</v>
      </c>
      <c r="N42" s="11" t="str">
        <f t="shared" si="7"/>
        <v/>
      </c>
      <c r="O42" s="11" t="e">
        <f t="shared" si="8"/>
        <v>#REF!</v>
      </c>
      <c r="P42" s="11" t="str">
        <f t="shared" si="9"/>
        <v/>
      </c>
      <c r="Q42" s="11" t="e">
        <f t="shared" si="10"/>
        <v>#REF!</v>
      </c>
      <c r="R42" s="11" t="str">
        <f t="shared" si="11"/>
        <v/>
      </c>
      <c r="S42" s="11" t="e">
        <f t="shared" si="12"/>
        <v>#REF!</v>
      </c>
      <c r="T42" s="11" t="str">
        <f t="shared" si="13"/>
        <v/>
      </c>
      <c r="U42" s="11" t="e">
        <f t="shared" si="14"/>
        <v>#REF!</v>
      </c>
      <c r="V42" s="11" t="str">
        <f t="shared" si="15"/>
        <v/>
      </c>
      <c r="W42" s="11" t="e">
        <f t="shared" si="16"/>
        <v>#REF!</v>
      </c>
      <c r="X42" s="11" t="str">
        <f t="shared" si="17"/>
        <v/>
      </c>
      <c r="Y42" s="11" t="e">
        <f t="shared" si="18"/>
        <v>#REF!</v>
      </c>
      <c r="Z42" s="11" t="str">
        <f t="shared" si="19"/>
        <v/>
      </c>
      <c r="AA42" s="11" t="e">
        <f t="shared" si="20"/>
        <v>#REF!</v>
      </c>
      <c r="AB42" s="11" t="str">
        <f t="shared" si="21"/>
        <v/>
      </c>
      <c r="AC42" s="11" t="e">
        <f t="shared" si="22"/>
        <v>#REF!</v>
      </c>
      <c r="AD42" s="11" t="str">
        <f t="shared" si="23"/>
        <v/>
      </c>
      <c r="AE42" s="11" t="e">
        <f t="shared" si="24"/>
        <v>#REF!</v>
      </c>
      <c r="AF42" s="11" t="str">
        <f t="shared" si="25"/>
        <v/>
      </c>
      <c r="AG42" s="11" t="e">
        <f t="shared" si="26"/>
        <v>#REF!</v>
      </c>
      <c r="AH42" s="11" t="str">
        <f t="shared" si="27"/>
        <v/>
      </c>
      <c r="AI42" s="11" t="e">
        <f t="shared" si="28"/>
        <v>#REF!</v>
      </c>
      <c r="AJ42" s="11" t="str">
        <f t="shared" si="29"/>
        <v/>
      </c>
      <c r="AK42" s="11" t="e">
        <f t="shared" si="30"/>
        <v>#REF!</v>
      </c>
      <c r="AL42" s="11" t="str">
        <f t="shared" si="31"/>
        <v/>
      </c>
      <c r="AM42" s="11" t="e">
        <f t="shared" si="32"/>
        <v>#REF!</v>
      </c>
      <c r="AN42" s="11" t="str">
        <f t="shared" si="33"/>
        <v/>
      </c>
      <c r="AO42" s="11" t="e">
        <f t="shared" si="34"/>
        <v>#REF!</v>
      </c>
      <c r="AP42" s="11" t="str">
        <f t="shared" si="35"/>
        <v/>
      </c>
      <c r="AQ42" s="11" t="e">
        <f t="shared" si="36"/>
        <v>#REF!</v>
      </c>
      <c r="AR42" s="11" t="str">
        <f t="shared" si="37"/>
        <v/>
      </c>
      <c r="AS42" s="11" t="e">
        <f t="shared" si="38"/>
        <v>#REF!</v>
      </c>
      <c r="AT42" s="11" t="str">
        <f t="shared" si="39"/>
        <v/>
      </c>
      <c r="AU42" s="11" t="e">
        <f t="shared" si="40"/>
        <v>#REF!</v>
      </c>
      <c r="AV42" s="11" t="str">
        <f t="shared" si="41"/>
        <v/>
      </c>
      <c r="AW42" s="11" t="e">
        <f t="shared" si="42"/>
        <v>#REF!</v>
      </c>
      <c r="AX42" s="11" t="str">
        <f t="shared" si="43"/>
        <v/>
      </c>
      <c r="AY42" s="11" t="e">
        <f t="shared" si="44"/>
        <v>#REF!</v>
      </c>
      <c r="AZ42" s="11" t="str">
        <f t="shared" si="45"/>
        <v/>
      </c>
      <c r="BA42" s="11" t="e">
        <f t="shared" si="46"/>
        <v>#REF!</v>
      </c>
      <c r="BB42" s="11" t="str">
        <f t="shared" si="47"/>
        <v/>
      </c>
      <c r="BC42" s="11" t="e">
        <f t="shared" si="48"/>
        <v>#REF!</v>
      </c>
      <c r="BD42" s="11" t="str">
        <f t="shared" si="49"/>
        <v/>
      </c>
      <c r="BE42" s="11" t="e">
        <f t="shared" si="50"/>
        <v>#REF!</v>
      </c>
      <c r="BF42" s="11" t="str">
        <f t="shared" si="51"/>
        <v/>
      </c>
      <c r="BG42" s="11" t="e">
        <f t="shared" si="52"/>
        <v>#REF!</v>
      </c>
      <c r="BH42" s="11" t="str">
        <f t="shared" si="53"/>
        <v/>
      </c>
      <c r="BI42" s="11" t="e">
        <f t="shared" si="54"/>
        <v>#REF!</v>
      </c>
      <c r="BJ42" s="11" t="str">
        <f t="shared" si="55"/>
        <v/>
      </c>
      <c r="BK42" s="11" t="e">
        <f t="shared" si="56"/>
        <v>#REF!</v>
      </c>
      <c r="BL42" s="11" t="str">
        <f t="shared" si="57"/>
        <v/>
      </c>
      <c r="BM42" s="22" t="e">
        <f t="shared" si="59"/>
        <v>#REF!</v>
      </c>
      <c r="BN42" s="113" t="e">
        <f t="shared" si="60"/>
        <v>#REF!</v>
      </c>
      <c r="BO42" s="41" t="e">
        <f t="shared" si="61"/>
        <v>#REF!</v>
      </c>
      <c r="BP42" s="15" t="str">
        <f t="shared" si="62"/>
        <v/>
      </c>
      <c r="BQ42" s="101" t="e">
        <f t="shared" si="63"/>
        <v>#REF!</v>
      </c>
      <c r="BR42" s="15" t="str">
        <f>IF('ריכוז נתונים כללים'!$W42='ריכוז נתונים כללים'!$AN$16,MIN(BP42,'ריכוז נתונים כללים'!$AB42),BP42)</f>
        <v/>
      </c>
      <c r="BS42" s="15" t="e">
        <f>IF($C42="","",IF('ריכוז נתונים כללים'!$W42='ריכוז נתונים כללים'!$AN$16,BR42,BR42+($C$3-BR$77)*(BR42/(BR$77-SUMIF('ריכוז נתונים כללים'!$W$17:$W$76,'ריכוז נתונים כללים'!$AN$16,BR$17:BR$76)))))</f>
        <v>#REF!</v>
      </c>
    </row>
    <row r="43" spans="2:71" x14ac:dyDescent="0.25">
      <c r="B43" s="7">
        <f>'ריכוז נתונים'!C43</f>
        <v>27</v>
      </c>
      <c r="C43" s="7" t="e">
        <f>#REF!</f>
        <v>#REF!</v>
      </c>
      <c r="D43" s="22" t="e">
        <f>IF(C43="","",#REF!)</f>
        <v>#REF!</v>
      </c>
      <c r="E43" s="22" t="e">
        <f>IF(C43="","",#REF!)</f>
        <v>#REF!</v>
      </c>
      <c r="F43" s="22" t="str">
        <f t="shared" si="1"/>
        <v/>
      </c>
      <c r="G43" s="11" t="e">
        <f t="shared" si="58"/>
        <v>#REF!</v>
      </c>
      <c r="H43" s="11" t="str">
        <f t="shared" si="2"/>
        <v/>
      </c>
      <c r="I43" s="11" t="e">
        <f t="shared" si="58"/>
        <v>#REF!</v>
      </c>
      <c r="J43" s="11" t="str">
        <f t="shared" si="3"/>
        <v/>
      </c>
      <c r="K43" s="11" t="e">
        <f t="shared" si="4"/>
        <v>#REF!</v>
      </c>
      <c r="L43" s="11" t="str">
        <f t="shared" si="5"/>
        <v/>
      </c>
      <c r="M43" s="11" t="e">
        <f t="shared" si="6"/>
        <v>#REF!</v>
      </c>
      <c r="N43" s="11" t="str">
        <f t="shared" si="7"/>
        <v/>
      </c>
      <c r="O43" s="11" t="e">
        <f t="shared" si="8"/>
        <v>#REF!</v>
      </c>
      <c r="P43" s="11" t="str">
        <f t="shared" si="9"/>
        <v/>
      </c>
      <c r="Q43" s="11" t="e">
        <f t="shared" si="10"/>
        <v>#REF!</v>
      </c>
      <c r="R43" s="11" t="str">
        <f t="shared" si="11"/>
        <v/>
      </c>
      <c r="S43" s="11" t="e">
        <f t="shared" si="12"/>
        <v>#REF!</v>
      </c>
      <c r="T43" s="11" t="str">
        <f t="shared" si="13"/>
        <v/>
      </c>
      <c r="U43" s="11" t="e">
        <f t="shared" si="14"/>
        <v>#REF!</v>
      </c>
      <c r="V43" s="11" t="str">
        <f t="shared" si="15"/>
        <v/>
      </c>
      <c r="W43" s="11" t="e">
        <f t="shared" si="16"/>
        <v>#REF!</v>
      </c>
      <c r="X43" s="11" t="str">
        <f t="shared" si="17"/>
        <v/>
      </c>
      <c r="Y43" s="11" t="e">
        <f t="shared" si="18"/>
        <v>#REF!</v>
      </c>
      <c r="Z43" s="11" t="str">
        <f t="shared" si="19"/>
        <v/>
      </c>
      <c r="AA43" s="11" t="e">
        <f t="shared" si="20"/>
        <v>#REF!</v>
      </c>
      <c r="AB43" s="11" t="str">
        <f t="shared" si="21"/>
        <v/>
      </c>
      <c r="AC43" s="11" t="e">
        <f t="shared" si="22"/>
        <v>#REF!</v>
      </c>
      <c r="AD43" s="11" t="str">
        <f t="shared" si="23"/>
        <v/>
      </c>
      <c r="AE43" s="11" t="e">
        <f t="shared" si="24"/>
        <v>#REF!</v>
      </c>
      <c r="AF43" s="11" t="str">
        <f t="shared" si="25"/>
        <v/>
      </c>
      <c r="AG43" s="11" t="e">
        <f t="shared" si="26"/>
        <v>#REF!</v>
      </c>
      <c r="AH43" s="11" t="str">
        <f t="shared" si="27"/>
        <v/>
      </c>
      <c r="AI43" s="11" t="e">
        <f t="shared" si="28"/>
        <v>#REF!</v>
      </c>
      <c r="AJ43" s="11" t="str">
        <f t="shared" si="29"/>
        <v/>
      </c>
      <c r="AK43" s="11" t="e">
        <f t="shared" si="30"/>
        <v>#REF!</v>
      </c>
      <c r="AL43" s="11" t="str">
        <f t="shared" si="31"/>
        <v/>
      </c>
      <c r="AM43" s="11" t="e">
        <f t="shared" si="32"/>
        <v>#REF!</v>
      </c>
      <c r="AN43" s="11" t="str">
        <f t="shared" si="33"/>
        <v/>
      </c>
      <c r="AO43" s="11" t="e">
        <f t="shared" si="34"/>
        <v>#REF!</v>
      </c>
      <c r="AP43" s="11" t="str">
        <f t="shared" si="35"/>
        <v/>
      </c>
      <c r="AQ43" s="11" t="e">
        <f t="shared" si="36"/>
        <v>#REF!</v>
      </c>
      <c r="AR43" s="11" t="str">
        <f t="shared" si="37"/>
        <v/>
      </c>
      <c r="AS43" s="11" t="e">
        <f t="shared" si="38"/>
        <v>#REF!</v>
      </c>
      <c r="AT43" s="11" t="str">
        <f t="shared" si="39"/>
        <v/>
      </c>
      <c r="AU43" s="11" t="e">
        <f t="shared" si="40"/>
        <v>#REF!</v>
      </c>
      <c r="AV43" s="11" t="str">
        <f t="shared" si="41"/>
        <v/>
      </c>
      <c r="AW43" s="11" t="e">
        <f t="shared" si="42"/>
        <v>#REF!</v>
      </c>
      <c r="AX43" s="11" t="str">
        <f t="shared" si="43"/>
        <v/>
      </c>
      <c r="AY43" s="11" t="e">
        <f t="shared" si="44"/>
        <v>#REF!</v>
      </c>
      <c r="AZ43" s="11" t="str">
        <f t="shared" si="45"/>
        <v/>
      </c>
      <c r="BA43" s="11" t="e">
        <f t="shared" si="46"/>
        <v>#REF!</v>
      </c>
      <c r="BB43" s="11" t="str">
        <f t="shared" si="47"/>
        <v/>
      </c>
      <c r="BC43" s="11" t="e">
        <f t="shared" si="48"/>
        <v>#REF!</v>
      </c>
      <c r="BD43" s="11" t="str">
        <f t="shared" si="49"/>
        <v/>
      </c>
      <c r="BE43" s="11" t="e">
        <f t="shared" si="50"/>
        <v>#REF!</v>
      </c>
      <c r="BF43" s="11" t="str">
        <f t="shared" si="51"/>
        <v/>
      </c>
      <c r="BG43" s="11" t="e">
        <f t="shared" si="52"/>
        <v>#REF!</v>
      </c>
      <c r="BH43" s="11" t="str">
        <f t="shared" si="53"/>
        <v/>
      </c>
      <c r="BI43" s="11" t="e">
        <f t="shared" si="54"/>
        <v>#REF!</v>
      </c>
      <c r="BJ43" s="11" t="str">
        <f t="shared" si="55"/>
        <v/>
      </c>
      <c r="BK43" s="11" t="e">
        <f t="shared" si="56"/>
        <v>#REF!</v>
      </c>
      <c r="BL43" s="11" t="str">
        <f t="shared" si="57"/>
        <v/>
      </c>
      <c r="BM43" s="22" t="e">
        <f t="shared" si="59"/>
        <v>#REF!</v>
      </c>
      <c r="BN43" s="113" t="e">
        <f t="shared" si="60"/>
        <v>#REF!</v>
      </c>
      <c r="BO43" s="41" t="e">
        <f t="shared" si="61"/>
        <v>#REF!</v>
      </c>
      <c r="BP43" s="15" t="str">
        <f t="shared" si="62"/>
        <v/>
      </c>
      <c r="BQ43" s="101" t="e">
        <f t="shared" si="63"/>
        <v>#REF!</v>
      </c>
      <c r="BR43" s="15" t="str">
        <f>IF('ריכוז נתונים כללים'!$W43='ריכוז נתונים כללים'!$AN$16,MIN(BP43,'ריכוז נתונים כללים'!$AB43),BP43)</f>
        <v/>
      </c>
      <c r="BS43" s="15" t="e">
        <f>IF($C43="","",IF('ריכוז נתונים כללים'!$W43='ריכוז נתונים כללים'!$AN$16,BR43,BR43+($C$3-BR$77)*(BR43/(BR$77-SUMIF('ריכוז נתונים כללים'!$W$17:$W$76,'ריכוז נתונים כללים'!$AN$16,BR$17:BR$76)))))</f>
        <v>#REF!</v>
      </c>
    </row>
    <row r="44" spans="2:71" x14ac:dyDescent="0.25">
      <c r="B44" s="7">
        <f>'ריכוז נתונים'!C44</f>
        <v>28</v>
      </c>
      <c r="C44" s="7" t="e">
        <f>#REF!</f>
        <v>#REF!</v>
      </c>
      <c r="D44" s="22" t="e">
        <f>IF(C44="","",#REF!)</f>
        <v>#REF!</v>
      </c>
      <c r="E44" s="22" t="e">
        <f>IF(C44="","",#REF!)</f>
        <v>#REF!</v>
      </c>
      <c r="F44" s="22" t="str">
        <f t="shared" si="1"/>
        <v/>
      </c>
      <c r="G44" s="11" t="e">
        <f t="shared" si="58"/>
        <v>#REF!</v>
      </c>
      <c r="H44" s="11" t="str">
        <f t="shared" si="2"/>
        <v/>
      </c>
      <c r="I44" s="11" t="e">
        <f t="shared" si="58"/>
        <v>#REF!</v>
      </c>
      <c r="J44" s="11" t="str">
        <f t="shared" si="3"/>
        <v/>
      </c>
      <c r="K44" s="11" t="e">
        <f t="shared" si="4"/>
        <v>#REF!</v>
      </c>
      <c r="L44" s="11" t="str">
        <f t="shared" si="5"/>
        <v/>
      </c>
      <c r="M44" s="11" t="e">
        <f t="shared" si="6"/>
        <v>#REF!</v>
      </c>
      <c r="N44" s="11" t="str">
        <f t="shared" si="7"/>
        <v/>
      </c>
      <c r="O44" s="11" t="e">
        <f t="shared" si="8"/>
        <v>#REF!</v>
      </c>
      <c r="P44" s="11" t="str">
        <f t="shared" si="9"/>
        <v/>
      </c>
      <c r="Q44" s="11" t="e">
        <f t="shared" si="10"/>
        <v>#REF!</v>
      </c>
      <c r="R44" s="11" t="str">
        <f t="shared" si="11"/>
        <v/>
      </c>
      <c r="S44" s="11" t="e">
        <f t="shared" si="12"/>
        <v>#REF!</v>
      </c>
      <c r="T44" s="11" t="str">
        <f t="shared" si="13"/>
        <v/>
      </c>
      <c r="U44" s="11" t="e">
        <f t="shared" si="14"/>
        <v>#REF!</v>
      </c>
      <c r="V44" s="11" t="str">
        <f t="shared" si="15"/>
        <v/>
      </c>
      <c r="W44" s="11" t="e">
        <f t="shared" si="16"/>
        <v>#REF!</v>
      </c>
      <c r="X44" s="11" t="str">
        <f t="shared" si="17"/>
        <v/>
      </c>
      <c r="Y44" s="11" t="e">
        <f t="shared" si="18"/>
        <v>#REF!</v>
      </c>
      <c r="Z44" s="11" t="str">
        <f t="shared" si="19"/>
        <v/>
      </c>
      <c r="AA44" s="11" t="e">
        <f t="shared" si="20"/>
        <v>#REF!</v>
      </c>
      <c r="AB44" s="11" t="str">
        <f t="shared" si="21"/>
        <v/>
      </c>
      <c r="AC44" s="11" t="e">
        <f t="shared" si="22"/>
        <v>#REF!</v>
      </c>
      <c r="AD44" s="11" t="str">
        <f t="shared" si="23"/>
        <v/>
      </c>
      <c r="AE44" s="11" t="e">
        <f t="shared" si="24"/>
        <v>#REF!</v>
      </c>
      <c r="AF44" s="11" t="str">
        <f t="shared" si="25"/>
        <v/>
      </c>
      <c r="AG44" s="11" t="e">
        <f t="shared" si="26"/>
        <v>#REF!</v>
      </c>
      <c r="AH44" s="11" t="str">
        <f t="shared" si="27"/>
        <v/>
      </c>
      <c r="AI44" s="11" t="e">
        <f t="shared" si="28"/>
        <v>#REF!</v>
      </c>
      <c r="AJ44" s="11" t="str">
        <f t="shared" si="29"/>
        <v/>
      </c>
      <c r="AK44" s="11" t="e">
        <f t="shared" si="30"/>
        <v>#REF!</v>
      </c>
      <c r="AL44" s="11" t="str">
        <f t="shared" si="31"/>
        <v/>
      </c>
      <c r="AM44" s="11" t="e">
        <f t="shared" si="32"/>
        <v>#REF!</v>
      </c>
      <c r="AN44" s="11" t="str">
        <f t="shared" si="33"/>
        <v/>
      </c>
      <c r="AO44" s="11" t="e">
        <f t="shared" si="34"/>
        <v>#REF!</v>
      </c>
      <c r="AP44" s="11" t="str">
        <f t="shared" si="35"/>
        <v/>
      </c>
      <c r="AQ44" s="11" t="e">
        <f t="shared" si="36"/>
        <v>#REF!</v>
      </c>
      <c r="AR44" s="11" t="str">
        <f t="shared" si="37"/>
        <v/>
      </c>
      <c r="AS44" s="11" t="e">
        <f t="shared" si="38"/>
        <v>#REF!</v>
      </c>
      <c r="AT44" s="11" t="str">
        <f t="shared" si="39"/>
        <v/>
      </c>
      <c r="AU44" s="11" t="e">
        <f t="shared" si="40"/>
        <v>#REF!</v>
      </c>
      <c r="AV44" s="11" t="str">
        <f t="shared" si="41"/>
        <v/>
      </c>
      <c r="AW44" s="11" t="e">
        <f t="shared" si="42"/>
        <v>#REF!</v>
      </c>
      <c r="AX44" s="11" t="str">
        <f t="shared" si="43"/>
        <v/>
      </c>
      <c r="AY44" s="11" t="e">
        <f t="shared" si="44"/>
        <v>#REF!</v>
      </c>
      <c r="AZ44" s="11" t="str">
        <f t="shared" si="45"/>
        <v/>
      </c>
      <c r="BA44" s="11" t="e">
        <f t="shared" si="46"/>
        <v>#REF!</v>
      </c>
      <c r="BB44" s="11" t="str">
        <f t="shared" si="47"/>
        <v/>
      </c>
      <c r="BC44" s="11" t="e">
        <f t="shared" si="48"/>
        <v>#REF!</v>
      </c>
      <c r="BD44" s="11" t="str">
        <f t="shared" si="49"/>
        <v/>
      </c>
      <c r="BE44" s="11" t="e">
        <f t="shared" si="50"/>
        <v>#REF!</v>
      </c>
      <c r="BF44" s="11" t="str">
        <f t="shared" si="51"/>
        <v/>
      </c>
      <c r="BG44" s="11" t="e">
        <f t="shared" si="52"/>
        <v>#REF!</v>
      </c>
      <c r="BH44" s="11" t="str">
        <f t="shared" si="53"/>
        <v/>
      </c>
      <c r="BI44" s="11" t="e">
        <f t="shared" si="54"/>
        <v>#REF!</v>
      </c>
      <c r="BJ44" s="11" t="str">
        <f t="shared" si="55"/>
        <v/>
      </c>
      <c r="BK44" s="11" t="e">
        <f t="shared" si="56"/>
        <v>#REF!</v>
      </c>
      <c r="BL44" s="11" t="str">
        <f t="shared" si="57"/>
        <v/>
      </c>
      <c r="BM44" s="22" t="e">
        <f t="shared" si="59"/>
        <v>#REF!</v>
      </c>
      <c r="BN44" s="113" t="e">
        <f t="shared" si="60"/>
        <v>#REF!</v>
      </c>
      <c r="BO44" s="41" t="e">
        <f t="shared" si="61"/>
        <v>#REF!</v>
      </c>
      <c r="BP44" s="15" t="str">
        <f t="shared" si="62"/>
        <v/>
      </c>
      <c r="BQ44" s="101" t="e">
        <f t="shared" si="63"/>
        <v>#REF!</v>
      </c>
      <c r="BR44" s="15" t="str">
        <f>IF('ריכוז נתונים כללים'!$W44='ריכוז נתונים כללים'!$AN$16,MIN(BP44,'ריכוז נתונים כללים'!$AB44),BP44)</f>
        <v/>
      </c>
      <c r="BS44" s="15" t="e">
        <f>IF($C44="","",IF('ריכוז נתונים כללים'!$W44='ריכוז נתונים כללים'!$AN$16,BR44,BR44+($C$3-BR$77)*(BR44/(BR$77-SUMIF('ריכוז נתונים כללים'!$W$17:$W$76,'ריכוז נתונים כללים'!$AN$16,BR$17:BR$76)))))</f>
        <v>#REF!</v>
      </c>
    </row>
    <row r="45" spans="2:71" x14ac:dyDescent="0.25">
      <c r="B45" s="7">
        <f>'ריכוז נתונים'!C45</f>
        <v>29</v>
      </c>
      <c r="C45" s="7" t="e">
        <f>#REF!</f>
        <v>#REF!</v>
      </c>
      <c r="D45" s="22" t="e">
        <f>IF(C45="","",#REF!)</f>
        <v>#REF!</v>
      </c>
      <c r="E45" s="22" t="e">
        <f>IF(C45="","",#REF!)</f>
        <v>#REF!</v>
      </c>
      <c r="F45" s="22" t="str">
        <f t="shared" si="1"/>
        <v/>
      </c>
      <c r="G45" s="11" t="e">
        <f t="shared" si="58"/>
        <v>#REF!</v>
      </c>
      <c r="H45" s="11" t="str">
        <f t="shared" si="2"/>
        <v/>
      </c>
      <c r="I45" s="11" t="e">
        <f t="shared" si="58"/>
        <v>#REF!</v>
      </c>
      <c r="J45" s="11" t="str">
        <f t="shared" si="3"/>
        <v/>
      </c>
      <c r="K45" s="11" t="e">
        <f t="shared" si="4"/>
        <v>#REF!</v>
      </c>
      <c r="L45" s="11" t="str">
        <f t="shared" si="5"/>
        <v/>
      </c>
      <c r="M45" s="11" t="e">
        <f t="shared" si="6"/>
        <v>#REF!</v>
      </c>
      <c r="N45" s="11" t="str">
        <f t="shared" si="7"/>
        <v/>
      </c>
      <c r="O45" s="11" t="e">
        <f t="shared" si="8"/>
        <v>#REF!</v>
      </c>
      <c r="P45" s="11" t="str">
        <f t="shared" si="9"/>
        <v/>
      </c>
      <c r="Q45" s="11" t="e">
        <f t="shared" si="10"/>
        <v>#REF!</v>
      </c>
      <c r="R45" s="11" t="str">
        <f t="shared" si="11"/>
        <v/>
      </c>
      <c r="S45" s="11" t="e">
        <f t="shared" si="12"/>
        <v>#REF!</v>
      </c>
      <c r="T45" s="11" t="str">
        <f t="shared" si="13"/>
        <v/>
      </c>
      <c r="U45" s="11" t="e">
        <f t="shared" si="14"/>
        <v>#REF!</v>
      </c>
      <c r="V45" s="11" t="str">
        <f t="shared" si="15"/>
        <v/>
      </c>
      <c r="W45" s="11" t="e">
        <f t="shared" si="16"/>
        <v>#REF!</v>
      </c>
      <c r="X45" s="11" t="str">
        <f t="shared" si="17"/>
        <v/>
      </c>
      <c r="Y45" s="11" t="e">
        <f t="shared" si="18"/>
        <v>#REF!</v>
      </c>
      <c r="Z45" s="11" t="str">
        <f t="shared" si="19"/>
        <v/>
      </c>
      <c r="AA45" s="11" t="e">
        <f t="shared" si="20"/>
        <v>#REF!</v>
      </c>
      <c r="AB45" s="11" t="str">
        <f t="shared" si="21"/>
        <v/>
      </c>
      <c r="AC45" s="11" t="e">
        <f t="shared" si="22"/>
        <v>#REF!</v>
      </c>
      <c r="AD45" s="11" t="str">
        <f t="shared" si="23"/>
        <v/>
      </c>
      <c r="AE45" s="11" t="e">
        <f t="shared" si="24"/>
        <v>#REF!</v>
      </c>
      <c r="AF45" s="11" t="str">
        <f t="shared" si="25"/>
        <v/>
      </c>
      <c r="AG45" s="11" t="e">
        <f t="shared" si="26"/>
        <v>#REF!</v>
      </c>
      <c r="AH45" s="11" t="str">
        <f t="shared" si="27"/>
        <v/>
      </c>
      <c r="AI45" s="11" t="e">
        <f t="shared" si="28"/>
        <v>#REF!</v>
      </c>
      <c r="AJ45" s="11" t="str">
        <f t="shared" si="29"/>
        <v/>
      </c>
      <c r="AK45" s="11" t="e">
        <f t="shared" si="30"/>
        <v>#REF!</v>
      </c>
      <c r="AL45" s="11" t="str">
        <f t="shared" si="31"/>
        <v/>
      </c>
      <c r="AM45" s="11" t="e">
        <f t="shared" si="32"/>
        <v>#REF!</v>
      </c>
      <c r="AN45" s="11" t="str">
        <f t="shared" si="33"/>
        <v/>
      </c>
      <c r="AO45" s="11" t="e">
        <f t="shared" si="34"/>
        <v>#REF!</v>
      </c>
      <c r="AP45" s="11" t="str">
        <f t="shared" si="35"/>
        <v/>
      </c>
      <c r="AQ45" s="11" t="e">
        <f t="shared" si="36"/>
        <v>#REF!</v>
      </c>
      <c r="AR45" s="11" t="str">
        <f t="shared" si="37"/>
        <v/>
      </c>
      <c r="AS45" s="11" t="e">
        <f t="shared" si="38"/>
        <v>#REF!</v>
      </c>
      <c r="AT45" s="11" t="str">
        <f t="shared" si="39"/>
        <v/>
      </c>
      <c r="AU45" s="11" t="e">
        <f t="shared" si="40"/>
        <v>#REF!</v>
      </c>
      <c r="AV45" s="11" t="str">
        <f t="shared" si="41"/>
        <v/>
      </c>
      <c r="AW45" s="11" t="e">
        <f t="shared" si="42"/>
        <v>#REF!</v>
      </c>
      <c r="AX45" s="11" t="str">
        <f t="shared" si="43"/>
        <v/>
      </c>
      <c r="AY45" s="11" t="e">
        <f t="shared" si="44"/>
        <v>#REF!</v>
      </c>
      <c r="AZ45" s="11" t="str">
        <f t="shared" si="45"/>
        <v/>
      </c>
      <c r="BA45" s="11" t="e">
        <f t="shared" si="46"/>
        <v>#REF!</v>
      </c>
      <c r="BB45" s="11" t="str">
        <f t="shared" si="47"/>
        <v/>
      </c>
      <c r="BC45" s="11" t="e">
        <f t="shared" si="48"/>
        <v>#REF!</v>
      </c>
      <c r="BD45" s="11" t="str">
        <f t="shared" si="49"/>
        <v/>
      </c>
      <c r="BE45" s="11" t="e">
        <f t="shared" si="50"/>
        <v>#REF!</v>
      </c>
      <c r="BF45" s="11" t="str">
        <f t="shared" si="51"/>
        <v/>
      </c>
      <c r="BG45" s="11" t="e">
        <f t="shared" si="52"/>
        <v>#REF!</v>
      </c>
      <c r="BH45" s="11" t="str">
        <f t="shared" si="53"/>
        <v/>
      </c>
      <c r="BI45" s="11" t="e">
        <f t="shared" si="54"/>
        <v>#REF!</v>
      </c>
      <c r="BJ45" s="11" t="str">
        <f t="shared" si="55"/>
        <v/>
      </c>
      <c r="BK45" s="11" t="e">
        <f t="shared" si="56"/>
        <v>#REF!</v>
      </c>
      <c r="BL45" s="11" t="str">
        <f t="shared" si="57"/>
        <v/>
      </c>
      <c r="BM45" s="22" t="e">
        <f t="shared" si="59"/>
        <v>#REF!</v>
      </c>
      <c r="BN45" s="113" t="e">
        <f t="shared" si="60"/>
        <v>#REF!</v>
      </c>
      <c r="BO45" s="41" t="e">
        <f t="shared" si="61"/>
        <v>#REF!</v>
      </c>
      <c r="BP45" s="15" t="str">
        <f t="shared" si="62"/>
        <v/>
      </c>
      <c r="BQ45" s="101" t="e">
        <f t="shared" si="63"/>
        <v>#REF!</v>
      </c>
      <c r="BR45" s="15" t="str">
        <f>IF('ריכוז נתונים כללים'!$W45='ריכוז נתונים כללים'!$AN$16,MIN(BP45,'ריכוז נתונים כללים'!$AB45),BP45)</f>
        <v/>
      </c>
      <c r="BS45" s="15" t="e">
        <f>IF($C45="","",IF('ריכוז נתונים כללים'!$W45='ריכוז נתונים כללים'!$AN$16,BR45,BR45+($C$3-BR$77)*(BR45/(BR$77-SUMIF('ריכוז נתונים כללים'!$W$17:$W$76,'ריכוז נתונים כללים'!$AN$16,BR$17:BR$76)))))</f>
        <v>#REF!</v>
      </c>
    </row>
    <row r="46" spans="2:71" x14ac:dyDescent="0.25">
      <c r="B46" s="7">
        <f>'ריכוז נתונים'!C46</f>
        <v>30</v>
      </c>
      <c r="C46" s="7" t="e">
        <f>#REF!</f>
        <v>#REF!</v>
      </c>
      <c r="D46" s="22" t="e">
        <f>IF(C46="","",#REF!)</f>
        <v>#REF!</v>
      </c>
      <c r="E46" s="22" t="e">
        <f>IF(C46="","",#REF!)</f>
        <v>#REF!</v>
      </c>
      <c r="F46" s="22" t="str">
        <f t="shared" si="1"/>
        <v/>
      </c>
      <c r="G46" s="11" t="e">
        <f t="shared" si="58"/>
        <v>#REF!</v>
      </c>
      <c r="H46" s="11" t="str">
        <f t="shared" si="2"/>
        <v/>
      </c>
      <c r="I46" s="11" t="e">
        <f t="shared" si="58"/>
        <v>#REF!</v>
      </c>
      <c r="J46" s="11" t="str">
        <f t="shared" si="3"/>
        <v/>
      </c>
      <c r="K46" s="11" t="e">
        <f t="shared" si="4"/>
        <v>#REF!</v>
      </c>
      <c r="L46" s="11" t="str">
        <f t="shared" si="5"/>
        <v/>
      </c>
      <c r="M46" s="11" t="e">
        <f t="shared" si="6"/>
        <v>#REF!</v>
      </c>
      <c r="N46" s="11" t="str">
        <f t="shared" si="7"/>
        <v/>
      </c>
      <c r="O46" s="11" t="e">
        <f t="shared" si="8"/>
        <v>#REF!</v>
      </c>
      <c r="P46" s="11" t="str">
        <f t="shared" si="9"/>
        <v/>
      </c>
      <c r="Q46" s="11" t="e">
        <f t="shared" si="10"/>
        <v>#REF!</v>
      </c>
      <c r="R46" s="11" t="str">
        <f t="shared" si="11"/>
        <v/>
      </c>
      <c r="S46" s="11" t="e">
        <f t="shared" si="12"/>
        <v>#REF!</v>
      </c>
      <c r="T46" s="11" t="str">
        <f t="shared" si="13"/>
        <v/>
      </c>
      <c r="U46" s="11" t="e">
        <f t="shared" si="14"/>
        <v>#REF!</v>
      </c>
      <c r="V46" s="11" t="str">
        <f t="shared" si="15"/>
        <v/>
      </c>
      <c r="W46" s="11" t="e">
        <f t="shared" si="16"/>
        <v>#REF!</v>
      </c>
      <c r="X46" s="11" t="str">
        <f t="shared" si="17"/>
        <v/>
      </c>
      <c r="Y46" s="11" t="e">
        <f t="shared" si="18"/>
        <v>#REF!</v>
      </c>
      <c r="Z46" s="11" t="str">
        <f t="shared" si="19"/>
        <v/>
      </c>
      <c r="AA46" s="11" t="e">
        <f t="shared" si="20"/>
        <v>#REF!</v>
      </c>
      <c r="AB46" s="11" t="str">
        <f t="shared" si="21"/>
        <v/>
      </c>
      <c r="AC46" s="11" t="e">
        <f t="shared" si="22"/>
        <v>#REF!</v>
      </c>
      <c r="AD46" s="11" t="str">
        <f t="shared" si="23"/>
        <v/>
      </c>
      <c r="AE46" s="11" t="e">
        <f t="shared" si="24"/>
        <v>#REF!</v>
      </c>
      <c r="AF46" s="11" t="str">
        <f t="shared" si="25"/>
        <v/>
      </c>
      <c r="AG46" s="11" t="e">
        <f t="shared" si="26"/>
        <v>#REF!</v>
      </c>
      <c r="AH46" s="11" t="str">
        <f t="shared" si="27"/>
        <v/>
      </c>
      <c r="AI46" s="11" t="e">
        <f t="shared" si="28"/>
        <v>#REF!</v>
      </c>
      <c r="AJ46" s="11" t="str">
        <f t="shared" si="29"/>
        <v/>
      </c>
      <c r="AK46" s="11" t="e">
        <f t="shared" si="30"/>
        <v>#REF!</v>
      </c>
      <c r="AL46" s="11" t="str">
        <f t="shared" si="31"/>
        <v/>
      </c>
      <c r="AM46" s="11" t="e">
        <f t="shared" si="32"/>
        <v>#REF!</v>
      </c>
      <c r="AN46" s="11" t="str">
        <f t="shared" si="33"/>
        <v/>
      </c>
      <c r="AO46" s="11" t="e">
        <f t="shared" si="34"/>
        <v>#REF!</v>
      </c>
      <c r="AP46" s="11" t="str">
        <f t="shared" si="35"/>
        <v/>
      </c>
      <c r="AQ46" s="11" t="e">
        <f t="shared" si="36"/>
        <v>#REF!</v>
      </c>
      <c r="AR46" s="11" t="str">
        <f t="shared" si="37"/>
        <v/>
      </c>
      <c r="AS46" s="11" t="e">
        <f t="shared" si="38"/>
        <v>#REF!</v>
      </c>
      <c r="AT46" s="11" t="str">
        <f t="shared" si="39"/>
        <v/>
      </c>
      <c r="AU46" s="11" t="e">
        <f t="shared" si="40"/>
        <v>#REF!</v>
      </c>
      <c r="AV46" s="11" t="str">
        <f t="shared" si="41"/>
        <v/>
      </c>
      <c r="AW46" s="11" t="e">
        <f t="shared" si="42"/>
        <v>#REF!</v>
      </c>
      <c r="AX46" s="11" t="str">
        <f t="shared" si="43"/>
        <v/>
      </c>
      <c r="AY46" s="11" t="e">
        <f t="shared" si="44"/>
        <v>#REF!</v>
      </c>
      <c r="AZ46" s="11" t="str">
        <f t="shared" si="45"/>
        <v/>
      </c>
      <c r="BA46" s="11" t="e">
        <f t="shared" si="46"/>
        <v>#REF!</v>
      </c>
      <c r="BB46" s="11" t="str">
        <f t="shared" si="47"/>
        <v/>
      </c>
      <c r="BC46" s="11" t="e">
        <f t="shared" si="48"/>
        <v>#REF!</v>
      </c>
      <c r="BD46" s="11" t="str">
        <f t="shared" si="49"/>
        <v/>
      </c>
      <c r="BE46" s="11" t="e">
        <f t="shared" si="50"/>
        <v>#REF!</v>
      </c>
      <c r="BF46" s="11" t="str">
        <f t="shared" si="51"/>
        <v/>
      </c>
      <c r="BG46" s="11" t="e">
        <f t="shared" si="52"/>
        <v>#REF!</v>
      </c>
      <c r="BH46" s="11" t="str">
        <f t="shared" si="53"/>
        <v/>
      </c>
      <c r="BI46" s="11" t="e">
        <f t="shared" si="54"/>
        <v>#REF!</v>
      </c>
      <c r="BJ46" s="11" t="str">
        <f t="shared" si="55"/>
        <v/>
      </c>
      <c r="BK46" s="11" t="e">
        <f t="shared" si="56"/>
        <v>#REF!</v>
      </c>
      <c r="BL46" s="11" t="str">
        <f t="shared" si="57"/>
        <v/>
      </c>
      <c r="BM46" s="22" t="e">
        <f t="shared" si="59"/>
        <v>#REF!</v>
      </c>
      <c r="BN46" s="113" t="e">
        <f t="shared" si="60"/>
        <v>#REF!</v>
      </c>
      <c r="BO46" s="41" t="e">
        <f t="shared" si="61"/>
        <v>#REF!</v>
      </c>
      <c r="BP46" s="15" t="str">
        <f t="shared" si="62"/>
        <v/>
      </c>
      <c r="BQ46" s="101" t="e">
        <f t="shared" si="63"/>
        <v>#REF!</v>
      </c>
      <c r="BR46" s="15" t="str">
        <f>IF('ריכוז נתונים כללים'!$W46='ריכוז נתונים כללים'!$AN$16,MIN(BP46,'ריכוז נתונים כללים'!$AB46),BP46)</f>
        <v/>
      </c>
      <c r="BS46" s="15" t="e">
        <f>IF($C46="","",IF('ריכוז נתונים כללים'!$W46='ריכוז נתונים כללים'!$AN$16,BR46,BR46+($C$3-BR$77)*(BR46/(BR$77-SUMIF('ריכוז נתונים כללים'!$W$17:$W$76,'ריכוז נתונים כללים'!$AN$16,BR$17:BR$76)))))</f>
        <v>#REF!</v>
      </c>
    </row>
    <row r="47" spans="2:71" x14ac:dyDescent="0.25">
      <c r="B47" s="7">
        <f>'ריכוז נתונים'!C47</f>
        <v>31</v>
      </c>
      <c r="C47" s="7" t="e">
        <f>#REF!</f>
        <v>#REF!</v>
      </c>
      <c r="D47" s="22" t="e">
        <f>IF(C47="","",#REF!)</f>
        <v>#REF!</v>
      </c>
      <c r="E47" s="22" t="e">
        <f>IF(C47="","",#REF!)</f>
        <v>#REF!</v>
      </c>
      <c r="F47" s="22" t="str">
        <f t="shared" si="1"/>
        <v/>
      </c>
      <c r="G47" s="11" t="e">
        <f t="shared" si="58"/>
        <v>#REF!</v>
      </c>
      <c r="H47" s="11" t="str">
        <f t="shared" si="2"/>
        <v/>
      </c>
      <c r="I47" s="11" t="e">
        <f t="shared" si="58"/>
        <v>#REF!</v>
      </c>
      <c r="J47" s="11" t="str">
        <f t="shared" si="3"/>
        <v/>
      </c>
      <c r="K47" s="11" t="e">
        <f t="shared" si="4"/>
        <v>#REF!</v>
      </c>
      <c r="L47" s="11" t="str">
        <f t="shared" si="5"/>
        <v/>
      </c>
      <c r="M47" s="11" t="e">
        <f t="shared" si="6"/>
        <v>#REF!</v>
      </c>
      <c r="N47" s="11" t="str">
        <f t="shared" si="7"/>
        <v/>
      </c>
      <c r="O47" s="11" t="e">
        <f t="shared" si="8"/>
        <v>#REF!</v>
      </c>
      <c r="P47" s="11" t="str">
        <f t="shared" si="9"/>
        <v/>
      </c>
      <c r="Q47" s="11" t="e">
        <f t="shared" si="10"/>
        <v>#REF!</v>
      </c>
      <c r="R47" s="11" t="str">
        <f t="shared" si="11"/>
        <v/>
      </c>
      <c r="S47" s="11" t="e">
        <f t="shared" si="12"/>
        <v>#REF!</v>
      </c>
      <c r="T47" s="11" t="str">
        <f t="shared" si="13"/>
        <v/>
      </c>
      <c r="U47" s="11" t="e">
        <f t="shared" si="14"/>
        <v>#REF!</v>
      </c>
      <c r="V47" s="11" t="str">
        <f t="shared" si="15"/>
        <v/>
      </c>
      <c r="W47" s="11" t="e">
        <f t="shared" si="16"/>
        <v>#REF!</v>
      </c>
      <c r="X47" s="11" t="str">
        <f t="shared" si="17"/>
        <v/>
      </c>
      <c r="Y47" s="11" t="e">
        <f t="shared" si="18"/>
        <v>#REF!</v>
      </c>
      <c r="Z47" s="11" t="str">
        <f t="shared" si="19"/>
        <v/>
      </c>
      <c r="AA47" s="11" t="e">
        <f t="shared" si="20"/>
        <v>#REF!</v>
      </c>
      <c r="AB47" s="11" t="str">
        <f t="shared" si="21"/>
        <v/>
      </c>
      <c r="AC47" s="11" t="e">
        <f t="shared" si="22"/>
        <v>#REF!</v>
      </c>
      <c r="AD47" s="11" t="str">
        <f t="shared" si="23"/>
        <v/>
      </c>
      <c r="AE47" s="11" t="e">
        <f t="shared" si="24"/>
        <v>#REF!</v>
      </c>
      <c r="AF47" s="11" t="str">
        <f t="shared" si="25"/>
        <v/>
      </c>
      <c r="AG47" s="11" t="e">
        <f t="shared" si="26"/>
        <v>#REF!</v>
      </c>
      <c r="AH47" s="11" t="str">
        <f t="shared" si="27"/>
        <v/>
      </c>
      <c r="AI47" s="11" t="e">
        <f t="shared" si="28"/>
        <v>#REF!</v>
      </c>
      <c r="AJ47" s="11" t="str">
        <f t="shared" si="29"/>
        <v/>
      </c>
      <c r="AK47" s="11" t="e">
        <f t="shared" si="30"/>
        <v>#REF!</v>
      </c>
      <c r="AL47" s="11" t="str">
        <f t="shared" si="31"/>
        <v/>
      </c>
      <c r="AM47" s="11" t="e">
        <f t="shared" si="32"/>
        <v>#REF!</v>
      </c>
      <c r="AN47" s="11" t="str">
        <f t="shared" si="33"/>
        <v/>
      </c>
      <c r="AO47" s="11" t="e">
        <f t="shared" si="34"/>
        <v>#REF!</v>
      </c>
      <c r="AP47" s="11" t="str">
        <f t="shared" si="35"/>
        <v/>
      </c>
      <c r="AQ47" s="11" t="e">
        <f t="shared" si="36"/>
        <v>#REF!</v>
      </c>
      <c r="AR47" s="11" t="str">
        <f t="shared" si="37"/>
        <v/>
      </c>
      <c r="AS47" s="11" t="e">
        <f t="shared" si="38"/>
        <v>#REF!</v>
      </c>
      <c r="AT47" s="11" t="str">
        <f t="shared" si="39"/>
        <v/>
      </c>
      <c r="AU47" s="11" t="e">
        <f t="shared" si="40"/>
        <v>#REF!</v>
      </c>
      <c r="AV47" s="11" t="str">
        <f t="shared" si="41"/>
        <v/>
      </c>
      <c r="AW47" s="11" t="e">
        <f t="shared" si="42"/>
        <v>#REF!</v>
      </c>
      <c r="AX47" s="11" t="str">
        <f t="shared" si="43"/>
        <v/>
      </c>
      <c r="AY47" s="11" t="e">
        <f t="shared" si="44"/>
        <v>#REF!</v>
      </c>
      <c r="AZ47" s="11" t="str">
        <f t="shared" si="45"/>
        <v/>
      </c>
      <c r="BA47" s="11" t="e">
        <f t="shared" si="46"/>
        <v>#REF!</v>
      </c>
      <c r="BB47" s="11" t="str">
        <f t="shared" si="47"/>
        <v/>
      </c>
      <c r="BC47" s="11" t="e">
        <f t="shared" si="48"/>
        <v>#REF!</v>
      </c>
      <c r="BD47" s="11" t="str">
        <f t="shared" si="49"/>
        <v/>
      </c>
      <c r="BE47" s="11" t="e">
        <f t="shared" si="50"/>
        <v>#REF!</v>
      </c>
      <c r="BF47" s="11" t="str">
        <f t="shared" si="51"/>
        <v/>
      </c>
      <c r="BG47" s="11" t="e">
        <f t="shared" si="52"/>
        <v>#REF!</v>
      </c>
      <c r="BH47" s="11" t="str">
        <f t="shared" si="53"/>
        <v/>
      </c>
      <c r="BI47" s="11" t="e">
        <f t="shared" si="54"/>
        <v>#REF!</v>
      </c>
      <c r="BJ47" s="11" t="str">
        <f t="shared" si="55"/>
        <v/>
      </c>
      <c r="BK47" s="11" t="e">
        <f t="shared" si="56"/>
        <v>#REF!</v>
      </c>
      <c r="BL47" s="11" t="str">
        <f t="shared" si="57"/>
        <v/>
      </c>
      <c r="BM47" s="22" t="e">
        <f t="shared" si="59"/>
        <v>#REF!</v>
      </c>
      <c r="BN47" s="113" t="e">
        <f t="shared" si="60"/>
        <v>#REF!</v>
      </c>
      <c r="BO47" s="41" t="e">
        <f t="shared" si="61"/>
        <v>#REF!</v>
      </c>
      <c r="BP47" s="15" t="str">
        <f t="shared" si="62"/>
        <v/>
      </c>
      <c r="BQ47" s="101" t="e">
        <f t="shared" si="63"/>
        <v>#REF!</v>
      </c>
      <c r="BR47" s="15" t="str">
        <f>IF('ריכוז נתונים כללים'!$W47='ריכוז נתונים כללים'!$AN$16,MIN(BP47,'ריכוז נתונים כללים'!$AB47),BP47)</f>
        <v/>
      </c>
      <c r="BS47" s="15" t="e">
        <f>IF($C47="","",IF('ריכוז נתונים כללים'!$W47='ריכוז נתונים כללים'!$AN$16,BR47,BR47+($C$3-BR$77)*(BR47/(BR$77-SUMIF('ריכוז נתונים כללים'!$W$17:$W$76,'ריכוז נתונים כללים'!$AN$16,BR$17:BR$76)))))</f>
        <v>#REF!</v>
      </c>
    </row>
    <row r="48" spans="2:71" x14ac:dyDescent="0.25">
      <c r="B48" s="7">
        <f>'ריכוז נתונים'!C48</f>
        <v>32</v>
      </c>
      <c r="C48" s="7" t="e">
        <f>#REF!</f>
        <v>#REF!</v>
      </c>
      <c r="D48" s="22" t="e">
        <f>IF(C48="","",#REF!)</f>
        <v>#REF!</v>
      </c>
      <c r="E48" s="22" t="e">
        <f>IF(C48="","",#REF!)</f>
        <v>#REF!</v>
      </c>
      <c r="F48" s="22" t="str">
        <f t="shared" si="1"/>
        <v/>
      </c>
      <c r="G48" s="11" t="e">
        <f t="shared" si="58"/>
        <v>#REF!</v>
      </c>
      <c r="H48" s="11" t="str">
        <f t="shared" si="2"/>
        <v/>
      </c>
      <c r="I48" s="11" t="e">
        <f t="shared" si="58"/>
        <v>#REF!</v>
      </c>
      <c r="J48" s="11" t="str">
        <f t="shared" si="3"/>
        <v/>
      </c>
      <c r="K48" s="11" t="e">
        <f t="shared" si="4"/>
        <v>#REF!</v>
      </c>
      <c r="L48" s="11" t="str">
        <f t="shared" si="5"/>
        <v/>
      </c>
      <c r="M48" s="11" t="e">
        <f t="shared" si="6"/>
        <v>#REF!</v>
      </c>
      <c r="N48" s="11" t="str">
        <f t="shared" si="7"/>
        <v/>
      </c>
      <c r="O48" s="11" t="e">
        <f t="shared" si="8"/>
        <v>#REF!</v>
      </c>
      <c r="P48" s="11" t="str">
        <f t="shared" si="9"/>
        <v/>
      </c>
      <c r="Q48" s="11" t="e">
        <f t="shared" si="10"/>
        <v>#REF!</v>
      </c>
      <c r="R48" s="11" t="str">
        <f t="shared" si="11"/>
        <v/>
      </c>
      <c r="S48" s="11" t="e">
        <f t="shared" si="12"/>
        <v>#REF!</v>
      </c>
      <c r="T48" s="11" t="str">
        <f t="shared" si="13"/>
        <v/>
      </c>
      <c r="U48" s="11" t="e">
        <f t="shared" si="14"/>
        <v>#REF!</v>
      </c>
      <c r="V48" s="11" t="str">
        <f t="shared" si="15"/>
        <v/>
      </c>
      <c r="W48" s="11" t="e">
        <f t="shared" si="16"/>
        <v>#REF!</v>
      </c>
      <c r="X48" s="11" t="str">
        <f t="shared" si="17"/>
        <v/>
      </c>
      <c r="Y48" s="11" t="e">
        <f t="shared" si="18"/>
        <v>#REF!</v>
      </c>
      <c r="Z48" s="11" t="str">
        <f t="shared" si="19"/>
        <v/>
      </c>
      <c r="AA48" s="11" t="e">
        <f t="shared" si="20"/>
        <v>#REF!</v>
      </c>
      <c r="AB48" s="11" t="str">
        <f t="shared" si="21"/>
        <v/>
      </c>
      <c r="AC48" s="11" t="e">
        <f t="shared" si="22"/>
        <v>#REF!</v>
      </c>
      <c r="AD48" s="11" t="str">
        <f t="shared" si="23"/>
        <v/>
      </c>
      <c r="AE48" s="11" t="e">
        <f t="shared" si="24"/>
        <v>#REF!</v>
      </c>
      <c r="AF48" s="11" t="str">
        <f t="shared" si="25"/>
        <v/>
      </c>
      <c r="AG48" s="11" t="e">
        <f t="shared" si="26"/>
        <v>#REF!</v>
      </c>
      <c r="AH48" s="11" t="str">
        <f t="shared" si="27"/>
        <v/>
      </c>
      <c r="AI48" s="11" t="e">
        <f t="shared" si="28"/>
        <v>#REF!</v>
      </c>
      <c r="AJ48" s="11" t="str">
        <f t="shared" si="29"/>
        <v/>
      </c>
      <c r="AK48" s="11" t="e">
        <f t="shared" si="30"/>
        <v>#REF!</v>
      </c>
      <c r="AL48" s="11" t="str">
        <f t="shared" si="31"/>
        <v/>
      </c>
      <c r="AM48" s="11" t="e">
        <f t="shared" si="32"/>
        <v>#REF!</v>
      </c>
      <c r="AN48" s="11" t="str">
        <f t="shared" si="33"/>
        <v/>
      </c>
      <c r="AO48" s="11" t="e">
        <f t="shared" si="34"/>
        <v>#REF!</v>
      </c>
      <c r="AP48" s="11" t="str">
        <f t="shared" si="35"/>
        <v/>
      </c>
      <c r="AQ48" s="11" t="e">
        <f t="shared" si="36"/>
        <v>#REF!</v>
      </c>
      <c r="AR48" s="11" t="str">
        <f t="shared" si="37"/>
        <v/>
      </c>
      <c r="AS48" s="11" t="e">
        <f t="shared" si="38"/>
        <v>#REF!</v>
      </c>
      <c r="AT48" s="11" t="str">
        <f t="shared" si="39"/>
        <v/>
      </c>
      <c r="AU48" s="11" t="e">
        <f t="shared" si="40"/>
        <v>#REF!</v>
      </c>
      <c r="AV48" s="11" t="str">
        <f t="shared" si="41"/>
        <v/>
      </c>
      <c r="AW48" s="11" t="e">
        <f t="shared" si="42"/>
        <v>#REF!</v>
      </c>
      <c r="AX48" s="11" t="str">
        <f t="shared" si="43"/>
        <v/>
      </c>
      <c r="AY48" s="11" t="e">
        <f t="shared" si="44"/>
        <v>#REF!</v>
      </c>
      <c r="AZ48" s="11" t="str">
        <f t="shared" si="45"/>
        <v/>
      </c>
      <c r="BA48" s="11" t="e">
        <f t="shared" si="46"/>
        <v>#REF!</v>
      </c>
      <c r="BB48" s="11" t="str">
        <f t="shared" si="47"/>
        <v/>
      </c>
      <c r="BC48" s="11" t="e">
        <f t="shared" si="48"/>
        <v>#REF!</v>
      </c>
      <c r="BD48" s="11" t="str">
        <f t="shared" si="49"/>
        <v/>
      </c>
      <c r="BE48" s="11" t="e">
        <f t="shared" si="50"/>
        <v>#REF!</v>
      </c>
      <c r="BF48" s="11" t="str">
        <f t="shared" si="51"/>
        <v/>
      </c>
      <c r="BG48" s="11" t="e">
        <f t="shared" si="52"/>
        <v>#REF!</v>
      </c>
      <c r="BH48" s="11" t="str">
        <f t="shared" si="53"/>
        <v/>
      </c>
      <c r="BI48" s="11" t="e">
        <f t="shared" si="54"/>
        <v>#REF!</v>
      </c>
      <c r="BJ48" s="11" t="str">
        <f t="shared" si="55"/>
        <v/>
      </c>
      <c r="BK48" s="11" t="e">
        <f t="shared" si="56"/>
        <v>#REF!</v>
      </c>
      <c r="BL48" s="11" t="str">
        <f t="shared" si="57"/>
        <v/>
      </c>
      <c r="BM48" s="22" t="e">
        <f t="shared" si="59"/>
        <v>#REF!</v>
      </c>
      <c r="BN48" s="113" t="e">
        <f t="shared" si="60"/>
        <v>#REF!</v>
      </c>
      <c r="BO48" s="41" t="e">
        <f t="shared" si="61"/>
        <v>#REF!</v>
      </c>
      <c r="BP48" s="15" t="str">
        <f t="shared" si="62"/>
        <v/>
      </c>
      <c r="BQ48" s="101" t="e">
        <f t="shared" si="63"/>
        <v>#REF!</v>
      </c>
      <c r="BR48" s="15" t="str">
        <f>IF('ריכוז נתונים כללים'!$W48='ריכוז נתונים כללים'!$AN$16,MIN(BP48,'ריכוז נתונים כללים'!$AB48),BP48)</f>
        <v/>
      </c>
      <c r="BS48" s="15" t="e">
        <f>IF($C48="","",IF('ריכוז נתונים כללים'!$W48='ריכוז נתונים כללים'!$AN$16,BR48,BR48+($C$3-BR$77)*(BR48/(BR$77-SUMIF('ריכוז נתונים כללים'!$W$17:$W$76,'ריכוז נתונים כללים'!$AN$16,BR$17:BR$76)))))</f>
        <v>#REF!</v>
      </c>
    </row>
    <row r="49" spans="2:71" x14ac:dyDescent="0.25">
      <c r="B49" s="7">
        <f>'ריכוז נתונים'!C49</f>
        <v>33</v>
      </c>
      <c r="C49" s="7" t="e">
        <f>#REF!</f>
        <v>#REF!</v>
      </c>
      <c r="D49" s="22" t="e">
        <f>IF(C49="","",#REF!)</f>
        <v>#REF!</v>
      </c>
      <c r="E49" s="22" t="e">
        <f>IF(C49="","",#REF!)</f>
        <v>#REF!</v>
      </c>
      <c r="F49" s="22" t="str">
        <f t="shared" si="1"/>
        <v/>
      </c>
      <c r="G49" s="11" t="e">
        <f t="shared" si="58"/>
        <v>#REF!</v>
      </c>
      <c r="H49" s="11" t="str">
        <f t="shared" ref="H49:H76" si="64">IFERROR(MAX(F49,$E49*VLOOKUP($C$2,$H$8:$I$9,2,FALSE)),"")</f>
        <v/>
      </c>
      <c r="I49" s="11" t="e">
        <f t="shared" si="58"/>
        <v>#REF!</v>
      </c>
      <c r="J49" s="11" t="str">
        <f t="shared" ref="J49:J76" si="65">IFERROR(MAX(H49,$E49*VLOOKUP($C$2,$H$8:$I$9,2,FALSE)),"")</f>
        <v/>
      </c>
      <c r="K49" s="11" t="e">
        <f t="shared" ref="K49:K76" si="66">IF($C49="","",IFERROR(J49/SUM(J$17:J$76),0))</f>
        <v>#REF!</v>
      </c>
      <c r="L49" s="11" t="str">
        <f t="shared" ref="L49:L76" si="67">IFERROR(MAX(J49,$E49*VLOOKUP($C$2,$H$8:$I$9,2,FALSE)),"")</f>
        <v/>
      </c>
      <c r="M49" s="11" t="e">
        <f t="shared" ref="M49:M76" si="68">IF($C49="","",IFERROR(L49/SUM(L$17:L$76),0))</f>
        <v>#REF!</v>
      </c>
      <c r="N49" s="11" t="str">
        <f t="shared" ref="N49:N76" si="69">IFERROR(MAX(L49,$E49*VLOOKUP($C$2,$H$8:$I$9,2,FALSE)),"")</f>
        <v/>
      </c>
      <c r="O49" s="11" t="e">
        <f t="shared" ref="O49:O76" si="70">IF($C49="","",IFERROR(N49/SUM(N$17:N$76),0))</f>
        <v>#REF!</v>
      </c>
      <c r="P49" s="11" t="str">
        <f t="shared" ref="P49:P76" si="71">IFERROR(MAX(N49,$E49*VLOOKUP($C$2,$H$8:$I$9,2,FALSE)),"")</f>
        <v/>
      </c>
      <c r="Q49" s="11" t="e">
        <f t="shared" ref="Q49:Q76" si="72">IF($C49="","",IFERROR(P49/SUM(P$17:P$76),0))</f>
        <v>#REF!</v>
      </c>
      <c r="R49" s="11" t="str">
        <f t="shared" ref="R49:R76" si="73">IFERROR(MAX(P49,$E49*VLOOKUP($C$2,$H$8:$I$9,2,FALSE)),"")</f>
        <v/>
      </c>
      <c r="S49" s="11" t="e">
        <f t="shared" ref="S49:S76" si="74">IF($C49="","",IFERROR(R49/SUM(R$17:R$76),0))</f>
        <v>#REF!</v>
      </c>
      <c r="T49" s="11" t="str">
        <f t="shared" ref="T49:T76" si="75">IFERROR(MAX(R49,$E49*VLOOKUP($C$2,$H$8:$I$9,2,FALSE)),"")</f>
        <v/>
      </c>
      <c r="U49" s="11" t="e">
        <f t="shared" ref="U49:U76" si="76">IF($C49="","",IFERROR(T49/SUM(T$17:T$76),0))</f>
        <v>#REF!</v>
      </c>
      <c r="V49" s="11" t="str">
        <f t="shared" ref="V49:V76" si="77">IFERROR(MAX(T49,$E49*VLOOKUP($C$2,$H$8:$I$9,2,FALSE)),"")</f>
        <v/>
      </c>
      <c r="W49" s="11" t="e">
        <f t="shared" ref="W49:W76" si="78">IF($C49="","",IFERROR(V49/SUM(V$17:V$76),0))</f>
        <v>#REF!</v>
      </c>
      <c r="X49" s="11" t="str">
        <f t="shared" ref="X49:X76" si="79">IFERROR(MAX(V49,$E49*VLOOKUP($C$2,$H$8:$I$9,2,FALSE)),"")</f>
        <v/>
      </c>
      <c r="Y49" s="11" t="e">
        <f t="shared" ref="Y49:Y76" si="80">IF($C49="","",IFERROR(X49/SUM(X$17:X$76),0))</f>
        <v>#REF!</v>
      </c>
      <c r="Z49" s="11" t="str">
        <f t="shared" ref="Z49:Z76" si="81">IFERROR(MAX(X49,$E49*VLOOKUP($C$2,$H$8:$I$9,2,FALSE)),"")</f>
        <v/>
      </c>
      <c r="AA49" s="11" t="e">
        <f t="shared" ref="AA49:AA76" si="82">IF($C49="","",IFERROR(Z49/SUM(Z$17:Z$76),0))</f>
        <v>#REF!</v>
      </c>
      <c r="AB49" s="11" t="str">
        <f t="shared" ref="AB49:AB76" si="83">IFERROR(MAX(Z49,$E49*VLOOKUP($C$2,$H$8:$I$9,2,FALSE)),"")</f>
        <v/>
      </c>
      <c r="AC49" s="11" t="e">
        <f t="shared" ref="AC49:AC76" si="84">IF($C49="","",IFERROR(AB49/SUM(AB$17:AB$76),0))</f>
        <v>#REF!</v>
      </c>
      <c r="AD49" s="11" t="str">
        <f t="shared" ref="AD49:AD76" si="85">IFERROR(MAX(AB49,$E49*VLOOKUP($C$2,$H$8:$I$9,2,FALSE)),"")</f>
        <v/>
      </c>
      <c r="AE49" s="11" t="e">
        <f t="shared" ref="AE49:AE76" si="86">IF($C49="","",IFERROR(AD49/SUM(AD$17:AD$76),0))</f>
        <v>#REF!</v>
      </c>
      <c r="AF49" s="11" t="str">
        <f t="shared" ref="AF49:AF76" si="87">IFERROR(MAX(AD49,$E49*VLOOKUP($C$2,$H$8:$I$9,2,FALSE)),"")</f>
        <v/>
      </c>
      <c r="AG49" s="11" t="e">
        <f t="shared" ref="AG49:AG76" si="88">IF($C49="","",IFERROR(AF49/SUM(AF$17:AF$76),0))</f>
        <v>#REF!</v>
      </c>
      <c r="AH49" s="11" t="str">
        <f t="shared" ref="AH49:AH76" si="89">IFERROR(MAX(AF49,$E49*VLOOKUP($C$2,$H$8:$I$9,2,FALSE)),"")</f>
        <v/>
      </c>
      <c r="AI49" s="11" t="e">
        <f t="shared" ref="AI49:AI76" si="90">IF($C49="","",IFERROR(AH49/SUM(AH$17:AH$76),0))</f>
        <v>#REF!</v>
      </c>
      <c r="AJ49" s="11" t="str">
        <f t="shared" ref="AJ49:AJ76" si="91">IFERROR(MAX(AH49,$E49*VLOOKUP($C$2,$H$8:$I$9,2,FALSE)),"")</f>
        <v/>
      </c>
      <c r="AK49" s="11" t="e">
        <f t="shared" ref="AK49:AK76" si="92">IF($C49="","",IFERROR(AJ49/SUM(AJ$17:AJ$76),0))</f>
        <v>#REF!</v>
      </c>
      <c r="AL49" s="11" t="str">
        <f t="shared" ref="AL49:AL76" si="93">IFERROR(MAX(AJ49,$E49*VLOOKUP($C$2,$H$8:$I$9,2,FALSE)),"")</f>
        <v/>
      </c>
      <c r="AM49" s="11" t="e">
        <f t="shared" ref="AM49:AM76" si="94">IF($C49="","",IFERROR(AL49/SUM(AL$17:AL$76),0))</f>
        <v>#REF!</v>
      </c>
      <c r="AN49" s="11" t="str">
        <f t="shared" ref="AN49:AN76" si="95">IFERROR(MAX(AL49,$E49*VLOOKUP($C$2,$H$8:$I$9,2,FALSE)),"")</f>
        <v/>
      </c>
      <c r="AO49" s="11" t="e">
        <f t="shared" ref="AO49:AO76" si="96">IF($C49="","",IFERROR(AN49/SUM(AN$17:AN$76),0))</f>
        <v>#REF!</v>
      </c>
      <c r="AP49" s="11" t="str">
        <f t="shared" ref="AP49:AP76" si="97">IFERROR(MAX(AN49,$E49*VLOOKUP($C$2,$H$8:$I$9,2,FALSE)),"")</f>
        <v/>
      </c>
      <c r="AQ49" s="11" t="e">
        <f t="shared" ref="AQ49:AQ76" si="98">IF($C49="","",IFERROR(AP49/SUM(AP$17:AP$76),0))</f>
        <v>#REF!</v>
      </c>
      <c r="AR49" s="11" t="str">
        <f t="shared" ref="AR49:AR76" si="99">IFERROR(MAX(AP49,$E49*VLOOKUP($C$2,$H$8:$I$9,2,FALSE)),"")</f>
        <v/>
      </c>
      <c r="AS49" s="11" t="e">
        <f t="shared" ref="AS49:AS76" si="100">IF($C49="","",IFERROR(AR49/SUM(AR$17:AR$76),0))</f>
        <v>#REF!</v>
      </c>
      <c r="AT49" s="11" t="str">
        <f t="shared" ref="AT49:AT76" si="101">IFERROR(MAX(AR49,$E49*VLOOKUP($C$2,$H$8:$I$9,2,FALSE)),"")</f>
        <v/>
      </c>
      <c r="AU49" s="11" t="e">
        <f t="shared" ref="AU49:AU76" si="102">IF($C49="","",IFERROR(AT49/SUM(AT$17:AT$76),0))</f>
        <v>#REF!</v>
      </c>
      <c r="AV49" s="11" t="str">
        <f t="shared" ref="AV49:AV76" si="103">IFERROR(MAX(AT49,$E49*VLOOKUP($C$2,$H$8:$I$9,2,FALSE)),"")</f>
        <v/>
      </c>
      <c r="AW49" s="11" t="e">
        <f t="shared" ref="AW49:AW76" si="104">IF($C49="","",IFERROR(AV49/SUM(AV$17:AV$76),0))</f>
        <v>#REF!</v>
      </c>
      <c r="AX49" s="11" t="str">
        <f t="shared" ref="AX49:AX76" si="105">IFERROR(MAX(AV49,$E49*VLOOKUP($C$2,$H$8:$I$9,2,FALSE)),"")</f>
        <v/>
      </c>
      <c r="AY49" s="11" t="e">
        <f t="shared" ref="AY49:AY76" si="106">IF($C49="","",IFERROR(AX49/SUM(AX$17:AX$76),0))</f>
        <v>#REF!</v>
      </c>
      <c r="AZ49" s="11" t="str">
        <f t="shared" ref="AZ49:AZ76" si="107">IFERROR(MAX(AX49,$E49*VLOOKUP($C$2,$H$8:$I$9,2,FALSE)),"")</f>
        <v/>
      </c>
      <c r="BA49" s="11" t="e">
        <f t="shared" ref="BA49:BA76" si="108">IF($C49="","",IFERROR(AZ49/SUM(AZ$17:AZ$76),0))</f>
        <v>#REF!</v>
      </c>
      <c r="BB49" s="11" t="str">
        <f t="shared" ref="BB49:BB76" si="109">IFERROR(MAX(AZ49,$E49*VLOOKUP($C$2,$H$8:$I$9,2,FALSE)),"")</f>
        <v/>
      </c>
      <c r="BC49" s="11" t="e">
        <f t="shared" ref="BC49:BC76" si="110">IF($C49="","",IFERROR(BB49/SUM(BB$17:BB$76),0))</f>
        <v>#REF!</v>
      </c>
      <c r="BD49" s="11" t="str">
        <f t="shared" ref="BD49:BD76" si="111">IFERROR(MAX(BB49,$E49*VLOOKUP($C$2,$H$8:$I$9,2,FALSE)),"")</f>
        <v/>
      </c>
      <c r="BE49" s="11" t="e">
        <f t="shared" ref="BE49:BE76" si="112">IF($C49="","",IFERROR(BD49/SUM(BD$17:BD$76),0))</f>
        <v>#REF!</v>
      </c>
      <c r="BF49" s="11" t="str">
        <f t="shared" ref="BF49:BF76" si="113">IFERROR(MAX(BD49,$E49*VLOOKUP($C$2,$H$8:$I$9,2,FALSE)),"")</f>
        <v/>
      </c>
      <c r="BG49" s="11" t="e">
        <f t="shared" ref="BG49:BG76" si="114">IF($C49="","",IFERROR(BF49/SUM(BF$17:BF$76),0))</f>
        <v>#REF!</v>
      </c>
      <c r="BH49" s="11" t="str">
        <f t="shared" ref="BH49:BH76" si="115">IFERROR(MAX(BF49,$E49*VLOOKUP($C$2,$H$8:$I$9,2,FALSE)),"")</f>
        <v/>
      </c>
      <c r="BI49" s="11" t="e">
        <f t="shared" ref="BI49:BI76" si="116">IF($C49="","",IFERROR(BH49/SUM(BH$17:BH$76),0))</f>
        <v>#REF!</v>
      </c>
      <c r="BJ49" s="11" t="str">
        <f t="shared" ref="BJ49:BJ76" si="117">IFERROR(MAX(BH49,$E49*VLOOKUP($C$2,$H$8:$I$9,2,FALSE)),"")</f>
        <v/>
      </c>
      <c r="BK49" s="11" t="e">
        <f t="shared" ref="BK49:BK76" si="118">IF($C49="","",IFERROR(BJ49/SUM(BJ$17:BJ$76),0))</f>
        <v>#REF!</v>
      </c>
      <c r="BL49" s="11" t="str">
        <f t="shared" ref="BL49:BL76" si="119">IFERROR(MAX(BJ49,$E49*VLOOKUP($C$2,$H$8:$I$9,2,FALSE)),"")</f>
        <v/>
      </c>
      <c r="BM49" s="22" t="e">
        <f t="shared" si="59"/>
        <v>#REF!</v>
      </c>
      <c r="BN49" s="113" t="e">
        <f t="shared" si="60"/>
        <v>#REF!</v>
      </c>
      <c r="BO49" s="41" t="e">
        <f t="shared" si="61"/>
        <v>#REF!</v>
      </c>
      <c r="BP49" s="15" t="str">
        <f t="shared" si="62"/>
        <v/>
      </c>
      <c r="BQ49" s="101" t="e">
        <f t="shared" si="63"/>
        <v>#REF!</v>
      </c>
      <c r="BR49" s="15" t="str">
        <f>IF('ריכוז נתונים כללים'!$W49='ריכוז נתונים כללים'!$AN$16,MIN(BP49,'ריכוז נתונים כללים'!$AB49),BP49)</f>
        <v/>
      </c>
      <c r="BS49" s="15" t="e">
        <f>IF($C49="","",IF('ריכוז נתונים כללים'!$W49='ריכוז נתונים כללים'!$AN$16,BR49,BR49+($C$3-BR$77)*(BR49/(BR$77-SUMIF('ריכוז נתונים כללים'!$W$17:$W$76,'ריכוז נתונים כללים'!$AN$16,BR$17:BR$76)))))</f>
        <v>#REF!</v>
      </c>
    </row>
    <row r="50" spans="2:71" x14ac:dyDescent="0.25">
      <c r="B50" s="7">
        <f>'ריכוז נתונים'!C50</f>
        <v>34</v>
      </c>
      <c r="C50" s="7" t="e">
        <f>#REF!</f>
        <v>#REF!</v>
      </c>
      <c r="D50" s="22" t="e">
        <f>IF(C50="","",#REF!)</f>
        <v>#REF!</v>
      </c>
      <c r="E50" s="22" t="e">
        <f>IF(C50="","",#REF!)</f>
        <v>#REF!</v>
      </c>
      <c r="F50" s="22" t="str">
        <f t="shared" si="1"/>
        <v/>
      </c>
      <c r="G50" s="11" t="e">
        <f t="shared" si="58"/>
        <v>#REF!</v>
      </c>
      <c r="H50" s="11" t="str">
        <f t="shared" si="64"/>
        <v/>
      </c>
      <c r="I50" s="11" t="e">
        <f t="shared" si="58"/>
        <v>#REF!</v>
      </c>
      <c r="J50" s="11" t="str">
        <f t="shared" si="65"/>
        <v/>
      </c>
      <c r="K50" s="11" t="e">
        <f t="shared" si="66"/>
        <v>#REF!</v>
      </c>
      <c r="L50" s="11" t="str">
        <f t="shared" si="67"/>
        <v/>
      </c>
      <c r="M50" s="11" t="e">
        <f t="shared" si="68"/>
        <v>#REF!</v>
      </c>
      <c r="N50" s="11" t="str">
        <f t="shared" si="69"/>
        <v/>
      </c>
      <c r="O50" s="11" t="e">
        <f t="shared" si="70"/>
        <v>#REF!</v>
      </c>
      <c r="P50" s="11" t="str">
        <f t="shared" si="71"/>
        <v/>
      </c>
      <c r="Q50" s="11" t="e">
        <f t="shared" si="72"/>
        <v>#REF!</v>
      </c>
      <c r="R50" s="11" t="str">
        <f t="shared" si="73"/>
        <v/>
      </c>
      <c r="S50" s="11" t="e">
        <f t="shared" si="74"/>
        <v>#REF!</v>
      </c>
      <c r="T50" s="11" t="str">
        <f t="shared" si="75"/>
        <v/>
      </c>
      <c r="U50" s="11" t="e">
        <f t="shared" si="76"/>
        <v>#REF!</v>
      </c>
      <c r="V50" s="11" t="str">
        <f t="shared" si="77"/>
        <v/>
      </c>
      <c r="W50" s="11" t="e">
        <f t="shared" si="78"/>
        <v>#REF!</v>
      </c>
      <c r="X50" s="11" t="str">
        <f t="shared" si="79"/>
        <v/>
      </c>
      <c r="Y50" s="11" t="e">
        <f t="shared" si="80"/>
        <v>#REF!</v>
      </c>
      <c r="Z50" s="11" t="str">
        <f t="shared" si="81"/>
        <v/>
      </c>
      <c r="AA50" s="11" t="e">
        <f t="shared" si="82"/>
        <v>#REF!</v>
      </c>
      <c r="AB50" s="11" t="str">
        <f t="shared" si="83"/>
        <v/>
      </c>
      <c r="AC50" s="11" t="e">
        <f t="shared" si="84"/>
        <v>#REF!</v>
      </c>
      <c r="AD50" s="11" t="str">
        <f t="shared" si="85"/>
        <v/>
      </c>
      <c r="AE50" s="11" t="e">
        <f t="shared" si="86"/>
        <v>#REF!</v>
      </c>
      <c r="AF50" s="11" t="str">
        <f t="shared" si="87"/>
        <v/>
      </c>
      <c r="AG50" s="11" t="e">
        <f t="shared" si="88"/>
        <v>#REF!</v>
      </c>
      <c r="AH50" s="11" t="str">
        <f t="shared" si="89"/>
        <v/>
      </c>
      <c r="AI50" s="11" t="e">
        <f t="shared" si="90"/>
        <v>#REF!</v>
      </c>
      <c r="AJ50" s="11" t="str">
        <f t="shared" si="91"/>
        <v/>
      </c>
      <c r="AK50" s="11" t="e">
        <f t="shared" si="92"/>
        <v>#REF!</v>
      </c>
      <c r="AL50" s="11" t="str">
        <f t="shared" si="93"/>
        <v/>
      </c>
      <c r="AM50" s="11" t="e">
        <f t="shared" si="94"/>
        <v>#REF!</v>
      </c>
      <c r="AN50" s="11" t="str">
        <f t="shared" si="95"/>
        <v/>
      </c>
      <c r="AO50" s="11" t="e">
        <f t="shared" si="96"/>
        <v>#REF!</v>
      </c>
      <c r="AP50" s="11" t="str">
        <f t="shared" si="97"/>
        <v/>
      </c>
      <c r="AQ50" s="11" t="e">
        <f t="shared" si="98"/>
        <v>#REF!</v>
      </c>
      <c r="AR50" s="11" t="str">
        <f t="shared" si="99"/>
        <v/>
      </c>
      <c r="AS50" s="11" t="e">
        <f t="shared" si="100"/>
        <v>#REF!</v>
      </c>
      <c r="AT50" s="11" t="str">
        <f t="shared" si="101"/>
        <v/>
      </c>
      <c r="AU50" s="11" t="e">
        <f t="shared" si="102"/>
        <v>#REF!</v>
      </c>
      <c r="AV50" s="11" t="str">
        <f t="shared" si="103"/>
        <v/>
      </c>
      <c r="AW50" s="11" t="e">
        <f t="shared" si="104"/>
        <v>#REF!</v>
      </c>
      <c r="AX50" s="11" t="str">
        <f t="shared" si="105"/>
        <v/>
      </c>
      <c r="AY50" s="11" t="e">
        <f t="shared" si="106"/>
        <v>#REF!</v>
      </c>
      <c r="AZ50" s="11" t="str">
        <f t="shared" si="107"/>
        <v/>
      </c>
      <c r="BA50" s="11" t="e">
        <f t="shared" si="108"/>
        <v>#REF!</v>
      </c>
      <c r="BB50" s="11" t="str">
        <f t="shared" si="109"/>
        <v/>
      </c>
      <c r="BC50" s="11" t="e">
        <f t="shared" si="110"/>
        <v>#REF!</v>
      </c>
      <c r="BD50" s="11" t="str">
        <f t="shared" si="111"/>
        <v/>
      </c>
      <c r="BE50" s="11" t="e">
        <f t="shared" si="112"/>
        <v>#REF!</v>
      </c>
      <c r="BF50" s="11" t="str">
        <f t="shared" si="113"/>
        <v/>
      </c>
      <c r="BG50" s="11" t="e">
        <f t="shared" si="114"/>
        <v>#REF!</v>
      </c>
      <c r="BH50" s="11" t="str">
        <f t="shared" si="115"/>
        <v/>
      </c>
      <c r="BI50" s="11" t="e">
        <f t="shared" si="116"/>
        <v>#REF!</v>
      </c>
      <c r="BJ50" s="11" t="str">
        <f t="shared" si="117"/>
        <v/>
      </c>
      <c r="BK50" s="11" t="e">
        <f t="shared" si="118"/>
        <v>#REF!</v>
      </c>
      <c r="BL50" s="11" t="str">
        <f t="shared" si="119"/>
        <v/>
      </c>
      <c r="BM50" s="22" t="e">
        <f t="shared" si="59"/>
        <v>#REF!</v>
      </c>
      <c r="BN50" s="113" t="e">
        <f t="shared" si="60"/>
        <v>#REF!</v>
      </c>
      <c r="BO50" s="41" t="e">
        <f t="shared" si="61"/>
        <v>#REF!</v>
      </c>
      <c r="BP50" s="15" t="str">
        <f t="shared" si="62"/>
        <v/>
      </c>
      <c r="BQ50" s="101" t="e">
        <f t="shared" si="63"/>
        <v>#REF!</v>
      </c>
      <c r="BR50" s="15" t="str">
        <f>IF('ריכוז נתונים כללים'!$W50='ריכוז נתונים כללים'!$AN$16,MIN(BP50,'ריכוז נתונים כללים'!$AB50),BP50)</f>
        <v/>
      </c>
      <c r="BS50" s="15" t="e">
        <f>IF($C50="","",IF('ריכוז נתונים כללים'!$W50='ריכוז נתונים כללים'!$AN$16,BR50,BR50+($C$3-BR$77)*(BR50/(BR$77-SUMIF('ריכוז נתונים כללים'!$W$17:$W$76,'ריכוז נתונים כללים'!$AN$16,BR$17:BR$76)))))</f>
        <v>#REF!</v>
      </c>
    </row>
    <row r="51" spans="2:71" x14ac:dyDescent="0.25">
      <c r="B51" s="7">
        <f>'ריכוז נתונים'!C51</f>
        <v>35</v>
      </c>
      <c r="C51" s="7" t="e">
        <f>#REF!</f>
        <v>#REF!</v>
      </c>
      <c r="D51" s="22" t="e">
        <f>IF(C51="","",#REF!)</f>
        <v>#REF!</v>
      </c>
      <c r="E51" s="22" t="e">
        <f>IF(C51="","",#REF!)</f>
        <v>#REF!</v>
      </c>
      <c r="F51" s="22" t="str">
        <f t="shared" si="1"/>
        <v/>
      </c>
      <c r="G51" s="11" t="e">
        <f t="shared" si="58"/>
        <v>#REF!</v>
      </c>
      <c r="H51" s="11" t="str">
        <f t="shared" si="64"/>
        <v/>
      </c>
      <c r="I51" s="11" t="e">
        <f t="shared" si="58"/>
        <v>#REF!</v>
      </c>
      <c r="J51" s="11" t="str">
        <f t="shared" si="65"/>
        <v/>
      </c>
      <c r="K51" s="11" t="e">
        <f t="shared" si="66"/>
        <v>#REF!</v>
      </c>
      <c r="L51" s="11" t="str">
        <f t="shared" si="67"/>
        <v/>
      </c>
      <c r="M51" s="11" t="e">
        <f t="shared" si="68"/>
        <v>#REF!</v>
      </c>
      <c r="N51" s="11" t="str">
        <f t="shared" si="69"/>
        <v/>
      </c>
      <c r="O51" s="11" t="e">
        <f t="shared" si="70"/>
        <v>#REF!</v>
      </c>
      <c r="P51" s="11" t="str">
        <f t="shared" si="71"/>
        <v/>
      </c>
      <c r="Q51" s="11" t="e">
        <f t="shared" si="72"/>
        <v>#REF!</v>
      </c>
      <c r="R51" s="11" t="str">
        <f t="shared" si="73"/>
        <v/>
      </c>
      <c r="S51" s="11" t="e">
        <f t="shared" si="74"/>
        <v>#REF!</v>
      </c>
      <c r="T51" s="11" t="str">
        <f t="shared" si="75"/>
        <v/>
      </c>
      <c r="U51" s="11" t="e">
        <f t="shared" si="76"/>
        <v>#REF!</v>
      </c>
      <c r="V51" s="11" t="str">
        <f t="shared" si="77"/>
        <v/>
      </c>
      <c r="W51" s="11" t="e">
        <f t="shared" si="78"/>
        <v>#REF!</v>
      </c>
      <c r="X51" s="11" t="str">
        <f t="shared" si="79"/>
        <v/>
      </c>
      <c r="Y51" s="11" t="e">
        <f t="shared" si="80"/>
        <v>#REF!</v>
      </c>
      <c r="Z51" s="11" t="str">
        <f t="shared" si="81"/>
        <v/>
      </c>
      <c r="AA51" s="11" t="e">
        <f t="shared" si="82"/>
        <v>#REF!</v>
      </c>
      <c r="AB51" s="11" t="str">
        <f t="shared" si="83"/>
        <v/>
      </c>
      <c r="AC51" s="11" t="e">
        <f t="shared" si="84"/>
        <v>#REF!</v>
      </c>
      <c r="AD51" s="11" t="str">
        <f t="shared" si="85"/>
        <v/>
      </c>
      <c r="AE51" s="11" t="e">
        <f t="shared" si="86"/>
        <v>#REF!</v>
      </c>
      <c r="AF51" s="11" t="str">
        <f t="shared" si="87"/>
        <v/>
      </c>
      <c r="AG51" s="11" t="e">
        <f t="shared" si="88"/>
        <v>#REF!</v>
      </c>
      <c r="AH51" s="11" t="str">
        <f t="shared" si="89"/>
        <v/>
      </c>
      <c r="AI51" s="11" t="e">
        <f t="shared" si="90"/>
        <v>#REF!</v>
      </c>
      <c r="AJ51" s="11" t="str">
        <f t="shared" si="91"/>
        <v/>
      </c>
      <c r="AK51" s="11" t="e">
        <f t="shared" si="92"/>
        <v>#REF!</v>
      </c>
      <c r="AL51" s="11" t="str">
        <f t="shared" si="93"/>
        <v/>
      </c>
      <c r="AM51" s="11" t="e">
        <f t="shared" si="94"/>
        <v>#REF!</v>
      </c>
      <c r="AN51" s="11" t="str">
        <f t="shared" si="95"/>
        <v/>
      </c>
      <c r="AO51" s="11" t="e">
        <f t="shared" si="96"/>
        <v>#REF!</v>
      </c>
      <c r="AP51" s="11" t="str">
        <f t="shared" si="97"/>
        <v/>
      </c>
      <c r="AQ51" s="11" t="e">
        <f t="shared" si="98"/>
        <v>#REF!</v>
      </c>
      <c r="AR51" s="11" t="str">
        <f t="shared" si="99"/>
        <v/>
      </c>
      <c r="AS51" s="11" t="e">
        <f t="shared" si="100"/>
        <v>#REF!</v>
      </c>
      <c r="AT51" s="11" t="str">
        <f t="shared" si="101"/>
        <v/>
      </c>
      <c r="AU51" s="11" t="e">
        <f t="shared" si="102"/>
        <v>#REF!</v>
      </c>
      <c r="AV51" s="11" t="str">
        <f t="shared" si="103"/>
        <v/>
      </c>
      <c r="AW51" s="11" t="e">
        <f t="shared" si="104"/>
        <v>#REF!</v>
      </c>
      <c r="AX51" s="11" t="str">
        <f t="shared" si="105"/>
        <v/>
      </c>
      <c r="AY51" s="11" t="e">
        <f t="shared" si="106"/>
        <v>#REF!</v>
      </c>
      <c r="AZ51" s="11" t="str">
        <f t="shared" si="107"/>
        <v/>
      </c>
      <c r="BA51" s="11" t="e">
        <f t="shared" si="108"/>
        <v>#REF!</v>
      </c>
      <c r="BB51" s="11" t="str">
        <f t="shared" si="109"/>
        <v/>
      </c>
      <c r="BC51" s="11" t="e">
        <f t="shared" si="110"/>
        <v>#REF!</v>
      </c>
      <c r="BD51" s="11" t="str">
        <f t="shared" si="111"/>
        <v/>
      </c>
      <c r="BE51" s="11" t="e">
        <f t="shared" si="112"/>
        <v>#REF!</v>
      </c>
      <c r="BF51" s="11" t="str">
        <f t="shared" si="113"/>
        <v/>
      </c>
      <c r="BG51" s="11" t="e">
        <f t="shared" si="114"/>
        <v>#REF!</v>
      </c>
      <c r="BH51" s="11" t="str">
        <f t="shared" si="115"/>
        <v/>
      </c>
      <c r="BI51" s="11" t="e">
        <f t="shared" si="116"/>
        <v>#REF!</v>
      </c>
      <c r="BJ51" s="11" t="str">
        <f t="shared" si="117"/>
        <v/>
      </c>
      <c r="BK51" s="11" t="e">
        <f t="shared" si="118"/>
        <v>#REF!</v>
      </c>
      <c r="BL51" s="11" t="str">
        <f t="shared" si="119"/>
        <v/>
      </c>
      <c r="BM51" s="22" t="e">
        <f t="shared" si="59"/>
        <v>#REF!</v>
      </c>
      <c r="BN51" s="113" t="e">
        <f t="shared" si="60"/>
        <v>#REF!</v>
      </c>
      <c r="BO51" s="41" t="e">
        <f t="shared" si="61"/>
        <v>#REF!</v>
      </c>
      <c r="BP51" s="15" t="str">
        <f t="shared" si="62"/>
        <v/>
      </c>
      <c r="BQ51" s="101" t="e">
        <f t="shared" si="63"/>
        <v>#REF!</v>
      </c>
      <c r="BR51" s="15" t="str">
        <f>IF('ריכוז נתונים כללים'!$W51='ריכוז נתונים כללים'!$AN$16,MIN(BP51,'ריכוז נתונים כללים'!$AB51),BP51)</f>
        <v/>
      </c>
      <c r="BS51" s="15" t="e">
        <f>IF($C51="","",IF('ריכוז נתונים כללים'!$W51='ריכוז נתונים כללים'!$AN$16,BR51,BR51+($C$3-BR$77)*(BR51/(BR$77-SUMIF('ריכוז נתונים כללים'!$W$17:$W$76,'ריכוז נתונים כללים'!$AN$16,BR$17:BR$76)))))</f>
        <v>#REF!</v>
      </c>
    </row>
    <row r="52" spans="2:71" x14ac:dyDescent="0.25">
      <c r="B52" s="7">
        <f>'ריכוז נתונים'!C52</f>
        <v>36</v>
      </c>
      <c r="C52" s="7" t="e">
        <f>#REF!</f>
        <v>#REF!</v>
      </c>
      <c r="D52" s="22" t="e">
        <f>IF(C52="","",#REF!)</f>
        <v>#REF!</v>
      </c>
      <c r="E52" s="22" t="e">
        <f>IF(C52="","",#REF!)</f>
        <v>#REF!</v>
      </c>
      <c r="F52" s="22" t="str">
        <f t="shared" si="1"/>
        <v/>
      </c>
      <c r="G52" s="11" t="e">
        <f t="shared" si="58"/>
        <v>#REF!</v>
      </c>
      <c r="H52" s="11" t="str">
        <f t="shared" si="64"/>
        <v/>
      </c>
      <c r="I52" s="11" t="e">
        <f t="shared" si="58"/>
        <v>#REF!</v>
      </c>
      <c r="J52" s="11" t="str">
        <f t="shared" si="65"/>
        <v/>
      </c>
      <c r="K52" s="11" t="e">
        <f t="shared" si="66"/>
        <v>#REF!</v>
      </c>
      <c r="L52" s="11" t="str">
        <f t="shared" si="67"/>
        <v/>
      </c>
      <c r="M52" s="11" t="e">
        <f t="shared" si="68"/>
        <v>#REF!</v>
      </c>
      <c r="N52" s="11" t="str">
        <f t="shared" si="69"/>
        <v/>
      </c>
      <c r="O52" s="11" t="e">
        <f t="shared" si="70"/>
        <v>#REF!</v>
      </c>
      <c r="P52" s="11" t="str">
        <f t="shared" si="71"/>
        <v/>
      </c>
      <c r="Q52" s="11" t="e">
        <f t="shared" si="72"/>
        <v>#REF!</v>
      </c>
      <c r="R52" s="11" t="str">
        <f t="shared" si="73"/>
        <v/>
      </c>
      <c r="S52" s="11" t="e">
        <f t="shared" si="74"/>
        <v>#REF!</v>
      </c>
      <c r="T52" s="11" t="str">
        <f t="shared" si="75"/>
        <v/>
      </c>
      <c r="U52" s="11" t="e">
        <f t="shared" si="76"/>
        <v>#REF!</v>
      </c>
      <c r="V52" s="11" t="str">
        <f t="shared" si="77"/>
        <v/>
      </c>
      <c r="W52" s="11" t="e">
        <f t="shared" si="78"/>
        <v>#REF!</v>
      </c>
      <c r="X52" s="11" t="str">
        <f t="shared" si="79"/>
        <v/>
      </c>
      <c r="Y52" s="11" t="e">
        <f t="shared" si="80"/>
        <v>#REF!</v>
      </c>
      <c r="Z52" s="11" t="str">
        <f t="shared" si="81"/>
        <v/>
      </c>
      <c r="AA52" s="11" t="e">
        <f t="shared" si="82"/>
        <v>#REF!</v>
      </c>
      <c r="AB52" s="11" t="str">
        <f t="shared" si="83"/>
        <v/>
      </c>
      <c r="AC52" s="11" t="e">
        <f t="shared" si="84"/>
        <v>#REF!</v>
      </c>
      <c r="AD52" s="11" t="str">
        <f t="shared" si="85"/>
        <v/>
      </c>
      <c r="AE52" s="11" t="e">
        <f t="shared" si="86"/>
        <v>#REF!</v>
      </c>
      <c r="AF52" s="11" t="str">
        <f t="shared" si="87"/>
        <v/>
      </c>
      <c r="AG52" s="11" t="e">
        <f t="shared" si="88"/>
        <v>#REF!</v>
      </c>
      <c r="AH52" s="11" t="str">
        <f t="shared" si="89"/>
        <v/>
      </c>
      <c r="AI52" s="11" t="e">
        <f t="shared" si="90"/>
        <v>#REF!</v>
      </c>
      <c r="AJ52" s="11" t="str">
        <f t="shared" si="91"/>
        <v/>
      </c>
      <c r="AK52" s="11" t="e">
        <f t="shared" si="92"/>
        <v>#REF!</v>
      </c>
      <c r="AL52" s="11" t="str">
        <f t="shared" si="93"/>
        <v/>
      </c>
      <c r="AM52" s="11" t="e">
        <f t="shared" si="94"/>
        <v>#REF!</v>
      </c>
      <c r="AN52" s="11" t="str">
        <f t="shared" si="95"/>
        <v/>
      </c>
      <c r="AO52" s="11" t="e">
        <f t="shared" si="96"/>
        <v>#REF!</v>
      </c>
      <c r="AP52" s="11" t="str">
        <f t="shared" si="97"/>
        <v/>
      </c>
      <c r="AQ52" s="11" t="e">
        <f t="shared" si="98"/>
        <v>#REF!</v>
      </c>
      <c r="AR52" s="11" t="str">
        <f t="shared" si="99"/>
        <v/>
      </c>
      <c r="AS52" s="11" t="e">
        <f t="shared" si="100"/>
        <v>#REF!</v>
      </c>
      <c r="AT52" s="11" t="str">
        <f t="shared" si="101"/>
        <v/>
      </c>
      <c r="AU52" s="11" t="e">
        <f t="shared" si="102"/>
        <v>#REF!</v>
      </c>
      <c r="AV52" s="11" t="str">
        <f t="shared" si="103"/>
        <v/>
      </c>
      <c r="AW52" s="11" t="e">
        <f t="shared" si="104"/>
        <v>#REF!</v>
      </c>
      <c r="AX52" s="11" t="str">
        <f t="shared" si="105"/>
        <v/>
      </c>
      <c r="AY52" s="11" t="e">
        <f t="shared" si="106"/>
        <v>#REF!</v>
      </c>
      <c r="AZ52" s="11" t="str">
        <f t="shared" si="107"/>
        <v/>
      </c>
      <c r="BA52" s="11" t="e">
        <f t="shared" si="108"/>
        <v>#REF!</v>
      </c>
      <c r="BB52" s="11" t="str">
        <f t="shared" si="109"/>
        <v/>
      </c>
      <c r="BC52" s="11" t="e">
        <f t="shared" si="110"/>
        <v>#REF!</v>
      </c>
      <c r="BD52" s="11" t="str">
        <f t="shared" si="111"/>
        <v/>
      </c>
      <c r="BE52" s="11" t="e">
        <f t="shared" si="112"/>
        <v>#REF!</v>
      </c>
      <c r="BF52" s="11" t="str">
        <f t="shared" si="113"/>
        <v/>
      </c>
      <c r="BG52" s="11" t="e">
        <f t="shared" si="114"/>
        <v>#REF!</v>
      </c>
      <c r="BH52" s="11" t="str">
        <f t="shared" si="115"/>
        <v/>
      </c>
      <c r="BI52" s="11" t="e">
        <f t="shared" si="116"/>
        <v>#REF!</v>
      </c>
      <c r="BJ52" s="11" t="str">
        <f t="shared" si="117"/>
        <v/>
      </c>
      <c r="BK52" s="11" t="e">
        <f t="shared" si="118"/>
        <v>#REF!</v>
      </c>
      <c r="BL52" s="11" t="str">
        <f t="shared" si="119"/>
        <v/>
      </c>
      <c r="BM52" s="22" t="e">
        <f t="shared" si="59"/>
        <v>#REF!</v>
      </c>
      <c r="BN52" s="113" t="e">
        <f t="shared" si="60"/>
        <v>#REF!</v>
      </c>
      <c r="BO52" s="41" t="e">
        <f t="shared" si="61"/>
        <v>#REF!</v>
      </c>
      <c r="BP52" s="15" t="str">
        <f t="shared" si="62"/>
        <v/>
      </c>
      <c r="BQ52" s="101" t="e">
        <f t="shared" si="63"/>
        <v>#REF!</v>
      </c>
      <c r="BR52" s="15" t="str">
        <f>IF('ריכוז נתונים כללים'!$W52='ריכוז נתונים כללים'!$AN$16,MIN(BP52,'ריכוז נתונים כללים'!$AB52),BP52)</f>
        <v/>
      </c>
      <c r="BS52" s="15" t="e">
        <f>IF($C52="","",IF('ריכוז נתונים כללים'!$W52='ריכוז נתונים כללים'!$AN$16,BR52,BR52+($C$3-BR$77)*(BR52/(BR$77-SUMIF('ריכוז נתונים כללים'!$W$17:$W$76,'ריכוז נתונים כללים'!$AN$16,BR$17:BR$76)))))</f>
        <v>#REF!</v>
      </c>
    </row>
    <row r="53" spans="2:71" x14ac:dyDescent="0.25">
      <c r="B53" s="7">
        <f>'ריכוז נתונים'!C53</f>
        <v>37</v>
      </c>
      <c r="C53" s="7" t="e">
        <f>#REF!</f>
        <v>#REF!</v>
      </c>
      <c r="D53" s="22" t="e">
        <f>IF(C53="","",#REF!)</f>
        <v>#REF!</v>
      </c>
      <c r="E53" s="22" t="e">
        <f>IF(C53="","",#REF!)</f>
        <v>#REF!</v>
      </c>
      <c r="F53" s="22" t="str">
        <f t="shared" si="1"/>
        <v/>
      </c>
      <c r="G53" s="11" t="e">
        <f t="shared" si="58"/>
        <v>#REF!</v>
      </c>
      <c r="H53" s="11" t="str">
        <f t="shared" si="64"/>
        <v/>
      </c>
      <c r="I53" s="11" t="e">
        <f t="shared" si="58"/>
        <v>#REF!</v>
      </c>
      <c r="J53" s="11" t="str">
        <f t="shared" si="65"/>
        <v/>
      </c>
      <c r="K53" s="11" t="e">
        <f t="shared" si="66"/>
        <v>#REF!</v>
      </c>
      <c r="L53" s="11" t="str">
        <f t="shared" si="67"/>
        <v/>
      </c>
      <c r="M53" s="11" t="e">
        <f t="shared" si="68"/>
        <v>#REF!</v>
      </c>
      <c r="N53" s="11" t="str">
        <f t="shared" si="69"/>
        <v/>
      </c>
      <c r="O53" s="11" t="e">
        <f t="shared" si="70"/>
        <v>#REF!</v>
      </c>
      <c r="P53" s="11" t="str">
        <f t="shared" si="71"/>
        <v/>
      </c>
      <c r="Q53" s="11" t="e">
        <f t="shared" si="72"/>
        <v>#REF!</v>
      </c>
      <c r="R53" s="11" t="str">
        <f t="shared" si="73"/>
        <v/>
      </c>
      <c r="S53" s="11" t="e">
        <f t="shared" si="74"/>
        <v>#REF!</v>
      </c>
      <c r="T53" s="11" t="str">
        <f t="shared" si="75"/>
        <v/>
      </c>
      <c r="U53" s="11" t="e">
        <f t="shared" si="76"/>
        <v>#REF!</v>
      </c>
      <c r="V53" s="11" t="str">
        <f t="shared" si="77"/>
        <v/>
      </c>
      <c r="W53" s="11" t="e">
        <f t="shared" si="78"/>
        <v>#REF!</v>
      </c>
      <c r="X53" s="11" t="str">
        <f t="shared" si="79"/>
        <v/>
      </c>
      <c r="Y53" s="11" t="e">
        <f t="shared" si="80"/>
        <v>#REF!</v>
      </c>
      <c r="Z53" s="11" t="str">
        <f t="shared" si="81"/>
        <v/>
      </c>
      <c r="AA53" s="11" t="e">
        <f t="shared" si="82"/>
        <v>#REF!</v>
      </c>
      <c r="AB53" s="11" t="str">
        <f t="shared" si="83"/>
        <v/>
      </c>
      <c r="AC53" s="11" t="e">
        <f t="shared" si="84"/>
        <v>#REF!</v>
      </c>
      <c r="AD53" s="11" t="str">
        <f t="shared" si="85"/>
        <v/>
      </c>
      <c r="AE53" s="11" t="e">
        <f t="shared" si="86"/>
        <v>#REF!</v>
      </c>
      <c r="AF53" s="11" t="str">
        <f t="shared" si="87"/>
        <v/>
      </c>
      <c r="AG53" s="11" t="e">
        <f t="shared" si="88"/>
        <v>#REF!</v>
      </c>
      <c r="AH53" s="11" t="str">
        <f t="shared" si="89"/>
        <v/>
      </c>
      <c r="AI53" s="11" t="e">
        <f t="shared" si="90"/>
        <v>#REF!</v>
      </c>
      <c r="AJ53" s="11" t="str">
        <f t="shared" si="91"/>
        <v/>
      </c>
      <c r="AK53" s="11" t="e">
        <f t="shared" si="92"/>
        <v>#REF!</v>
      </c>
      <c r="AL53" s="11" t="str">
        <f t="shared" si="93"/>
        <v/>
      </c>
      <c r="AM53" s="11" t="e">
        <f t="shared" si="94"/>
        <v>#REF!</v>
      </c>
      <c r="AN53" s="11" t="str">
        <f t="shared" si="95"/>
        <v/>
      </c>
      <c r="AO53" s="11" t="e">
        <f t="shared" si="96"/>
        <v>#REF!</v>
      </c>
      <c r="AP53" s="11" t="str">
        <f t="shared" si="97"/>
        <v/>
      </c>
      <c r="AQ53" s="11" t="e">
        <f t="shared" si="98"/>
        <v>#REF!</v>
      </c>
      <c r="AR53" s="11" t="str">
        <f t="shared" si="99"/>
        <v/>
      </c>
      <c r="AS53" s="11" t="e">
        <f t="shared" si="100"/>
        <v>#REF!</v>
      </c>
      <c r="AT53" s="11" t="str">
        <f t="shared" si="101"/>
        <v/>
      </c>
      <c r="AU53" s="11" t="e">
        <f t="shared" si="102"/>
        <v>#REF!</v>
      </c>
      <c r="AV53" s="11" t="str">
        <f t="shared" si="103"/>
        <v/>
      </c>
      <c r="AW53" s="11" t="e">
        <f t="shared" si="104"/>
        <v>#REF!</v>
      </c>
      <c r="AX53" s="11" t="str">
        <f t="shared" si="105"/>
        <v/>
      </c>
      <c r="AY53" s="11" t="e">
        <f t="shared" si="106"/>
        <v>#REF!</v>
      </c>
      <c r="AZ53" s="11" t="str">
        <f t="shared" si="107"/>
        <v/>
      </c>
      <c r="BA53" s="11" t="e">
        <f t="shared" si="108"/>
        <v>#REF!</v>
      </c>
      <c r="BB53" s="11" t="str">
        <f t="shared" si="109"/>
        <v/>
      </c>
      <c r="BC53" s="11" t="e">
        <f t="shared" si="110"/>
        <v>#REF!</v>
      </c>
      <c r="BD53" s="11" t="str">
        <f t="shared" si="111"/>
        <v/>
      </c>
      <c r="BE53" s="11" t="e">
        <f t="shared" si="112"/>
        <v>#REF!</v>
      </c>
      <c r="BF53" s="11" t="str">
        <f t="shared" si="113"/>
        <v/>
      </c>
      <c r="BG53" s="11" t="e">
        <f t="shared" si="114"/>
        <v>#REF!</v>
      </c>
      <c r="BH53" s="11" t="str">
        <f t="shared" si="115"/>
        <v/>
      </c>
      <c r="BI53" s="11" t="e">
        <f t="shared" si="116"/>
        <v>#REF!</v>
      </c>
      <c r="BJ53" s="11" t="str">
        <f t="shared" si="117"/>
        <v/>
      </c>
      <c r="BK53" s="11" t="e">
        <f t="shared" si="118"/>
        <v>#REF!</v>
      </c>
      <c r="BL53" s="11" t="str">
        <f t="shared" si="119"/>
        <v/>
      </c>
      <c r="BM53" s="22" t="e">
        <f t="shared" si="59"/>
        <v>#REF!</v>
      </c>
      <c r="BN53" s="113" t="e">
        <f t="shared" si="60"/>
        <v>#REF!</v>
      </c>
      <c r="BO53" s="41" t="e">
        <f t="shared" si="61"/>
        <v>#REF!</v>
      </c>
      <c r="BP53" s="15" t="str">
        <f t="shared" si="62"/>
        <v/>
      </c>
      <c r="BQ53" s="101" t="e">
        <f t="shared" si="63"/>
        <v>#REF!</v>
      </c>
      <c r="BR53" s="15" t="str">
        <f>IF('ריכוז נתונים כללים'!$W53='ריכוז נתונים כללים'!$AN$16,MIN(BP53,'ריכוז נתונים כללים'!$AB53),BP53)</f>
        <v/>
      </c>
      <c r="BS53" s="15" t="e">
        <f>IF($C53="","",IF('ריכוז נתונים כללים'!$W53='ריכוז נתונים כללים'!$AN$16,BR53,BR53+($C$3-BR$77)*(BR53/(BR$77-SUMIF('ריכוז נתונים כללים'!$W$17:$W$76,'ריכוז נתונים כללים'!$AN$16,BR$17:BR$76)))))</f>
        <v>#REF!</v>
      </c>
    </row>
    <row r="54" spans="2:71" x14ac:dyDescent="0.25">
      <c r="B54" s="7">
        <f>'ריכוז נתונים'!C54</f>
        <v>38</v>
      </c>
      <c r="C54" s="7" t="e">
        <f>#REF!</f>
        <v>#REF!</v>
      </c>
      <c r="D54" s="22" t="e">
        <f>IF(C54="","",#REF!)</f>
        <v>#REF!</v>
      </c>
      <c r="E54" s="22" t="e">
        <f>IF(C54="","",#REF!)</f>
        <v>#REF!</v>
      </c>
      <c r="F54" s="22" t="str">
        <f t="shared" si="1"/>
        <v/>
      </c>
      <c r="G54" s="11" t="e">
        <f t="shared" si="58"/>
        <v>#REF!</v>
      </c>
      <c r="H54" s="11" t="str">
        <f t="shared" si="64"/>
        <v/>
      </c>
      <c r="I54" s="11" t="e">
        <f t="shared" si="58"/>
        <v>#REF!</v>
      </c>
      <c r="J54" s="11" t="str">
        <f t="shared" si="65"/>
        <v/>
      </c>
      <c r="K54" s="11" t="e">
        <f t="shared" si="66"/>
        <v>#REF!</v>
      </c>
      <c r="L54" s="11" t="str">
        <f t="shared" si="67"/>
        <v/>
      </c>
      <c r="M54" s="11" t="e">
        <f t="shared" si="68"/>
        <v>#REF!</v>
      </c>
      <c r="N54" s="11" t="str">
        <f t="shared" si="69"/>
        <v/>
      </c>
      <c r="O54" s="11" t="e">
        <f t="shared" si="70"/>
        <v>#REF!</v>
      </c>
      <c r="P54" s="11" t="str">
        <f t="shared" si="71"/>
        <v/>
      </c>
      <c r="Q54" s="11" t="e">
        <f t="shared" si="72"/>
        <v>#REF!</v>
      </c>
      <c r="R54" s="11" t="str">
        <f t="shared" si="73"/>
        <v/>
      </c>
      <c r="S54" s="11" t="e">
        <f t="shared" si="74"/>
        <v>#REF!</v>
      </c>
      <c r="T54" s="11" t="str">
        <f t="shared" si="75"/>
        <v/>
      </c>
      <c r="U54" s="11" t="e">
        <f t="shared" si="76"/>
        <v>#REF!</v>
      </c>
      <c r="V54" s="11" t="str">
        <f t="shared" si="77"/>
        <v/>
      </c>
      <c r="W54" s="11" t="e">
        <f t="shared" si="78"/>
        <v>#REF!</v>
      </c>
      <c r="X54" s="11" t="str">
        <f t="shared" si="79"/>
        <v/>
      </c>
      <c r="Y54" s="11" t="e">
        <f t="shared" si="80"/>
        <v>#REF!</v>
      </c>
      <c r="Z54" s="11" t="str">
        <f t="shared" si="81"/>
        <v/>
      </c>
      <c r="AA54" s="11" t="e">
        <f t="shared" si="82"/>
        <v>#REF!</v>
      </c>
      <c r="AB54" s="11" t="str">
        <f t="shared" si="83"/>
        <v/>
      </c>
      <c r="AC54" s="11" t="e">
        <f t="shared" si="84"/>
        <v>#REF!</v>
      </c>
      <c r="AD54" s="11" t="str">
        <f t="shared" si="85"/>
        <v/>
      </c>
      <c r="AE54" s="11" t="e">
        <f t="shared" si="86"/>
        <v>#REF!</v>
      </c>
      <c r="AF54" s="11" t="str">
        <f t="shared" si="87"/>
        <v/>
      </c>
      <c r="AG54" s="11" t="e">
        <f t="shared" si="88"/>
        <v>#REF!</v>
      </c>
      <c r="AH54" s="11" t="str">
        <f t="shared" si="89"/>
        <v/>
      </c>
      <c r="AI54" s="11" t="e">
        <f t="shared" si="90"/>
        <v>#REF!</v>
      </c>
      <c r="AJ54" s="11" t="str">
        <f t="shared" si="91"/>
        <v/>
      </c>
      <c r="AK54" s="11" t="e">
        <f t="shared" si="92"/>
        <v>#REF!</v>
      </c>
      <c r="AL54" s="11" t="str">
        <f t="shared" si="93"/>
        <v/>
      </c>
      <c r="AM54" s="11" t="e">
        <f t="shared" si="94"/>
        <v>#REF!</v>
      </c>
      <c r="AN54" s="11" t="str">
        <f t="shared" si="95"/>
        <v/>
      </c>
      <c r="AO54" s="11" t="e">
        <f t="shared" si="96"/>
        <v>#REF!</v>
      </c>
      <c r="AP54" s="11" t="str">
        <f t="shared" si="97"/>
        <v/>
      </c>
      <c r="AQ54" s="11" t="e">
        <f t="shared" si="98"/>
        <v>#REF!</v>
      </c>
      <c r="AR54" s="11" t="str">
        <f t="shared" si="99"/>
        <v/>
      </c>
      <c r="AS54" s="11" t="e">
        <f t="shared" si="100"/>
        <v>#REF!</v>
      </c>
      <c r="AT54" s="11" t="str">
        <f t="shared" si="101"/>
        <v/>
      </c>
      <c r="AU54" s="11" t="e">
        <f t="shared" si="102"/>
        <v>#REF!</v>
      </c>
      <c r="AV54" s="11" t="str">
        <f t="shared" si="103"/>
        <v/>
      </c>
      <c r="AW54" s="11" t="e">
        <f t="shared" si="104"/>
        <v>#REF!</v>
      </c>
      <c r="AX54" s="11" t="str">
        <f t="shared" si="105"/>
        <v/>
      </c>
      <c r="AY54" s="11" t="e">
        <f t="shared" si="106"/>
        <v>#REF!</v>
      </c>
      <c r="AZ54" s="11" t="str">
        <f t="shared" si="107"/>
        <v/>
      </c>
      <c r="BA54" s="11" t="e">
        <f t="shared" si="108"/>
        <v>#REF!</v>
      </c>
      <c r="BB54" s="11" t="str">
        <f t="shared" si="109"/>
        <v/>
      </c>
      <c r="BC54" s="11" t="e">
        <f t="shared" si="110"/>
        <v>#REF!</v>
      </c>
      <c r="BD54" s="11" t="str">
        <f t="shared" si="111"/>
        <v/>
      </c>
      <c r="BE54" s="11" t="e">
        <f t="shared" si="112"/>
        <v>#REF!</v>
      </c>
      <c r="BF54" s="11" t="str">
        <f t="shared" si="113"/>
        <v/>
      </c>
      <c r="BG54" s="11" t="e">
        <f t="shared" si="114"/>
        <v>#REF!</v>
      </c>
      <c r="BH54" s="11" t="str">
        <f t="shared" si="115"/>
        <v/>
      </c>
      <c r="BI54" s="11" t="e">
        <f t="shared" si="116"/>
        <v>#REF!</v>
      </c>
      <c r="BJ54" s="11" t="str">
        <f t="shared" si="117"/>
        <v/>
      </c>
      <c r="BK54" s="11" t="e">
        <f t="shared" si="118"/>
        <v>#REF!</v>
      </c>
      <c r="BL54" s="11" t="str">
        <f t="shared" si="119"/>
        <v/>
      </c>
      <c r="BM54" s="22" t="e">
        <f t="shared" si="59"/>
        <v>#REF!</v>
      </c>
      <c r="BN54" s="113" t="e">
        <f t="shared" si="60"/>
        <v>#REF!</v>
      </c>
      <c r="BO54" s="41" t="e">
        <f t="shared" si="61"/>
        <v>#REF!</v>
      </c>
      <c r="BP54" s="15" t="str">
        <f t="shared" si="62"/>
        <v/>
      </c>
      <c r="BQ54" s="101" t="e">
        <f t="shared" si="63"/>
        <v>#REF!</v>
      </c>
      <c r="BR54" s="15" t="str">
        <f>IF('ריכוז נתונים כללים'!$W54='ריכוז נתונים כללים'!$AN$16,MIN(BP54,'ריכוז נתונים כללים'!$AB54),BP54)</f>
        <v/>
      </c>
      <c r="BS54" s="15" t="e">
        <f>IF($C54="","",IF('ריכוז נתונים כללים'!$W54='ריכוז נתונים כללים'!$AN$16,BR54,BR54+($C$3-BR$77)*(BR54/(BR$77-SUMIF('ריכוז נתונים כללים'!$W$17:$W$76,'ריכוז נתונים כללים'!$AN$16,BR$17:BR$76)))))</f>
        <v>#REF!</v>
      </c>
    </row>
    <row r="55" spans="2:71" x14ac:dyDescent="0.25">
      <c r="B55" s="7">
        <f>'ריכוז נתונים'!C55</f>
        <v>39</v>
      </c>
      <c r="C55" s="7" t="e">
        <f>#REF!</f>
        <v>#REF!</v>
      </c>
      <c r="D55" s="22" t="e">
        <f>IF(C55="","",#REF!)</f>
        <v>#REF!</v>
      </c>
      <c r="E55" s="22" t="e">
        <f>IF(C55="","",#REF!)</f>
        <v>#REF!</v>
      </c>
      <c r="F55" s="22" t="str">
        <f t="shared" si="1"/>
        <v/>
      </c>
      <c r="G55" s="11" t="e">
        <f t="shared" si="58"/>
        <v>#REF!</v>
      </c>
      <c r="H55" s="11" t="str">
        <f t="shared" si="64"/>
        <v/>
      </c>
      <c r="I55" s="11" t="e">
        <f t="shared" si="58"/>
        <v>#REF!</v>
      </c>
      <c r="J55" s="11" t="str">
        <f t="shared" si="65"/>
        <v/>
      </c>
      <c r="K55" s="11" t="e">
        <f t="shared" si="66"/>
        <v>#REF!</v>
      </c>
      <c r="L55" s="11" t="str">
        <f t="shared" si="67"/>
        <v/>
      </c>
      <c r="M55" s="11" t="e">
        <f t="shared" si="68"/>
        <v>#REF!</v>
      </c>
      <c r="N55" s="11" t="str">
        <f t="shared" si="69"/>
        <v/>
      </c>
      <c r="O55" s="11" t="e">
        <f t="shared" si="70"/>
        <v>#REF!</v>
      </c>
      <c r="P55" s="11" t="str">
        <f t="shared" si="71"/>
        <v/>
      </c>
      <c r="Q55" s="11" t="e">
        <f t="shared" si="72"/>
        <v>#REF!</v>
      </c>
      <c r="R55" s="11" t="str">
        <f t="shared" si="73"/>
        <v/>
      </c>
      <c r="S55" s="11" t="e">
        <f t="shared" si="74"/>
        <v>#REF!</v>
      </c>
      <c r="T55" s="11" t="str">
        <f t="shared" si="75"/>
        <v/>
      </c>
      <c r="U55" s="11" t="e">
        <f t="shared" si="76"/>
        <v>#REF!</v>
      </c>
      <c r="V55" s="11" t="str">
        <f t="shared" si="77"/>
        <v/>
      </c>
      <c r="W55" s="11" t="e">
        <f t="shared" si="78"/>
        <v>#REF!</v>
      </c>
      <c r="X55" s="11" t="str">
        <f t="shared" si="79"/>
        <v/>
      </c>
      <c r="Y55" s="11" t="e">
        <f t="shared" si="80"/>
        <v>#REF!</v>
      </c>
      <c r="Z55" s="11" t="str">
        <f t="shared" si="81"/>
        <v/>
      </c>
      <c r="AA55" s="11" t="e">
        <f t="shared" si="82"/>
        <v>#REF!</v>
      </c>
      <c r="AB55" s="11" t="str">
        <f t="shared" si="83"/>
        <v/>
      </c>
      <c r="AC55" s="11" t="e">
        <f t="shared" si="84"/>
        <v>#REF!</v>
      </c>
      <c r="AD55" s="11" t="str">
        <f t="shared" si="85"/>
        <v/>
      </c>
      <c r="AE55" s="11" t="e">
        <f t="shared" si="86"/>
        <v>#REF!</v>
      </c>
      <c r="AF55" s="11" t="str">
        <f t="shared" si="87"/>
        <v/>
      </c>
      <c r="AG55" s="11" t="e">
        <f t="shared" si="88"/>
        <v>#REF!</v>
      </c>
      <c r="AH55" s="11" t="str">
        <f t="shared" si="89"/>
        <v/>
      </c>
      <c r="AI55" s="11" t="e">
        <f t="shared" si="90"/>
        <v>#REF!</v>
      </c>
      <c r="AJ55" s="11" t="str">
        <f t="shared" si="91"/>
        <v/>
      </c>
      <c r="AK55" s="11" t="e">
        <f t="shared" si="92"/>
        <v>#REF!</v>
      </c>
      <c r="AL55" s="11" t="str">
        <f t="shared" si="93"/>
        <v/>
      </c>
      <c r="AM55" s="11" t="e">
        <f t="shared" si="94"/>
        <v>#REF!</v>
      </c>
      <c r="AN55" s="11" t="str">
        <f t="shared" si="95"/>
        <v/>
      </c>
      <c r="AO55" s="11" t="e">
        <f t="shared" si="96"/>
        <v>#REF!</v>
      </c>
      <c r="AP55" s="11" t="str">
        <f t="shared" si="97"/>
        <v/>
      </c>
      <c r="AQ55" s="11" t="e">
        <f t="shared" si="98"/>
        <v>#REF!</v>
      </c>
      <c r="AR55" s="11" t="str">
        <f t="shared" si="99"/>
        <v/>
      </c>
      <c r="AS55" s="11" t="e">
        <f t="shared" si="100"/>
        <v>#REF!</v>
      </c>
      <c r="AT55" s="11" t="str">
        <f t="shared" si="101"/>
        <v/>
      </c>
      <c r="AU55" s="11" t="e">
        <f t="shared" si="102"/>
        <v>#REF!</v>
      </c>
      <c r="AV55" s="11" t="str">
        <f t="shared" si="103"/>
        <v/>
      </c>
      <c r="AW55" s="11" t="e">
        <f t="shared" si="104"/>
        <v>#REF!</v>
      </c>
      <c r="AX55" s="11" t="str">
        <f t="shared" si="105"/>
        <v/>
      </c>
      <c r="AY55" s="11" t="e">
        <f t="shared" si="106"/>
        <v>#REF!</v>
      </c>
      <c r="AZ55" s="11" t="str">
        <f t="shared" si="107"/>
        <v/>
      </c>
      <c r="BA55" s="11" t="e">
        <f t="shared" si="108"/>
        <v>#REF!</v>
      </c>
      <c r="BB55" s="11" t="str">
        <f t="shared" si="109"/>
        <v/>
      </c>
      <c r="BC55" s="11" t="e">
        <f t="shared" si="110"/>
        <v>#REF!</v>
      </c>
      <c r="BD55" s="11" t="str">
        <f t="shared" si="111"/>
        <v/>
      </c>
      <c r="BE55" s="11" t="e">
        <f t="shared" si="112"/>
        <v>#REF!</v>
      </c>
      <c r="BF55" s="11" t="str">
        <f t="shared" si="113"/>
        <v/>
      </c>
      <c r="BG55" s="11" t="e">
        <f t="shared" si="114"/>
        <v>#REF!</v>
      </c>
      <c r="BH55" s="11" t="str">
        <f t="shared" si="115"/>
        <v/>
      </c>
      <c r="BI55" s="11" t="e">
        <f t="shared" si="116"/>
        <v>#REF!</v>
      </c>
      <c r="BJ55" s="11" t="str">
        <f t="shared" si="117"/>
        <v/>
      </c>
      <c r="BK55" s="11" t="e">
        <f t="shared" si="118"/>
        <v>#REF!</v>
      </c>
      <c r="BL55" s="11" t="str">
        <f t="shared" si="119"/>
        <v/>
      </c>
      <c r="BM55" s="22" t="e">
        <f t="shared" si="59"/>
        <v>#REF!</v>
      </c>
      <c r="BN55" s="113" t="e">
        <f t="shared" si="60"/>
        <v>#REF!</v>
      </c>
      <c r="BO55" s="41" t="e">
        <f t="shared" si="61"/>
        <v>#REF!</v>
      </c>
      <c r="BP55" s="15" t="str">
        <f t="shared" si="62"/>
        <v/>
      </c>
      <c r="BQ55" s="101" t="e">
        <f t="shared" si="63"/>
        <v>#REF!</v>
      </c>
      <c r="BR55" s="15" t="str">
        <f>IF('ריכוז נתונים כללים'!$W55='ריכוז נתונים כללים'!$AN$16,MIN(BP55,'ריכוז נתונים כללים'!$AB55),BP55)</f>
        <v/>
      </c>
      <c r="BS55" s="15" t="e">
        <f>IF($C55="","",IF('ריכוז נתונים כללים'!$W55='ריכוז נתונים כללים'!$AN$16,BR55,BR55+($C$3-BR$77)*(BR55/(BR$77-SUMIF('ריכוז נתונים כללים'!$W$17:$W$76,'ריכוז נתונים כללים'!$AN$16,BR$17:BR$76)))))</f>
        <v>#REF!</v>
      </c>
    </row>
    <row r="56" spans="2:71" x14ac:dyDescent="0.25">
      <c r="B56" s="7">
        <f>'ריכוז נתונים'!C56</f>
        <v>40</v>
      </c>
      <c r="C56" s="7" t="e">
        <f>#REF!</f>
        <v>#REF!</v>
      </c>
      <c r="D56" s="22" t="e">
        <f>IF(C56="","",#REF!)</f>
        <v>#REF!</v>
      </c>
      <c r="E56" s="22" t="e">
        <f>IF(C56="","",#REF!)</f>
        <v>#REF!</v>
      </c>
      <c r="F56" s="22" t="str">
        <f t="shared" si="1"/>
        <v/>
      </c>
      <c r="G56" s="11" t="e">
        <f t="shared" si="58"/>
        <v>#REF!</v>
      </c>
      <c r="H56" s="11" t="str">
        <f t="shared" si="64"/>
        <v/>
      </c>
      <c r="I56" s="11" t="e">
        <f t="shared" si="58"/>
        <v>#REF!</v>
      </c>
      <c r="J56" s="11" t="str">
        <f t="shared" si="65"/>
        <v/>
      </c>
      <c r="K56" s="11" t="e">
        <f t="shared" si="66"/>
        <v>#REF!</v>
      </c>
      <c r="L56" s="11" t="str">
        <f t="shared" si="67"/>
        <v/>
      </c>
      <c r="M56" s="11" t="e">
        <f t="shared" si="68"/>
        <v>#REF!</v>
      </c>
      <c r="N56" s="11" t="str">
        <f t="shared" si="69"/>
        <v/>
      </c>
      <c r="O56" s="11" t="e">
        <f t="shared" si="70"/>
        <v>#REF!</v>
      </c>
      <c r="P56" s="11" t="str">
        <f t="shared" si="71"/>
        <v/>
      </c>
      <c r="Q56" s="11" t="e">
        <f t="shared" si="72"/>
        <v>#REF!</v>
      </c>
      <c r="R56" s="11" t="str">
        <f t="shared" si="73"/>
        <v/>
      </c>
      <c r="S56" s="11" t="e">
        <f t="shared" si="74"/>
        <v>#REF!</v>
      </c>
      <c r="T56" s="11" t="str">
        <f t="shared" si="75"/>
        <v/>
      </c>
      <c r="U56" s="11" t="e">
        <f t="shared" si="76"/>
        <v>#REF!</v>
      </c>
      <c r="V56" s="11" t="str">
        <f t="shared" si="77"/>
        <v/>
      </c>
      <c r="W56" s="11" t="e">
        <f t="shared" si="78"/>
        <v>#REF!</v>
      </c>
      <c r="X56" s="11" t="str">
        <f t="shared" si="79"/>
        <v/>
      </c>
      <c r="Y56" s="11" t="e">
        <f t="shared" si="80"/>
        <v>#REF!</v>
      </c>
      <c r="Z56" s="11" t="str">
        <f t="shared" si="81"/>
        <v/>
      </c>
      <c r="AA56" s="11" t="e">
        <f t="shared" si="82"/>
        <v>#REF!</v>
      </c>
      <c r="AB56" s="11" t="str">
        <f t="shared" si="83"/>
        <v/>
      </c>
      <c r="AC56" s="11" t="e">
        <f t="shared" si="84"/>
        <v>#REF!</v>
      </c>
      <c r="AD56" s="11" t="str">
        <f t="shared" si="85"/>
        <v/>
      </c>
      <c r="AE56" s="11" t="e">
        <f t="shared" si="86"/>
        <v>#REF!</v>
      </c>
      <c r="AF56" s="11" t="str">
        <f t="shared" si="87"/>
        <v/>
      </c>
      <c r="AG56" s="11" t="e">
        <f t="shared" si="88"/>
        <v>#REF!</v>
      </c>
      <c r="AH56" s="11" t="str">
        <f t="shared" si="89"/>
        <v/>
      </c>
      <c r="AI56" s="11" t="e">
        <f t="shared" si="90"/>
        <v>#REF!</v>
      </c>
      <c r="AJ56" s="11" t="str">
        <f t="shared" si="91"/>
        <v/>
      </c>
      <c r="AK56" s="11" t="e">
        <f t="shared" si="92"/>
        <v>#REF!</v>
      </c>
      <c r="AL56" s="11" t="str">
        <f t="shared" si="93"/>
        <v/>
      </c>
      <c r="AM56" s="11" t="e">
        <f t="shared" si="94"/>
        <v>#REF!</v>
      </c>
      <c r="AN56" s="11" t="str">
        <f t="shared" si="95"/>
        <v/>
      </c>
      <c r="AO56" s="11" t="e">
        <f t="shared" si="96"/>
        <v>#REF!</v>
      </c>
      <c r="AP56" s="11" t="str">
        <f t="shared" si="97"/>
        <v/>
      </c>
      <c r="AQ56" s="11" t="e">
        <f t="shared" si="98"/>
        <v>#REF!</v>
      </c>
      <c r="AR56" s="11" t="str">
        <f t="shared" si="99"/>
        <v/>
      </c>
      <c r="AS56" s="11" t="e">
        <f t="shared" si="100"/>
        <v>#REF!</v>
      </c>
      <c r="AT56" s="11" t="str">
        <f t="shared" si="101"/>
        <v/>
      </c>
      <c r="AU56" s="11" t="e">
        <f t="shared" si="102"/>
        <v>#REF!</v>
      </c>
      <c r="AV56" s="11" t="str">
        <f t="shared" si="103"/>
        <v/>
      </c>
      <c r="AW56" s="11" t="e">
        <f t="shared" si="104"/>
        <v>#REF!</v>
      </c>
      <c r="AX56" s="11" t="str">
        <f t="shared" si="105"/>
        <v/>
      </c>
      <c r="AY56" s="11" t="e">
        <f t="shared" si="106"/>
        <v>#REF!</v>
      </c>
      <c r="AZ56" s="11" t="str">
        <f t="shared" si="107"/>
        <v/>
      </c>
      <c r="BA56" s="11" t="e">
        <f t="shared" si="108"/>
        <v>#REF!</v>
      </c>
      <c r="BB56" s="11" t="str">
        <f t="shared" si="109"/>
        <v/>
      </c>
      <c r="BC56" s="11" t="e">
        <f t="shared" si="110"/>
        <v>#REF!</v>
      </c>
      <c r="BD56" s="11" t="str">
        <f t="shared" si="111"/>
        <v/>
      </c>
      <c r="BE56" s="11" t="e">
        <f t="shared" si="112"/>
        <v>#REF!</v>
      </c>
      <c r="BF56" s="11" t="str">
        <f t="shared" si="113"/>
        <v/>
      </c>
      <c r="BG56" s="11" t="e">
        <f t="shared" si="114"/>
        <v>#REF!</v>
      </c>
      <c r="BH56" s="11" t="str">
        <f t="shared" si="115"/>
        <v/>
      </c>
      <c r="BI56" s="11" t="e">
        <f t="shared" si="116"/>
        <v>#REF!</v>
      </c>
      <c r="BJ56" s="11" t="str">
        <f t="shared" si="117"/>
        <v/>
      </c>
      <c r="BK56" s="11" t="e">
        <f t="shared" si="118"/>
        <v>#REF!</v>
      </c>
      <c r="BL56" s="11" t="str">
        <f t="shared" si="119"/>
        <v/>
      </c>
      <c r="BM56" s="22" t="e">
        <f t="shared" si="59"/>
        <v>#REF!</v>
      </c>
      <c r="BN56" s="113" t="e">
        <f t="shared" si="60"/>
        <v>#REF!</v>
      </c>
      <c r="BO56" s="41" t="e">
        <f t="shared" si="61"/>
        <v>#REF!</v>
      </c>
      <c r="BP56" s="15" t="str">
        <f t="shared" si="62"/>
        <v/>
      </c>
      <c r="BQ56" s="101" t="e">
        <f t="shared" si="63"/>
        <v>#REF!</v>
      </c>
      <c r="BR56" s="15" t="str">
        <f>IF('ריכוז נתונים כללים'!$W56='ריכוז נתונים כללים'!$AN$16,MIN(BP56,'ריכוז נתונים כללים'!$AB56),BP56)</f>
        <v/>
      </c>
      <c r="BS56" s="15" t="e">
        <f>IF($C56="","",IF('ריכוז נתונים כללים'!$W56='ריכוז נתונים כללים'!$AN$16,BR56,BR56+($C$3-BR$77)*(BR56/(BR$77-SUMIF('ריכוז נתונים כללים'!$W$17:$W$76,'ריכוז נתונים כללים'!$AN$16,BR$17:BR$76)))))</f>
        <v>#REF!</v>
      </c>
    </row>
    <row r="57" spans="2:71" x14ac:dyDescent="0.25">
      <c r="B57" s="7">
        <f>'ריכוז נתונים'!C57</f>
        <v>41</v>
      </c>
      <c r="C57" s="7" t="e">
        <f>#REF!</f>
        <v>#REF!</v>
      </c>
      <c r="D57" s="22" t="e">
        <f>IF(C57="","",#REF!)</f>
        <v>#REF!</v>
      </c>
      <c r="E57" s="22" t="e">
        <f>IF(C57="","",#REF!)</f>
        <v>#REF!</v>
      </c>
      <c r="F57" s="22" t="str">
        <f t="shared" si="1"/>
        <v/>
      </c>
      <c r="G57" s="11" t="e">
        <f t="shared" si="58"/>
        <v>#REF!</v>
      </c>
      <c r="H57" s="11" t="str">
        <f t="shared" si="64"/>
        <v/>
      </c>
      <c r="I57" s="11" t="e">
        <f t="shared" si="58"/>
        <v>#REF!</v>
      </c>
      <c r="J57" s="11" t="str">
        <f t="shared" si="65"/>
        <v/>
      </c>
      <c r="K57" s="11" t="e">
        <f t="shared" si="66"/>
        <v>#REF!</v>
      </c>
      <c r="L57" s="11" t="str">
        <f t="shared" si="67"/>
        <v/>
      </c>
      <c r="M57" s="11" t="e">
        <f t="shared" si="68"/>
        <v>#REF!</v>
      </c>
      <c r="N57" s="11" t="str">
        <f t="shared" si="69"/>
        <v/>
      </c>
      <c r="O57" s="11" t="e">
        <f t="shared" si="70"/>
        <v>#REF!</v>
      </c>
      <c r="P57" s="11" t="str">
        <f t="shared" si="71"/>
        <v/>
      </c>
      <c r="Q57" s="11" t="e">
        <f t="shared" si="72"/>
        <v>#REF!</v>
      </c>
      <c r="R57" s="11" t="str">
        <f t="shared" si="73"/>
        <v/>
      </c>
      <c r="S57" s="11" t="e">
        <f t="shared" si="74"/>
        <v>#REF!</v>
      </c>
      <c r="T57" s="11" t="str">
        <f t="shared" si="75"/>
        <v/>
      </c>
      <c r="U57" s="11" t="e">
        <f t="shared" si="76"/>
        <v>#REF!</v>
      </c>
      <c r="V57" s="11" t="str">
        <f t="shared" si="77"/>
        <v/>
      </c>
      <c r="W57" s="11" t="e">
        <f t="shared" si="78"/>
        <v>#REF!</v>
      </c>
      <c r="X57" s="11" t="str">
        <f t="shared" si="79"/>
        <v/>
      </c>
      <c r="Y57" s="11" t="e">
        <f t="shared" si="80"/>
        <v>#REF!</v>
      </c>
      <c r="Z57" s="11" t="str">
        <f t="shared" si="81"/>
        <v/>
      </c>
      <c r="AA57" s="11" t="e">
        <f t="shared" si="82"/>
        <v>#REF!</v>
      </c>
      <c r="AB57" s="11" t="str">
        <f t="shared" si="83"/>
        <v/>
      </c>
      <c r="AC57" s="11" t="e">
        <f t="shared" si="84"/>
        <v>#REF!</v>
      </c>
      <c r="AD57" s="11" t="str">
        <f t="shared" si="85"/>
        <v/>
      </c>
      <c r="AE57" s="11" t="e">
        <f t="shared" si="86"/>
        <v>#REF!</v>
      </c>
      <c r="AF57" s="11" t="str">
        <f t="shared" si="87"/>
        <v/>
      </c>
      <c r="AG57" s="11" t="e">
        <f t="shared" si="88"/>
        <v>#REF!</v>
      </c>
      <c r="AH57" s="11" t="str">
        <f t="shared" si="89"/>
        <v/>
      </c>
      <c r="AI57" s="11" t="e">
        <f t="shared" si="90"/>
        <v>#REF!</v>
      </c>
      <c r="AJ57" s="11" t="str">
        <f t="shared" si="91"/>
        <v/>
      </c>
      <c r="AK57" s="11" t="e">
        <f t="shared" si="92"/>
        <v>#REF!</v>
      </c>
      <c r="AL57" s="11" t="str">
        <f t="shared" si="93"/>
        <v/>
      </c>
      <c r="AM57" s="11" t="e">
        <f t="shared" si="94"/>
        <v>#REF!</v>
      </c>
      <c r="AN57" s="11" t="str">
        <f t="shared" si="95"/>
        <v/>
      </c>
      <c r="AO57" s="11" t="e">
        <f t="shared" si="96"/>
        <v>#REF!</v>
      </c>
      <c r="AP57" s="11" t="str">
        <f t="shared" si="97"/>
        <v/>
      </c>
      <c r="AQ57" s="11" t="e">
        <f t="shared" si="98"/>
        <v>#REF!</v>
      </c>
      <c r="AR57" s="11" t="str">
        <f t="shared" si="99"/>
        <v/>
      </c>
      <c r="AS57" s="11" t="e">
        <f t="shared" si="100"/>
        <v>#REF!</v>
      </c>
      <c r="AT57" s="11" t="str">
        <f t="shared" si="101"/>
        <v/>
      </c>
      <c r="AU57" s="11" t="e">
        <f t="shared" si="102"/>
        <v>#REF!</v>
      </c>
      <c r="AV57" s="11" t="str">
        <f t="shared" si="103"/>
        <v/>
      </c>
      <c r="AW57" s="11" t="e">
        <f t="shared" si="104"/>
        <v>#REF!</v>
      </c>
      <c r="AX57" s="11" t="str">
        <f t="shared" si="105"/>
        <v/>
      </c>
      <c r="AY57" s="11" t="e">
        <f t="shared" si="106"/>
        <v>#REF!</v>
      </c>
      <c r="AZ57" s="11" t="str">
        <f t="shared" si="107"/>
        <v/>
      </c>
      <c r="BA57" s="11" t="e">
        <f t="shared" si="108"/>
        <v>#REF!</v>
      </c>
      <c r="BB57" s="11" t="str">
        <f t="shared" si="109"/>
        <v/>
      </c>
      <c r="BC57" s="11" t="e">
        <f t="shared" si="110"/>
        <v>#REF!</v>
      </c>
      <c r="BD57" s="11" t="str">
        <f t="shared" si="111"/>
        <v/>
      </c>
      <c r="BE57" s="11" t="e">
        <f t="shared" si="112"/>
        <v>#REF!</v>
      </c>
      <c r="BF57" s="11" t="str">
        <f t="shared" si="113"/>
        <v/>
      </c>
      <c r="BG57" s="11" t="e">
        <f t="shared" si="114"/>
        <v>#REF!</v>
      </c>
      <c r="BH57" s="11" t="str">
        <f t="shared" si="115"/>
        <v/>
      </c>
      <c r="BI57" s="11" t="e">
        <f t="shared" si="116"/>
        <v>#REF!</v>
      </c>
      <c r="BJ57" s="11" t="str">
        <f t="shared" si="117"/>
        <v/>
      </c>
      <c r="BK57" s="11" t="e">
        <f t="shared" si="118"/>
        <v>#REF!</v>
      </c>
      <c r="BL57" s="11" t="str">
        <f t="shared" si="119"/>
        <v/>
      </c>
      <c r="BM57" s="22" t="e">
        <f t="shared" si="59"/>
        <v>#REF!</v>
      </c>
      <c r="BN57" s="113" t="e">
        <f t="shared" si="60"/>
        <v>#REF!</v>
      </c>
      <c r="BO57" s="41" t="e">
        <f t="shared" si="61"/>
        <v>#REF!</v>
      </c>
      <c r="BP57" s="15" t="str">
        <f t="shared" si="62"/>
        <v/>
      </c>
      <c r="BQ57" s="101" t="e">
        <f t="shared" si="63"/>
        <v>#REF!</v>
      </c>
      <c r="BR57" s="15" t="str">
        <f>IF('ריכוז נתונים כללים'!$W57='ריכוז נתונים כללים'!$AN$16,MIN(BP57,'ריכוז נתונים כללים'!$AB57),BP57)</f>
        <v/>
      </c>
      <c r="BS57" s="15" t="e">
        <f>IF($C57="","",IF('ריכוז נתונים כללים'!$W57='ריכוז נתונים כללים'!$AN$16,BR57,BR57+($C$3-BR$77)*(BR57/(BR$77-SUMIF('ריכוז נתונים כללים'!$W$17:$W$76,'ריכוז נתונים כללים'!$AN$16,BR$17:BR$76)))))</f>
        <v>#REF!</v>
      </c>
    </row>
    <row r="58" spans="2:71" x14ac:dyDescent="0.25">
      <c r="B58" s="7">
        <f>'ריכוז נתונים'!C58</f>
        <v>42</v>
      </c>
      <c r="C58" s="7" t="e">
        <f>#REF!</f>
        <v>#REF!</v>
      </c>
      <c r="D58" s="22" t="e">
        <f>IF(C58="","",#REF!)</f>
        <v>#REF!</v>
      </c>
      <c r="E58" s="22" t="e">
        <f>IF(C58="","",#REF!)</f>
        <v>#REF!</v>
      </c>
      <c r="F58" s="22" t="str">
        <f t="shared" si="1"/>
        <v/>
      </c>
      <c r="G58" s="11" t="e">
        <f t="shared" si="58"/>
        <v>#REF!</v>
      </c>
      <c r="H58" s="11" t="str">
        <f t="shared" si="64"/>
        <v/>
      </c>
      <c r="I58" s="11" t="e">
        <f t="shared" si="58"/>
        <v>#REF!</v>
      </c>
      <c r="J58" s="11" t="str">
        <f t="shared" si="65"/>
        <v/>
      </c>
      <c r="K58" s="11" t="e">
        <f t="shared" si="66"/>
        <v>#REF!</v>
      </c>
      <c r="L58" s="11" t="str">
        <f t="shared" si="67"/>
        <v/>
      </c>
      <c r="M58" s="11" t="e">
        <f t="shared" si="68"/>
        <v>#REF!</v>
      </c>
      <c r="N58" s="11" t="str">
        <f t="shared" si="69"/>
        <v/>
      </c>
      <c r="O58" s="11" t="e">
        <f t="shared" si="70"/>
        <v>#REF!</v>
      </c>
      <c r="P58" s="11" t="str">
        <f t="shared" si="71"/>
        <v/>
      </c>
      <c r="Q58" s="11" t="e">
        <f t="shared" si="72"/>
        <v>#REF!</v>
      </c>
      <c r="R58" s="11" t="str">
        <f t="shared" si="73"/>
        <v/>
      </c>
      <c r="S58" s="11" t="e">
        <f t="shared" si="74"/>
        <v>#REF!</v>
      </c>
      <c r="T58" s="11" t="str">
        <f t="shared" si="75"/>
        <v/>
      </c>
      <c r="U58" s="11" t="e">
        <f t="shared" si="76"/>
        <v>#REF!</v>
      </c>
      <c r="V58" s="11" t="str">
        <f t="shared" si="77"/>
        <v/>
      </c>
      <c r="W58" s="11" t="e">
        <f t="shared" si="78"/>
        <v>#REF!</v>
      </c>
      <c r="X58" s="11" t="str">
        <f t="shared" si="79"/>
        <v/>
      </c>
      <c r="Y58" s="11" t="e">
        <f t="shared" si="80"/>
        <v>#REF!</v>
      </c>
      <c r="Z58" s="11" t="str">
        <f t="shared" si="81"/>
        <v/>
      </c>
      <c r="AA58" s="11" t="e">
        <f t="shared" si="82"/>
        <v>#REF!</v>
      </c>
      <c r="AB58" s="11" t="str">
        <f t="shared" si="83"/>
        <v/>
      </c>
      <c r="AC58" s="11" t="e">
        <f t="shared" si="84"/>
        <v>#REF!</v>
      </c>
      <c r="AD58" s="11" t="str">
        <f t="shared" si="85"/>
        <v/>
      </c>
      <c r="AE58" s="11" t="e">
        <f t="shared" si="86"/>
        <v>#REF!</v>
      </c>
      <c r="AF58" s="11" t="str">
        <f t="shared" si="87"/>
        <v/>
      </c>
      <c r="AG58" s="11" t="e">
        <f t="shared" si="88"/>
        <v>#REF!</v>
      </c>
      <c r="AH58" s="11" t="str">
        <f t="shared" si="89"/>
        <v/>
      </c>
      <c r="AI58" s="11" t="e">
        <f t="shared" si="90"/>
        <v>#REF!</v>
      </c>
      <c r="AJ58" s="11" t="str">
        <f t="shared" si="91"/>
        <v/>
      </c>
      <c r="AK58" s="11" t="e">
        <f t="shared" si="92"/>
        <v>#REF!</v>
      </c>
      <c r="AL58" s="11" t="str">
        <f t="shared" si="93"/>
        <v/>
      </c>
      <c r="AM58" s="11" t="e">
        <f t="shared" si="94"/>
        <v>#REF!</v>
      </c>
      <c r="AN58" s="11" t="str">
        <f t="shared" si="95"/>
        <v/>
      </c>
      <c r="AO58" s="11" t="e">
        <f t="shared" si="96"/>
        <v>#REF!</v>
      </c>
      <c r="AP58" s="11" t="str">
        <f t="shared" si="97"/>
        <v/>
      </c>
      <c r="AQ58" s="11" t="e">
        <f t="shared" si="98"/>
        <v>#REF!</v>
      </c>
      <c r="AR58" s="11" t="str">
        <f t="shared" si="99"/>
        <v/>
      </c>
      <c r="AS58" s="11" t="e">
        <f t="shared" si="100"/>
        <v>#REF!</v>
      </c>
      <c r="AT58" s="11" t="str">
        <f t="shared" si="101"/>
        <v/>
      </c>
      <c r="AU58" s="11" t="e">
        <f t="shared" si="102"/>
        <v>#REF!</v>
      </c>
      <c r="AV58" s="11" t="str">
        <f t="shared" si="103"/>
        <v/>
      </c>
      <c r="AW58" s="11" t="e">
        <f t="shared" si="104"/>
        <v>#REF!</v>
      </c>
      <c r="AX58" s="11" t="str">
        <f t="shared" si="105"/>
        <v/>
      </c>
      <c r="AY58" s="11" t="e">
        <f t="shared" si="106"/>
        <v>#REF!</v>
      </c>
      <c r="AZ58" s="11" t="str">
        <f t="shared" si="107"/>
        <v/>
      </c>
      <c r="BA58" s="11" t="e">
        <f t="shared" si="108"/>
        <v>#REF!</v>
      </c>
      <c r="BB58" s="11" t="str">
        <f t="shared" si="109"/>
        <v/>
      </c>
      <c r="BC58" s="11" t="e">
        <f t="shared" si="110"/>
        <v>#REF!</v>
      </c>
      <c r="BD58" s="11" t="str">
        <f t="shared" si="111"/>
        <v/>
      </c>
      <c r="BE58" s="11" t="e">
        <f t="shared" si="112"/>
        <v>#REF!</v>
      </c>
      <c r="BF58" s="11" t="str">
        <f t="shared" si="113"/>
        <v/>
      </c>
      <c r="BG58" s="11" t="e">
        <f t="shared" si="114"/>
        <v>#REF!</v>
      </c>
      <c r="BH58" s="11" t="str">
        <f t="shared" si="115"/>
        <v/>
      </c>
      <c r="BI58" s="11" t="e">
        <f t="shared" si="116"/>
        <v>#REF!</v>
      </c>
      <c r="BJ58" s="11" t="str">
        <f t="shared" si="117"/>
        <v/>
      </c>
      <c r="BK58" s="11" t="e">
        <f t="shared" si="118"/>
        <v>#REF!</v>
      </c>
      <c r="BL58" s="11" t="str">
        <f t="shared" si="119"/>
        <v/>
      </c>
      <c r="BM58" s="22" t="e">
        <f t="shared" si="59"/>
        <v>#REF!</v>
      </c>
      <c r="BN58" s="113" t="e">
        <f t="shared" si="60"/>
        <v>#REF!</v>
      </c>
      <c r="BO58" s="41" t="e">
        <f t="shared" si="61"/>
        <v>#REF!</v>
      </c>
      <c r="BP58" s="15" t="str">
        <f t="shared" si="62"/>
        <v/>
      </c>
      <c r="BQ58" s="101" t="e">
        <f t="shared" si="63"/>
        <v>#REF!</v>
      </c>
      <c r="BR58" s="15" t="str">
        <f>IF('ריכוז נתונים כללים'!$W58='ריכוז נתונים כללים'!$AN$16,MIN(BP58,'ריכוז נתונים כללים'!$AB58),BP58)</f>
        <v/>
      </c>
      <c r="BS58" s="15" t="e">
        <f>IF($C58="","",IF('ריכוז נתונים כללים'!$W58='ריכוז נתונים כללים'!$AN$16,BR58,BR58+($C$3-BR$77)*(BR58/(BR$77-SUMIF('ריכוז נתונים כללים'!$W$17:$W$76,'ריכוז נתונים כללים'!$AN$16,BR$17:BR$76)))))</f>
        <v>#REF!</v>
      </c>
    </row>
    <row r="59" spans="2:71" x14ac:dyDescent="0.25">
      <c r="B59" s="7">
        <f>'ריכוז נתונים'!C59</f>
        <v>43</v>
      </c>
      <c r="C59" s="7" t="e">
        <f>#REF!</f>
        <v>#REF!</v>
      </c>
      <c r="D59" s="22" t="e">
        <f>IF(C59="","",#REF!)</f>
        <v>#REF!</v>
      </c>
      <c r="E59" s="22" t="e">
        <f>IF(C59="","",#REF!)</f>
        <v>#REF!</v>
      </c>
      <c r="F59" s="22" t="str">
        <f t="shared" si="1"/>
        <v/>
      </c>
      <c r="G59" s="11" t="e">
        <f t="shared" si="58"/>
        <v>#REF!</v>
      </c>
      <c r="H59" s="11" t="str">
        <f t="shared" si="64"/>
        <v/>
      </c>
      <c r="I59" s="11" t="e">
        <f t="shared" si="58"/>
        <v>#REF!</v>
      </c>
      <c r="J59" s="11" t="str">
        <f t="shared" si="65"/>
        <v/>
      </c>
      <c r="K59" s="11" t="e">
        <f t="shared" si="66"/>
        <v>#REF!</v>
      </c>
      <c r="L59" s="11" t="str">
        <f t="shared" si="67"/>
        <v/>
      </c>
      <c r="M59" s="11" t="e">
        <f t="shared" si="68"/>
        <v>#REF!</v>
      </c>
      <c r="N59" s="11" t="str">
        <f t="shared" si="69"/>
        <v/>
      </c>
      <c r="O59" s="11" t="e">
        <f t="shared" si="70"/>
        <v>#REF!</v>
      </c>
      <c r="P59" s="11" t="str">
        <f t="shared" si="71"/>
        <v/>
      </c>
      <c r="Q59" s="11" t="e">
        <f t="shared" si="72"/>
        <v>#REF!</v>
      </c>
      <c r="R59" s="11" t="str">
        <f t="shared" si="73"/>
        <v/>
      </c>
      <c r="S59" s="11" t="e">
        <f t="shared" si="74"/>
        <v>#REF!</v>
      </c>
      <c r="T59" s="11" t="str">
        <f t="shared" si="75"/>
        <v/>
      </c>
      <c r="U59" s="11" t="e">
        <f t="shared" si="76"/>
        <v>#REF!</v>
      </c>
      <c r="V59" s="11" t="str">
        <f t="shared" si="77"/>
        <v/>
      </c>
      <c r="W59" s="11" t="e">
        <f t="shared" si="78"/>
        <v>#REF!</v>
      </c>
      <c r="X59" s="11" t="str">
        <f t="shared" si="79"/>
        <v/>
      </c>
      <c r="Y59" s="11" t="e">
        <f t="shared" si="80"/>
        <v>#REF!</v>
      </c>
      <c r="Z59" s="11" t="str">
        <f t="shared" si="81"/>
        <v/>
      </c>
      <c r="AA59" s="11" t="e">
        <f t="shared" si="82"/>
        <v>#REF!</v>
      </c>
      <c r="AB59" s="11" t="str">
        <f t="shared" si="83"/>
        <v/>
      </c>
      <c r="AC59" s="11" t="e">
        <f t="shared" si="84"/>
        <v>#REF!</v>
      </c>
      <c r="AD59" s="11" t="str">
        <f t="shared" si="85"/>
        <v/>
      </c>
      <c r="AE59" s="11" t="e">
        <f t="shared" si="86"/>
        <v>#REF!</v>
      </c>
      <c r="AF59" s="11" t="str">
        <f t="shared" si="87"/>
        <v/>
      </c>
      <c r="AG59" s="11" t="e">
        <f t="shared" si="88"/>
        <v>#REF!</v>
      </c>
      <c r="AH59" s="11" t="str">
        <f t="shared" si="89"/>
        <v/>
      </c>
      <c r="AI59" s="11" t="e">
        <f t="shared" si="90"/>
        <v>#REF!</v>
      </c>
      <c r="AJ59" s="11" t="str">
        <f t="shared" si="91"/>
        <v/>
      </c>
      <c r="AK59" s="11" t="e">
        <f t="shared" si="92"/>
        <v>#REF!</v>
      </c>
      <c r="AL59" s="11" t="str">
        <f t="shared" si="93"/>
        <v/>
      </c>
      <c r="AM59" s="11" t="e">
        <f t="shared" si="94"/>
        <v>#REF!</v>
      </c>
      <c r="AN59" s="11" t="str">
        <f t="shared" si="95"/>
        <v/>
      </c>
      <c r="AO59" s="11" t="e">
        <f t="shared" si="96"/>
        <v>#REF!</v>
      </c>
      <c r="AP59" s="11" t="str">
        <f t="shared" si="97"/>
        <v/>
      </c>
      <c r="AQ59" s="11" t="e">
        <f t="shared" si="98"/>
        <v>#REF!</v>
      </c>
      <c r="AR59" s="11" t="str">
        <f t="shared" si="99"/>
        <v/>
      </c>
      <c r="AS59" s="11" t="e">
        <f t="shared" si="100"/>
        <v>#REF!</v>
      </c>
      <c r="AT59" s="11" t="str">
        <f t="shared" si="101"/>
        <v/>
      </c>
      <c r="AU59" s="11" t="e">
        <f t="shared" si="102"/>
        <v>#REF!</v>
      </c>
      <c r="AV59" s="11" t="str">
        <f t="shared" si="103"/>
        <v/>
      </c>
      <c r="AW59" s="11" t="e">
        <f t="shared" si="104"/>
        <v>#REF!</v>
      </c>
      <c r="AX59" s="11" t="str">
        <f t="shared" si="105"/>
        <v/>
      </c>
      <c r="AY59" s="11" t="e">
        <f t="shared" si="106"/>
        <v>#REF!</v>
      </c>
      <c r="AZ59" s="11" t="str">
        <f t="shared" si="107"/>
        <v/>
      </c>
      <c r="BA59" s="11" t="e">
        <f t="shared" si="108"/>
        <v>#REF!</v>
      </c>
      <c r="BB59" s="11" t="str">
        <f t="shared" si="109"/>
        <v/>
      </c>
      <c r="BC59" s="11" t="e">
        <f t="shared" si="110"/>
        <v>#REF!</v>
      </c>
      <c r="BD59" s="11" t="str">
        <f t="shared" si="111"/>
        <v/>
      </c>
      <c r="BE59" s="11" t="e">
        <f t="shared" si="112"/>
        <v>#REF!</v>
      </c>
      <c r="BF59" s="11" t="str">
        <f t="shared" si="113"/>
        <v/>
      </c>
      <c r="BG59" s="11" t="e">
        <f t="shared" si="114"/>
        <v>#REF!</v>
      </c>
      <c r="BH59" s="11" t="str">
        <f t="shared" si="115"/>
        <v/>
      </c>
      <c r="BI59" s="11" t="e">
        <f t="shared" si="116"/>
        <v>#REF!</v>
      </c>
      <c r="BJ59" s="11" t="str">
        <f t="shared" si="117"/>
        <v/>
      </c>
      <c r="BK59" s="11" t="e">
        <f t="shared" si="118"/>
        <v>#REF!</v>
      </c>
      <c r="BL59" s="11" t="str">
        <f t="shared" si="119"/>
        <v/>
      </c>
      <c r="BM59" s="22" t="e">
        <f t="shared" si="59"/>
        <v>#REF!</v>
      </c>
      <c r="BN59" s="113" t="e">
        <f t="shared" si="60"/>
        <v>#REF!</v>
      </c>
      <c r="BO59" s="41" t="e">
        <f t="shared" si="61"/>
        <v>#REF!</v>
      </c>
      <c r="BP59" s="15" t="str">
        <f t="shared" si="62"/>
        <v/>
      </c>
      <c r="BQ59" s="101" t="e">
        <f t="shared" si="63"/>
        <v>#REF!</v>
      </c>
      <c r="BR59" s="15" t="str">
        <f>IF('ריכוז נתונים כללים'!$W59='ריכוז נתונים כללים'!$AN$16,MIN(BP59,'ריכוז נתונים כללים'!$AB59),BP59)</f>
        <v/>
      </c>
      <c r="BS59" s="15" t="e">
        <f>IF($C59="","",IF('ריכוז נתונים כללים'!$W59='ריכוז נתונים כללים'!$AN$16,BR59,BR59+($C$3-BR$77)*(BR59/(BR$77-SUMIF('ריכוז נתונים כללים'!$W$17:$W$76,'ריכוז נתונים כללים'!$AN$16,BR$17:BR$76)))))</f>
        <v>#REF!</v>
      </c>
    </row>
    <row r="60" spans="2:71" x14ac:dyDescent="0.25">
      <c r="B60" s="7">
        <f>'ריכוז נתונים'!C60</f>
        <v>44</v>
      </c>
      <c r="C60" s="7" t="e">
        <f>#REF!</f>
        <v>#REF!</v>
      </c>
      <c r="D60" s="22" t="e">
        <f>IF(C60="","",#REF!)</f>
        <v>#REF!</v>
      </c>
      <c r="E60" s="22" t="e">
        <f>IF(C60="","",#REF!)</f>
        <v>#REF!</v>
      </c>
      <c r="F60" s="22" t="str">
        <f t="shared" si="1"/>
        <v/>
      </c>
      <c r="G60" s="11" t="e">
        <f t="shared" si="58"/>
        <v>#REF!</v>
      </c>
      <c r="H60" s="11" t="str">
        <f t="shared" si="64"/>
        <v/>
      </c>
      <c r="I60" s="11" t="e">
        <f t="shared" si="58"/>
        <v>#REF!</v>
      </c>
      <c r="J60" s="11" t="str">
        <f t="shared" si="65"/>
        <v/>
      </c>
      <c r="K60" s="11" t="e">
        <f t="shared" si="66"/>
        <v>#REF!</v>
      </c>
      <c r="L60" s="11" t="str">
        <f t="shared" si="67"/>
        <v/>
      </c>
      <c r="M60" s="11" t="e">
        <f t="shared" si="68"/>
        <v>#REF!</v>
      </c>
      <c r="N60" s="11" t="str">
        <f t="shared" si="69"/>
        <v/>
      </c>
      <c r="O60" s="11" t="e">
        <f t="shared" si="70"/>
        <v>#REF!</v>
      </c>
      <c r="P60" s="11" t="str">
        <f t="shared" si="71"/>
        <v/>
      </c>
      <c r="Q60" s="11" t="e">
        <f t="shared" si="72"/>
        <v>#REF!</v>
      </c>
      <c r="R60" s="11" t="str">
        <f t="shared" si="73"/>
        <v/>
      </c>
      <c r="S60" s="11" t="e">
        <f t="shared" si="74"/>
        <v>#REF!</v>
      </c>
      <c r="T60" s="11" t="str">
        <f t="shared" si="75"/>
        <v/>
      </c>
      <c r="U60" s="11" t="e">
        <f t="shared" si="76"/>
        <v>#REF!</v>
      </c>
      <c r="V60" s="11" t="str">
        <f t="shared" si="77"/>
        <v/>
      </c>
      <c r="W60" s="11" t="e">
        <f t="shared" si="78"/>
        <v>#REF!</v>
      </c>
      <c r="X60" s="11" t="str">
        <f t="shared" si="79"/>
        <v/>
      </c>
      <c r="Y60" s="11" t="e">
        <f t="shared" si="80"/>
        <v>#REF!</v>
      </c>
      <c r="Z60" s="11" t="str">
        <f t="shared" si="81"/>
        <v/>
      </c>
      <c r="AA60" s="11" t="e">
        <f t="shared" si="82"/>
        <v>#REF!</v>
      </c>
      <c r="AB60" s="11" t="str">
        <f t="shared" si="83"/>
        <v/>
      </c>
      <c r="AC60" s="11" t="e">
        <f t="shared" si="84"/>
        <v>#REF!</v>
      </c>
      <c r="AD60" s="11" t="str">
        <f t="shared" si="85"/>
        <v/>
      </c>
      <c r="AE60" s="11" t="e">
        <f t="shared" si="86"/>
        <v>#REF!</v>
      </c>
      <c r="AF60" s="11" t="str">
        <f t="shared" si="87"/>
        <v/>
      </c>
      <c r="AG60" s="11" t="e">
        <f t="shared" si="88"/>
        <v>#REF!</v>
      </c>
      <c r="AH60" s="11" t="str">
        <f t="shared" si="89"/>
        <v/>
      </c>
      <c r="AI60" s="11" t="e">
        <f t="shared" si="90"/>
        <v>#REF!</v>
      </c>
      <c r="AJ60" s="11" t="str">
        <f t="shared" si="91"/>
        <v/>
      </c>
      <c r="AK60" s="11" t="e">
        <f t="shared" si="92"/>
        <v>#REF!</v>
      </c>
      <c r="AL60" s="11" t="str">
        <f t="shared" si="93"/>
        <v/>
      </c>
      <c r="AM60" s="11" t="e">
        <f t="shared" si="94"/>
        <v>#REF!</v>
      </c>
      <c r="AN60" s="11" t="str">
        <f t="shared" si="95"/>
        <v/>
      </c>
      <c r="AO60" s="11" t="e">
        <f t="shared" si="96"/>
        <v>#REF!</v>
      </c>
      <c r="AP60" s="11" t="str">
        <f t="shared" si="97"/>
        <v/>
      </c>
      <c r="AQ60" s="11" t="e">
        <f t="shared" si="98"/>
        <v>#REF!</v>
      </c>
      <c r="AR60" s="11" t="str">
        <f t="shared" si="99"/>
        <v/>
      </c>
      <c r="AS60" s="11" t="e">
        <f t="shared" si="100"/>
        <v>#REF!</v>
      </c>
      <c r="AT60" s="11" t="str">
        <f t="shared" si="101"/>
        <v/>
      </c>
      <c r="AU60" s="11" t="e">
        <f t="shared" si="102"/>
        <v>#REF!</v>
      </c>
      <c r="AV60" s="11" t="str">
        <f t="shared" si="103"/>
        <v/>
      </c>
      <c r="AW60" s="11" t="e">
        <f t="shared" si="104"/>
        <v>#REF!</v>
      </c>
      <c r="AX60" s="11" t="str">
        <f t="shared" si="105"/>
        <v/>
      </c>
      <c r="AY60" s="11" t="e">
        <f t="shared" si="106"/>
        <v>#REF!</v>
      </c>
      <c r="AZ60" s="11" t="str">
        <f t="shared" si="107"/>
        <v/>
      </c>
      <c r="BA60" s="11" t="e">
        <f t="shared" si="108"/>
        <v>#REF!</v>
      </c>
      <c r="BB60" s="11" t="str">
        <f t="shared" si="109"/>
        <v/>
      </c>
      <c r="BC60" s="11" t="e">
        <f t="shared" si="110"/>
        <v>#REF!</v>
      </c>
      <c r="BD60" s="11" t="str">
        <f t="shared" si="111"/>
        <v/>
      </c>
      <c r="BE60" s="11" t="e">
        <f t="shared" si="112"/>
        <v>#REF!</v>
      </c>
      <c r="BF60" s="11" t="str">
        <f t="shared" si="113"/>
        <v/>
      </c>
      <c r="BG60" s="11" t="e">
        <f t="shared" si="114"/>
        <v>#REF!</v>
      </c>
      <c r="BH60" s="11" t="str">
        <f t="shared" si="115"/>
        <v/>
      </c>
      <c r="BI60" s="11" t="e">
        <f t="shared" si="116"/>
        <v>#REF!</v>
      </c>
      <c r="BJ60" s="11" t="str">
        <f t="shared" si="117"/>
        <v/>
      </c>
      <c r="BK60" s="11" t="e">
        <f t="shared" si="118"/>
        <v>#REF!</v>
      </c>
      <c r="BL60" s="11" t="str">
        <f t="shared" si="119"/>
        <v/>
      </c>
      <c r="BM60" s="22" t="e">
        <f t="shared" si="59"/>
        <v>#REF!</v>
      </c>
      <c r="BN60" s="113" t="e">
        <f t="shared" si="60"/>
        <v>#REF!</v>
      </c>
      <c r="BO60" s="41" t="e">
        <f t="shared" si="61"/>
        <v>#REF!</v>
      </c>
      <c r="BP60" s="15" t="str">
        <f t="shared" si="62"/>
        <v/>
      </c>
      <c r="BQ60" s="101" t="e">
        <f t="shared" si="63"/>
        <v>#REF!</v>
      </c>
      <c r="BR60" s="15" t="str">
        <f>IF('ריכוז נתונים כללים'!$W60='ריכוז נתונים כללים'!$AN$16,MIN(BP60,'ריכוז נתונים כללים'!$AB60),BP60)</f>
        <v/>
      </c>
      <c r="BS60" s="15" t="e">
        <f>IF($C60="","",IF('ריכוז נתונים כללים'!$W60='ריכוז נתונים כללים'!$AN$16,BR60,BR60+($C$3-BR$77)*(BR60/(BR$77-SUMIF('ריכוז נתונים כללים'!$W$17:$W$76,'ריכוז נתונים כללים'!$AN$16,BR$17:BR$76)))))</f>
        <v>#REF!</v>
      </c>
    </row>
    <row r="61" spans="2:71" x14ac:dyDescent="0.25">
      <c r="B61" s="7">
        <f>'ריכוז נתונים'!C61</f>
        <v>45</v>
      </c>
      <c r="C61" s="7" t="e">
        <f>#REF!</f>
        <v>#REF!</v>
      </c>
      <c r="D61" s="22" t="e">
        <f>IF(C61="","",#REF!)</f>
        <v>#REF!</v>
      </c>
      <c r="E61" s="22" t="e">
        <f>IF(C61="","",#REF!)</f>
        <v>#REF!</v>
      </c>
      <c r="F61" s="22" t="str">
        <f t="shared" si="1"/>
        <v/>
      </c>
      <c r="G61" s="11" t="e">
        <f t="shared" si="58"/>
        <v>#REF!</v>
      </c>
      <c r="H61" s="11" t="str">
        <f t="shared" si="64"/>
        <v/>
      </c>
      <c r="I61" s="11" t="e">
        <f t="shared" si="58"/>
        <v>#REF!</v>
      </c>
      <c r="J61" s="11" t="str">
        <f t="shared" si="65"/>
        <v/>
      </c>
      <c r="K61" s="11" t="e">
        <f t="shared" si="66"/>
        <v>#REF!</v>
      </c>
      <c r="L61" s="11" t="str">
        <f t="shared" si="67"/>
        <v/>
      </c>
      <c r="M61" s="11" t="e">
        <f t="shared" si="68"/>
        <v>#REF!</v>
      </c>
      <c r="N61" s="11" t="str">
        <f t="shared" si="69"/>
        <v/>
      </c>
      <c r="O61" s="11" t="e">
        <f t="shared" si="70"/>
        <v>#REF!</v>
      </c>
      <c r="P61" s="11" t="str">
        <f t="shared" si="71"/>
        <v/>
      </c>
      <c r="Q61" s="11" t="e">
        <f t="shared" si="72"/>
        <v>#REF!</v>
      </c>
      <c r="R61" s="11" t="str">
        <f t="shared" si="73"/>
        <v/>
      </c>
      <c r="S61" s="11" t="e">
        <f t="shared" si="74"/>
        <v>#REF!</v>
      </c>
      <c r="T61" s="11" t="str">
        <f t="shared" si="75"/>
        <v/>
      </c>
      <c r="U61" s="11" t="e">
        <f t="shared" si="76"/>
        <v>#REF!</v>
      </c>
      <c r="V61" s="11" t="str">
        <f t="shared" si="77"/>
        <v/>
      </c>
      <c r="W61" s="11" t="e">
        <f t="shared" si="78"/>
        <v>#REF!</v>
      </c>
      <c r="X61" s="11" t="str">
        <f t="shared" si="79"/>
        <v/>
      </c>
      <c r="Y61" s="11" t="e">
        <f t="shared" si="80"/>
        <v>#REF!</v>
      </c>
      <c r="Z61" s="11" t="str">
        <f t="shared" si="81"/>
        <v/>
      </c>
      <c r="AA61" s="11" t="e">
        <f t="shared" si="82"/>
        <v>#REF!</v>
      </c>
      <c r="AB61" s="11" t="str">
        <f t="shared" si="83"/>
        <v/>
      </c>
      <c r="AC61" s="11" t="e">
        <f t="shared" si="84"/>
        <v>#REF!</v>
      </c>
      <c r="AD61" s="11" t="str">
        <f t="shared" si="85"/>
        <v/>
      </c>
      <c r="AE61" s="11" t="e">
        <f t="shared" si="86"/>
        <v>#REF!</v>
      </c>
      <c r="AF61" s="11" t="str">
        <f t="shared" si="87"/>
        <v/>
      </c>
      <c r="AG61" s="11" t="e">
        <f t="shared" si="88"/>
        <v>#REF!</v>
      </c>
      <c r="AH61" s="11" t="str">
        <f t="shared" si="89"/>
        <v/>
      </c>
      <c r="AI61" s="11" t="e">
        <f t="shared" si="90"/>
        <v>#REF!</v>
      </c>
      <c r="AJ61" s="11" t="str">
        <f t="shared" si="91"/>
        <v/>
      </c>
      <c r="AK61" s="11" t="e">
        <f t="shared" si="92"/>
        <v>#REF!</v>
      </c>
      <c r="AL61" s="11" t="str">
        <f t="shared" si="93"/>
        <v/>
      </c>
      <c r="AM61" s="11" t="e">
        <f t="shared" si="94"/>
        <v>#REF!</v>
      </c>
      <c r="AN61" s="11" t="str">
        <f t="shared" si="95"/>
        <v/>
      </c>
      <c r="AO61" s="11" t="e">
        <f t="shared" si="96"/>
        <v>#REF!</v>
      </c>
      <c r="AP61" s="11" t="str">
        <f t="shared" si="97"/>
        <v/>
      </c>
      <c r="AQ61" s="11" t="e">
        <f t="shared" si="98"/>
        <v>#REF!</v>
      </c>
      <c r="AR61" s="11" t="str">
        <f t="shared" si="99"/>
        <v/>
      </c>
      <c r="AS61" s="11" t="e">
        <f t="shared" si="100"/>
        <v>#REF!</v>
      </c>
      <c r="AT61" s="11" t="str">
        <f t="shared" si="101"/>
        <v/>
      </c>
      <c r="AU61" s="11" t="e">
        <f t="shared" si="102"/>
        <v>#REF!</v>
      </c>
      <c r="AV61" s="11" t="str">
        <f t="shared" si="103"/>
        <v/>
      </c>
      <c r="AW61" s="11" t="e">
        <f t="shared" si="104"/>
        <v>#REF!</v>
      </c>
      <c r="AX61" s="11" t="str">
        <f t="shared" si="105"/>
        <v/>
      </c>
      <c r="AY61" s="11" t="e">
        <f t="shared" si="106"/>
        <v>#REF!</v>
      </c>
      <c r="AZ61" s="11" t="str">
        <f t="shared" si="107"/>
        <v/>
      </c>
      <c r="BA61" s="11" t="e">
        <f t="shared" si="108"/>
        <v>#REF!</v>
      </c>
      <c r="BB61" s="11" t="str">
        <f t="shared" si="109"/>
        <v/>
      </c>
      <c r="BC61" s="11" t="e">
        <f t="shared" si="110"/>
        <v>#REF!</v>
      </c>
      <c r="BD61" s="11" t="str">
        <f t="shared" si="111"/>
        <v/>
      </c>
      <c r="BE61" s="11" t="e">
        <f t="shared" si="112"/>
        <v>#REF!</v>
      </c>
      <c r="BF61" s="11" t="str">
        <f t="shared" si="113"/>
        <v/>
      </c>
      <c r="BG61" s="11" t="e">
        <f t="shared" si="114"/>
        <v>#REF!</v>
      </c>
      <c r="BH61" s="11" t="str">
        <f t="shared" si="115"/>
        <v/>
      </c>
      <c r="BI61" s="11" t="e">
        <f t="shared" si="116"/>
        <v>#REF!</v>
      </c>
      <c r="BJ61" s="11" t="str">
        <f t="shared" si="117"/>
        <v/>
      </c>
      <c r="BK61" s="11" t="e">
        <f t="shared" si="118"/>
        <v>#REF!</v>
      </c>
      <c r="BL61" s="11" t="str">
        <f t="shared" si="119"/>
        <v/>
      </c>
      <c r="BM61" s="22" t="e">
        <f t="shared" si="59"/>
        <v>#REF!</v>
      </c>
      <c r="BN61" s="113" t="e">
        <f t="shared" si="60"/>
        <v>#REF!</v>
      </c>
      <c r="BO61" s="41" t="e">
        <f t="shared" si="61"/>
        <v>#REF!</v>
      </c>
      <c r="BP61" s="15" t="str">
        <f t="shared" si="62"/>
        <v/>
      </c>
      <c r="BQ61" s="101" t="e">
        <f t="shared" si="63"/>
        <v>#REF!</v>
      </c>
      <c r="BR61" s="15" t="str">
        <f>IF('ריכוז נתונים כללים'!$W61='ריכוז נתונים כללים'!$AN$16,MIN(BP61,'ריכוז נתונים כללים'!$AB61),BP61)</f>
        <v/>
      </c>
      <c r="BS61" s="15" t="e">
        <f>IF($C61="","",IF('ריכוז נתונים כללים'!$W61='ריכוז נתונים כללים'!$AN$16,BR61,BR61+($C$3-BR$77)*(BR61/(BR$77-SUMIF('ריכוז נתונים כללים'!$W$17:$W$76,'ריכוז נתונים כללים'!$AN$16,BR$17:BR$76)))))</f>
        <v>#REF!</v>
      </c>
    </row>
    <row r="62" spans="2:71" x14ac:dyDescent="0.25">
      <c r="B62" s="7">
        <f>'ריכוז נתונים'!C62</f>
        <v>46</v>
      </c>
      <c r="C62" s="7" t="e">
        <f>#REF!</f>
        <v>#REF!</v>
      </c>
      <c r="D62" s="22" t="e">
        <f>IF(C62="","",#REF!)</f>
        <v>#REF!</v>
      </c>
      <c r="E62" s="22" t="e">
        <f>IF(C62="","",#REF!)</f>
        <v>#REF!</v>
      </c>
      <c r="F62" s="22" t="str">
        <f t="shared" si="1"/>
        <v/>
      </c>
      <c r="G62" s="11" t="e">
        <f t="shared" si="58"/>
        <v>#REF!</v>
      </c>
      <c r="H62" s="11" t="str">
        <f t="shared" si="64"/>
        <v/>
      </c>
      <c r="I62" s="11" t="e">
        <f t="shared" si="58"/>
        <v>#REF!</v>
      </c>
      <c r="J62" s="11" t="str">
        <f t="shared" si="65"/>
        <v/>
      </c>
      <c r="K62" s="11" t="e">
        <f t="shared" si="66"/>
        <v>#REF!</v>
      </c>
      <c r="L62" s="11" t="str">
        <f t="shared" si="67"/>
        <v/>
      </c>
      <c r="M62" s="11" t="e">
        <f t="shared" si="68"/>
        <v>#REF!</v>
      </c>
      <c r="N62" s="11" t="str">
        <f t="shared" si="69"/>
        <v/>
      </c>
      <c r="O62" s="11" t="e">
        <f t="shared" si="70"/>
        <v>#REF!</v>
      </c>
      <c r="P62" s="11" t="str">
        <f t="shared" si="71"/>
        <v/>
      </c>
      <c r="Q62" s="11" t="e">
        <f t="shared" si="72"/>
        <v>#REF!</v>
      </c>
      <c r="R62" s="11" t="str">
        <f t="shared" si="73"/>
        <v/>
      </c>
      <c r="S62" s="11" t="e">
        <f t="shared" si="74"/>
        <v>#REF!</v>
      </c>
      <c r="T62" s="11" t="str">
        <f t="shared" si="75"/>
        <v/>
      </c>
      <c r="U62" s="11" t="e">
        <f t="shared" si="76"/>
        <v>#REF!</v>
      </c>
      <c r="V62" s="11" t="str">
        <f t="shared" si="77"/>
        <v/>
      </c>
      <c r="W62" s="11" t="e">
        <f t="shared" si="78"/>
        <v>#REF!</v>
      </c>
      <c r="X62" s="11" t="str">
        <f t="shared" si="79"/>
        <v/>
      </c>
      <c r="Y62" s="11" t="e">
        <f t="shared" si="80"/>
        <v>#REF!</v>
      </c>
      <c r="Z62" s="11" t="str">
        <f t="shared" si="81"/>
        <v/>
      </c>
      <c r="AA62" s="11" t="e">
        <f t="shared" si="82"/>
        <v>#REF!</v>
      </c>
      <c r="AB62" s="11" t="str">
        <f t="shared" si="83"/>
        <v/>
      </c>
      <c r="AC62" s="11" t="e">
        <f t="shared" si="84"/>
        <v>#REF!</v>
      </c>
      <c r="AD62" s="11" t="str">
        <f t="shared" si="85"/>
        <v/>
      </c>
      <c r="AE62" s="11" t="e">
        <f t="shared" si="86"/>
        <v>#REF!</v>
      </c>
      <c r="AF62" s="11" t="str">
        <f t="shared" si="87"/>
        <v/>
      </c>
      <c r="AG62" s="11" t="e">
        <f t="shared" si="88"/>
        <v>#REF!</v>
      </c>
      <c r="AH62" s="11" t="str">
        <f t="shared" si="89"/>
        <v/>
      </c>
      <c r="AI62" s="11" t="e">
        <f t="shared" si="90"/>
        <v>#REF!</v>
      </c>
      <c r="AJ62" s="11" t="str">
        <f t="shared" si="91"/>
        <v/>
      </c>
      <c r="AK62" s="11" t="e">
        <f t="shared" si="92"/>
        <v>#REF!</v>
      </c>
      <c r="AL62" s="11" t="str">
        <f t="shared" si="93"/>
        <v/>
      </c>
      <c r="AM62" s="11" t="e">
        <f t="shared" si="94"/>
        <v>#REF!</v>
      </c>
      <c r="AN62" s="11" t="str">
        <f t="shared" si="95"/>
        <v/>
      </c>
      <c r="AO62" s="11" t="e">
        <f t="shared" si="96"/>
        <v>#REF!</v>
      </c>
      <c r="AP62" s="11" t="str">
        <f t="shared" si="97"/>
        <v/>
      </c>
      <c r="AQ62" s="11" t="e">
        <f t="shared" si="98"/>
        <v>#REF!</v>
      </c>
      <c r="AR62" s="11" t="str">
        <f t="shared" si="99"/>
        <v/>
      </c>
      <c r="AS62" s="11" t="e">
        <f t="shared" si="100"/>
        <v>#REF!</v>
      </c>
      <c r="AT62" s="11" t="str">
        <f t="shared" si="101"/>
        <v/>
      </c>
      <c r="AU62" s="11" t="e">
        <f t="shared" si="102"/>
        <v>#REF!</v>
      </c>
      <c r="AV62" s="11" t="str">
        <f t="shared" si="103"/>
        <v/>
      </c>
      <c r="AW62" s="11" t="e">
        <f t="shared" si="104"/>
        <v>#REF!</v>
      </c>
      <c r="AX62" s="11" t="str">
        <f t="shared" si="105"/>
        <v/>
      </c>
      <c r="AY62" s="11" t="e">
        <f t="shared" si="106"/>
        <v>#REF!</v>
      </c>
      <c r="AZ62" s="11" t="str">
        <f t="shared" si="107"/>
        <v/>
      </c>
      <c r="BA62" s="11" t="e">
        <f t="shared" si="108"/>
        <v>#REF!</v>
      </c>
      <c r="BB62" s="11" t="str">
        <f t="shared" si="109"/>
        <v/>
      </c>
      <c r="BC62" s="11" t="e">
        <f t="shared" si="110"/>
        <v>#REF!</v>
      </c>
      <c r="BD62" s="11" t="str">
        <f t="shared" si="111"/>
        <v/>
      </c>
      <c r="BE62" s="11" t="e">
        <f t="shared" si="112"/>
        <v>#REF!</v>
      </c>
      <c r="BF62" s="11" t="str">
        <f t="shared" si="113"/>
        <v/>
      </c>
      <c r="BG62" s="11" t="e">
        <f t="shared" si="114"/>
        <v>#REF!</v>
      </c>
      <c r="BH62" s="11" t="str">
        <f t="shared" si="115"/>
        <v/>
      </c>
      <c r="BI62" s="11" t="e">
        <f t="shared" si="116"/>
        <v>#REF!</v>
      </c>
      <c r="BJ62" s="11" t="str">
        <f t="shared" si="117"/>
        <v/>
      </c>
      <c r="BK62" s="11" t="e">
        <f t="shared" si="118"/>
        <v>#REF!</v>
      </c>
      <c r="BL62" s="11" t="str">
        <f t="shared" si="119"/>
        <v/>
      </c>
      <c r="BM62" s="22" t="e">
        <f t="shared" si="59"/>
        <v>#REF!</v>
      </c>
      <c r="BN62" s="113" t="e">
        <f t="shared" si="60"/>
        <v>#REF!</v>
      </c>
      <c r="BO62" s="41" t="e">
        <f t="shared" si="61"/>
        <v>#REF!</v>
      </c>
      <c r="BP62" s="15" t="str">
        <f t="shared" si="62"/>
        <v/>
      </c>
      <c r="BQ62" s="101" t="e">
        <f t="shared" si="63"/>
        <v>#REF!</v>
      </c>
      <c r="BR62" s="15" t="str">
        <f>IF('ריכוז נתונים כללים'!$W62='ריכוז נתונים כללים'!$AN$16,MIN(BP62,'ריכוז נתונים כללים'!$AB62),BP62)</f>
        <v/>
      </c>
      <c r="BS62" s="15" t="e">
        <f>IF($C62="","",IF('ריכוז נתונים כללים'!$W62='ריכוז נתונים כללים'!$AN$16,BR62,BR62+($C$3-BR$77)*(BR62/(BR$77-SUMIF('ריכוז נתונים כללים'!$W$17:$W$76,'ריכוז נתונים כללים'!$AN$16,BR$17:BR$76)))))</f>
        <v>#REF!</v>
      </c>
    </row>
    <row r="63" spans="2:71" x14ac:dyDescent="0.25">
      <c r="B63" s="7">
        <f>'ריכוז נתונים'!C63</f>
        <v>47</v>
      </c>
      <c r="C63" s="7" t="e">
        <f>#REF!</f>
        <v>#REF!</v>
      </c>
      <c r="D63" s="22" t="e">
        <f>IF(C63="","",#REF!)</f>
        <v>#REF!</v>
      </c>
      <c r="E63" s="22" t="e">
        <f>IF(C63="","",#REF!)</f>
        <v>#REF!</v>
      </c>
      <c r="F63" s="22" t="str">
        <f t="shared" si="1"/>
        <v/>
      </c>
      <c r="G63" s="11" t="e">
        <f t="shared" si="58"/>
        <v>#REF!</v>
      </c>
      <c r="H63" s="11" t="str">
        <f t="shared" si="64"/>
        <v/>
      </c>
      <c r="I63" s="11" t="e">
        <f t="shared" si="58"/>
        <v>#REF!</v>
      </c>
      <c r="J63" s="11" t="str">
        <f t="shared" si="65"/>
        <v/>
      </c>
      <c r="K63" s="11" t="e">
        <f t="shared" si="66"/>
        <v>#REF!</v>
      </c>
      <c r="L63" s="11" t="str">
        <f t="shared" si="67"/>
        <v/>
      </c>
      <c r="M63" s="11" t="e">
        <f t="shared" si="68"/>
        <v>#REF!</v>
      </c>
      <c r="N63" s="11" t="str">
        <f t="shared" si="69"/>
        <v/>
      </c>
      <c r="O63" s="11" t="e">
        <f t="shared" si="70"/>
        <v>#REF!</v>
      </c>
      <c r="P63" s="11" t="str">
        <f t="shared" si="71"/>
        <v/>
      </c>
      <c r="Q63" s="11" t="e">
        <f t="shared" si="72"/>
        <v>#REF!</v>
      </c>
      <c r="R63" s="11" t="str">
        <f t="shared" si="73"/>
        <v/>
      </c>
      <c r="S63" s="11" t="e">
        <f t="shared" si="74"/>
        <v>#REF!</v>
      </c>
      <c r="T63" s="11" t="str">
        <f t="shared" si="75"/>
        <v/>
      </c>
      <c r="U63" s="11" t="e">
        <f t="shared" si="76"/>
        <v>#REF!</v>
      </c>
      <c r="V63" s="11" t="str">
        <f t="shared" si="77"/>
        <v/>
      </c>
      <c r="W63" s="11" t="e">
        <f t="shared" si="78"/>
        <v>#REF!</v>
      </c>
      <c r="X63" s="11" t="str">
        <f t="shared" si="79"/>
        <v/>
      </c>
      <c r="Y63" s="11" t="e">
        <f t="shared" si="80"/>
        <v>#REF!</v>
      </c>
      <c r="Z63" s="11" t="str">
        <f t="shared" si="81"/>
        <v/>
      </c>
      <c r="AA63" s="11" t="e">
        <f t="shared" si="82"/>
        <v>#REF!</v>
      </c>
      <c r="AB63" s="11" t="str">
        <f t="shared" si="83"/>
        <v/>
      </c>
      <c r="AC63" s="11" t="e">
        <f t="shared" si="84"/>
        <v>#REF!</v>
      </c>
      <c r="AD63" s="11" t="str">
        <f t="shared" si="85"/>
        <v/>
      </c>
      <c r="AE63" s="11" t="e">
        <f t="shared" si="86"/>
        <v>#REF!</v>
      </c>
      <c r="AF63" s="11" t="str">
        <f t="shared" si="87"/>
        <v/>
      </c>
      <c r="AG63" s="11" t="e">
        <f t="shared" si="88"/>
        <v>#REF!</v>
      </c>
      <c r="AH63" s="11" t="str">
        <f t="shared" si="89"/>
        <v/>
      </c>
      <c r="AI63" s="11" t="e">
        <f t="shared" si="90"/>
        <v>#REF!</v>
      </c>
      <c r="AJ63" s="11" t="str">
        <f t="shared" si="91"/>
        <v/>
      </c>
      <c r="AK63" s="11" t="e">
        <f t="shared" si="92"/>
        <v>#REF!</v>
      </c>
      <c r="AL63" s="11" t="str">
        <f t="shared" si="93"/>
        <v/>
      </c>
      <c r="AM63" s="11" t="e">
        <f t="shared" si="94"/>
        <v>#REF!</v>
      </c>
      <c r="AN63" s="11" t="str">
        <f t="shared" si="95"/>
        <v/>
      </c>
      <c r="AO63" s="11" t="e">
        <f t="shared" si="96"/>
        <v>#REF!</v>
      </c>
      <c r="AP63" s="11" t="str">
        <f t="shared" si="97"/>
        <v/>
      </c>
      <c r="AQ63" s="11" t="e">
        <f t="shared" si="98"/>
        <v>#REF!</v>
      </c>
      <c r="AR63" s="11" t="str">
        <f t="shared" si="99"/>
        <v/>
      </c>
      <c r="AS63" s="11" t="e">
        <f t="shared" si="100"/>
        <v>#REF!</v>
      </c>
      <c r="AT63" s="11" t="str">
        <f t="shared" si="101"/>
        <v/>
      </c>
      <c r="AU63" s="11" t="e">
        <f t="shared" si="102"/>
        <v>#REF!</v>
      </c>
      <c r="AV63" s="11" t="str">
        <f t="shared" si="103"/>
        <v/>
      </c>
      <c r="AW63" s="11" t="e">
        <f t="shared" si="104"/>
        <v>#REF!</v>
      </c>
      <c r="AX63" s="11" t="str">
        <f t="shared" si="105"/>
        <v/>
      </c>
      <c r="AY63" s="11" t="e">
        <f t="shared" si="106"/>
        <v>#REF!</v>
      </c>
      <c r="AZ63" s="11" t="str">
        <f t="shared" si="107"/>
        <v/>
      </c>
      <c r="BA63" s="11" t="e">
        <f t="shared" si="108"/>
        <v>#REF!</v>
      </c>
      <c r="BB63" s="11" t="str">
        <f t="shared" si="109"/>
        <v/>
      </c>
      <c r="BC63" s="11" t="e">
        <f t="shared" si="110"/>
        <v>#REF!</v>
      </c>
      <c r="BD63" s="11" t="str">
        <f t="shared" si="111"/>
        <v/>
      </c>
      <c r="BE63" s="11" t="e">
        <f t="shared" si="112"/>
        <v>#REF!</v>
      </c>
      <c r="BF63" s="11" t="str">
        <f t="shared" si="113"/>
        <v/>
      </c>
      <c r="BG63" s="11" t="e">
        <f t="shared" si="114"/>
        <v>#REF!</v>
      </c>
      <c r="BH63" s="11" t="str">
        <f t="shared" si="115"/>
        <v/>
      </c>
      <c r="BI63" s="11" t="e">
        <f t="shared" si="116"/>
        <v>#REF!</v>
      </c>
      <c r="BJ63" s="11" t="str">
        <f t="shared" si="117"/>
        <v/>
      </c>
      <c r="BK63" s="11" t="e">
        <f t="shared" si="118"/>
        <v>#REF!</v>
      </c>
      <c r="BL63" s="11" t="str">
        <f t="shared" si="119"/>
        <v/>
      </c>
      <c r="BM63" s="22" t="e">
        <f t="shared" si="59"/>
        <v>#REF!</v>
      </c>
      <c r="BN63" s="113" t="e">
        <f t="shared" si="60"/>
        <v>#REF!</v>
      </c>
      <c r="BO63" s="41" t="e">
        <f t="shared" si="61"/>
        <v>#REF!</v>
      </c>
      <c r="BP63" s="15" t="str">
        <f t="shared" si="62"/>
        <v/>
      </c>
      <c r="BQ63" s="101" t="e">
        <f t="shared" si="63"/>
        <v>#REF!</v>
      </c>
      <c r="BR63" s="15" t="str">
        <f>IF('ריכוז נתונים כללים'!$W63='ריכוז נתונים כללים'!$AN$16,MIN(BP63,'ריכוז נתונים כללים'!$AB63),BP63)</f>
        <v/>
      </c>
      <c r="BS63" s="15" t="e">
        <f>IF($C63="","",IF('ריכוז נתונים כללים'!$W63='ריכוז נתונים כללים'!$AN$16,BR63,BR63+($C$3-BR$77)*(BR63/(BR$77-SUMIF('ריכוז נתונים כללים'!$W$17:$W$76,'ריכוז נתונים כללים'!$AN$16,BR$17:BR$76)))))</f>
        <v>#REF!</v>
      </c>
    </row>
    <row r="64" spans="2:71" x14ac:dyDescent="0.25">
      <c r="B64" s="7">
        <f>'ריכוז נתונים'!C64</f>
        <v>48</v>
      </c>
      <c r="C64" s="7" t="e">
        <f>#REF!</f>
        <v>#REF!</v>
      </c>
      <c r="D64" s="22" t="e">
        <f>IF(C64="","",#REF!)</f>
        <v>#REF!</v>
      </c>
      <c r="E64" s="22" t="e">
        <f>IF(C64="","",#REF!)</f>
        <v>#REF!</v>
      </c>
      <c r="F64" s="22" t="str">
        <f t="shared" si="1"/>
        <v/>
      </c>
      <c r="G64" s="11" t="e">
        <f t="shared" si="58"/>
        <v>#REF!</v>
      </c>
      <c r="H64" s="11" t="str">
        <f t="shared" si="64"/>
        <v/>
      </c>
      <c r="I64" s="11" t="e">
        <f t="shared" si="58"/>
        <v>#REF!</v>
      </c>
      <c r="J64" s="11" t="str">
        <f t="shared" si="65"/>
        <v/>
      </c>
      <c r="K64" s="11" t="e">
        <f t="shared" si="66"/>
        <v>#REF!</v>
      </c>
      <c r="L64" s="11" t="str">
        <f t="shared" si="67"/>
        <v/>
      </c>
      <c r="M64" s="11" t="e">
        <f t="shared" si="68"/>
        <v>#REF!</v>
      </c>
      <c r="N64" s="11" t="str">
        <f t="shared" si="69"/>
        <v/>
      </c>
      <c r="O64" s="11" t="e">
        <f t="shared" si="70"/>
        <v>#REF!</v>
      </c>
      <c r="P64" s="11" t="str">
        <f t="shared" si="71"/>
        <v/>
      </c>
      <c r="Q64" s="11" t="e">
        <f t="shared" si="72"/>
        <v>#REF!</v>
      </c>
      <c r="R64" s="11" t="str">
        <f t="shared" si="73"/>
        <v/>
      </c>
      <c r="S64" s="11" t="e">
        <f t="shared" si="74"/>
        <v>#REF!</v>
      </c>
      <c r="T64" s="11" t="str">
        <f t="shared" si="75"/>
        <v/>
      </c>
      <c r="U64" s="11" t="e">
        <f t="shared" si="76"/>
        <v>#REF!</v>
      </c>
      <c r="V64" s="11" t="str">
        <f t="shared" si="77"/>
        <v/>
      </c>
      <c r="W64" s="11" t="e">
        <f t="shared" si="78"/>
        <v>#REF!</v>
      </c>
      <c r="X64" s="11" t="str">
        <f t="shared" si="79"/>
        <v/>
      </c>
      <c r="Y64" s="11" t="e">
        <f t="shared" si="80"/>
        <v>#REF!</v>
      </c>
      <c r="Z64" s="11" t="str">
        <f t="shared" si="81"/>
        <v/>
      </c>
      <c r="AA64" s="11" t="e">
        <f t="shared" si="82"/>
        <v>#REF!</v>
      </c>
      <c r="AB64" s="11" t="str">
        <f t="shared" si="83"/>
        <v/>
      </c>
      <c r="AC64" s="11" t="e">
        <f t="shared" si="84"/>
        <v>#REF!</v>
      </c>
      <c r="AD64" s="11" t="str">
        <f t="shared" si="85"/>
        <v/>
      </c>
      <c r="AE64" s="11" t="e">
        <f t="shared" si="86"/>
        <v>#REF!</v>
      </c>
      <c r="AF64" s="11" t="str">
        <f t="shared" si="87"/>
        <v/>
      </c>
      <c r="AG64" s="11" t="e">
        <f t="shared" si="88"/>
        <v>#REF!</v>
      </c>
      <c r="AH64" s="11" t="str">
        <f t="shared" si="89"/>
        <v/>
      </c>
      <c r="AI64" s="11" t="e">
        <f t="shared" si="90"/>
        <v>#REF!</v>
      </c>
      <c r="AJ64" s="11" t="str">
        <f t="shared" si="91"/>
        <v/>
      </c>
      <c r="AK64" s="11" t="e">
        <f t="shared" si="92"/>
        <v>#REF!</v>
      </c>
      <c r="AL64" s="11" t="str">
        <f t="shared" si="93"/>
        <v/>
      </c>
      <c r="AM64" s="11" t="e">
        <f t="shared" si="94"/>
        <v>#REF!</v>
      </c>
      <c r="AN64" s="11" t="str">
        <f t="shared" si="95"/>
        <v/>
      </c>
      <c r="AO64" s="11" t="e">
        <f t="shared" si="96"/>
        <v>#REF!</v>
      </c>
      <c r="AP64" s="11" t="str">
        <f t="shared" si="97"/>
        <v/>
      </c>
      <c r="AQ64" s="11" t="e">
        <f t="shared" si="98"/>
        <v>#REF!</v>
      </c>
      <c r="AR64" s="11" t="str">
        <f t="shared" si="99"/>
        <v/>
      </c>
      <c r="AS64" s="11" t="e">
        <f t="shared" si="100"/>
        <v>#REF!</v>
      </c>
      <c r="AT64" s="11" t="str">
        <f t="shared" si="101"/>
        <v/>
      </c>
      <c r="AU64" s="11" t="e">
        <f t="shared" si="102"/>
        <v>#REF!</v>
      </c>
      <c r="AV64" s="11" t="str">
        <f t="shared" si="103"/>
        <v/>
      </c>
      <c r="AW64" s="11" t="e">
        <f t="shared" si="104"/>
        <v>#REF!</v>
      </c>
      <c r="AX64" s="11" t="str">
        <f t="shared" si="105"/>
        <v/>
      </c>
      <c r="AY64" s="11" t="e">
        <f t="shared" si="106"/>
        <v>#REF!</v>
      </c>
      <c r="AZ64" s="11" t="str">
        <f t="shared" si="107"/>
        <v/>
      </c>
      <c r="BA64" s="11" t="e">
        <f t="shared" si="108"/>
        <v>#REF!</v>
      </c>
      <c r="BB64" s="11" t="str">
        <f t="shared" si="109"/>
        <v/>
      </c>
      <c r="BC64" s="11" t="e">
        <f t="shared" si="110"/>
        <v>#REF!</v>
      </c>
      <c r="BD64" s="11" t="str">
        <f t="shared" si="111"/>
        <v/>
      </c>
      <c r="BE64" s="11" t="e">
        <f t="shared" si="112"/>
        <v>#REF!</v>
      </c>
      <c r="BF64" s="11" t="str">
        <f t="shared" si="113"/>
        <v/>
      </c>
      <c r="BG64" s="11" t="e">
        <f t="shared" si="114"/>
        <v>#REF!</v>
      </c>
      <c r="BH64" s="11" t="str">
        <f t="shared" si="115"/>
        <v/>
      </c>
      <c r="BI64" s="11" t="e">
        <f t="shared" si="116"/>
        <v>#REF!</v>
      </c>
      <c r="BJ64" s="11" t="str">
        <f t="shared" si="117"/>
        <v/>
      </c>
      <c r="BK64" s="11" t="e">
        <f t="shared" si="118"/>
        <v>#REF!</v>
      </c>
      <c r="BL64" s="11" t="str">
        <f t="shared" si="119"/>
        <v/>
      </c>
      <c r="BM64" s="22" t="e">
        <f t="shared" si="59"/>
        <v>#REF!</v>
      </c>
      <c r="BN64" s="113" t="e">
        <f t="shared" si="60"/>
        <v>#REF!</v>
      </c>
      <c r="BO64" s="41" t="e">
        <f t="shared" si="61"/>
        <v>#REF!</v>
      </c>
      <c r="BP64" s="15" t="str">
        <f t="shared" si="62"/>
        <v/>
      </c>
      <c r="BQ64" s="101" t="e">
        <f t="shared" si="63"/>
        <v>#REF!</v>
      </c>
      <c r="BR64" s="15" t="str">
        <f>IF('ריכוז נתונים כללים'!$W64='ריכוז נתונים כללים'!$AN$16,MIN(BP64,'ריכוז נתונים כללים'!$AB64),BP64)</f>
        <v/>
      </c>
      <c r="BS64" s="15" t="e">
        <f>IF($C64="","",IF('ריכוז נתונים כללים'!$W64='ריכוז נתונים כללים'!$AN$16,BR64,BR64+($C$3-BR$77)*(BR64/(BR$77-SUMIF('ריכוז נתונים כללים'!$W$17:$W$76,'ריכוז נתונים כללים'!$AN$16,BR$17:BR$76)))))</f>
        <v>#REF!</v>
      </c>
    </row>
    <row r="65" spans="2:71" x14ac:dyDescent="0.25">
      <c r="B65" s="7">
        <f>'ריכוז נתונים'!C65</f>
        <v>49</v>
      </c>
      <c r="C65" s="7" t="e">
        <f>#REF!</f>
        <v>#REF!</v>
      </c>
      <c r="D65" s="22" t="e">
        <f>IF(C65="","",#REF!)</f>
        <v>#REF!</v>
      </c>
      <c r="E65" s="22" t="e">
        <f>IF(C65="","",#REF!)</f>
        <v>#REF!</v>
      </c>
      <c r="F65" s="22" t="str">
        <f t="shared" si="1"/>
        <v/>
      </c>
      <c r="G65" s="11" t="e">
        <f t="shared" si="58"/>
        <v>#REF!</v>
      </c>
      <c r="H65" s="11" t="str">
        <f t="shared" si="64"/>
        <v/>
      </c>
      <c r="I65" s="11" t="e">
        <f t="shared" si="58"/>
        <v>#REF!</v>
      </c>
      <c r="J65" s="11" t="str">
        <f t="shared" si="65"/>
        <v/>
      </c>
      <c r="K65" s="11" t="e">
        <f t="shared" si="66"/>
        <v>#REF!</v>
      </c>
      <c r="L65" s="11" t="str">
        <f t="shared" si="67"/>
        <v/>
      </c>
      <c r="M65" s="11" t="e">
        <f t="shared" si="68"/>
        <v>#REF!</v>
      </c>
      <c r="N65" s="11" t="str">
        <f t="shared" si="69"/>
        <v/>
      </c>
      <c r="O65" s="11" t="e">
        <f t="shared" si="70"/>
        <v>#REF!</v>
      </c>
      <c r="P65" s="11" t="str">
        <f t="shared" si="71"/>
        <v/>
      </c>
      <c r="Q65" s="11" t="e">
        <f t="shared" si="72"/>
        <v>#REF!</v>
      </c>
      <c r="R65" s="11" t="str">
        <f t="shared" si="73"/>
        <v/>
      </c>
      <c r="S65" s="11" t="e">
        <f t="shared" si="74"/>
        <v>#REF!</v>
      </c>
      <c r="T65" s="11" t="str">
        <f t="shared" si="75"/>
        <v/>
      </c>
      <c r="U65" s="11" t="e">
        <f t="shared" si="76"/>
        <v>#REF!</v>
      </c>
      <c r="V65" s="11" t="str">
        <f t="shared" si="77"/>
        <v/>
      </c>
      <c r="W65" s="11" t="e">
        <f t="shared" si="78"/>
        <v>#REF!</v>
      </c>
      <c r="X65" s="11" t="str">
        <f t="shared" si="79"/>
        <v/>
      </c>
      <c r="Y65" s="11" t="e">
        <f t="shared" si="80"/>
        <v>#REF!</v>
      </c>
      <c r="Z65" s="11" t="str">
        <f t="shared" si="81"/>
        <v/>
      </c>
      <c r="AA65" s="11" t="e">
        <f t="shared" si="82"/>
        <v>#REF!</v>
      </c>
      <c r="AB65" s="11" t="str">
        <f t="shared" si="83"/>
        <v/>
      </c>
      <c r="AC65" s="11" t="e">
        <f t="shared" si="84"/>
        <v>#REF!</v>
      </c>
      <c r="AD65" s="11" t="str">
        <f t="shared" si="85"/>
        <v/>
      </c>
      <c r="AE65" s="11" t="e">
        <f t="shared" si="86"/>
        <v>#REF!</v>
      </c>
      <c r="AF65" s="11" t="str">
        <f t="shared" si="87"/>
        <v/>
      </c>
      <c r="AG65" s="11" t="e">
        <f t="shared" si="88"/>
        <v>#REF!</v>
      </c>
      <c r="AH65" s="11" t="str">
        <f t="shared" si="89"/>
        <v/>
      </c>
      <c r="AI65" s="11" t="e">
        <f t="shared" si="90"/>
        <v>#REF!</v>
      </c>
      <c r="AJ65" s="11" t="str">
        <f t="shared" si="91"/>
        <v/>
      </c>
      <c r="AK65" s="11" t="e">
        <f t="shared" si="92"/>
        <v>#REF!</v>
      </c>
      <c r="AL65" s="11" t="str">
        <f t="shared" si="93"/>
        <v/>
      </c>
      <c r="AM65" s="11" t="e">
        <f t="shared" si="94"/>
        <v>#REF!</v>
      </c>
      <c r="AN65" s="11" t="str">
        <f t="shared" si="95"/>
        <v/>
      </c>
      <c r="AO65" s="11" t="e">
        <f t="shared" si="96"/>
        <v>#REF!</v>
      </c>
      <c r="AP65" s="11" t="str">
        <f t="shared" si="97"/>
        <v/>
      </c>
      <c r="AQ65" s="11" t="e">
        <f t="shared" si="98"/>
        <v>#REF!</v>
      </c>
      <c r="AR65" s="11" t="str">
        <f t="shared" si="99"/>
        <v/>
      </c>
      <c r="AS65" s="11" t="e">
        <f t="shared" si="100"/>
        <v>#REF!</v>
      </c>
      <c r="AT65" s="11" t="str">
        <f t="shared" si="101"/>
        <v/>
      </c>
      <c r="AU65" s="11" t="e">
        <f t="shared" si="102"/>
        <v>#REF!</v>
      </c>
      <c r="AV65" s="11" t="str">
        <f t="shared" si="103"/>
        <v/>
      </c>
      <c r="AW65" s="11" t="e">
        <f t="shared" si="104"/>
        <v>#REF!</v>
      </c>
      <c r="AX65" s="11" t="str">
        <f t="shared" si="105"/>
        <v/>
      </c>
      <c r="AY65" s="11" t="e">
        <f t="shared" si="106"/>
        <v>#REF!</v>
      </c>
      <c r="AZ65" s="11" t="str">
        <f t="shared" si="107"/>
        <v/>
      </c>
      <c r="BA65" s="11" t="e">
        <f t="shared" si="108"/>
        <v>#REF!</v>
      </c>
      <c r="BB65" s="11" t="str">
        <f t="shared" si="109"/>
        <v/>
      </c>
      <c r="BC65" s="11" t="e">
        <f t="shared" si="110"/>
        <v>#REF!</v>
      </c>
      <c r="BD65" s="11" t="str">
        <f t="shared" si="111"/>
        <v/>
      </c>
      <c r="BE65" s="11" t="e">
        <f t="shared" si="112"/>
        <v>#REF!</v>
      </c>
      <c r="BF65" s="11" t="str">
        <f t="shared" si="113"/>
        <v/>
      </c>
      <c r="BG65" s="11" t="e">
        <f t="shared" si="114"/>
        <v>#REF!</v>
      </c>
      <c r="BH65" s="11" t="str">
        <f t="shared" si="115"/>
        <v/>
      </c>
      <c r="BI65" s="11" t="e">
        <f t="shared" si="116"/>
        <v>#REF!</v>
      </c>
      <c r="BJ65" s="11" t="str">
        <f t="shared" si="117"/>
        <v/>
      </c>
      <c r="BK65" s="11" t="e">
        <f t="shared" si="118"/>
        <v>#REF!</v>
      </c>
      <c r="BL65" s="11" t="str">
        <f t="shared" si="119"/>
        <v/>
      </c>
      <c r="BM65" s="22" t="e">
        <f t="shared" si="59"/>
        <v>#REF!</v>
      </c>
      <c r="BN65" s="113" t="e">
        <f t="shared" si="60"/>
        <v>#REF!</v>
      </c>
      <c r="BO65" s="41" t="e">
        <f t="shared" si="61"/>
        <v>#REF!</v>
      </c>
      <c r="BP65" s="15" t="str">
        <f t="shared" si="62"/>
        <v/>
      </c>
      <c r="BQ65" s="101" t="e">
        <f t="shared" si="63"/>
        <v>#REF!</v>
      </c>
      <c r="BR65" s="15" t="str">
        <f>IF('ריכוז נתונים כללים'!$W65='ריכוז נתונים כללים'!$AN$16,MIN(BP65,'ריכוז נתונים כללים'!$AB65),BP65)</f>
        <v/>
      </c>
      <c r="BS65" s="15" t="e">
        <f>IF($C65="","",IF('ריכוז נתונים כללים'!$W65='ריכוז נתונים כללים'!$AN$16,BR65,BR65+($C$3-BR$77)*(BR65/(BR$77-SUMIF('ריכוז נתונים כללים'!$W$17:$W$76,'ריכוז נתונים כללים'!$AN$16,BR$17:BR$76)))))</f>
        <v>#REF!</v>
      </c>
    </row>
    <row r="66" spans="2:71" x14ac:dyDescent="0.25">
      <c r="B66" s="7">
        <f>'ריכוז נתונים'!C66</f>
        <v>50</v>
      </c>
      <c r="C66" s="7" t="e">
        <f>#REF!</f>
        <v>#REF!</v>
      </c>
      <c r="D66" s="22" t="e">
        <f>IF(C66="","",#REF!)</f>
        <v>#REF!</v>
      </c>
      <c r="E66" s="22" t="e">
        <f>IF(C66="","",#REF!)</f>
        <v>#REF!</v>
      </c>
      <c r="F66" s="22" t="str">
        <f t="shared" si="1"/>
        <v/>
      </c>
      <c r="G66" s="11" t="e">
        <f t="shared" si="58"/>
        <v>#REF!</v>
      </c>
      <c r="H66" s="11" t="str">
        <f t="shared" si="64"/>
        <v/>
      </c>
      <c r="I66" s="11" t="e">
        <f t="shared" si="58"/>
        <v>#REF!</v>
      </c>
      <c r="J66" s="11" t="str">
        <f t="shared" si="65"/>
        <v/>
      </c>
      <c r="K66" s="11" t="e">
        <f t="shared" si="66"/>
        <v>#REF!</v>
      </c>
      <c r="L66" s="11" t="str">
        <f t="shared" si="67"/>
        <v/>
      </c>
      <c r="M66" s="11" t="e">
        <f t="shared" si="68"/>
        <v>#REF!</v>
      </c>
      <c r="N66" s="11" t="str">
        <f t="shared" si="69"/>
        <v/>
      </c>
      <c r="O66" s="11" t="e">
        <f t="shared" si="70"/>
        <v>#REF!</v>
      </c>
      <c r="P66" s="11" t="str">
        <f t="shared" si="71"/>
        <v/>
      </c>
      <c r="Q66" s="11" t="e">
        <f t="shared" si="72"/>
        <v>#REF!</v>
      </c>
      <c r="R66" s="11" t="str">
        <f t="shared" si="73"/>
        <v/>
      </c>
      <c r="S66" s="11" t="e">
        <f t="shared" si="74"/>
        <v>#REF!</v>
      </c>
      <c r="T66" s="11" t="str">
        <f t="shared" si="75"/>
        <v/>
      </c>
      <c r="U66" s="11" t="e">
        <f t="shared" si="76"/>
        <v>#REF!</v>
      </c>
      <c r="V66" s="11" t="str">
        <f t="shared" si="77"/>
        <v/>
      </c>
      <c r="W66" s="11" t="e">
        <f t="shared" si="78"/>
        <v>#REF!</v>
      </c>
      <c r="X66" s="11" t="str">
        <f t="shared" si="79"/>
        <v/>
      </c>
      <c r="Y66" s="11" t="e">
        <f t="shared" si="80"/>
        <v>#REF!</v>
      </c>
      <c r="Z66" s="11" t="str">
        <f t="shared" si="81"/>
        <v/>
      </c>
      <c r="AA66" s="11" t="e">
        <f t="shared" si="82"/>
        <v>#REF!</v>
      </c>
      <c r="AB66" s="11" t="str">
        <f t="shared" si="83"/>
        <v/>
      </c>
      <c r="AC66" s="11" t="e">
        <f t="shared" si="84"/>
        <v>#REF!</v>
      </c>
      <c r="AD66" s="11" t="str">
        <f t="shared" si="85"/>
        <v/>
      </c>
      <c r="AE66" s="11" t="e">
        <f t="shared" si="86"/>
        <v>#REF!</v>
      </c>
      <c r="AF66" s="11" t="str">
        <f t="shared" si="87"/>
        <v/>
      </c>
      <c r="AG66" s="11" t="e">
        <f t="shared" si="88"/>
        <v>#REF!</v>
      </c>
      <c r="AH66" s="11" t="str">
        <f t="shared" si="89"/>
        <v/>
      </c>
      <c r="AI66" s="11" t="e">
        <f t="shared" si="90"/>
        <v>#REF!</v>
      </c>
      <c r="AJ66" s="11" t="str">
        <f t="shared" si="91"/>
        <v/>
      </c>
      <c r="AK66" s="11" t="e">
        <f t="shared" si="92"/>
        <v>#REF!</v>
      </c>
      <c r="AL66" s="11" t="str">
        <f t="shared" si="93"/>
        <v/>
      </c>
      <c r="AM66" s="11" t="e">
        <f t="shared" si="94"/>
        <v>#REF!</v>
      </c>
      <c r="AN66" s="11" t="str">
        <f t="shared" si="95"/>
        <v/>
      </c>
      <c r="AO66" s="11" t="e">
        <f t="shared" si="96"/>
        <v>#REF!</v>
      </c>
      <c r="AP66" s="11" t="str">
        <f t="shared" si="97"/>
        <v/>
      </c>
      <c r="AQ66" s="11" t="e">
        <f t="shared" si="98"/>
        <v>#REF!</v>
      </c>
      <c r="AR66" s="11" t="str">
        <f t="shared" si="99"/>
        <v/>
      </c>
      <c r="AS66" s="11" t="e">
        <f t="shared" si="100"/>
        <v>#REF!</v>
      </c>
      <c r="AT66" s="11" t="str">
        <f t="shared" si="101"/>
        <v/>
      </c>
      <c r="AU66" s="11" t="e">
        <f t="shared" si="102"/>
        <v>#REF!</v>
      </c>
      <c r="AV66" s="11" t="str">
        <f t="shared" si="103"/>
        <v/>
      </c>
      <c r="AW66" s="11" t="e">
        <f t="shared" si="104"/>
        <v>#REF!</v>
      </c>
      <c r="AX66" s="11" t="str">
        <f t="shared" si="105"/>
        <v/>
      </c>
      <c r="AY66" s="11" t="e">
        <f t="shared" si="106"/>
        <v>#REF!</v>
      </c>
      <c r="AZ66" s="11" t="str">
        <f t="shared" si="107"/>
        <v/>
      </c>
      <c r="BA66" s="11" t="e">
        <f t="shared" si="108"/>
        <v>#REF!</v>
      </c>
      <c r="BB66" s="11" t="str">
        <f t="shared" si="109"/>
        <v/>
      </c>
      <c r="BC66" s="11" t="e">
        <f t="shared" si="110"/>
        <v>#REF!</v>
      </c>
      <c r="BD66" s="11" t="str">
        <f t="shared" si="111"/>
        <v/>
      </c>
      <c r="BE66" s="11" t="e">
        <f t="shared" si="112"/>
        <v>#REF!</v>
      </c>
      <c r="BF66" s="11" t="str">
        <f t="shared" si="113"/>
        <v/>
      </c>
      <c r="BG66" s="11" t="e">
        <f t="shared" si="114"/>
        <v>#REF!</v>
      </c>
      <c r="BH66" s="11" t="str">
        <f t="shared" si="115"/>
        <v/>
      </c>
      <c r="BI66" s="11" t="e">
        <f t="shared" si="116"/>
        <v>#REF!</v>
      </c>
      <c r="BJ66" s="11" t="str">
        <f t="shared" si="117"/>
        <v/>
      </c>
      <c r="BK66" s="11" t="e">
        <f t="shared" si="118"/>
        <v>#REF!</v>
      </c>
      <c r="BL66" s="11" t="str">
        <f t="shared" si="119"/>
        <v/>
      </c>
      <c r="BM66" s="22" t="e">
        <f t="shared" si="59"/>
        <v>#REF!</v>
      </c>
      <c r="BN66" s="113" t="e">
        <f t="shared" si="60"/>
        <v>#REF!</v>
      </c>
      <c r="BO66" s="41" t="e">
        <f t="shared" si="61"/>
        <v>#REF!</v>
      </c>
      <c r="BP66" s="15" t="str">
        <f t="shared" si="62"/>
        <v/>
      </c>
      <c r="BQ66" s="101" t="e">
        <f t="shared" si="63"/>
        <v>#REF!</v>
      </c>
      <c r="BR66" s="15" t="str">
        <f>IF('ריכוז נתונים כללים'!$W66='ריכוז נתונים כללים'!$AN$16,MIN(BP66,'ריכוז נתונים כללים'!$AB66),BP66)</f>
        <v/>
      </c>
      <c r="BS66" s="15" t="e">
        <f>IF($C66="","",IF('ריכוז נתונים כללים'!$W66='ריכוז נתונים כללים'!$AN$16,BR66,BR66+($C$3-BR$77)*(BR66/(BR$77-SUMIF('ריכוז נתונים כללים'!$W$17:$W$76,'ריכוז נתונים כללים'!$AN$16,BR$17:BR$76)))))</f>
        <v>#REF!</v>
      </c>
    </row>
    <row r="67" spans="2:71" x14ac:dyDescent="0.25">
      <c r="B67" s="7">
        <f>'ריכוז נתונים'!C67</f>
        <v>51</v>
      </c>
      <c r="C67" s="7" t="e">
        <f>#REF!</f>
        <v>#REF!</v>
      </c>
      <c r="D67" s="22" t="e">
        <f>IF(C67="","",#REF!)</f>
        <v>#REF!</v>
      </c>
      <c r="E67" s="22" t="e">
        <f>IF(C67="","",#REF!)</f>
        <v>#REF!</v>
      </c>
      <c r="F67" s="22" t="str">
        <f t="shared" si="1"/>
        <v/>
      </c>
      <c r="G67" s="11" t="e">
        <f t="shared" si="58"/>
        <v>#REF!</v>
      </c>
      <c r="H67" s="11" t="str">
        <f t="shared" si="64"/>
        <v/>
      </c>
      <c r="I67" s="11" t="e">
        <f t="shared" si="58"/>
        <v>#REF!</v>
      </c>
      <c r="J67" s="11" t="str">
        <f t="shared" si="65"/>
        <v/>
      </c>
      <c r="K67" s="11" t="e">
        <f t="shared" si="66"/>
        <v>#REF!</v>
      </c>
      <c r="L67" s="11" t="str">
        <f t="shared" si="67"/>
        <v/>
      </c>
      <c r="M67" s="11" t="e">
        <f t="shared" si="68"/>
        <v>#REF!</v>
      </c>
      <c r="N67" s="11" t="str">
        <f t="shared" si="69"/>
        <v/>
      </c>
      <c r="O67" s="11" t="e">
        <f t="shared" si="70"/>
        <v>#REF!</v>
      </c>
      <c r="P67" s="11" t="str">
        <f t="shared" si="71"/>
        <v/>
      </c>
      <c r="Q67" s="11" t="e">
        <f t="shared" si="72"/>
        <v>#REF!</v>
      </c>
      <c r="R67" s="11" t="str">
        <f t="shared" si="73"/>
        <v/>
      </c>
      <c r="S67" s="11" t="e">
        <f t="shared" si="74"/>
        <v>#REF!</v>
      </c>
      <c r="T67" s="11" t="str">
        <f t="shared" si="75"/>
        <v/>
      </c>
      <c r="U67" s="11" t="e">
        <f t="shared" si="76"/>
        <v>#REF!</v>
      </c>
      <c r="V67" s="11" t="str">
        <f t="shared" si="77"/>
        <v/>
      </c>
      <c r="W67" s="11" t="e">
        <f t="shared" si="78"/>
        <v>#REF!</v>
      </c>
      <c r="X67" s="11" t="str">
        <f t="shared" si="79"/>
        <v/>
      </c>
      <c r="Y67" s="11" t="e">
        <f t="shared" si="80"/>
        <v>#REF!</v>
      </c>
      <c r="Z67" s="11" t="str">
        <f t="shared" si="81"/>
        <v/>
      </c>
      <c r="AA67" s="11" t="e">
        <f t="shared" si="82"/>
        <v>#REF!</v>
      </c>
      <c r="AB67" s="11" t="str">
        <f t="shared" si="83"/>
        <v/>
      </c>
      <c r="AC67" s="11" t="e">
        <f t="shared" si="84"/>
        <v>#REF!</v>
      </c>
      <c r="AD67" s="11" t="str">
        <f t="shared" si="85"/>
        <v/>
      </c>
      <c r="AE67" s="11" t="e">
        <f t="shared" si="86"/>
        <v>#REF!</v>
      </c>
      <c r="AF67" s="11" t="str">
        <f t="shared" si="87"/>
        <v/>
      </c>
      <c r="AG67" s="11" t="e">
        <f t="shared" si="88"/>
        <v>#REF!</v>
      </c>
      <c r="AH67" s="11" t="str">
        <f t="shared" si="89"/>
        <v/>
      </c>
      <c r="AI67" s="11" t="e">
        <f t="shared" si="90"/>
        <v>#REF!</v>
      </c>
      <c r="AJ67" s="11" t="str">
        <f t="shared" si="91"/>
        <v/>
      </c>
      <c r="AK67" s="11" t="e">
        <f t="shared" si="92"/>
        <v>#REF!</v>
      </c>
      <c r="AL67" s="11" t="str">
        <f t="shared" si="93"/>
        <v/>
      </c>
      <c r="AM67" s="11" t="e">
        <f t="shared" si="94"/>
        <v>#REF!</v>
      </c>
      <c r="AN67" s="11" t="str">
        <f t="shared" si="95"/>
        <v/>
      </c>
      <c r="AO67" s="11" t="e">
        <f t="shared" si="96"/>
        <v>#REF!</v>
      </c>
      <c r="AP67" s="11" t="str">
        <f t="shared" si="97"/>
        <v/>
      </c>
      <c r="AQ67" s="11" t="e">
        <f t="shared" si="98"/>
        <v>#REF!</v>
      </c>
      <c r="AR67" s="11" t="str">
        <f t="shared" si="99"/>
        <v/>
      </c>
      <c r="AS67" s="11" t="e">
        <f t="shared" si="100"/>
        <v>#REF!</v>
      </c>
      <c r="AT67" s="11" t="str">
        <f t="shared" si="101"/>
        <v/>
      </c>
      <c r="AU67" s="11" t="e">
        <f t="shared" si="102"/>
        <v>#REF!</v>
      </c>
      <c r="AV67" s="11" t="str">
        <f t="shared" si="103"/>
        <v/>
      </c>
      <c r="AW67" s="11" t="e">
        <f t="shared" si="104"/>
        <v>#REF!</v>
      </c>
      <c r="AX67" s="11" t="str">
        <f t="shared" si="105"/>
        <v/>
      </c>
      <c r="AY67" s="11" t="e">
        <f t="shared" si="106"/>
        <v>#REF!</v>
      </c>
      <c r="AZ67" s="11" t="str">
        <f t="shared" si="107"/>
        <v/>
      </c>
      <c r="BA67" s="11" t="e">
        <f t="shared" si="108"/>
        <v>#REF!</v>
      </c>
      <c r="BB67" s="11" t="str">
        <f t="shared" si="109"/>
        <v/>
      </c>
      <c r="BC67" s="11" t="e">
        <f t="shared" si="110"/>
        <v>#REF!</v>
      </c>
      <c r="BD67" s="11" t="str">
        <f t="shared" si="111"/>
        <v/>
      </c>
      <c r="BE67" s="11" t="e">
        <f t="shared" si="112"/>
        <v>#REF!</v>
      </c>
      <c r="BF67" s="11" t="str">
        <f t="shared" si="113"/>
        <v/>
      </c>
      <c r="BG67" s="11" t="e">
        <f t="shared" si="114"/>
        <v>#REF!</v>
      </c>
      <c r="BH67" s="11" t="str">
        <f t="shared" si="115"/>
        <v/>
      </c>
      <c r="BI67" s="11" t="e">
        <f t="shared" si="116"/>
        <v>#REF!</v>
      </c>
      <c r="BJ67" s="11" t="str">
        <f t="shared" si="117"/>
        <v/>
      </c>
      <c r="BK67" s="11" t="e">
        <f t="shared" si="118"/>
        <v>#REF!</v>
      </c>
      <c r="BL67" s="11" t="str">
        <f t="shared" si="119"/>
        <v/>
      </c>
      <c r="BM67" s="22" t="e">
        <f t="shared" si="59"/>
        <v>#REF!</v>
      </c>
      <c r="BN67" s="113" t="e">
        <f t="shared" si="60"/>
        <v>#REF!</v>
      </c>
      <c r="BO67" s="41" t="e">
        <f t="shared" si="61"/>
        <v>#REF!</v>
      </c>
      <c r="BP67" s="15" t="str">
        <f t="shared" si="62"/>
        <v/>
      </c>
      <c r="BQ67" s="101" t="e">
        <f t="shared" si="63"/>
        <v>#REF!</v>
      </c>
      <c r="BR67" s="15" t="str">
        <f>IF('ריכוז נתונים כללים'!$W67='ריכוז נתונים כללים'!$AN$16,MIN(BP67,'ריכוז נתונים כללים'!$AB67),BP67)</f>
        <v/>
      </c>
      <c r="BS67" s="15" t="e">
        <f>IF($C67="","",IF('ריכוז נתונים כללים'!$W67='ריכוז נתונים כללים'!$AN$16,BR67,BR67+($C$3-BR$77)*(BR67/(BR$77-SUMIF('ריכוז נתונים כללים'!$W$17:$W$76,'ריכוז נתונים כללים'!$AN$16,BR$17:BR$76)))))</f>
        <v>#REF!</v>
      </c>
    </row>
    <row r="68" spans="2:71" x14ac:dyDescent="0.25">
      <c r="B68" s="7">
        <f>'ריכוז נתונים'!C68</f>
        <v>52</v>
      </c>
      <c r="C68" s="7" t="e">
        <f>#REF!</f>
        <v>#REF!</v>
      </c>
      <c r="D68" s="22" t="e">
        <f>IF(C68="","",#REF!)</f>
        <v>#REF!</v>
      </c>
      <c r="E68" s="22" t="e">
        <f>IF(C68="","",#REF!)</f>
        <v>#REF!</v>
      </c>
      <c r="F68" s="22" t="str">
        <f t="shared" si="1"/>
        <v/>
      </c>
      <c r="G68" s="11" t="e">
        <f t="shared" si="58"/>
        <v>#REF!</v>
      </c>
      <c r="H68" s="11" t="str">
        <f t="shared" si="64"/>
        <v/>
      </c>
      <c r="I68" s="11" t="e">
        <f t="shared" si="58"/>
        <v>#REF!</v>
      </c>
      <c r="J68" s="11" t="str">
        <f t="shared" si="65"/>
        <v/>
      </c>
      <c r="K68" s="11" t="e">
        <f t="shared" si="66"/>
        <v>#REF!</v>
      </c>
      <c r="L68" s="11" t="str">
        <f t="shared" si="67"/>
        <v/>
      </c>
      <c r="M68" s="11" t="e">
        <f t="shared" si="68"/>
        <v>#REF!</v>
      </c>
      <c r="N68" s="11" t="str">
        <f t="shared" si="69"/>
        <v/>
      </c>
      <c r="O68" s="11" t="e">
        <f t="shared" si="70"/>
        <v>#REF!</v>
      </c>
      <c r="P68" s="11" t="str">
        <f t="shared" si="71"/>
        <v/>
      </c>
      <c r="Q68" s="11" t="e">
        <f t="shared" si="72"/>
        <v>#REF!</v>
      </c>
      <c r="R68" s="11" t="str">
        <f t="shared" si="73"/>
        <v/>
      </c>
      <c r="S68" s="11" t="e">
        <f t="shared" si="74"/>
        <v>#REF!</v>
      </c>
      <c r="T68" s="11" t="str">
        <f t="shared" si="75"/>
        <v/>
      </c>
      <c r="U68" s="11" t="e">
        <f t="shared" si="76"/>
        <v>#REF!</v>
      </c>
      <c r="V68" s="11" t="str">
        <f t="shared" si="77"/>
        <v/>
      </c>
      <c r="W68" s="11" t="e">
        <f t="shared" si="78"/>
        <v>#REF!</v>
      </c>
      <c r="X68" s="11" t="str">
        <f t="shared" si="79"/>
        <v/>
      </c>
      <c r="Y68" s="11" t="e">
        <f t="shared" si="80"/>
        <v>#REF!</v>
      </c>
      <c r="Z68" s="11" t="str">
        <f t="shared" si="81"/>
        <v/>
      </c>
      <c r="AA68" s="11" t="e">
        <f t="shared" si="82"/>
        <v>#REF!</v>
      </c>
      <c r="AB68" s="11" t="str">
        <f t="shared" si="83"/>
        <v/>
      </c>
      <c r="AC68" s="11" t="e">
        <f t="shared" si="84"/>
        <v>#REF!</v>
      </c>
      <c r="AD68" s="11" t="str">
        <f t="shared" si="85"/>
        <v/>
      </c>
      <c r="AE68" s="11" t="e">
        <f t="shared" si="86"/>
        <v>#REF!</v>
      </c>
      <c r="AF68" s="11" t="str">
        <f t="shared" si="87"/>
        <v/>
      </c>
      <c r="AG68" s="11" t="e">
        <f t="shared" si="88"/>
        <v>#REF!</v>
      </c>
      <c r="AH68" s="11" t="str">
        <f t="shared" si="89"/>
        <v/>
      </c>
      <c r="AI68" s="11" t="e">
        <f t="shared" si="90"/>
        <v>#REF!</v>
      </c>
      <c r="AJ68" s="11" t="str">
        <f t="shared" si="91"/>
        <v/>
      </c>
      <c r="AK68" s="11" t="e">
        <f t="shared" si="92"/>
        <v>#REF!</v>
      </c>
      <c r="AL68" s="11" t="str">
        <f t="shared" si="93"/>
        <v/>
      </c>
      <c r="AM68" s="11" t="e">
        <f t="shared" si="94"/>
        <v>#REF!</v>
      </c>
      <c r="AN68" s="11" t="str">
        <f t="shared" si="95"/>
        <v/>
      </c>
      <c r="AO68" s="11" t="e">
        <f t="shared" si="96"/>
        <v>#REF!</v>
      </c>
      <c r="AP68" s="11" t="str">
        <f t="shared" si="97"/>
        <v/>
      </c>
      <c r="AQ68" s="11" t="e">
        <f t="shared" si="98"/>
        <v>#REF!</v>
      </c>
      <c r="AR68" s="11" t="str">
        <f t="shared" si="99"/>
        <v/>
      </c>
      <c r="AS68" s="11" t="e">
        <f t="shared" si="100"/>
        <v>#REF!</v>
      </c>
      <c r="AT68" s="11" t="str">
        <f t="shared" si="101"/>
        <v/>
      </c>
      <c r="AU68" s="11" t="e">
        <f t="shared" si="102"/>
        <v>#REF!</v>
      </c>
      <c r="AV68" s="11" t="str">
        <f t="shared" si="103"/>
        <v/>
      </c>
      <c r="AW68" s="11" t="e">
        <f t="shared" si="104"/>
        <v>#REF!</v>
      </c>
      <c r="AX68" s="11" t="str">
        <f t="shared" si="105"/>
        <v/>
      </c>
      <c r="AY68" s="11" t="e">
        <f t="shared" si="106"/>
        <v>#REF!</v>
      </c>
      <c r="AZ68" s="11" t="str">
        <f t="shared" si="107"/>
        <v/>
      </c>
      <c r="BA68" s="11" t="e">
        <f t="shared" si="108"/>
        <v>#REF!</v>
      </c>
      <c r="BB68" s="11" t="str">
        <f t="shared" si="109"/>
        <v/>
      </c>
      <c r="BC68" s="11" t="e">
        <f t="shared" si="110"/>
        <v>#REF!</v>
      </c>
      <c r="BD68" s="11" t="str">
        <f t="shared" si="111"/>
        <v/>
      </c>
      <c r="BE68" s="11" t="e">
        <f t="shared" si="112"/>
        <v>#REF!</v>
      </c>
      <c r="BF68" s="11" t="str">
        <f t="shared" si="113"/>
        <v/>
      </c>
      <c r="BG68" s="11" t="e">
        <f t="shared" si="114"/>
        <v>#REF!</v>
      </c>
      <c r="BH68" s="11" t="str">
        <f t="shared" si="115"/>
        <v/>
      </c>
      <c r="BI68" s="11" t="e">
        <f t="shared" si="116"/>
        <v>#REF!</v>
      </c>
      <c r="BJ68" s="11" t="str">
        <f t="shared" si="117"/>
        <v/>
      </c>
      <c r="BK68" s="11" t="e">
        <f t="shared" si="118"/>
        <v>#REF!</v>
      </c>
      <c r="BL68" s="11" t="str">
        <f t="shared" si="119"/>
        <v/>
      </c>
      <c r="BM68" s="22" t="e">
        <f t="shared" si="59"/>
        <v>#REF!</v>
      </c>
      <c r="BN68" s="113" t="e">
        <f t="shared" si="60"/>
        <v>#REF!</v>
      </c>
      <c r="BO68" s="41" t="e">
        <f t="shared" si="61"/>
        <v>#REF!</v>
      </c>
      <c r="BP68" s="15" t="str">
        <f t="shared" si="62"/>
        <v/>
      </c>
      <c r="BQ68" s="101" t="e">
        <f t="shared" si="63"/>
        <v>#REF!</v>
      </c>
      <c r="BR68" s="15" t="str">
        <f>IF('ריכוז נתונים כללים'!$W68='ריכוז נתונים כללים'!$AN$16,MIN(BP68,'ריכוז נתונים כללים'!$AB68),BP68)</f>
        <v/>
      </c>
      <c r="BS68" s="15" t="e">
        <f>IF($C68="","",IF('ריכוז נתונים כללים'!$W68='ריכוז נתונים כללים'!$AN$16,BR68,BR68+($C$3-BR$77)*(BR68/(BR$77-SUMIF('ריכוז נתונים כללים'!$W$17:$W$76,'ריכוז נתונים כללים'!$AN$16,BR$17:BR$76)))))</f>
        <v>#REF!</v>
      </c>
    </row>
    <row r="69" spans="2:71" x14ac:dyDescent="0.25">
      <c r="B69" s="7">
        <f>'ריכוז נתונים'!C69</f>
        <v>53</v>
      </c>
      <c r="C69" s="7" t="e">
        <f>#REF!</f>
        <v>#REF!</v>
      </c>
      <c r="D69" s="22" t="e">
        <f>IF(C69="","",#REF!)</f>
        <v>#REF!</v>
      </c>
      <c r="E69" s="22" t="e">
        <f>IF(C69="","",#REF!)</f>
        <v>#REF!</v>
      </c>
      <c r="F69" s="22" t="str">
        <f t="shared" si="1"/>
        <v/>
      </c>
      <c r="G69" s="11" t="e">
        <f t="shared" si="58"/>
        <v>#REF!</v>
      </c>
      <c r="H69" s="11" t="str">
        <f t="shared" si="64"/>
        <v/>
      </c>
      <c r="I69" s="11" t="e">
        <f t="shared" si="58"/>
        <v>#REF!</v>
      </c>
      <c r="J69" s="11" t="str">
        <f t="shared" si="65"/>
        <v/>
      </c>
      <c r="K69" s="11" t="e">
        <f t="shared" si="66"/>
        <v>#REF!</v>
      </c>
      <c r="L69" s="11" t="str">
        <f t="shared" si="67"/>
        <v/>
      </c>
      <c r="M69" s="11" t="e">
        <f t="shared" si="68"/>
        <v>#REF!</v>
      </c>
      <c r="N69" s="11" t="str">
        <f t="shared" si="69"/>
        <v/>
      </c>
      <c r="O69" s="11" t="e">
        <f t="shared" si="70"/>
        <v>#REF!</v>
      </c>
      <c r="P69" s="11" t="str">
        <f t="shared" si="71"/>
        <v/>
      </c>
      <c r="Q69" s="11" t="e">
        <f t="shared" si="72"/>
        <v>#REF!</v>
      </c>
      <c r="R69" s="11" t="str">
        <f t="shared" si="73"/>
        <v/>
      </c>
      <c r="S69" s="11" t="e">
        <f t="shared" si="74"/>
        <v>#REF!</v>
      </c>
      <c r="T69" s="11" t="str">
        <f t="shared" si="75"/>
        <v/>
      </c>
      <c r="U69" s="11" t="e">
        <f t="shared" si="76"/>
        <v>#REF!</v>
      </c>
      <c r="V69" s="11" t="str">
        <f t="shared" si="77"/>
        <v/>
      </c>
      <c r="W69" s="11" t="e">
        <f t="shared" si="78"/>
        <v>#REF!</v>
      </c>
      <c r="X69" s="11" t="str">
        <f t="shared" si="79"/>
        <v/>
      </c>
      <c r="Y69" s="11" t="e">
        <f t="shared" si="80"/>
        <v>#REF!</v>
      </c>
      <c r="Z69" s="11" t="str">
        <f t="shared" si="81"/>
        <v/>
      </c>
      <c r="AA69" s="11" t="e">
        <f t="shared" si="82"/>
        <v>#REF!</v>
      </c>
      <c r="AB69" s="11" t="str">
        <f t="shared" si="83"/>
        <v/>
      </c>
      <c r="AC69" s="11" t="e">
        <f t="shared" si="84"/>
        <v>#REF!</v>
      </c>
      <c r="AD69" s="11" t="str">
        <f t="shared" si="85"/>
        <v/>
      </c>
      <c r="AE69" s="11" t="e">
        <f t="shared" si="86"/>
        <v>#REF!</v>
      </c>
      <c r="AF69" s="11" t="str">
        <f t="shared" si="87"/>
        <v/>
      </c>
      <c r="AG69" s="11" t="e">
        <f t="shared" si="88"/>
        <v>#REF!</v>
      </c>
      <c r="AH69" s="11" t="str">
        <f t="shared" si="89"/>
        <v/>
      </c>
      <c r="AI69" s="11" t="e">
        <f t="shared" si="90"/>
        <v>#REF!</v>
      </c>
      <c r="AJ69" s="11" t="str">
        <f t="shared" si="91"/>
        <v/>
      </c>
      <c r="AK69" s="11" t="e">
        <f t="shared" si="92"/>
        <v>#REF!</v>
      </c>
      <c r="AL69" s="11" t="str">
        <f t="shared" si="93"/>
        <v/>
      </c>
      <c r="AM69" s="11" t="e">
        <f t="shared" si="94"/>
        <v>#REF!</v>
      </c>
      <c r="AN69" s="11" t="str">
        <f t="shared" si="95"/>
        <v/>
      </c>
      <c r="AO69" s="11" t="e">
        <f t="shared" si="96"/>
        <v>#REF!</v>
      </c>
      <c r="AP69" s="11" t="str">
        <f t="shared" si="97"/>
        <v/>
      </c>
      <c r="AQ69" s="11" t="e">
        <f t="shared" si="98"/>
        <v>#REF!</v>
      </c>
      <c r="AR69" s="11" t="str">
        <f t="shared" si="99"/>
        <v/>
      </c>
      <c r="AS69" s="11" t="e">
        <f t="shared" si="100"/>
        <v>#REF!</v>
      </c>
      <c r="AT69" s="11" t="str">
        <f t="shared" si="101"/>
        <v/>
      </c>
      <c r="AU69" s="11" t="e">
        <f t="shared" si="102"/>
        <v>#REF!</v>
      </c>
      <c r="AV69" s="11" t="str">
        <f t="shared" si="103"/>
        <v/>
      </c>
      <c r="AW69" s="11" t="e">
        <f t="shared" si="104"/>
        <v>#REF!</v>
      </c>
      <c r="AX69" s="11" t="str">
        <f t="shared" si="105"/>
        <v/>
      </c>
      <c r="AY69" s="11" t="e">
        <f t="shared" si="106"/>
        <v>#REF!</v>
      </c>
      <c r="AZ69" s="11" t="str">
        <f t="shared" si="107"/>
        <v/>
      </c>
      <c r="BA69" s="11" t="e">
        <f t="shared" si="108"/>
        <v>#REF!</v>
      </c>
      <c r="BB69" s="11" t="str">
        <f t="shared" si="109"/>
        <v/>
      </c>
      <c r="BC69" s="11" t="e">
        <f t="shared" si="110"/>
        <v>#REF!</v>
      </c>
      <c r="BD69" s="11" t="str">
        <f t="shared" si="111"/>
        <v/>
      </c>
      <c r="BE69" s="11" t="e">
        <f t="shared" si="112"/>
        <v>#REF!</v>
      </c>
      <c r="BF69" s="11" t="str">
        <f t="shared" si="113"/>
        <v/>
      </c>
      <c r="BG69" s="11" t="e">
        <f t="shared" si="114"/>
        <v>#REF!</v>
      </c>
      <c r="BH69" s="11" t="str">
        <f t="shared" si="115"/>
        <v/>
      </c>
      <c r="BI69" s="11" t="e">
        <f t="shared" si="116"/>
        <v>#REF!</v>
      </c>
      <c r="BJ69" s="11" t="str">
        <f t="shared" si="117"/>
        <v/>
      </c>
      <c r="BK69" s="11" t="e">
        <f t="shared" si="118"/>
        <v>#REF!</v>
      </c>
      <c r="BL69" s="11" t="str">
        <f t="shared" si="119"/>
        <v/>
      </c>
      <c r="BM69" s="22" t="e">
        <f t="shared" si="59"/>
        <v>#REF!</v>
      </c>
      <c r="BN69" s="113" t="e">
        <f t="shared" si="60"/>
        <v>#REF!</v>
      </c>
      <c r="BO69" s="41" t="e">
        <f t="shared" si="61"/>
        <v>#REF!</v>
      </c>
      <c r="BP69" s="15" t="str">
        <f t="shared" si="62"/>
        <v/>
      </c>
      <c r="BQ69" s="101" t="e">
        <f t="shared" si="63"/>
        <v>#REF!</v>
      </c>
      <c r="BR69" s="15" t="str">
        <f>IF('ריכוז נתונים כללים'!$W69='ריכוז נתונים כללים'!$AN$16,MIN(BP69,'ריכוז נתונים כללים'!$AB69),BP69)</f>
        <v/>
      </c>
      <c r="BS69" s="15" t="e">
        <f>IF($C69="","",IF('ריכוז נתונים כללים'!$W69='ריכוז נתונים כללים'!$AN$16,BR69,BR69+($C$3-BR$77)*(BR69/(BR$77-SUMIF('ריכוז נתונים כללים'!$W$17:$W$76,'ריכוז נתונים כללים'!$AN$16,BR$17:BR$76)))))</f>
        <v>#REF!</v>
      </c>
    </row>
    <row r="70" spans="2:71" x14ac:dyDescent="0.25">
      <c r="B70" s="7">
        <f>'ריכוז נתונים'!C70</f>
        <v>54</v>
      </c>
      <c r="C70" s="7" t="e">
        <f>#REF!</f>
        <v>#REF!</v>
      </c>
      <c r="D70" s="22" t="e">
        <f>IF(C70="","",#REF!)</f>
        <v>#REF!</v>
      </c>
      <c r="E70" s="22" t="e">
        <f>IF(C70="","",#REF!)</f>
        <v>#REF!</v>
      </c>
      <c r="F70" s="22" t="str">
        <f t="shared" si="1"/>
        <v/>
      </c>
      <c r="G70" s="11" t="e">
        <f t="shared" si="58"/>
        <v>#REF!</v>
      </c>
      <c r="H70" s="11" t="str">
        <f t="shared" si="64"/>
        <v/>
      </c>
      <c r="I70" s="11" t="e">
        <f t="shared" si="58"/>
        <v>#REF!</v>
      </c>
      <c r="J70" s="11" t="str">
        <f t="shared" si="65"/>
        <v/>
      </c>
      <c r="K70" s="11" t="e">
        <f t="shared" si="66"/>
        <v>#REF!</v>
      </c>
      <c r="L70" s="11" t="str">
        <f t="shared" si="67"/>
        <v/>
      </c>
      <c r="M70" s="11" t="e">
        <f t="shared" si="68"/>
        <v>#REF!</v>
      </c>
      <c r="N70" s="11" t="str">
        <f t="shared" si="69"/>
        <v/>
      </c>
      <c r="O70" s="11" t="e">
        <f t="shared" si="70"/>
        <v>#REF!</v>
      </c>
      <c r="P70" s="11" t="str">
        <f t="shared" si="71"/>
        <v/>
      </c>
      <c r="Q70" s="11" t="e">
        <f t="shared" si="72"/>
        <v>#REF!</v>
      </c>
      <c r="R70" s="11" t="str">
        <f t="shared" si="73"/>
        <v/>
      </c>
      <c r="S70" s="11" t="e">
        <f t="shared" si="74"/>
        <v>#REF!</v>
      </c>
      <c r="T70" s="11" t="str">
        <f t="shared" si="75"/>
        <v/>
      </c>
      <c r="U70" s="11" t="e">
        <f t="shared" si="76"/>
        <v>#REF!</v>
      </c>
      <c r="V70" s="11" t="str">
        <f t="shared" si="77"/>
        <v/>
      </c>
      <c r="W70" s="11" t="e">
        <f t="shared" si="78"/>
        <v>#REF!</v>
      </c>
      <c r="X70" s="11" t="str">
        <f t="shared" si="79"/>
        <v/>
      </c>
      <c r="Y70" s="11" t="e">
        <f t="shared" si="80"/>
        <v>#REF!</v>
      </c>
      <c r="Z70" s="11" t="str">
        <f t="shared" si="81"/>
        <v/>
      </c>
      <c r="AA70" s="11" t="e">
        <f t="shared" si="82"/>
        <v>#REF!</v>
      </c>
      <c r="AB70" s="11" t="str">
        <f t="shared" si="83"/>
        <v/>
      </c>
      <c r="AC70" s="11" t="e">
        <f t="shared" si="84"/>
        <v>#REF!</v>
      </c>
      <c r="AD70" s="11" t="str">
        <f t="shared" si="85"/>
        <v/>
      </c>
      <c r="AE70" s="11" t="e">
        <f t="shared" si="86"/>
        <v>#REF!</v>
      </c>
      <c r="AF70" s="11" t="str">
        <f t="shared" si="87"/>
        <v/>
      </c>
      <c r="AG70" s="11" t="e">
        <f t="shared" si="88"/>
        <v>#REF!</v>
      </c>
      <c r="AH70" s="11" t="str">
        <f t="shared" si="89"/>
        <v/>
      </c>
      <c r="AI70" s="11" t="e">
        <f t="shared" si="90"/>
        <v>#REF!</v>
      </c>
      <c r="AJ70" s="11" t="str">
        <f t="shared" si="91"/>
        <v/>
      </c>
      <c r="AK70" s="11" t="e">
        <f t="shared" si="92"/>
        <v>#REF!</v>
      </c>
      <c r="AL70" s="11" t="str">
        <f t="shared" si="93"/>
        <v/>
      </c>
      <c r="AM70" s="11" t="e">
        <f t="shared" si="94"/>
        <v>#REF!</v>
      </c>
      <c r="AN70" s="11" t="str">
        <f t="shared" si="95"/>
        <v/>
      </c>
      <c r="AO70" s="11" t="e">
        <f t="shared" si="96"/>
        <v>#REF!</v>
      </c>
      <c r="AP70" s="11" t="str">
        <f t="shared" si="97"/>
        <v/>
      </c>
      <c r="AQ70" s="11" t="e">
        <f t="shared" si="98"/>
        <v>#REF!</v>
      </c>
      <c r="AR70" s="11" t="str">
        <f t="shared" si="99"/>
        <v/>
      </c>
      <c r="AS70" s="11" t="e">
        <f t="shared" si="100"/>
        <v>#REF!</v>
      </c>
      <c r="AT70" s="11" t="str">
        <f t="shared" si="101"/>
        <v/>
      </c>
      <c r="AU70" s="11" t="e">
        <f t="shared" si="102"/>
        <v>#REF!</v>
      </c>
      <c r="AV70" s="11" t="str">
        <f t="shared" si="103"/>
        <v/>
      </c>
      <c r="AW70" s="11" t="e">
        <f t="shared" si="104"/>
        <v>#REF!</v>
      </c>
      <c r="AX70" s="11" t="str">
        <f t="shared" si="105"/>
        <v/>
      </c>
      <c r="AY70" s="11" t="e">
        <f t="shared" si="106"/>
        <v>#REF!</v>
      </c>
      <c r="AZ70" s="11" t="str">
        <f t="shared" si="107"/>
        <v/>
      </c>
      <c r="BA70" s="11" t="e">
        <f t="shared" si="108"/>
        <v>#REF!</v>
      </c>
      <c r="BB70" s="11" t="str">
        <f t="shared" si="109"/>
        <v/>
      </c>
      <c r="BC70" s="11" t="e">
        <f t="shared" si="110"/>
        <v>#REF!</v>
      </c>
      <c r="BD70" s="11" t="str">
        <f t="shared" si="111"/>
        <v/>
      </c>
      <c r="BE70" s="11" t="e">
        <f t="shared" si="112"/>
        <v>#REF!</v>
      </c>
      <c r="BF70" s="11" t="str">
        <f t="shared" si="113"/>
        <v/>
      </c>
      <c r="BG70" s="11" t="e">
        <f t="shared" si="114"/>
        <v>#REF!</v>
      </c>
      <c r="BH70" s="11" t="str">
        <f t="shared" si="115"/>
        <v/>
      </c>
      <c r="BI70" s="11" t="e">
        <f t="shared" si="116"/>
        <v>#REF!</v>
      </c>
      <c r="BJ70" s="11" t="str">
        <f t="shared" si="117"/>
        <v/>
      </c>
      <c r="BK70" s="11" t="e">
        <f t="shared" si="118"/>
        <v>#REF!</v>
      </c>
      <c r="BL70" s="11" t="str">
        <f t="shared" si="119"/>
        <v/>
      </c>
      <c r="BM70" s="22" t="e">
        <f t="shared" si="59"/>
        <v>#REF!</v>
      </c>
      <c r="BN70" s="113" t="e">
        <f t="shared" si="60"/>
        <v>#REF!</v>
      </c>
      <c r="BO70" s="41" t="e">
        <f t="shared" si="61"/>
        <v>#REF!</v>
      </c>
      <c r="BP70" s="15" t="str">
        <f t="shared" si="62"/>
        <v/>
      </c>
      <c r="BQ70" s="101" t="e">
        <f t="shared" si="63"/>
        <v>#REF!</v>
      </c>
      <c r="BR70" s="15" t="str">
        <f>IF('ריכוז נתונים כללים'!$W70='ריכוז נתונים כללים'!$AN$16,MIN(BP70,'ריכוז נתונים כללים'!$AB70),BP70)</f>
        <v/>
      </c>
      <c r="BS70" s="15" t="e">
        <f>IF($C70="","",IF('ריכוז נתונים כללים'!$W70='ריכוז נתונים כללים'!$AN$16,BR70,BR70+($C$3-BR$77)*(BR70/(BR$77-SUMIF('ריכוז נתונים כללים'!$W$17:$W$76,'ריכוז נתונים כללים'!$AN$16,BR$17:BR$76)))))</f>
        <v>#REF!</v>
      </c>
    </row>
    <row r="71" spans="2:71" x14ac:dyDescent="0.25">
      <c r="B71" s="7">
        <f>'ריכוז נתונים'!C71</f>
        <v>55</v>
      </c>
      <c r="C71" s="7" t="e">
        <f>#REF!</f>
        <v>#REF!</v>
      </c>
      <c r="D71" s="22" t="e">
        <f>IF(C71="","",#REF!)</f>
        <v>#REF!</v>
      </c>
      <c r="E71" s="22" t="e">
        <f>IF(C71="","",#REF!)</f>
        <v>#REF!</v>
      </c>
      <c r="F71" s="22" t="str">
        <f t="shared" si="1"/>
        <v/>
      </c>
      <c r="G71" s="11" t="e">
        <f t="shared" si="58"/>
        <v>#REF!</v>
      </c>
      <c r="H71" s="11" t="str">
        <f t="shared" si="64"/>
        <v/>
      </c>
      <c r="I71" s="11" t="e">
        <f t="shared" si="58"/>
        <v>#REF!</v>
      </c>
      <c r="J71" s="11" t="str">
        <f t="shared" si="65"/>
        <v/>
      </c>
      <c r="K71" s="11" t="e">
        <f t="shared" si="66"/>
        <v>#REF!</v>
      </c>
      <c r="L71" s="11" t="str">
        <f t="shared" si="67"/>
        <v/>
      </c>
      <c r="M71" s="11" t="e">
        <f t="shared" si="68"/>
        <v>#REF!</v>
      </c>
      <c r="N71" s="11" t="str">
        <f t="shared" si="69"/>
        <v/>
      </c>
      <c r="O71" s="11" t="e">
        <f t="shared" si="70"/>
        <v>#REF!</v>
      </c>
      <c r="P71" s="11" t="str">
        <f t="shared" si="71"/>
        <v/>
      </c>
      <c r="Q71" s="11" t="e">
        <f t="shared" si="72"/>
        <v>#REF!</v>
      </c>
      <c r="R71" s="11" t="str">
        <f t="shared" si="73"/>
        <v/>
      </c>
      <c r="S71" s="11" t="e">
        <f t="shared" si="74"/>
        <v>#REF!</v>
      </c>
      <c r="T71" s="11" t="str">
        <f t="shared" si="75"/>
        <v/>
      </c>
      <c r="U71" s="11" t="e">
        <f t="shared" si="76"/>
        <v>#REF!</v>
      </c>
      <c r="V71" s="11" t="str">
        <f t="shared" si="77"/>
        <v/>
      </c>
      <c r="W71" s="11" t="e">
        <f t="shared" si="78"/>
        <v>#REF!</v>
      </c>
      <c r="X71" s="11" t="str">
        <f t="shared" si="79"/>
        <v/>
      </c>
      <c r="Y71" s="11" t="e">
        <f t="shared" si="80"/>
        <v>#REF!</v>
      </c>
      <c r="Z71" s="11" t="str">
        <f t="shared" si="81"/>
        <v/>
      </c>
      <c r="AA71" s="11" t="e">
        <f t="shared" si="82"/>
        <v>#REF!</v>
      </c>
      <c r="AB71" s="11" t="str">
        <f t="shared" si="83"/>
        <v/>
      </c>
      <c r="AC71" s="11" t="e">
        <f t="shared" si="84"/>
        <v>#REF!</v>
      </c>
      <c r="AD71" s="11" t="str">
        <f t="shared" si="85"/>
        <v/>
      </c>
      <c r="AE71" s="11" t="e">
        <f t="shared" si="86"/>
        <v>#REF!</v>
      </c>
      <c r="AF71" s="11" t="str">
        <f t="shared" si="87"/>
        <v/>
      </c>
      <c r="AG71" s="11" t="e">
        <f t="shared" si="88"/>
        <v>#REF!</v>
      </c>
      <c r="AH71" s="11" t="str">
        <f t="shared" si="89"/>
        <v/>
      </c>
      <c r="AI71" s="11" t="e">
        <f t="shared" si="90"/>
        <v>#REF!</v>
      </c>
      <c r="AJ71" s="11" t="str">
        <f t="shared" si="91"/>
        <v/>
      </c>
      <c r="AK71" s="11" t="e">
        <f t="shared" si="92"/>
        <v>#REF!</v>
      </c>
      <c r="AL71" s="11" t="str">
        <f t="shared" si="93"/>
        <v/>
      </c>
      <c r="AM71" s="11" t="e">
        <f t="shared" si="94"/>
        <v>#REF!</v>
      </c>
      <c r="AN71" s="11" t="str">
        <f t="shared" si="95"/>
        <v/>
      </c>
      <c r="AO71" s="11" t="e">
        <f t="shared" si="96"/>
        <v>#REF!</v>
      </c>
      <c r="AP71" s="11" t="str">
        <f t="shared" si="97"/>
        <v/>
      </c>
      <c r="AQ71" s="11" t="e">
        <f t="shared" si="98"/>
        <v>#REF!</v>
      </c>
      <c r="AR71" s="11" t="str">
        <f t="shared" si="99"/>
        <v/>
      </c>
      <c r="AS71" s="11" t="e">
        <f t="shared" si="100"/>
        <v>#REF!</v>
      </c>
      <c r="AT71" s="11" t="str">
        <f t="shared" si="101"/>
        <v/>
      </c>
      <c r="AU71" s="11" t="e">
        <f t="shared" si="102"/>
        <v>#REF!</v>
      </c>
      <c r="AV71" s="11" t="str">
        <f t="shared" si="103"/>
        <v/>
      </c>
      <c r="AW71" s="11" t="e">
        <f t="shared" si="104"/>
        <v>#REF!</v>
      </c>
      <c r="AX71" s="11" t="str">
        <f t="shared" si="105"/>
        <v/>
      </c>
      <c r="AY71" s="11" t="e">
        <f t="shared" si="106"/>
        <v>#REF!</v>
      </c>
      <c r="AZ71" s="11" t="str">
        <f t="shared" si="107"/>
        <v/>
      </c>
      <c r="BA71" s="11" t="e">
        <f t="shared" si="108"/>
        <v>#REF!</v>
      </c>
      <c r="BB71" s="11" t="str">
        <f t="shared" si="109"/>
        <v/>
      </c>
      <c r="BC71" s="11" t="e">
        <f t="shared" si="110"/>
        <v>#REF!</v>
      </c>
      <c r="BD71" s="11" t="str">
        <f t="shared" si="111"/>
        <v/>
      </c>
      <c r="BE71" s="11" t="e">
        <f t="shared" si="112"/>
        <v>#REF!</v>
      </c>
      <c r="BF71" s="11" t="str">
        <f t="shared" si="113"/>
        <v/>
      </c>
      <c r="BG71" s="11" t="e">
        <f t="shared" si="114"/>
        <v>#REF!</v>
      </c>
      <c r="BH71" s="11" t="str">
        <f t="shared" si="115"/>
        <v/>
      </c>
      <c r="BI71" s="11" t="e">
        <f t="shared" si="116"/>
        <v>#REF!</v>
      </c>
      <c r="BJ71" s="11" t="str">
        <f t="shared" si="117"/>
        <v/>
      </c>
      <c r="BK71" s="11" t="e">
        <f t="shared" si="118"/>
        <v>#REF!</v>
      </c>
      <c r="BL71" s="11" t="str">
        <f t="shared" si="119"/>
        <v/>
      </c>
      <c r="BM71" s="22" t="e">
        <f t="shared" si="59"/>
        <v>#REF!</v>
      </c>
      <c r="BN71" s="113" t="e">
        <f t="shared" si="60"/>
        <v>#REF!</v>
      </c>
      <c r="BO71" s="41" t="e">
        <f t="shared" si="61"/>
        <v>#REF!</v>
      </c>
      <c r="BP71" s="15" t="str">
        <f t="shared" si="62"/>
        <v/>
      </c>
      <c r="BQ71" s="101" t="e">
        <f t="shared" si="63"/>
        <v>#REF!</v>
      </c>
      <c r="BR71" s="15" t="str">
        <f>IF('ריכוז נתונים כללים'!$W71='ריכוז נתונים כללים'!$AN$16,MIN(BP71,'ריכוז נתונים כללים'!$AB71),BP71)</f>
        <v/>
      </c>
      <c r="BS71" s="15" t="e">
        <f>IF($C71="","",IF('ריכוז נתונים כללים'!$W71='ריכוז נתונים כללים'!$AN$16,BR71,BR71+($C$3-BR$77)*(BR71/(BR$77-SUMIF('ריכוז נתונים כללים'!$W$17:$W$76,'ריכוז נתונים כללים'!$AN$16,BR$17:BR$76)))))</f>
        <v>#REF!</v>
      </c>
    </row>
    <row r="72" spans="2:71" x14ac:dyDescent="0.25">
      <c r="B72" s="7">
        <f>'ריכוז נתונים'!C72</f>
        <v>56</v>
      </c>
      <c r="C72" s="7" t="e">
        <f>#REF!</f>
        <v>#REF!</v>
      </c>
      <c r="D72" s="22" t="e">
        <f>IF(C72="","",#REF!)</f>
        <v>#REF!</v>
      </c>
      <c r="E72" s="22" t="e">
        <f>IF(C72="","",#REF!)</f>
        <v>#REF!</v>
      </c>
      <c r="F72" s="22" t="str">
        <f t="shared" si="1"/>
        <v/>
      </c>
      <c r="G72" s="11" t="e">
        <f t="shared" si="58"/>
        <v>#REF!</v>
      </c>
      <c r="H72" s="11" t="str">
        <f t="shared" si="64"/>
        <v/>
      </c>
      <c r="I72" s="11" t="e">
        <f t="shared" si="58"/>
        <v>#REF!</v>
      </c>
      <c r="J72" s="11" t="str">
        <f t="shared" si="65"/>
        <v/>
      </c>
      <c r="K72" s="11" t="e">
        <f t="shared" si="66"/>
        <v>#REF!</v>
      </c>
      <c r="L72" s="11" t="str">
        <f t="shared" si="67"/>
        <v/>
      </c>
      <c r="M72" s="11" t="e">
        <f t="shared" si="68"/>
        <v>#REF!</v>
      </c>
      <c r="N72" s="11" t="str">
        <f t="shared" si="69"/>
        <v/>
      </c>
      <c r="O72" s="11" t="e">
        <f t="shared" si="70"/>
        <v>#REF!</v>
      </c>
      <c r="P72" s="11" t="str">
        <f t="shared" si="71"/>
        <v/>
      </c>
      <c r="Q72" s="11" t="e">
        <f t="shared" si="72"/>
        <v>#REF!</v>
      </c>
      <c r="R72" s="11" t="str">
        <f t="shared" si="73"/>
        <v/>
      </c>
      <c r="S72" s="11" t="e">
        <f t="shared" si="74"/>
        <v>#REF!</v>
      </c>
      <c r="T72" s="11" t="str">
        <f t="shared" si="75"/>
        <v/>
      </c>
      <c r="U72" s="11" t="e">
        <f t="shared" si="76"/>
        <v>#REF!</v>
      </c>
      <c r="V72" s="11" t="str">
        <f t="shared" si="77"/>
        <v/>
      </c>
      <c r="W72" s="11" t="e">
        <f t="shared" si="78"/>
        <v>#REF!</v>
      </c>
      <c r="X72" s="11" t="str">
        <f t="shared" si="79"/>
        <v/>
      </c>
      <c r="Y72" s="11" t="e">
        <f t="shared" si="80"/>
        <v>#REF!</v>
      </c>
      <c r="Z72" s="11" t="str">
        <f t="shared" si="81"/>
        <v/>
      </c>
      <c r="AA72" s="11" t="e">
        <f t="shared" si="82"/>
        <v>#REF!</v>
      </c>
      <c r="AB72" s="11" t="str">
        <f t="shared" si="83"/>
        <v/>
      </c>
      <c r="AC72" s="11" t="e">
        <f t="shared" si="84"/>
        <v>#REF!</v>
      </c>
      <c r="AD72" s="11" t="str">
        <f t="shared" si="85"/>
        <v/>
      </c>
      <c r="AE72" s="11" t="e">
        <f t="shared" si="86"/>
        <v>#REF!</v>
      </c>
      <c r="AF72" s="11" t="str">
        <f t="shared" si="87"/>
        <v/>
      </c>
      <c r="AG72" s="11" t="e">
        <f t="shared" si="88"/>
        <v>#REF!</v>
      </c>
      <c r="AH72" s="11" t="str">
        <f t="shared" si="89"/>
        <v/>
      </c>
      <c r="AI72" s="11" t="e">
        <f t="shared" si="90"/>
        <v>#REF!</v>
      </c>
      <c r="AJ72" s="11" t="str">
        <f t="shared" si="91"/>
        <v/>
      </c>
      <c r="AK72" s="11" t="e">
        <f t="shared" si="92"/>
        <v>#REF!</v>
      </c>
      <c r="AL72" s="11" t="str">
        <f t="shared" si="93"/>
        <v/>
      </c>
      <c r="AM72" s="11" t="e">
        <f t="shared" si="94"/>
        <v>#REF!</v>
      </c>
      <c r="AN72" s="11" t="str">
        <f t="shared" si="95"/>
        <v/>
      </c>
      <c r="AO72" s="11" t="e">
        <f t="shared" si="96"/>
        <v>#REF!</v>
      </c>
      <c r="AP72" s="11" t="str">
        <f t="shared" si="97"/>
        <v/>
      </c>
      <c r="AQ72" s="11" t="e">
        <f t="shared" si="98"/>
        <v>#REF!</v>
      </c>
      <c r="AR72" s="11" t="str">
        <f t="shared" si="99"/>
        <v/>
      </c>
      <c r="AS72" s="11" t="e">
        <f t="shared" si="100"/>
        <v>#REF!</v>
      </c>
      <c r="AT72" s="11" t="str">
        <f t="shared" si="101"/>
        <v/>
      </c>
      <c r="AU72" s="11" t="e">
        <f t="shared" si="102"/>
        <v>#REF!</v>
      </c>
      <c r="AV72" s="11" t="str">
        <f t="shared" si="103"/>
        <v/>
      </c>
      <c r="AW72" s="11" t="e">
        <f t="shared" si="104"/>
        <v>#REF!</v>
      </c>
      <c r="AX72" s="11" t="str">
        <f t="shared" si="105"/>
        <v/>
      </c>
      <c r="AY72" s="11" t="e">
        <f t="shared" si="106"/>
        <v>#REF!</v>
      </c>
      <c r="AZ72" s="11" t="str">
        <f t="shared" si="107"/>
        <v/>
      </c>
      <c r="BA72" s="11" t="e">
        <f t="shared" si="108"/>
        <v>#REF!</v>
      </c>
      <c r="BB72" s="11" t="str">
        <f t="shared" si="109"/>
        <v/>
      </c>
      <c r="BC72" s="11" t="e">
        <f t="shared" si="110"/>
        <v>#REF!</v>
      </c>
      <c r="BD72" s="11" t="str">
        <f t="shared" si="111"/>
        <v/>
      </c>
      <c r="BE72" s="11" t="e">
        <f t="shared" si="112"/>
        <v>#REF!</v>
      </c>
      <c r="BF72" s="11" t="str">
        <f t="shared" si="113"/>
        <v/>
      </c>
      <c r="BG72" s="11" t="e">
        <f t="shared" si="114"/>
        <v>#REF!</v>
      </c>
      <c r="BH72" s="11" t="str">
        <f t="shared" si="115"/>
        <v/>
      </c>
      <c r="BI72" s="11" t="e">
        <f t="shared" si="116"/>
        <v>#REF!</v>
      </c>
      <c r="BJ72" s="11" t="str">
        <f t="shared" si="117"/>
        <v/>
      </c>
      <c r="BK72" s="11" t="e">
        <f t="shared" si="118"/>
        <v>#REF!</v>
      </c>
      <c r="BL72" s="11" t="str">
        <f t="shared" si="119"/>
        <v/>
      </c>
      <c r="BM72" s="22" t="e">
        <f t="shared" si="59"/>
        <v>#REF!</v>
      </c>
      <c r="BN72" s="113" t="e">
        <f t="shared" si="60"/>
        <v>#REF!</v>
      </c>
      <c r="BO72" s="41" t="e">
        <f t="shared" si="61"/>
        <v>#REF!</v>
      </c>
      <c r="BP72" s="15" t="str">
        <f t="shared" si="62"/>
        <v/>
      </c>
      <c r="BQ72" s="101" t="e">
        <f t="shared" si="63"/>
        <v>#REF!</v>
      </c>
      <c r="BR72" s="15" t="str">
        <f>IF('ריכוז נתונים כללים'!$W72='ריכוז נתונים כללים'!$AN$16,MIN(BP72,'ריכוז נתונים כללים'!$AB72),BP72)</f>
        <v/>
      </c>
      <c r="BS72" s="15" t="e">
        <f>IF($C72="","",IF('ריכוז נתונים כללים'!$W72='ריכוז נתונים כללים'!$AN$16,BR72,BR72+($C$3-BR$77)*(BR72/(BR$77-SUMIF('ריכוז נתונים כללים'!$W$17:$W$76,'ריכוז נתונים כללים'!$AN$16,BR$17:BR$76)))))</f>
        <v>#REF!</v>
      </c>
    </row>
    <row r="73" spans="2:71" x14ac:dyDescent="0.25">
      <c r="B73" s="7">
        <f>'ריכוז נתונים'!C73</f>
        <v>57</v>
      </c>
      <c r="C73" s="7" t="e">
        <f>#REF!</f>
        <v>#REF!</v>
      </c>
      <c r="D73" s="22" t="e">
        <f>IF(C73="","",#REF!)</f>
        <v>#REF!</v>
      </c>
      <c r="E73" s="22" t="e">
        <f>IF(C73="","",#REF!)</f>
        <v>#REF!</v>
      </c>
      <c r="F73" s="22" t="str">
        <f t="shared" si="1"/>
        <v/>
      </c>
      <c r="G73" s="11" t="e">
        <f t="shared" si="58"/>
        <v>#REF!</v>
      </c>
      <c r="H73" s="11" t="str">
        <f t="shared" si="64"/>
        <v/>
      </c>
      <c r="I73" s="11" t="e">
        <f t="shared" si="58"/>
        <v>#REF!</v>
      </c>
      <c r="J73" s="11" t="str">
        <f t="shared" si="65"/>
        <v/>
      </c>
      <c r="K73" s="11" t="e">
        <f t="shared" si="66"/>
        <v>#REF!</v>
      </c>
      <c r="L73" s="11" t="str">
        <f t="shared" si="67"/>
        <v/>
      </c>
      <c r="M73" s="11" t="e">
        <f t="shared" si="68"/>
        <v>#REF!</v>
      </c>
      <c r="N73" s="11" t="str">
        <f t="shared" si="69"/>
        <v/>
      </c>
      <c r="O73" s="11" t="e">
        <f t="shared" si="70"/>
        <v>#REF!</v>
      </c>
      <c r="P73" s="11" t="str">
        <f t="shared" si="71"/>
        <v/>
      </c>
      <c r="Q73" s="11" t="e">
        <f t="shared" si="72"/>
        <v>#REF!</v>
      </c>
      <c r="R73" s="11" t="str">
        <f t="shared" si="73"/>
        <v/>
      </c>
      <c r="S73" s="11" t="e">
        <f t="shared" si="74"/>
        <v>#REF!</v>
      </c>
      <c r="T73" s="11" t="str">
        <f t="shared" si="75"/>
        <v/>
      </c>
      <c r="U73" s="11" t="e">
        <f t="shared" si="76"/>
        <v>#REF!</v>
      </c>
      <c r="V73" s="11" t="str">
        <f t="shared" si="77"/>
        <v/>
      </c>
      <c r="W73" s="11" t="e">
        <f t="shared" si="78"/>
        <v>#REF!</v>
      </c>
      <c r="X73" s="11" t="str">
        <f t="shared" si="79"/>
        <v/>
      </c>
      <c r="Y73" s="11" t="e">
        <f t="shared" si="80"/>
        <v>#REF!</v>
      </c>
      <c r="Z73" s="11" t="str">
        <f t="shared" si="81"/>
        <v/>
      </c>
      <c r="AA73" s="11" t="e">
        <f t="shared" si="82"/>
        <v>#REF!</v>
      </c>
      <c r="AB73" s="11" t="str">
        <f t="shared" si="83"/>
        <v/>
      </c>
      <c r="AC73" s="11" t="e">
        <f t="shared" si="84"/>
        <v>#REF!</v>
      </c>
      <c r="AD73" s="11" t="str">
        <f t="shared" si="85"/>
        <v/>
      </c>
      <c r="AE73" s="11" t="e">
        <f t="shared" si="86"/>
        <v>#REF!</v>
      </c>
      <c r="AF73" s="11" t="str">
        <f t="shared" si="87"/>
        <v/>
      </c>
      <c r="AG73" s="11" t="e">
        <f t="shared" si="88"/>
        <v>#REF!</v>
      </c>
      <c r="AH73" s="11" t="str">
        <f t="shared" si="89"/>
        <v/>
      </c>
      <c r="AI73" s="11" t="e">
        <f t="shared" si="90"/>
        <v>#REF!</v>
      </c>
      <c r="AJ73" s="11" t="str">
        <f t="shared" si="91"/>
        <v/>
      </c>
      <c r="AK73" s="11" t="e">
        <f t="shared" si="92"/>
        <v>#REF!</v>
      </c>
      <c r="AL73" s="11" t="str">
        <f t="shared" si="93"/>
        <v/>
      </c>
      <c r="AM73" s="11" t="e">
        <f t="shared" si="94"/>
        <v>#REF!</v>
      </c>
      <c r="AN73" s="11" t="str">
        <f t="shared" si="95"/>
        <v/>
      </c>
      <c r="AO73" s="11" t="e">
        <f t="shared" si="96"/>
        <v>#REF!</v>
      </c>
      <c r="AP73" s="11" t="str">
        <f t="shared" si="97"/>
        <v/>
      </c>
      <c r="AQ73" s="11" t="e">
        <f t="shared" si="98"/>
        <v>#REF!</v>
      </c>
      <c r="AR73" s="11" t="str">
        <f t="shared" si="99"/>
        <v/>
      </c>
      <c r="AS73" s="11" t="e">
        <f t="shared" si="100"/>
        <v>#REF!</v>
      </c>
      <c r="AT73" s="11" t="str">
        <f t="shared" si="101"/>
        <v/>
      </c>
      <c r="AU73" s="11" t="e">
        <f t="shared" si="102"/>
        <v>#REF!</v>
      </c>
      <c r="AV73" s="11" t="str">
        <f t="shared" si="103"/>
        <v/>
      </c>
      <c r="AW73" s="11" t="e">
        <f t="shared" si="104"/>
        <v>#REF!</v>
      </c>
      <c r="AX73" s="11" t="str">
        <f t="shared" si="105"/>
        <v/>
      </c>
      <c r="AY73" s="11" t="e">
        <f t="shared" si="106"/>
        <v>#REF!</v>
      </c>
      <c r="AZ73" s="11" t="str">
        <f t="shared" si="107"/>
        <v/>
      </c>
      <c r="BA73" s="11" t="e">
        <f t="shared" si="108"/>
        <v>#REF!</v>
      </c>
      <c r="BB73" s="11" t="str">
        <f t="shared" si="109"/>
        <v/>
      </c>
      <c r="BC73" s="11" t="e">
        <f t="shared" si="110"/>
        <v>#REF!</v>
      </c>
      <c r="BD73" s="11" t="str">
        <f t="shared" si="111"/>
        <v/>
      </c>
      <c r="BE73" s="11" t="e">
        <f t="shared" si="112"/>
        <v>#REF!</v>
      </c>
      <c r="BF73" s="11" t="str">
        <f t="shared" si="113"/>
        <v/>
      </c>
      <c r="BG73" s="11" t="e">
        <f t="shared" si="114"/>
        <v>#REF!</v>
      </c>
      <c r="BH73" s="11" t="str">
        <f t="shared" si="115"/>
        <v/>
      </c>
      <c r="BI73" s="11" t="e">
        <f t="shared" si="116"/>
        <v>#REF!</v>
      </c>
      <c r="BJ73" s="11" t="str">
        <f t="shared" si="117"/>
        <v/>
      </c>
      <c r="BK73" s="11" t="e">
        <f t="shared" si="118"/>
        <v>#REF!</v>
      </c>
      <c r="BL73" s="11" t="str">
        <f t="shared" si="119"/>
        <v/>
      </c>
      <c r="BM73" s="22" t="e">
        <f t="shared" si="59"/>
        <v>#REF!</v>
      </c>
      <c r="BN73" s="113" t="e">
        <f t="shared" si="60"/>
        <v>#REF!</v>
      </c>
      <c r="BO73" s="41" t="e">
        <f t="shared" si="61"/>
        <v>#REF!</v>
      </c>
      <c r="BP73" s="15" t="str">
        <f t="shared" si="62"/>
        <v/>
      </c>
      <c r="BQ73" s="101" t="e">
        <f t="shared" si="63"/>
        <v>#REF!</v>
      </c>
      <c r="BR73" s="15" t="str">
        <f>IF('ריכוז נתונים כללים'!$W73='ריכוז נתונים כללים'!$AN$16,MIN(BP73,'ריכוז נתונים כללים'!$AB73),BP73)</f>
        <v/>
      </c>
      <c r="BS73" s="15" t="e">
        <f>IF($C73="","",IF('ריכוז נתונים כללים'!$W73='ריכוז נתונים כללים'!$AN$16,BR73,BR73+($C$3-BR$77)*(BR73/(BR$77-SUMIF('ריכוז נתונים כללים'!$W$17:$W$76,'ריכוז נתונים כללים'!$AN$16,BR$17:BR$76)))))</f>
        <v>#REF!</v>
      </c>
    </row>
    <row r="74" spans="2:71" x14ac:dyDescent="0.25">
      <c r="B74" s="7">
        <f>'ריכוז נתונים'!C74</f>
        <v>58</v>
      </c>
      <c r="C74" s="7" t="e">
        <f>#REF!</f>
        <v>#REF!</v>
      </c>
      <c r="D74" s="22" t="e">
        <f>IF(C74="","",#REF!)</f>
        <v>#REF!</v>
      </c>
      <c r="E74" s="22" t="e">
        <f>IF(C74="","",#REF!)</f>
        <v>#REF!</v>
      </c>
      <c r="F74" s="22" t="str">
        <f t="shared" si="1"/>
        <v/>
      </c>
      <c r="G74" s="11" t="e">
        <f t="shared" si="58"/>
        <v>#REF!</v>
      </c>
      <c r="H74" s="11" t="str">
        <f t="shared" si="64"/>
        <v/>
      </c>
      <c r="I74" s="11" t="e">
        <f t="shared" si="58"/>
        <v>#REF!</v>
      </c>
      <c r="J74" s="11" t="str">
        <f t="shared" si="65"/>
        <v/>
      </c>
      <c r="K74" s="11" t="e">
        <f t="shared" si="66"/>
        <v>#REF!</v>
      </c>
      <c r="L74" s="11" t="str">
        <f t="shared" si="67"/>
        <v/>
      </c>
      <c r="M74" s="11" t="e">
        <f t="shared" si="68"/>
        <v>#REF!</v>
      </c>
      <c r="N74" s="11" t="str">
        <f t="shared" si="69"/>
        <v/>
      </c>
      <c r="O74" s="11" t="e">
        <f t="shared" si="70"/>
        <v>#REF!</v>
      </c>
      <c r="P74" s="11" t="str">
        <f t="shared" si="71"/>
        <v/>
      </c>
      <c r="Q74" s="11" t="e">
        <f t="shared" si="72"/>
        <v>#REF!</v>
      </c>
      <c r="R74" s="11" t="str">
        <f t="shared" si="73"/>
        <v/>
      </c>
      <c r="S74" s="11" t="e">
        <f t="shared" si="74"/>
        <v>#REF!</v>
      </c>
      <c r="T74" s="11" t="str">
        <f t="shared" si="75"/>
        <v/>
      </c>
      <c r="U74" s="11" t="e">
        <f t="shared" si="76"/>
        <v>#REF!</v>
      </c>
      <c r="V74" s="11" t="str">
        <f t="shared" si="77"/>
        <v/>
      </c>
      <c r="W74" s="11" t="e">
        <f t="shared" si="78"/>
        <v>#REF!</v>
      </c>
      <c r="X74" s="11" t="str">
        <f t="shared" si="79"/>
        <v/>
      </c>
      <c r="Y74" s="11" t="e">
        <f t="shared" si="80"/>
        <v>#REF!</v>
      </c>
      <c r="Z74" s="11" t="str">
        <f t="shared" si="81"/>
        <v/>
      </c>
      <c r="AA74" s="11" t="e">
        <f t="shared" si="82"/>
        <v>#REF!</v>
      </c>
      <c r="AB74" s="11" t="str">
        <f t="shared" si="83"/>
        <v/>
      </c>
      <c r="AC74" s="11" t="e">
        <f t="shared" si="84"/>
        <v>#REF!</v>
      </c>
      <c r="AD74" s="11" t="str">
        <f t="shared" si="85"/>
        <v/>
      </c>
      <c r="AE74" s="11" t="e">
        <f t="shared" si="86"/>
        <v>#REF!</v>
      </c>
      <c r="AF74" s="11" t="str">
        <f t="shared" si="87"/>
        <v/>
      </c>
      <c r="AG74" s="11" t="e">
        <f t="shared" si="88"/>
        <v>#REF!</v>
      </c>
      <c r="AH74" s="11" t="str">
        <f t="shared" si="89"/>
        <v/>
      </c>
      <c r="AI74" s="11" t="e">
        <f t="shared" si="90"/>
        <v>#REF!</v>
      </c>
      <c r="AJ74" s="11" t="str">
        <f t="shared" si="91"/>
        <v/>
      </c>
      <c r="AK74" s="11" t="e">
        <f t="shared" si="92"/>
        <v>#REF!</v>
      </c>
      <c r="AL74" s="11" t="str">
        <f t="shared" si="93"/>
        <v/>
      </c>
      <c r="AM74" s="11" t="e">
        <f t="shared" si="94"/>
        <v>#REF!</v>
      </c>
      <c r="AN74" s="11" t="str">
        <f t="shared" si="95"/>
        <v/>
      </c>
      <c r="AO74" s="11" t="e">
        <f t="shared" si="96"/>
        <v>#REF!</v>
      </c>
      <c r="AP74" s="11" t="str">
        <f t="shared" si="97"/>
        <v/>
      </c>
      <c r="AQ74" s="11" t="e">
        <f t="shared" si="98"/>
        <v>#REF!</v>
      </c>
      <c r="AR74" s="11" t="str">
        <f t="shared" si="99"/>
        <v/>
      </c>
      <c r="AS74" s="11" t="e">
        <f t="shared" si="100"/>
        <v>#REF!</v>
      </c>
      <c r="AT74" s="11" t="str">
        <f t="shared" si="101"/>
        <v/>
      </c>
      <c r="AU74" s="11" t="e">
        <f t="shared" si="102"/>
        <v>#REF!</v>
      </c>
      <c r="AV74" s="11" t="str">
        <f t="shared" si="103"/>
        <v/>
      </c>
      <c r="AW74" s="11" t="e">
        <f t="shared" si="104"/>
        <v>#REF!</v>
      </c>
      <c r="AX74" s="11" t="str">
        <f t="shared" si="105"/>
        <v/>
      </c>
      <c r="AY74" s="11" t="e">
        <f t="shared" si="106"/>
        <v>#REF!</v>
      </c>
      <c r="AZ74" s="11" t="str">
        <f t="shared" si="107"/>
        <v/>
      </c>
      <c r="BA74" s="11" t="e">
        <f t="shared" si="108"/>
        <v>#REF!</v>
      </c>
      <c r="BB74" s="11" t="str">
        <f t="shared" si="109"/>
        <v/>
      </c>
      <c r="BC74" s="11" t="e">
        <f t="shared" si="110"/>
        <v>#REF!</v>
      </c>
      <c r="BD74" s="11" t="str">
        <f t="shared" si="111"/>
        <v/>
      </c>
      <c r="BE74" s="11" t="e">
        <f t="shared" si="112"/>
        <v>#REF!</v>
      </c>
      <c r="BF74" s="11" t="str">
        <f t="shared" si="113"/>
        <v/>
      </c>
      <c r="BG74" s="11" t="e">
        <f t="shared" si="114"/>
        <v>#REF!</v>
      </c>
      <c r="BH74" s="11" t="str">
        <f t="shared" si="115"/>
        <v/>
      </c>
      <c r="BI74" s="11" t="e">
        <f t="shared" si="116"/>
        <v>#REF!</v>
      </c>
      <c r="BJ74" s="11" t="str">
        <f t="shared" si="117"/>
        <v/>
      </c>
      <c r="BK74" s="11" t="e">
        <f t="shared" si="118"/>
        <v>#REF!</v>
      </c>
      <c r="BL74" s="11" t="str">
        <f t="shared" si="119"/>
        <v/>
      </c>
      <c r="BM74" s="22" t="e">
        <f t="shared" si="59"/>
        <v>#REF!</v>
      </c>
      <c r="BN74" s="113" t="e">
        <f t="shared" si="60"/>
        <v>#REF!</v>
      </c>
      <c r="BO74" s="41" t="e">
        <f t="shared" si="61"/>
        <v>#REF!</v>
      </c>
      <c r="BP74" s="15" t="str">
        <f t="shared" si="62"/>
        <v/>
      </c>
      <c r="BQ74" s="101" t="e">
        <f t="shared" si="63"/>
        <v>#REF!</v>
      </c>
      <c r="BR74" s="15" t="str">
        <f>IF('ריכוז נתונים כללים'!$W74='ריכוז נתונים כללים'!$AN$16,MIN(BP74,'ריכוז נתונים כללים'!$AB74),BP74)</f>
        <v/>
      </c>
      <c r="BS74" s="15" t="e">
        <f>IF($C74="","",IF('ריכוז נתונים כללים'!$W74='ריכוז נתונים כללים'!$AN$16,BR74,BR74+($C$3-BR$77)*(BR74/(BR$77-SUMIF('ריכוז נתונים כללים'!$W$17:$W$76,'ריכוז נתונים כללים'!$AN$16,BR$17:BR$76)))))</f>
        <v>#REF!</v>
      </c>
    </row>
    <row r="75" spans="2:71" x14ac:dyDescent="0.25">
      <c r="B75" s="7">
        <f>'ריכוז נתונים'!C75</f>
        <v>59</v>
      </c>
      <c r="C75" s="7" t="e">
        <f>#REF!</f>
        <v>#REF!</v>
      </c>
      <c r="D75" s="22" t="e">
        <f>IF(C75="","",#REF!)</f>
        <v>#REF!</v>
      </c>
      <c r="E75" s="22" t="e">
        <f>IF(C75="","",#REF!)</f>
        <v>#REF!</v>
      </c>
      <c r="F75" s="22" t="str">
        <f t="shared" si="1"/>
        <v/>
      </c>
      <c r="G75" s="11" t="e">
        <f t="shared" si="58"/>
        <v>#REF!</v>
      </c>
      <c r="H75" s="11" t="str">
        <f t="shared" si="64"/>
        <v/>
      </c>
      <c r="I75" s="11" t="e">
        <f t="shared" si="58"/>
        <v>#REF!</v>
      </c>
      <c r="J75" s="11" t="str">
        <f t="shared" si="65"/>
        <v/>
      </c>
      <c r="K75" s="11" t="e">
        <f t="shared" si="66"/>
        <v>#REF!</v>
      </c>
      <c r="L75" s="11" t="str">
        <f t="shared" si="67"/>
        <v/>
      </c>
      <c r="M75" s="11" t="e">
        <f t="shared" si="68"/>
        <v>#REF!</v>
      </c>
      <c r="N75" s="11" t="str">
        <f t="shared" si="69"/>
        <v/>
      </c>
      <c r="O75" s="11" t="e">
        <f t="shared" si="70"/>
        <v>#REF!</v>
      </c>
      <c r="P75" s="11" t="str">
        <f t="shared" si="71"/>
        <v/>
      </c>
      <c r="Q75" s="11" t="e">
        <f t="shared" si="72"/>
        <v>#REF!</v>
      </c>
      <c r="R75" s="11" t="str">
        <f t="shared" si="73"/>
        <v/>
      </c>
      <c r="S75" s="11" t="e">
        <f t="shared" si="74"/>
        <v>#REF!</v>
      </c>
      <c r="T75" s="11" t="str">
        <f t="shared" si="75"/>
        <v/>
      </c>
      <c r="U75" s="11" t="e">
        <f t="shared" si="76"/>
        <v>#REF!</v>
      </c>
      <c r="V75" s="11" t="str">
        <f t="shared" si="77"/>
        <v/>
      </c>
      <c r="W75" s="11" t="e">
        <f t="shared" si="78"/>
        <v>#REF!</v>
      </c>
      <c r="X75" s="11" t="str">
        <f t="shared" si="79"/>
        <v/>
      </c>
      <c r="Y75" s="11" t="e">
        <f t="shared" si="80"/>
        <v>#REF!</v>
      </c>
      <c r="Z75" s="11" t="str">
        <f t="shared" si="81"/>
        <v/>
      </c>
      <c r="AA75" s="11" t="e">
        <f t="shared" si="82"/>
        <v>#REF!</v>
      </c>
      <c r="AB75" s="11" t="str">
        <f t="shared" si="83"/>
        <v/>
      </c>
      <c r="AC75" s="11" t="e">
        <f t="shared" si="84"/>
        <v>#REF!</v>
      </c>
      <c r="AD75" s="11" t="str">
        <f t="shared" si="85"/>
        <v/>
      </c>
      <c r="AE75" s="11" t="e">
        <f t="shared" si="86"/>
        <v>#REF!</v>
      </c>
      <c r="AF75" s="11" t="str">
        <f t="shared" si="87"/>
        <v/>
      </c>
      <c r="AG75" s="11" t="e">
        <f t="shared" si="88"/>
        <v>#REF!</v>
      </c>
      <c r="AH75" s="11" t="str">
        <f t="shared" si="89"/>
        <v/>
      </c>
      <c r="AI75" s="11" t="e">
        <f t="shared" si="90"/>
        <v>#REF!</v>
      </c>
      <c r="AJ75" s="11" t="str">
        <f t="shared" si="91"/>
        <v/>
      </c>
      <c r="AK75" s="11" t="e">
        <f t="shared" si="92"/>
        <v>#REF!</v>
      </c>
      <c r="AL75" s="11" t="str">
        <f t="shared" si="93"/>
        <v/>
      </c>
      <c r="AM75" s="11" t="e">
        <f t="shared" si="94"/>
        <v>#REF!</v>
      </c>
      <c r="AN75" s="11" t="str">
        <f t="shared" si="95"/>
        <v/>
      </c>
      <c r="AO75" s="11" t="e">
        <f t="shared" si="96"/>
        <v>#REF!</v>
      </c>
      <c r="AP75" s="11" t="str">
        <f t="shared" si="97"/>
        <v/>
      </c>
      <c r="AQ75" s="11" t="e">
        <f t="shared" si="98"/>
        <v>#REF!</v>
      </c>
      <c r="AR75" s="11" t="str">
        <f t="shared" si="99"/>
        <v/>
      </c>
      <c r="AS75" s="11" t="e">
        <f t="shared" si="100"/>
        <v>#REF!</v>
      </c>
      <c r="AT75" s="11" t="str">
        <f t="shared" si="101"/>
        <v/>
      </c>
      <c r="AU75" s="11" t="e">
        <f t="shared" si="102"/>
        <v>#REF!</v>
      </c>
      <c r="AV75" s="11" t="str">
        <f t="shared" si="103"/>
        <v/>
      </c>
      <c r="AW75" s="11" t="e">
        <f t="shared" si="104"/>
        <v>#REF!</v>
      </c>
      <c r="AX75" s="11" t="str">
        <f t="shared" si="105"/>
        <v/>
      </c>
      <c r="AY75" s="11" t="e">
        <f t="shared" si="106"/>
        <v>#REF!</v>
      </c>
      <c r="AZ75" s="11" t="str">
        <f t="shared" si="107"/>
        <v/>
      </c>
      <c r="BA75" s="11" t="e">
        <f t="shared" si="108"/>
        <v>#REF!</v>
      </c>
      <c r="BB75" s="11" t="str">
        <f t="shared" si="109"/>
        <v/>
      </c>
      <c r="BC75" s="11" t="e">
        <f t="shared" si="110"/>
        <v>#REF!</v>
      </c>
      <c r="BD75" s="11" t="str">
        <f t="shared" si="111"/>
        <v/>
      </c>
      <c r="BE75" s="11" t="e">
        <f t="shared" si="112"/>
        <v>#REF!</v>
      </c>
      <c r="BF75" s="11" t="str">
        <f t="shared" si="113"/>
        <v/>
      </c>
      <c r="BG75" s="11" t="e">
        <f t="shared" si="114"/>
        <v>#REF!</v>
      </c>
      <c r="BH75" s="11" t="str">
        <f t="shared" si="115"/>
        <v/>
      </c>
      <c r="BI75" s="11" t="e">
        <f t="shared" si="116"/>
        <v>#REF!</v>
      </c>
      <c r="BJ75" s="11" t="str">
        <f t="shared" si="117"/>
        <v/>
      </c>
      <c r="BK75" s="11" t="e">
        <f t="shared" si="118"/>
        <v>#REF!</v>
      </c>
      <c r="BL75" s="11" t="str">
        <f t="shared" si="119"/>
        <v/>
      </c>
      <c r="BM75" s="22" t="e">
        <f t="shared" si="59"/>
        <v>#REF!</v>
      </c>
      <c r="BN75" s="113" t="e">
        <f t="shared" si="60"/>
        <v>#REF!</v>
      </c>
      <c r="BO75" s="41" t="e">
        <f t="shared" si="61"/>
        <v>#REF!</v>
      </c>
      <c r="BP75" s="15" t="str">
        <f t="shared" si="62"/>
        <v/>
      </c>
      <c r="BQ75" s="101" t="e">
        <f t="shared" si="63"/>
        <v>#REF!</v>
      </c>
      <c r="BR75" s="15" t="str">
        <f>IF('ריכוז נתונים כללים'!$W75='ריכוז נתונים כללים'!$AN$16,MIN(BP75,'ריכוז נתונים כללים'!$AB75),BP75)</f>
        <v/>
      </c>
      <c r="BS75" s="15" t="e">
        <f>IF($C75="","",IF('ריכוז נתונים כללים'!$W75='ריכוז נתונים כללים'!$AN$16,BR75,BR75+($C$3-BR$77)*(BR75/(BR$77-SUMIF('ריכוז נתונים כללים'!$W$17:$W$76,'ריכוז נתונים כללים'!$AN$16,BR$17:BR$76)))))</f>
        <v>#REF!</v>
      </c>
    </row>
    <row r="76" spans="2:71" x14ac:dyDescent="0.25">
      <c r="B76" s="7">
        <f>'ריכוז נתונים'!C76</f>
        <v>60</v>
      </c>
      <c r="C76" s="7" t="e">
        <f>#REF!</f>
        <v>#REF!</v>
      </c>
      <c r="D76" s="22" t="e">
        <f>IF(C76="","",#REF!)</f>
        <v>#REF!</v>
      </c>
      <c r="E76" s="22" t="e">
        <f>IF(C76="","",#REF!)</f>
        <v>#REF!</v>
      </c>
      <c r="F76" s="22" t="str">
        <f t="shared" si="1"/>
        <v/>
      </c>
      <c r="G76" s="11" t="e">
        <f t="shared" si="58"/>
        <v>#REF!</v>
      </c>
      <c r="H76" s="11" t="str">
        <f t="shared" si="64"/>
        <v/>
      </c>
      <c r="I76" s="11" t="e">
        <f t="shared" si="58"/>
        <v>#REF!</v>
      </c>
      <c r="J76" s="11" t="str">
        <f t="shared" si="65"/>
        <v/>
      </c>
      <c r="K76" s="11" t="e">
        <f t="shared" si="66"/>
        <v>#REF!</v>
      </c>
      <c r="L76" s="11" t="str">
        <f t="shared" si="67"/>
        <v/>
      </c>
      <c r="M76" s="11" t="e">
        <f t="shared" si="68"/>
        <v>#REF!</v>
      </c>
      <c r="N76" s="11" t="str">
        <f t="shared" si="69"/>
        <v/>
      </c>
      <c r="O76" s="11" t="e">
        <f t="shared" si="70"/>
        <v>#REF!</v>
      </c>
      <c r="P76" s="11" t="str">
        <f t="shared" si="71"/>
        <v/>
      </c>
      <c r="Q76" s="11" t="e">
        <f t="shared" si="72"/>
        <v>#REF!</v>
      </c>
      <c r="R76" s="11" t="str">
        <f t="shared" si="73"/>
        <v/>
      </c>
      <c r="S76" s="11" t="e">
        <f t="shared" si="74"/>
        <v>#REF!</v>
      </c>
      <c r="T76" s="11" t="str">
        <f t="shared" si="75"/>
        <v/>
      </c>
      <c r="U76" s="11" t="e">
        <f t="shared" si="76"/>
        <v>#REF!</v>
      </c>
      <c r="V76" s="11" t="str">
        <f t="shared" si="77"/>
        <v/>
      </c>
      <c r="W76" s="11" t="e">
        <f t="shared" si="78"/>
        <v>#REF!</v>
      </c>
      <c r="X76" s="11" t="str">
        <f t="shared" si="79"/>
        <v/>
      </c>
      <c r="Y76" s="11" t="e">
        <f t="shared" si="80"/>
        <v>#REF!</v>
      </c>
      <c r="Z76" s="11" t="str">
        <f t="shared" si="81"/>
        <v/>
      </c>
      <c r="AA76" s="11" t="e">
        <f t="shared" si="82"/>
        <v>#REF!</v>
      </c>
      <c r="AB76" s="11" t="str">
        <f t="shared" si="83"/>
        <v/>
      </c>
      <c r="AC76" s="11" t="e">
        <f t="shared" si="84"/>
        <v>#REF!</v>
      </c>
      <c r="AD76" s="11" t="str">
        <f t="shared" si="85"/>
        <v/>
      </c>
      <c r="AE76" s="11" t="e">
        <f t="shared" si="86"/>
        <v>#REF!</v>
      </c>
      <c r="AF76" s="11" t="str">
        <f t="shared" si="87"/>
        <v/>
      </c>
      <c r="AG76" s="11" t="e">
        <f t="shared" si="88"/>
        <v>#REF!</v>
      </c>
      <c r="AH76" s="11" t="str">
        <f t="shared" si="89"/>
        <v/>
      </c>
      <c r="AI76" s="11" t="e">
        <f t="shared" si="90"/>
        <v>#REF!</v>
      </c>
      <c r="AJ76" s="11" t="str">
        <f t="shared" si="91"/>
        <v/>
      </c>
      <c r="AK76" s="11" t="e">
        <f t="shared" si="92"/>
        <v>#REF!</v>
      </c>
      <c r="AL76" s="11" t="str">
        <f t="shared" si="93"/>
        <v/>
      </c>
      <c r="AM76" s="11" t="e">
        <f t="shared" si="94"/>
        <v>#REF!</v>
      </c>
      <c r="AN76" s="11" t="str">
        <f t="shared" si="95"/>
        <v/>
      </c>
      <c r="AO76" s="11" t="e">
        <f t="shared" si="96"/>
        <v>#REF!</v>
      </c>
      <c r="AP76" s="11" t="str">
        <f t="shared" si="97"/>
        <v/>
      </c>
      <c r="AQ76" s="11" t="e">
        <f t="shared" si="98"/>
        <v>#REF!</v>
      </c>
      <c r="AR76" s="11" t="str">
        <f t="shared" si="99"/>
        <v/>
      </c>
      <c r="AS76" s="11" t="e">
        <f t="shared" si="100"/>
        <v>#REF!</v>
      </c>
      <c r="AT76" s="11" t="str">
        <f t="shared" si="101"/>
        <v/>
      </c>
      <c r="AU76" s="11" t="e">
        <f t="shared" si="102"/>
        <v>#REF!</v>
      </c>
      <c r="AV76" s="11" t="str">
        <f t="shared" si="103"/>
        <v/>
      </c>
      <c r="AW76" s="11" t="e">
        <f t="shared" si="104"/>
        <v>#REF!</v>
      </c>
      <c r="AX76" s="11" t="str">
        <f t="shared" si="105"/>
        <v/>
      </c>
      <c r="AY76" s="11" t="e">
        <f t="shared" si="106"/>
        <v>#REF!</v>
      </c>
      <c r="AZ76" s="11" t="str">
        <f t="shared" si="107"/>
        <v/>
      </c>
      <c r="BA76" s="11" t="e">
        <f t="shared" si="108"/>
        <v>#REF!</v>
      </c>
      <c r="BB76" s="11" t="str">
        <f t="shared" si="109"/>
        <v/>
      </c>
      <c r="BC76" s="11" t="e">
        <f t="shared" si="110"/>
        <v>#REF!</v>
      </c>
      <c r="BD76" s="11" t="str">
        <f t="shared" si="111"/>
        <v/>
      </c>
      <c r="BE76" s="11" t="e">
        <f t="shared" si="112"/>
        <v>#REF!</v>
      </c>
      <c r="BF76" s="11" t="str">
        <f t="shared" si="113"/>
        <v/>
      </c>
      <c r="BG76" s="11" t="e">
        <f t="shared" si="114"/>
        <v>#REF!</v>
      </c>
      <c r="BH76" s="11" t="str">
        <f t="shared" si="115"/>
        <v/>
      </c>
      <c r="BI76" s="11" t="e">
        <f t="shared" si="116"/>
        <v>#REF!</v>
      </c>
      <c r="BJ76" s="11" t="str">
        <f t="shared" si="117"/>
        <v/>
      </c>
      <c r="BK76" s="11" t="e">
        <f t="shared" si="118"/>
        <v>#REF!</v>
      </c>
      <c r="BL76" s="11" t="str">
        <f t="shared" si="119"/>
        <v/>
      </c>
      <c r="BM76" s="22" t="e">
        <f t="shared" si="59"/>
        <v>#REF!</v>
      </c>
      <c r="BN76" s="113" t="e">
        <f t="shared" si="60"/>
        <v>#REF!</v>
      </c>
      <c r="BO76" s="41" t="e">
        <f t="shared" si="61"/>
        <v>#REF!</v>
      </c>
      <c r="BP76" s="15" t="str">
        <f t="shared" si="62"/>
        <v/>
      </c>
      <c r="BQ76" s="101" t="e">
        <f t="shared" si="63"/>
        <v>#REF!</v>
      </c>
      <c r="BR76" s="15" t="str">
        <f>IF('ריכוז נתונים כללים'!$W76='ריכוז נתונים כללים'!$AN$16,MIN(BP76,'ריכוז נתונים כללים'!$AB76),BP76)</f>
        <v/>
      </c>
      <c r="BS76" s="15" t="e">
        <f>IF($C76="","",IF('ריכוז נתונים כללים'!$W76='ריכוז נתונים כללים'!$AN$16,BR76,BR76+($C$3-BR$77)*(BR76/(BR$77-SUMIF('ריכוז נתונים כללים'!$W$17:$W$76,'ריכוז נתונים כללים'!$AN$16,BR$17:BR$76)))))</f>
        <v>#REF!</v>
      </c>
    </row>
    <row r="77" spans="2:71" x14ac:dyDescent="0.25">
      <c r="BR77" s="100">
        <f ca="1">SUM(BR17:BR76)</f>
        <v>1.1284992180962039E-2</v>
      </c>
      <c r="BS77" s="100" t="e">
        <f>SUM(BS17:BS76)</f>
        <v>#REF!</v>
      </c>
    </row>
  </sheetData>
  <sheetProtection algorithmName="SHA-512" hashValue="WWv1vZe5otpga3J4tWajG7uDWcpydY9flSR3tzNTD05QPDq95AP+RdZ1hvZ2TCaM+5QaH5S0f2KXTw5SaxViag==" saltValue="4uy4TU8y6tokUVfl4r6yyA==" spinCount="100000" sheet="1" scenarios="1" formatColumns="0" formatRows="0" autoFilter="0"/>
  <mergeCells count="5">
    <mergeCell ref="B15:B16"/>
    <mergeCell ref="C15:C16"/>
    <mergeCell ref="D15:BP15"/>
    <mergeCell ref="B6:C6"/>
    <mergeCell ref="BQ15:BS15"/>
  </mergeCells>
  <conditionalFormatting sqref="D17:BN76">
    <cfRule type="containsText" dxfId="222" priority="2" operator="containsText" text="הזנה שגויה">
      <formula>NOT(ISERROR(SEARCH("הזנה שגויה",D17)))</formula>
    </cfRule>
  </conditionalFormatting>
  <pageMargins left="0.70866141732283472" right="0.70866141732283472" top="0.74803149606299213" bottom="0.74803149606299213" header="0.31496062992125984" footer="0.31496062992125984"/>
  <pageSetup paperSize="9" scale="60" orientation="portrait" r:id="rId1"/>
  <headerFooter>
    <oddFooter>&amp;C&amp;"David,מודגש"א. חפץ ושות'
ייעוץ כלכלי</oddFooter>
  </headerFooter>
  <rowBreaks count="1" manualBreakCount="1">
    <brk id="46" max="69"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גיליון79">
    <tabColor theme="1"/>
    <pageSetUpPr fitToPage="1"/>
  </sheetPr>
  <dimension ref="B1:AW76"/>
  <sheetViews>
    <sheetView rightToLeft="1" view="pageBreakPreview" zoomScale="90" zoomScaleNormal="80" zoomScaleSheetLayoutView="90" workbookViewId="0">
      <pane xSplit="3" ySplit="16" topLeftCell="AM17" activePane="bottomRight" state="frozen"/>
      <selection pane="topRight" activeCell="AU1" sqref="F1:AU1048576"/>
      <selection pane="bottomLeft" activeCell="AU1" sqref="F1:AU1048576"/>
      <selection pane="bottomRight" activeCell="AU1" sqref="F1:AU1048576"/>
    </sheetView>
  </sheetViews>
  <sheetFormatPr defaultColWidth="9.140625" defaultRowHeight="15.75" x14ac:dyDescent="0.25"/>
  <cols>
    <col min="1" max="1" width="9.140625" style="110" customWidth="1"/>
    <col min="2" max="2" width="20.5703125" style="110" customWidth="1"/>
    <col min="3" max="3" width="42.85546875" style="110" bestFit="1" customWidth="1"/>
    <col min="4" max="4" width="27.85546875" style="110" bestFit="1" customWidth="1"/>
    <col min="5" max="5" width="17.5703125" style="110" customWidth="1"/>
    <col min="6" max="6" width="16" style="110" customWidth="1"/>
    <col min="7" max="7" width="31.140625" style="110" customWidth="1"/>
    <col min="8" max="8" width="25.140625" style="110" customWidth="1"/>
    <col min="9" max="9" width="21" style="110" customWidth="1"/>
    <col min="10" max="20" width="24.85546875" style="110" customWidth="1"/>
    <col min="21" max="46" width="24.140625" style="110" customWidth="1"/>
    <col min="47" max="47" width="19.140625" style="110" customWidth="1"/>
    <col min="48" max="48" width="30.140625" style="110" customWidth="1"/>
    <col min="49" max="49" width="28.85546875" style="110" bestFit="1" customWidth="1"/>
    <col min="50" max="16384" width="9.140625" style="110"/>
  </cols>
  <sheetData>
    <row r="1" spans="2:48" ht="16.5" thickBot="1" x14ac:dyDescent="0.3"/>
    <row r="2" spans="2:48" ht="16.5" thickBot="1" x14ac:dyDescent="0.3">
      <c r="C2" s="114" t="str">
        <f>פרמטרים!B4</f>
        <v xml:space="preserve">גובה תמיכה </v>
      </c>
      <c r="D2" s="117" t="s">
        <v>211</v>
      </c>
    </row>
    <row r="3" spans="2:48" ht="16.5" thickBot="1" x14ac:dyDescent="0.3">
      <c r="C3" s="115">
        <f>פרמטרים!C4</f>
        <v>15000000</v>
      </c>
      <c r="D3" s="116">
        <f>פרמטרים!C129</f>
        <v>0</v>
      </c>
    </row>
    <row r="4" spans="2:48" x14ac:dyDescent="0.25">
      <c r="B4" s="111"/>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c r="AG4" s="111"/>
      <c r="AH4" s="111"/>
      <c r="AI4" s="111"/>
      <c r="AJ4" s="111"/>
      <c r="AK4" s="111"/>
      <c r="AL4" s="111"/>
      <c r="AM4" s="111"/>
      <c r="AN4" s="111"/>
      <c r="AO4" s="111"/>
      <c r="AP4" s="111"/>
      <c r="AQ4" s="111"/>
      <c r="AR4" s="111"/>
      <c r="AS4" s="111"/>
      <c r="AT4" s="111"/>
      <c r="AU4" s="111"/>
    </row>
    <row r="5" spans="2:48" hidden="1" x14ac:dyDescent="0.25"/>
    <row r="6" spans="2:48" hidden="1" x14ac:dyDescent="0.25"/>
    <row r="7" spans="2:48" hidden="1" x14ac:dyDescent="0.25"/>
    <row r="8" spans="2:48" hidden="1" x14ac:dyDescent="0.25"/>
    <row r="9" spans="2:48" hidden="1" x14ac:dyDescent="0.25"/>
    <row r="10" spans="2:48" hidden="1" x14ac:dyDescent="0.25"/>
    <row r="11" spans="2:48" hidden="1" x14ac:dyDescent="0.25"/>
    <row r="12" spans="2:48" hidden="1" x14ac:dyDescent="0.25"/>
    <row r="13" spans="2:48" hidden="1" x14ac:dyDescent="0.25"/>
    <row r="14" spans="2:48" ht="16.5" thickBot="1" x14ac:dyDescent="0.3"/>
    <row r="15" spans="2:48" ht="42.75" customHeight="1" x14ac:dyDescent="0.25">
      <c r="B15" s="570" t="str">
        <f>'הוראת מעבר- הגנה'!B15:B16</f>
        <v>מספר סידורי</v>
      </c>
      <c r="C15" s="570" t="str">
        <f>'הוראת מעבר- הגנה'!C15:C16</f>
        <v>שם המוסד</v>
      </c>
      <c r="D15" s="572" t="s">
        <v>212</v>
      </c>
      <c r="E15" s="572" t="s">
        <v>213</v>
      </c>
      <c r="F15" s="574" t="s">
        <v>214</v>
      </c>
      <c r="G15" s="568" t="s">
        <v>211</v>
      </c>
      <c r="H15" s="568" t="s">
        <v>215</v>
      </c>
      <c r="I15" s="568" t="s">
        <v>216</v>
      </c>
      <c r="J15" s="568" t="s">
        <v>217</v>
      </c>
      <c r="K15" s="568" t="s">
        <v>218</v>
      </c>
      <c r="L15" s="568" t="s">
        <v>219</v>
      </c>
      <c r="M15" s="568" t="s">
        <v>220</v>
      </c>
      <c r="N15" s="568" t="s">
        <v>221</v>
      </c>
      <c r="O15" s="568" t="s">
        <v>218</v>
      </c>
      <c r="P15" s="568" t="s">
        <v>222</v>
      </c>
      <c r="Q15" s="568" t="s">
        <v>223</v>
      </c>
      <c r="R15" s="568" t="s">
        <v>224</v>
      </c>
      <c r="S15" s="568" t="s">
        <v>218</v>
      </c>
      <c r="T15" s="568" t="s">
        <v>225</v>
      </c>
      <c r="U15" s="568" t="s">
        <v>226</v>
      </c>
      <c r="V15" s="568" t="s">
        <v>227</v>
      </c>
      <c r="W15" s="568" t="s">
        <v>218</v>
      </c>
      <c r="X15" s="568" t="s">
        <v>228</v>
      </c>
      <c r="Y15" s="568" t="s">
        <v>229</v>
      </c>
      <c r="Z15" s="568" t="s">
        <v>230</v>
      </c>
      <c r="AA15" s="568" t="s">
        <v>218</v>
      </c>
      <c r="AB15" s="568" t="s">
        <v>231</v>
      </c>
      <c r="AC15" s="568" t="s">
        <v>232</v>
      </c>
      <c r="AD15" s="568" t="s">
        <v>233</v>
      </c>
      <c r="AE15" s="568" t="s">
        <v>218</v>
      </c>
      <c r="AF15" s="568" t="s">
        <v>234</v>
      </c>
      <c r="AG15" s="568" t="s">
        <v>235</v>
      </c>
      <c r="AH15" s="568" t="s">
        <v>236</v>
      </c>
      <c r="AI15" s="568" t="s">
        <v>218</v>
      </c>
      <c r="AJ15" s="568" t="s">
        <v>237</v>
      </c>
      <c r="AK15" s="568" t="s">
        <v>238</v>
      </c>
      <c r="AL15" s="568" t="s">
        <v>239</v>
      </c>
      <c r="AM15" s="568" t="s">
        <v>218</v>
      </c>
      <c r="AN15" s="568" t="s">
        <v>240</v>
      </c>
      <c r="AO15" s="568" t="s">
        <v>241</v>
      </c>
      <c r="AP15" s="568" t="s">
        <v>242</v>
      </c>
      <c r="AQ15" s="568" t="s">
        <v>218</v>
      </c>
      <c r="AR15" s="568" t="s">
        <v>243</v>
      </c>
      <c r="AS15" s="568" t="s">
        <v>244</v>
      </c>
      <c r="AT15" s="568" t="s">
        <v>245</v>
      </c>
      <c r="AU15" s="575" t="s">
        <v>246</v>
      </c>
      <c r="AV15" s="575" t="s">
        <v>247</v>
      </c>
    </row>
    <row r="16" spans="2:48" ht="31.5" customHeight="1" thickBot="1" x14ac:dyDescent="0.3">
      <c r="B16" s="571"/>
      <c r="C16" s="571"/>
      <c r="D16" s="573"/>
      <c r="E16" s="573"/>
      <c r="F16" s="569"/>
      <c r="G16" s="569"/>
      <c r="H16" s="569"/>
      <c r="I16" s="569"/>
      <c r="J16" s="569"/>
      <c r="K16" s="569"/>
      <c r="L16" s="569"/>
      <c r="M16" s="569"/>
      <c r="N16" s="569"/>
      <c r="O16" s="569"/>
      <c r="P16" s="569"/>
      <c r="Q16" s="569"/>
      <c r="R16" s="569"/>
      <c r="S16" s="569"/>
      <c r="T16" s="569"/>
      <c r="U16" s="569"/>
      <c r="V16" s="569"/>
      <c r="W16" s="569"/>
      <c r="X16" s="569"/>
      <c r="Y16" s="569"/>
      <c r="Z16" s="569"/>
      <c r="AA16" s="569"/>
      <c r="AB16" s="569"/>
      <c r="AC16" s="569"/>
      <c r="AD16" s="569"/>
      <c r="AE16" s="569"/>
      <c r="AF16" s="569"/>
      <c r="AG16" s="569"/>
      <c r="AH16" s="569"/>
      <c r="AI16" s="569"/>
      <c r="AJ16" s="569"/>
      <c r="AK16" s="569"/>
      <c r="AL16" s="569"/>
      <c r="AM16" s="569"/>
      <c r="AN16" s="569"/>
      <c r="AO16" s="569"/>
      <c r="AP16" s="569"/>
      <c r="AQ16" s="569"/>
      <c r="AR16" s="569"/>
      <c r="AS16" s="569"/>
      <c r="AT16" s="569"/>
      <c r="AU16" s="576"/>
      <c r="AV16" s="576"/>
    </row>
    <row r="17" spans="2:49" x14ac:dyDescent="0.25">
      <c r="B17" s="98">
        <f>'הוראת מעבר- הגנה'!B17</f>
        <v>1</v>
      </c>
      <c r="C17" s="98" t="e">
        <f>'הוראת מעבר- הגנה'!C17</f>
        <v>#REF!</v>
      </c>
      <c r="D17" s="53" t="e">
        <f>#REF!</f>
        <v>#REF!</v>
      </c>
      <c r="E17" s="53" t="e">
        <f>IF(#REF!=0,0.00000000001,#REF!)</f>
        <v>#REF!</v>
      </c>
      <c r="F17" s="22" t="e">
        <f>IF(C17="","",IF(E17=0.00000000001,1,D17/E17))</f>
        <v>#REF!</v>
      </c>
      <c r="G17" s="22">
        <f>$D$3</f>
        <v>0</v>
      </c>
      <c r="H17" s="113" t="e">
        <f>IF($C17="","",IF($D17=0,0,IF(F17&lt;$G17,1,0)))</f>
        <v>#REF!</v>
      </c>
      <c r="I17" s="22" t="e">
        <f>IF($C17="","",IF(H17=1,$G17*$E17,D17))</f>
        <v>#REF!</v>
      </c>
      <c r="J17" s="22" t="e">
        <f>IF($C17="","",IF(H17=1,I17,I17/SUMIF(H$17:H$76,0,I$17:I$76)*((1-SUMIF(H$17:H$76,1,I$17:I$76)))))</f>
        <v>#REF!</v>
      </c>
      <c r="K17" s="22" t="e">
        <f>IF($C17="","",J17/$E17)</f>
        <v>#REF!</v>
      </c>
      <c r="L17" s="113" t="e">
        <f>IF($C17="","",IF($D17=0,0,IF(OR(H17&gt;0,K17&lt;$G17),1,0)))</f>
        <v>#REF!</v>
      </c>
      <c r="M17" s="97" t="e">
        <f>IF($C17="","",IF(L17=1,$G17*$E17,J17))</f>
        <v>#REF!</v>
      </c>
      <c r="N17" s="22" t="e">
        <f>IF($C17="","",IF(L17=1,M17,M17/SUMIF(L$17:L$76,0,M$17:M$76)*((1-SUMIF(L$17:L$76,1,M$17:M$76)))))</f>
        <v>#REF!</v>
      </c>
      <c r="O17" s="22" t="e">
        <f>IF($C17="","",N17/$E17)</f>
        <v>#REF!</v>
      </c>
      <c r="P17" s="113" t="e">
        <f>IF($C17="","",IF($D17=0,0,IF(OR(H17+L17&gt;0,O17&lt;$G17),1,0)))</f>
        <v>#REF!</v>
      </c>
      <c r="Q17" s="97" t="e">
        <f>IF($C17="","",IF(P17=1,$G17*$E17,N17))</f>
        <v>#REF!</v>
      </c>
      <c r="R17" s="22" t="e">
        <f>IF($C17="","",IF(P17=1,Q17,Q17/SUMIF(P$17:P$76,0,Q$17:Q$76)*((1-SUMIF(P$17:P$76,1,Q$17:Q$76)))))</f>
        <v>#REF!</v>
      </c>
      <c r="S17" s="22" t="e">
        <f>IF($C17="","",R17/$E17)</f>
        <v>#REF!</v>
      </c>
      <c r="T17" s="113" t="e">
        <f>IF($C17="","",IF($D17=0,0,IF(OR(H17+L17+P17&gt;0,S17&lt;$G17),1,0)))</f>
        <v>#REF!</v>
      </c>
      <c r="U17" s="97" t="e">
        <f>IF($C17="","",IF(T17=1,$G17*$E17,R17))</f>
        <v>#REF!</v>
      </c>
      <c r="V17" s="22" t="e">
        <f>IF($C17="","",IF(T17=1,U17,U17/SUMIF(T$17:T$76,0,U$17:U$76)*((1-SUMIF(T$17:T$76,1,U$17:U$76)))))</f>
        <v>#REF!</v>
      </c>
      <c r="W17" s="22" t="e">
        <f>IF($C17="","",V17/$E17)</f>
        <v>#REF!</v>
      </c>
      <c r="X17" s="113" t="e">
        <f>IF($C17="","",IF($D17=0,0,IF(OR(H17+L17+P17+T17&gt;0,W17&lt;$G17),1,0)))</f>
        <v>#REF!</v>
      </c>
      <c r="Y17" s="97" t="e">
        <f>IF($C17="","",IF(X17=1,$G17*$E17,V17))</f>
        <v>#REF!</v>
      </c>
      <c r="Z17" s="22" t="e">
        <f>IF($C17="","",IF(X17=1,Y17,Y17/SUMIF(X$17:X$76,0,Y$17:Y$76)*((1-SUMIF(X$17:X$76,1,Y$17:Y$76)))))</f>
        <v>#REF!</v>
      </c>
      <c r="AA17" s="22" t="e">
        <f>IF($C17="","",Z17/$E17)</f>
        <v>#REF!</v>
      </c>
      <c r="AB17" s="113" t="e">
        <f>IF($C17="","",IF($D17=0,0,IF(OR(H17+L17+P17+T17+X17&gt;0,AA17&lt;$G17),1,0)))</f>
        <v>#REF!</v>
      </c>
      <c r="AC17" s="97" t="e">
        <f>IF($C17="","",IF(AB17=1,$G17*$E17,Z17))</f>
        <v>#REF!</v>
      </c>
      <c r="AD17" s="22" t="e">
        <f>IF($C17="","",IF(AB17=1,AC17,AC17/SUMIF(AB$17:AB$76,0,AC$17:AC$76)*((1-SUMIF(AB$17:AB$76,1,AC$17:AC$76)))))</f>
        <v>#REF!</v>
      </c>
      <c r="AE17" s="22" t="e">
        <f>IF($C17="","",AD17/$E17)</f>
        <v>#REF!</v>
      </c>
      <c r="AF17" s="113" t="e">
        <f>IF($C17="","",IF($D17=0,0,IF(OR(H17+L17+P17+T17+X17+AB17&gt;0,AE17&lt;$G17),1,0)))</f>
        <v>#REF!</v>
      </c>
      <c r="AG17" s="97" t="e">
        <f>IF($C17="","",IF(AF17=1,$G17*$E17,AD17))</f>
        <v>#REF!</v>
      </c>
      <c r="AH17" s="22" t="e">
        <f>IF($C17="","",IF(AF17=1,AG17,AG17/SUMIF(AF$17:AF$76,0,AG$17:AG$76)*((1-SUMIF(AF$17:AF$76,1,AG$17:AG$76)))))</f>
        <v>#REF!</v>
      </c>
      <c r="AI17" s="22" t="e">
        <f>IF($C17="","",AH17/$E17)</f>
        <v>#REF!</v>
      </c>
      <c r="AJ17" s="113" t="e">
        <f>IF($C17="","",IF($D17=0,0,IF(OR(H17+L17+P17+T17+X17+AB17+AF17&gt;0,AI17&lt;$G17),1,0)))</f>
        <v>#REF!</v>
      </c>
      <c r="AK17" s="97" t="e">
        <f>IF($C17="","",IF(AJ17=1,$G17*$E17,AH17))</f>
        <v>#REF!</v>
      </c>
      <c r="AL17" s="22" t="e">
        <f>IF($C17="","",IF(AJ17=1,AK17,AK17/SUMIF(AJ$17:AJ$76,0,AK$17:AK$76)*((1-SUMIF(AJ$17:AJ$76,1,AK$17:AK$76)))))</f>
        <v>#REF!</v>
      </c>
      <c r="AM17" s="22" t="e">
        <f>IF($C17="","",AL17/$E17)</f>
        <v>#REF!</v>
      </c>
      <c r="AN17" s="113" t="e">
        <f>IF($C17="","",IF($D17=0,0,IF(OR(H17+L17+P17+T17+X17+AB17+AF17+AJ17&gt;0,AM17&lt;$G17),1,0)))</f>
        <v>#REF!</v>
      </c>
      <c r="AO17" s="97" t="e">
        <f>IF($C17="","",IF(AN17=1,$G17*$E17,AL17))</f>
        <v>#REF!</v>
      </c>
      <c r="AP17" s="22" t="e">
        <f>IF($C17="","",IF(AN17=1,AO17,AO17/SUMIF(AN$17:AN$76,0,AO$17:AO$76)*((1-SUMIF(AN$17:AN$76,1,AO$17:AO$76)))))</f>
        <v>#REF!</v>
      </c>
      <c r="AQ17" s="22" t="e">
        <f>IF($C17="","",AP17/$E17)</f>
        <v>#REF!</v>
      </c>
      <c r="AR17" s="113" t="e">
        <f>IF($C17="","",IF($D17=0,0,IF(OR(H17+L17+P17+T17+X17+AB17+AF17+AJ17+AN17&gt;0,AQ17&lt;$G17),1,0)))</f>
        <v>#REF!</v>
      </c>
      <c r="AS17" s="97" t="e">
        <f>IF($C17="","",IF(AR17=1,$G17*$E17,AP17))</f>
        <v>#REF!</v>
      </c>
      <c r="AT17" s="22" t="e">
        <f>IF($C17="","",IF(AR17=1,AS17,AS17/SUMIF(AR$17:AR$76,0,AS$17:AS$76)*((1-SUMIF(AR$17:AR$76,1,AS$17:AS$76)))))</f>
        <v>#REF!</v>
      </c>
      <c r="AU17" s="121" t="e">
        <f>IFERROR(IF(C17="","",AT17),D17)</f>
        <v>#REF!</v>
      </c>
      <c r="AV17" s="122" t="e">
        <f>IF(C17="","",AU17*$C$3)</f>
        <v>#REF!</v>
      </c>
      <c r="AW17" s="112"/>
    </row>
    <row r="18" spans="2:49" x14ac:dyDescent="0.25">
      <c r="B18" s="98">
        <f>'הוראת מעבר- הגנה'!B18</f>
        <v>2</v>
      </c>
      <c r="C18" s="98" t="e">
        <f>'הוראת מעבר- הגנה'!C18</f>
        <v>#REF!</v>
      </c>
      <c r="D18" s="53" t="e">
        <f>#REF!</f>
        <v>#REF!</v>
      </c>
      <c r="E18" s="53" t="e">
        <f>IF(#REF!=0,0.00000000001,#REF!)</f>
        <v>#REF!</v>
      </c>
      <c r="F18" s="22" t="e">
        <f t="shared" ref="F18:F68" si="0">IF(C18="","",IF(E18=0.00000000001,1,D18/E18))</f>
        <v>#REF!</v>
      </c>
      <c r="G18" s="22">
        <f t="shared" ref="G18:G76" si="1">$D$3</f>
        <v>0</v>
      </c>
      <c r="H18" s="113" t="e">
        <f t="shared" ref="H18:H76" si="2">IF($C18="","",IF($D18=0,0,IF(F18&lt;$G18,1,0)))</f>
        <v>#REF!</v>
      </c>
      <c r="I18" s="22" t="e">
        <f t="shared" ref="I18:I76" si="3">IF($C18="","",IF(H18=1,$G18*$E18,D18))</f>
        <v>#REF!</v>
      </c>
      <c r="J18" s="22" t="e">
        <f t="shared" ref="J18:J76" si="4">IF($C18="","",IF(H18=1,I18,I18/SUMIF(H$17:H$76,0,I$17:I$76)*((1-SUMIF(H$17:H$76,1,I$17:I$76)))))</f>
        <v>#REF!</v>
      </c>
      <c r="K18" s="22" t="e">
        <f t="shared" ref="K18:K76" si="5">IF($C18="","",J18/$E18)</f>
        <v>#REF!</v>
      </c>
      <c r="L18" s="113" t="e">
        <f t="shared" ref="L18:L76" si="6">IF($C18="","",IF($D18=0,0,IF(OR(H18&gt;0,K18&lt;$G18),1,0)))</f>
        <v>#REF!</v>
      </c>
      <c r="M18" s="97" t="e">
        <f t="shared" ref="M18:M68" si="7">IF($C18="","",IF(L18=1,$G18*$E18,J18))</f>
        <v>#REF!</v>
      </c>
      <c r="N18" s="22" t="e">
        <f t="shared" ref="N18:N76" si="8">IF($C18="","",IF(L18=1,M18,M18/SUMIF(L$17:L$76,0,M$17:M$76)*((1-SUMIF(L$17:L$76,1,M$17:M$76)))))</f>
        <v>#REF!</v>
      </c>
      <c r="O18" s="22" t="e">
        <f t="shared" ref="O18:O68" si="9">IF($C18="","",N18/$E18)</f>
        <v>#REF!</v>
      </c>
      <c r="P18" s="113" t="e">
        <f t="shared" ref="P18:P76" si="10">IF($C18="","",IF($D18=0,0,IF(OR(H18+L18&gt;0,O18&lt;$G18),1,0)))</f>
        <v>#REF!</v>
      </c>
      <c r="Q18" s="97" t="e">
        <f t="shared" ref="Q18:Q68" si="11">IF($C18="","",IF(P18=1,$G18*$E18,N18))</f>
        <v>#REF!</v>
      </c>
      <c r="R18" s="22" t="e">
        <f t="shared" ref="R18:R76" si="12">IF($C18="","",IF(P18=1,Q18,Q18/SUMIF(P$17:P$76,0,Q$17:Q$76)*((1-SUMIF(P$17:P$76,1,Q$17:Q$76)))))</f>
        <v>#REF!</v>
      </c>
      <c r="S18" s="22" t="e">
        <f t="shared" ref="S18:S68" si="13">IF($C18="","",R18/$E18)</f>
        <v>#REF!</v>
      </c>
      <c r="T18" s="113" t="e">
        <f t="shared" ref="T18:T76" si="14">IF($C18="","",IF($D18=0,0,IF(OR(H18+L18+P18&gt;0,S18&lt;$G18),1,0)))</f>
        <v>#REF!</v>
      </c>
      <c r="U18" s="97" t="e">
        <f t="shared" ref="U18:U68" si="15">IF($C18="","",IF(T18=1,$G18*$E18,R18))</f>
        <v>#REF!</v>
      </c>
      <c r="V18" s="22" t="e">
        <f t="shared" ref="V18:V76" si="16">IF($C18="","",IF(T18=1,U18,U18/SUMIF(T$17:T$76,0,U$17:U$76)*((1-SUMIF(T$17:T$76,1,U$17:U$76)))))</f>
        <v>#REF!</v>
      </c>
      <c r="W18" s="22" t="e">
        <f t="shared" ref="W18:W68" si="17">IF($C18="","",V18/$E18)</f>
        <v>#REF!</v>
      </c>
      <c r="X18" s="113" t="e">
        <f t="shared" ref="X18:X76" si="18">IF($C18="","",IF($D18=0,0,IF(OR(H18+L18+P18+T18&gt;0,W18&lt;$G18),1,0)))</f>
        <v>#REF!</v>
      </c>
      <c r="Y18" s="97" t="e">
        <f t="shared" ref="Y18:Y68" si="19">IF($C18="","",IF(X18=1,$G18*$E18,V18))</f>
        <v>#REF!</v>
      </c>
      <c r="Z18" s="22" t="e">
        <f t="shared" ref="Z18:Z76" si="20">IF($C18="","",IF(X18=1,Y18,Y18/SUMIF(X$17:X$76,0,Y$17:Y$76)*((1-SUMIF(X$17:X$76,1,Y$17:Y$76)))))</f>
        <v>#REF!</v>
      </c>
      <c r="AA18" s="22" t="e">
        <f t="shared" ref="AA18:AA68" si="21">IF($C18="","",Z18/$E18)</f>
        <v>#REF!</v>
      </c>
      <c r="AB18" s="113" t="e">
        <f t="shared" ref="AB18:AB76" si="22">IF($C18="","",IF($D18=0,0,IF(OR(H18+L18+P18+T18+X18&gt;0,AA18&lt;$G18),1,0)))</f>
        <v>#REF!</v>
      </c>
      <c r="AC18" s="97" t="e">
        <f t="shared" ref="AC18:AC68" si="23">IF($C18="","",IF(AB18=1,$G18*$E18,Z18))</f>
        <v>#REF!</v>
      </c>
      <c r="AD18" s="22" t="e">
        <f t="shared" ref="AD18:AD76" si="24">IF($C18="","",IF(AB18=1,AC18,AC18/SUMIF(AB$17:AB$76,0,AC$17:AC$76)*((1-SUMIF(AB$17:AB$76,1,AC$17:AC$76)))))</f>
        <v>#REF!</v>
      </c>
      <c r="AE18" s="22" t="e">
        <f t="shared" ref="AE18:AE68" si="25">IF($C18="","",AD18/$E18)</f>
        <v>#REF!</v>
      </c>
      <c r="AF18" s="113" t="e">
        <f t="shared" ref="AF18:AF76" si="26">IF($C18="","",IF($D18=0,0,IF(OR(H18+L18+P18+T18+X18+AB18&gt;0,AE18&lt;$G18),1,0)))</f>
        <v>#REF!</v>
      </c>
      <c r="AG18" s="97" t="e">
        <f t="shared" ref="AG18:AG68" si="27">IF($C18="","",IF(AF18=1,$G18*$E18,AD18))</f>
        <v>#REF!</v>
      </c>
      <c r="AH18" s="22" t="e">
        <f t="shared" ref="AH18:AH76" si="28">IF($C18="","",IF(AF18=1,AG18,AG18/SUMIF(AF$17:AF$76,0,AG$17:AG$76)*((1-SUMIF(AF$17:AF$76,1,AG$17:AG$76)))))</f>
        <v>#REF!</v>
      </c>
      <c r="AI18" s="22" t="e">
        <f t="shared" ref="AI18:AI68" si="29">IF($C18="","",AH18/$E18)</f>
        <v>#REF!</v>
      </c>
      <c r="AJ18" s="113" t="e">
        <f t="shared" ref="AJ18:AJ76" si="30">IF($C18="","",IF($D18=0,0,IF(OR(H18+L18+P18+T18+X18+AB18+AF18&gt;0,AI18&lt;$G18),1,0)))</f>
        <v>#REF!</v>
      </c>
      <c r="AK18" s="97" t="e">
        <f t="shared" ref="AK18:AK68" si="31">IF($C18="","",IF(AJ18=1,$G18*$E18,AH18))</f>
        <v>#REF!</v>
      </c>
      <c r="AL18" s="22" t="e">
        <f t="shared" ref="AL18:AL76" si="32">IF($C18="","",IF(AJ18=1,AK18,AK18/SUMIF(AJ$17:AJ$76,0,AK$17:AK$76)*((1-SUMIF(AJ$17:AJ$76,1,AK$17:AK$76)))))</f>
        <v>#REF!</v>
      </c>
      <c r="AM18" s="22" t="e">
        <f t="shared" ref="AM18:AM68" si="33">IF($C18="","",AL18/$E18)</f>
        <v>#REF!</v>
      </c>
      <c r="AN18" s="113" t="e">
        <f t="shared" ref="AN18:AN76" si="34">IF($C18="","",IF($D18=0,0,IF(OR(H18+L18+P18+T18+X18+AB18+AF18+AJ18&gt;0,AM18&lt;$G18),1,0)))</f>
        <v>#REF!</v>
      </c>
      <c r="AO18" s="97" t="e">
        <f t="shared" ref="AO18:AO68" si="35">IF($C18="","",IF(AN18=1,$G18*$E18,AL18))</f>
        <v>#REF!</v>
      </c>
      <c r="AP18" s="22" t="e">
        <f t="shared" ref="AP18:AP76" si="36">IF($C18="","",IF(AN18=1,AO18,AO18/SUMIF(AN$17:AN$76,0,AO$17:AO$76)*((1-SUMIF(AN$17:AN$76,1,AO$17:AO$76)))))</f>
        <v>#REF!</v>
      </c>
      <c r="AQ18" s="22" t="e">
        <f t="shared" ref="AQ18:AQ68" si="37">IF($C18="","",AP18/$E18)</f>
        <v>#REF!</v>
      </c>
      <c r="AR18" s="113" t="e">
        <f t="shared" ref="AR18:AR76" si="38">IF($C18="","",IF($D18=0,0,IF(OR(H18+L18+P18+T18+X18+AB18+AF18+AJ18+AN18&gt;0,AQ18&lt;$G18),1,0)))</f>
        <v>#REF!</v>
      </c>
      <c r="AS18" s="97" t="e">
        <f t="shared" ref="AS18:AS68" si="39">IF($C18="","",IF(AR18=1,$G18*$E18,AP18))</f>
        <v>#REF!</v>
      </c>
      <c r="AT18" s="22" t="e">
        <f t="shared" ref="AT18:AT76" si="40">IF($C18="","",IF(AR18=1,AS18,AS18/SUMIF(AR$17:AR$76,0,AS$17:AS$76)*((1-SUMIF(AR$17:AR$76,1,AS$17:AS$76)))))</f>
        <v>#REF!</v>
      </c>
      <c r="AU18" s="121" t="e">
        <f t="shared" ref="AU18:AU68" si="41">IFERROR(IF(C18="","",AT18),D18)</f>
        <v>#REF!</v>
      </c>
      <c r="AV18" s="122" t="e">
        <f t="shared" ref="AV18:AV76" si="42">IF(C18="","",AU18*$C$3)</f>
        <v>#REF!</v>
      </c>
      <c r="AW18" s="112"/>
    </row>
    <row r="19" spans="2:49" x14ac:dyDescent="0.25">
      <c r="B19" s="98">
        <f>'הוראת מעבר- הגנה'!B19</f>
        <v>3</v>
      </c>
      <c r="C19" s="98" t="e">
        <f>'הוראת מעבר- הגנה'!C19</f>
        <v>#REF!</v>
      </c>
      <c r="D19" s="53" t="e">
        <f>#REF!</f>
        <v>#REF!</v>
      </c>
      <c r="E19" s="53" t="e">
        <f>IF(#REF!=0,0.00000000001,#REF!)</f>
        <v>#REF!</v>
      </c>
      <c r="F19" s="22" t="e">
        <f t="shared" si="0"/>
        <v>#REF!</v>
      </c>
      <c r="G19" s="22">
        <f t="shared" si="1"/>
        <v>0</v>
      </c>
      <c r="H19" s="113" t="e">
        <f t="shared" si="2"/>
        <v>#REF!</v>
      </c>
      <c r="I19" s="22" t="e">
        <f t="shared" si="3"/>
        <v>#REF!</v>
      </c>
      <c r="J19" s="22" t="e">
        <f t="shared" si="4"/>
        <v>#REF!</v>
      </c>
      <c r="K19" s="22" t="e">
        <f t="shared" si="5"/>
        <v>#REF!</v>
      </c>
      <c r="L19" s="113" t="e">
        <f t="shared" si="6"/>
        <v>#REF!</v>
      </c>
      <c r="M19" s="97" t="e">
        <f t="shared" si="7"/>
        <v>#REF!</v>
      </c>
      <c r="N19" s="22" t="e">
        <f t="shared" si="8"/>
        <v>#REF!</v>
      </c>
      <c r="O19" s="22" t="e">
        <f t="shared" si="9"/>
        <v>#REF!</v>
      </c>
      <c r="P19" s="113" t="e">
        <f t="shared" si="10"/>
        <v>#REF!</v>
      </c>
      <c r="Q19" s="97" t="e">
        <f t="shared" si="11"/>
        <v>#REF!</v>
      </c>
      <c r="R19" s="22" t="e">
        <f t="shared" si="12"/>
        <v>#REF!</v>
      </c>
      <c r="S19" s="22" t="e">
        <f t="shared" si="13"/>
        <v>#REF!</v>
      </c>
      <c r="T19" s="113" t="e">
        <f t="shared" si="14"/>
        <v>#REF!</v>
      </c>
      <c r="U19" s="97" t="e">
        <f t="shared" si="15"/>
        <v>#REF!</v>
      </c>
      <c r="V19" s="22" t="e">
        <f t="shared" si="16"/>
        <v>#REF!</v>
      </c>
      <c r="W19" s="22" t="e">
        <f t="shared" si="17"/>
        <v>#REF!</v>
      </c>
      <c r="X19" s="113" t="e">
        <f t="shared" si="18"/>
        <v>#REF!</v>
      </c>
      <c r="Y19" s="97" t="e">
        <f t="shared" si="19"/>
        <v>#REF!</v>
      </c>
      <c r="Z19" s="22" t="e">
        <f t="shared" si="20"/>
        <v>#REF!</v>
      </c>
      <c r="AA19" s="22" t="e">
        <f t="shared" si="21"/>
        <v>#REF!</v>
      </c>
      <c r="AB19" s="113" t="e">
        <f t="shared" si="22"/>
        <v>#REF!</v>
      </c>
      <c r="AC19" s="97" t="e">
        <f t="shared" si="23"/>
        <v>#REF!</v>
      </c>
      <c r="AD19" s="22" t="e">
        <f t="shared" si="24"/>
        <v>#REF!</v>
      </c>
      <c r="AE19" s="22" t="e">
        <f t="shared" si="25"/>
        <v>#REF!</v>
      </c>
      <c r="AF19" s="113" t="e">
        <f t="shared" si="26"/>
        <v>#REF!</v>
      </c>
      <c r="AG19" s="97" t="e">
        <f t="shared" si="27"/>
        <v>#REF!</v>
      </c>
      <c r="AH19" s="22" t="e">
        <f t="shared" si="28"/>
        <v>#REF!</v>
      </c>
      <c r="AI19" s="22" t="e">
        <f t="shared" si="29"/>
        <v>#REF!</v>
      </c>
      <c r="AJ19" s="113" t="e">
        <f t="shared" si="30"/>
        <v>#REF!</v>
      </c>
      <c r="AK19" s="97" t="e">
        <f t="shared" si="31"/>
        <v>#REF!</v>
      </c>
      <c r="AL19" s="22" t="e">
        <f t="shared" si="32"/>
        <v>#REF!</v>
      </c>
      <c r="AM19" s="22" t="e">
        <f t="shared" si="33"/>
        <v>#REF!</v>
      </c>
      <c r="AN19" s="113" t="e">
        <f t="shared" si="34"/>
        <v>#REF!</v>
      </c>
      <c r="AO19" s="97" t="e">
        <f t="shared" si="35"/>
        <v>#REF!</v>
      </c>
      <c r="AP19" s="22" t="e">
        <f t="shared" si="36"/>
        <v>#REF!</v>
      </c>
      <c r="AQ19" s="22" t="e">
        <f t="shared" si="37"/>
        <v>#REF!</v>
      </c>
      <c r="AR19" s="113" t="e">
        <f t="shared" si="38"/>
        <v>#REF!</v>
      </c>
      <c r="AS19" s="97" t="e">
        <f t="shared" si="39"/>
        <v>#REF!</v>
      </c>
      <c r="AT19" s="22" t="e">
        <f t="shared" si="40"/>
        <v>#REF!</v>
      </c>
      <c r="AU19" s="121" t="e">
        <f t="shared" si="41"/>
        <v>#REF!</v>
      </c>
      <c r="AV19" s="122" t="e">
        <f t="shared" si="42"/>
        <v>#REF!</v>
      </c>
      <c r="AW19" s="112"/>
    </row>
    <row r="20" spans="2:49" x14ac:dyDescent="0.25">
      <c r="B20" s="98">
        <f>'הוראת מעבר- הגנה'!B20</f>
        <v>4</v>
      </c>
      <c r="C20" s="98" t="e">
        <f>'הוראת מעבר- הגנה'!C20</f>
        <v>#REF!</v>
      </c>
      <c r="D20" s="53" t="e">
        <f>#REF!</f>
        <v>#REF!</v>
      </c>
      <c r="E20" s="53" t="e">
        <f>IF(#REF!=0,0.00000000001,#REF!)</f>
        <v>#REF!</v>
      </c>
      <c r="F20" s="22" t="e">
        <f t="shared" si="0"/>
        <v>#REF!</v>
      </c>
      <c r="G20" s="22">
        <f t="shared" si="1"/>
        <v>0</v>
      </c>
      <c r="H20" s="113" t="e">
        <f t="shared" si="2"/>
        <v>#REF!</v>
      </c>
      <c r="I20" s="22" t="e">
        <f t="shared" si="3"/>
        <v>#REF!</v>
      </c>
      <c r="J20" s="22" t="e">
        <f t="shared" si="4"/>
        <v>#REF!</v>
      </c>
      <c r="K20" s="22" t="e">
        <f t="shared" si="5"/>
        <v>#REF!</v>
      </c>
      <c r="L20" s="113" t="e">
        <f t="shared" si="6"/>
        <v>#REF!</v>
      </c>
      <c r="M20" s="97" t="e">
        <f t="shared" si="7"/>
        <v>#REF!</v>
      </c>
      <c r="N20" s="22" t="e">
        <f t="shared" si="8"/>
        <v>#REF!</v>
      </c>
      <c r="O20" s="22" t="e">
        <f t="shared" si="9"/>
        <v>#REF!</v>
      </c>
      <c r="P20" s="113" t="e">
        <f t="shared" si="10"/>
        <v>#REF!</v>
      </c>
      <c r="Q20" s="97" t="e">
        <f t="shared" si="11"/>
        <v>#REF!</v>
      </c>
      <c r="R20" s="22" t="e">
        <f t="shared" si="12"/>
        <v>#REF!</v>
      </c>
      <c r="S20" s="22" t="e">
        <f t="shared" si="13"/>
        <v>#REF!</v>
      </c>
      <c r="T20" s="113" t="e">
        <f t="shared" si="14"/>
        <v>#REF!</v>
      </c>
      <c r="U20" s="97" t="e">
        <f t="shared" si="15"/>
        <v>#REF!</v>
      </c>
      <c r="V20" s="22" t="e">
        <f t="shared" si="16"/>
        <v>#REF!</v>
      </c>
      <c r="W20" s="22" t="e">
        <f t="shared" si="17"/>
        <v>#REF!</v>
      </c>
      <c r="X20" s="113" t="e">
        <f t="shared" si="18"/>
        <v>#REF!</v>
      </c>
      <c r="Y20" s="97" t="e">
        <f t="shared" si="19"/>
        <v>#REF!</v>
      </c>
      <c r="Z20" s="22" t="e">
        <f t="shared" si="20"/>
        <v>#REF!</v>
      </c>
      <c r="AA20" s="22" t="e">
        <f t="shared" si="21"/>
        <v>#REF!</v>
      </c>
      <c r="AB20" s="113" t="e">
        <f t="shared" si="22"/>
        <v>#REF!</v>
      </c>
      <c r="AC20" s="97" t="e">
        <f t="shared" si="23"/>
        <v>#REF!</v>
      </c>
      <c r="AD20" s="22" t="e">
        <f t="shared" si="24"/>
        <v>#REF!</v>
      </c>
      <c r="AE20" s="22" t="e">
        <f t="shared" si="25"/>
        <v>#REF!</v>
      </c>
      <c r="AF20" s="113" t="e">
        <f t="shared" si="26"/>
        <v>#REF!</v>
      </c>
      <c r="AG20" s="97" t="e">
        <f t="shared" si="27"/>
        <v>#REF!</v>
      </c>
      <c r="AH20" s="22" t="e">
        <f t="shared" si="28"/>
        <v>#REF!</v>
      </c>
      <c r="AI20" s="22" t="e">
        <f t="shared" si="29"/>
        <v>#REF!</v>
      </c>
      <c r="AJ20" s="113" t="e">
        <f t="shared" si="30"/>
        <v>#REF!</v>
      </c>
      <c r="AK20" s="97" t="e">
        <f t="shared" si="31"/>
        <v>#REF!</v>
      </c>
      <c r="AL20" s="22" t="e">
        <f t="shared" si="32"/>
        <v>#REF!</v>
      </c>
      <c r="AM20" s="22" t="e">
        <f t="shared" si="33"/>
        <v>#REF!</v>
      </c>
      <c r="AN20" s="113" t="e">
        <f t="shared" si="34"/>
        <v>#REF!</v>
      </c>
      <c r="AO20" s="97" t="e">
        <f t="shared" si="35"/>
        <v>#REF!</v>
      </c>
      <c r="AP20" s="22" t="e">
        <f t="shared" si="36"/>
        <v>#REF!</v>
      </c>
      <c r="AQ20" s="22" t="e">
        <f t="shared" si="37"/>
        <v>#REF!</v>
      </c>
      <c r="AR20" s="113" t="e">
        <f t="shared" si="38"/>
        <v>#REF!</v>
      </c>
      <c r="AS20" s="97" t="e">
        <f t="shared" si="39"/>
        <v>#REF!</v>
      </c>
      <c r="AT20" s="22" t="e">
        <f t="shared" si="40"/>
        <v>#REF!</v>
      </c>
      <c r="AU20" s="121" t="e">
        <f t="shared" si="41"/>
        <v>#REF!</v>
      </c>
      <c r="AV20" s="122" t="e">
        <f t="shared" si="42"/>
        <v>#REF!</v>
      </c>
      <c r="AW20" s="112"/>
    </row>
    <row r="21" spans="2:49" x14ac:dyDescent="0.25">
      <c r="B21" s="98">
        <f>'הוראת מעבר- הגנה'!B21</f>
        <v>5</v>
      </c>
      <c r="C21" s="98" t="e">
        <f>'הוראת מעבר- הגנה'!C21</f>
        <v>#REF!</v>
      </c>
      <c r="D21" s="53" t="e">
        <f>#REF!</f>
        <v>#REF!</v>
      </c>
      <c r="E21" s="53" t="e">
        <f>IF(#REF!=0,0.00000000001,#REF!)</f>
        <v>#REF!</v>
      </c>
      <c r="F21" s="22" t="e">
        <f t="shared" si="0"/>
        <v>#REF!</v>
      </c>
      <c r="G21" s="22">
        <f t="shared" si="1"/>
        <v>0</v>
      </c>
      <c r="H21" s="113" t="e">
        <f t="shared" si="2"/>
        <v>#REF!</v>
      </c>
      <c r="I21" s="22" t="e">
        <f t="shared" si="3"/>
        <v>#REF!</v>
      </c>
      <c r="J21" s="22" t="e">
        <f t="shared" si="4"/>
        <v>#REF!</v>
      </c>
      <c r="K21" s="22" t="e">
        <f t="shared" si="5"/>
        <v>#REF!</v>
      </c>
      <c r="L21" s="113" t="e">
        <f t="shared" si="6"/>
        <v>#REF!</v>
      </c>
      <c r="M21" s="97" t="e">
        <f t="shared" si="7"/>
        <v>#REF!</v>
      </c>
      <c r="N21" s="22" t="e">
        <f t="shared" si="8"/>
        <v>#REF!</v>
      </c>
      <c r="O21" s="22" t="e">
        <f t="shared" si="9"/>
        <v>#REF!</v>
      </c>
      <c r="P21" s="113" t="e">
        <f t="shared" si="10"/>
        <v>#REF!</v>
      </c>
      <c r="Q21" s="97" t="e">
        <f t="shared" si="11"/>
        <v>#REF!</v>
      </c>
      <c r="R21" s="22" t="e">
        <f t="shared" si="12"/>
        <v>#REF!</v>
      </c>
      <c r="S21" s="22" t="e">
        <f t="shared" si="13"/>
        <v>#REF!</v>
      </c>
      <c r="T21" s="113" t="e">
        <f t="shared" si="14"/>
        <v>#REF!</v>
      </c>
      <c r="U21" s="97" t="e">
        <f t="shared" si="15"/>
        <v>#REF!</v>
      </c>
      <c r="V21" s="22" t="e">
        <f t="shared" si="16"/>
        <v>#REF!</v>
      </c>
      <c r="W21" s="22" t="e">
        <f t="shared" si="17"/>
        <v>#REF!</v>
      </c>
      <c r="X21" s="113" t="e">
        <f t="shared" si="18"/>
        <v>#REF!</v>
      </c>
      <c r="Y21" s="97" t="e">
        <f t="shared" si="19"/>
        <v>#REF!</v>
      </c>
      <c r="Z21" s="22" t="e">
        <f t="shared" si="20"/>
        <v>#REF!</v>
      </c>
      <c r="AA21" s="22" t="e">
        <f t="shared" si="21"/>
        <v>#REF!</v>
      </c>
      <c r="AB21" s="113" t="e">
        <f t="shared" si="22"/>
        <v>#REF!</v>
      </c>
      <c r="AC21" s="97" t="e">
        <f t="shared" si="23"/>
        <v>#REF!</v>
      </c>
      <c r="AD21" s="22" t="e">
        <f t="shared" si="24"/>
        <v>#REF!</v>
      </c>
      <c r="AE21" s="22" t="e">
        <f t="shared" si="25"/>
        <v>#REF!</v>
      </c>
      <c r="AF21" s="113" t="e">
        <f t="shared" si="26"/>
        <v>#REF!</v>
      </c>
      <c r="AG21" s="97" t="e">
        <f t="shared" si="27"/>
        <v>#REF!</v>
      </c>
      <c r="AH21" s="22" t="e">
        <f t="shared" si="28"/>
        <v>#REF!</v>
      </c>
      <c r="AI21" s="22" t="e">
        <f t="shared" si="29"/>
        <v>#REF!</v>
      </c>
      <c r="AJ21" s="113" t="e">
        <f t="shared" si="30"/>
        <v>#REF!</v>
      </c>
      <c r="AK21" s="97" t="e">
        <f t="shared" si="31"/>
        <v>#REF!</v>
      </c>
      <c r="AL21" s="22" t="e">
        <f t="shared" si="32"/>
        <v>#REF!</v>
      </c>
      <c r="AM21" s="22" t="e">
        <f t="shared" si="33"/>
        <v>#REF!</v>
      </c>
      <c r="AN21" s="113" t="e">
        <f t="shared" si="34"/>
        <v>#REF!</v>
      </c>
      <c r="AO21" s="97" t="e">
        <f t="shared" si="35"/>
        <v>#REF!</v>
      </c>
      <c r="AP21" s="22" t="e">
        <f t="shared" si="36"/>
        <v>#REF!</v>
      </c>
      <c r="AQ21" s="22" t="e">
        <f t="shared" si="37"/>
        <v>#REF!</v>
      </c>
      <c r="AR21" s="113" t="e">
        <f t="shared" si="38"/>
        <v>#REF!</v>
      </c>
      <c r="AS21" s="97" t="e">
        <f t="shared" si="39"/>
        <v>#REF!</v>
      </c>
      <c r="AT21" s="22" t="e">
        <f t="shared" si="40"/>
        <v>#REF!</v>
      </c>
      <c r="AU21" s="121" t="e">
        <f t="shared" si="41"/>
        <v>#REF!</v>
      </c>
      <c r="AV21" s="122" t="e">
        <f t="shared" si="42"/>
        <v>#REF!</v>
      </c>
      <c r="AW21" s="112"/>
    </row>
    <row r="22" spans="2:49" x14ac:dyDescent="0.25">
      <c r="B22" s="98">
        <f>'הוראת מעבר- הגנה'!B22</f>
        <v>6</v>
      </c>
      <c r="C22" s="98" t="e">
        <f>'הוראת מעבר- הגנה'!C22</f>
        <v>#REF!</v>
      </c>
      <c r="D22" s="53" t="e">
        <f>#REF!</f>
        <v>#REF!</v>
      </c>
      <c r="E22" s="53" t="e">
        <f>IF(#REF!=0,0.00000000001,#REF!)</f>
        <v>#REF!</v>
      </c>
      <c r="F22" s="22" t="e">
        <f t="shared" si="0"/>
        <v>#REF!</v>
      </c>
      <c r="G22" s="22">
        <f t="shared" si="1"/>
        <v>0</v>
      </c>
      <c r="H22" s="113" t="e">
        <f t="shared" si="2"/>
        <v>#REF!</v>
      </c>
      <c r="I22" s="22" t="e">
        <f t="shared" si="3"/>
        <v>#REF!</v>
      </c>
      <c r="J22" s="22" t="e">
        <f t="shared" si="4"/>
        <v>#REF!</v>
      </c>
      <c r="K22" s="22" t="e">
        <f t="shared" si="5"/>
        <v>#REF!</v>
      </c>
      <c r="L22" s="113" t="e">
        <f t="shared" si="6"/>
        <v>#REF!</v>
      </c>
      <c r="M22" s="97" t="e">
        <f t="shared" si="7"/>
        <v>#REF!</v>
      </c>
      <c r="N22" s="22" t="e">
        <f t="shared" si="8"/>
        <v>#REF!</v>
      </c>
      <c r="O22" s="22" t="e">
        <f t="shared" si="9"/>
        <v>#REF!</v>
      </c>
      <c r="P22" s="113" t="e">
        <f t="shared" si="10"/>
        <v>#REF!</v>
      </c>
      <c r="Q22" s="97" t="e">
        <f t="shared" si="11"/>
        <v>#REF!</v>
      </c>
      <c r="R22" s="22" t="e">
        <f t="shared" si="12"/>
        <v>#REF!</v>
      </c>
      <c r="S22" s="22" t="e">
        <f t="shared" si="13"/>
        <v>#REF!</v>
      </c>
      <c r="T22" s="113" t="e">
        <f t="shared" si="14"/>
        <v>#REF!</v>
      </c>
      <c r="U22" s="97" t="e">
        <f t="shared" si="15"/>
        <v>#REF!</v>
      </c>
      <c r="V22" s="22" t="e">
        <f t="shared" si="16"/>
        <v>#REF!</v>
      </c>
      <c r="W22" s="22" t="e">
        <f t="shared" si="17"/>
        <v>#REF!</v>
      </c>
      <c r="X22" s="113" t="e">
        <f t="shared" si="18"/>
        <v>#REF!</v>
      </c>
      <c r="Y22" s="97" t="e">
        <f t="shared" si="19"/>
        <v>#REF!</v>
      </c>
      <c r="Z22" s="22" t="e">
        <f t="shared" si="20"/>
        <v>#REF!</v>
      </c>
      <c r="AA22" s="22" t="e">
        <f t="shared" si="21"/>
        <v>#REF!</v>
      </c>
      <c r="AB22" s="113" t="e">
        <f t="shared" si="22"/>
        <v>#REF!</v>
      </c>
      <c r="AC22" s="97" t="e">
        <f t="shared" si="23"/>
        <v>#REF!</v>
      </c>
      <c r="AD22" s="22" t="e">
        <f t="shared" si="24"/>
        <v>#REF!</v>
      </c>
      <c r="AE22" s="22" t="e">
        <f t="shared" si="25"/>
        <v>#REF!</v>
      </c>
      <c r="AF22" s="113" t="e">
        <f t="shared" si="26"/>
        <v>#REF!</v>
      </c>
      <c r="AG22" s="97" t="e">
        <f t="shared" si="27"/>
        <v>#REF!</v>
      </c>
      <c r="AH22" s="22" t="e">
        <f t="shared" si="28"/>
        <v>#REF!</v>
      </c>
      <c r="AI22" s="22" t="e">
        <f t="shared" si="29"/>
        <v>#REF!</v>
      </c>
      <c r="AJ22" s="113" t="e">
        <f t="shared" si="30"/>
        <v>#REF!</v>
      </c>
      <c r="AK22" s="97" t="e">
        <f t="shared" si="31"/>
        <v>#REF!</v>
      </c>
      <c r="AL22" s="22" t="e">
        <f t="shared" si="32"/>
        <v>#REF!</v>
      </c>
      <c r="AM22" s="22" t="e">
        <f t="shared" si="33"/>
        <v>#REF!</v>
      </c>
      <c r="AN22" s="113" t="e">
        <f t="shared" si="34"/>
        <v>#REF!</v>
      </c>
      <c r="AO22" s="97" t="e">
        <f t="shared" si="35"/>
        <v>#REF!</v>
      </c>
      <c r="AP22" s="22" t="e">
        <f t="shared" si="36"/>
        <v>#REF!</v>
      </c>
      <c r="AQ22" s="22" t="e">
        <f t="shared" si="37"/>
        <v>#REF!</v>
      </c>
      <c r="AR22" s="113" t="e">
        <f t="shared" si="38"/>
        <v>#REF!</v>
      </c>
      <c r="AS22" s="97" t="e">
        <f t="shared" si="39"/>
        <v>#REF!</v>
      </c>
      <c r="AT22" s="22" t="e">
        <f t="shared" si="40"/>
        <v>#REF!</v>
      </c>
      <c r="AU22" s="121" t="e">
        <f t="shared" si="41"/>
        <v>#REF!</v>
      </c>
      <c r="AV22" s="122" t="e">
        <f t="shared" si="42"/>
        <v>#REF!</v>
      </c>
      <c r="AW22" s="112"/>
    </row>
    <row r="23" spans="2:49" x14ac:dyDescent="0.25">
      <c r="B23" s="98">
        <f>'הוראת מעבר- הגנה'!B23</f>
        <v>7</v>
      </c>
      <c r="C23" s="98" t="e">
        <f>'הוראת מעבר- הגנה'!C23</f>
        <v>#REF!</v>
      </c>
      <c r="D23" s="53" t="e">
        <f>#REF!</f>
        <v>#REF!</v>
      </c>
      <c r="E23" s="53" t="e">
        <f>IF(#REF!=0,0.00000000001,#REF!)</f>
        <v>#REF!</v>
      </c>
      <c r="F23" s="22" t="e">
        <f t="shared" si="0"/>
        <v>#REF!</v>
      </c>
      <c r="G23" s="22">
        <f t="shared" si="1"/>
        <v>0</v>
      </c>
      <c r="H23" s="113" t="e">
        <f t="shared" si="2"/>
        <v>#REF!</v>
      </c>
      <c r="I23" s="22" t="e">
        <f t="shared" si="3"/>
        <v>#REF!</v>
      </c>
      <c r="J23" s="22" t="e">
        <f t="shared" si="4"/>
        <v>#REF!</v>
      </c>
      <c r="K23" s="22" t="e">
        <f t="shared" si="5"/>
        <v>#REF!</v>
      </c>
      <c r="L23" s="113" t="e">
        <f t="shared" si="6"/>
        <v>#REF!</v>
      </c>
      <c r="M23" s="97" t="e">
        <f t="shared" si="7"/>
        <v>#REF!</v>
      </c>
      <c r="N23" s="22" t="e">
        <f t="shared" si="8"/>
        <v>#REF!</v>
      </c>
      <c r="O23" s="22" t="e">
        <f t="shared" si="9"/>
        <v>#REF!</v>
      </c>
      <c r="P23" s="113" t="e">
        <f t="shared" si="10"/>
        <v>#REF!</v>
      </c>
      <c r="Q23" s="97" t="e">
        <f t="shared" si="11"/>
        <v>#REF!</v>
      </c>
      <c r="R23" s="22" t="e">
        <f t="shared" si="12"/>
        <v>#REF!</v>
      </c>
      <c r="S23" s="22" t="e">
        <f t="shared" si="13"/>
        <v>#REF!</v>
      </c>
      <c r="T23" s="113" t="e">
        <f t="shared" si="14"/>
        <v>#REF!</v>
      </c>
      <c r="U23" s="97" t="e">
        <f t="shared" si="15"/>
        <v>#REF!</v>
      </c>
      <c r="V23" s="22" t="e">
        <f t="shared" si="16"/>
        <v>#REF!</v>
      </c>
      <c r="W23" s="22" t="e">
        <f t="shared" si="17"/>
        <v>#REF!</v>
      </c>
      <c r="X23" s="113" t="e">
        <f t="shared" si="18"/>
        <v>#REF!</v>
      </c>
      <c r="Y23" s="97" t="e">
        <f t="shared" si="19"/>
        <v>#REF!</v>
      </c>
      <c r="Z23" s="22" t="e">
        <f t="shared" si="20"/>
        <v>#REF!</v>
      </c>
      <c r="AA23" s="22" t="e">
        <f t="shared" si="21"/>
        <v>#REF!</v>
      </c>
      <c r="AB23" s="113" t="e">
        <f t="shared" si="22"/>
        <v>#REF!</v>
      </c>
      <c r="AC23" s="97" t="e">
        <f t="shared" si="23"/>
        <v>#REF!</v>
      </c>
      <c r="AD23" s="22" t="e">
        <f t="shared" si="24"/>
        <v>#REF!</v>
      </c>
      <c r="AE23" s="22" t="e">
        <f t="shared" si="25"/>
        <v>#REF!</v>
      </c>
      <c r="AF23" s="113" t="e">
        <f t="shared" si="26"/>
        <v>#REF!</v>
      </c>
      <c r="AG23" s="97" t="e">
        <f t="shared" si="27"/>
        <v>#REF!</v>
      </c>
      <c r="AH23" s="22" t="e">
        <f t="shared" si="28"/>
        <v>#REF!</v>
      </c>
      <c r="AI23" s="22" t="e">
        <f t="shared" si="29"/>
        <v>#REF!</v>
      </c>
      <c r="AJ23" s="113" t="e">
        <f t="shared" si="30"/>
        <v>#REF!</v>
      </c>
      <c r="AK23" s="97" t="e">
        <f t="shared" si="31"/>
        <v>#REF!</v>
      </c>
      <c r="AL23" s="22" t="e">
        <f t="shared" si="32"/>
        <v>#REF!</v>
      </c>
      <c r="AM23" s="22" t="e">
        <f t="shared" si="33"/>
        <v>#REF!</v>
      </c>
      <c r="AN23" s="113" t="e">
        <f t="shared" si="34"/>
        <v>#REF!</v>
      </c>
      <c r="AO23" s="97" t="e">
        <f t="shared" si="35"/>
        <v>#REF!</v>
      </c>
      <c r="AP23" s="22" t="e">
        <f t="shared" si="36"/>
        <v>#REF!</v>
      </c>
      <c r="AQ23" s="22" t="e">
        <f t="shared" si="37"/>
        <v>#REF!</v>
      </c>
      <c r="AR23" s="113" t="e">
        <f t="shared" si="38"/>
        <v>#REF!</v>
      </c>
      <c r="AS23" s="97" t="e">
        <f t="shared" si="39"/>
        <v>#REF!</v>
      </c>
      <c r="AT23" s="22" t="e">
        <f t="shared" si="40"/>
        <v>#REF!</v>
      </c>
      <c r="AU23" s="121" t="e">
        <f t="shared" si="41"/>
        <v>#REF!</v>
      </c>
      <c r="AV23" s="122" t="e">
        <f t="shared" si="42"/>
        <v>#REF!</v>
      </c>
      <c r="AW23" s="112"/>
    </row>
    <row r="24" spans="2:49" x14ac:dyDescent="0.25">
      <c r="B24" s="98">
        <f>'הוראת מעבר- הגנה'!B24</f>
        <v>8</v>
      </c>
      <c r="C24" s="98" t="e">
        <f>'הוראת מעבר- הגנה'!C24</f>
        <v>#REF!</v>
      </c>
      <c r="D24" s="53" t="e">
        <f>#REF!</f>
        <v>#REF!</v>
      </c>
      <c r="E24" s="53" t="e">
        <f>IF(#REF!=0,0.00000000001,#REF!)</f>
        <v>#REF!</v>
      </c>
      <c r="F24" s="22" t="e">
        <f t="shared" si="0"/>
        <v>#REF!</v>
      </c>
      <c r="G24" s="22">
        <f t="shared" si="1"/>
        <v>0</v>
      </c>
      <c r="H24" s="113" t="e">
        <f t="shared" si="2"/>
        <v>#REF!</v>
      </c>
      <c r="I24" s="22" t="e">
        <f t="shared" si="3"/>
        <v>#REF!</v>
      </c>
      <c r="J24" s="22" t="e">
        <f t="shared" si="4"/>
        <v>#REF!</v>
      </c>
      <c r="K24" s="22" t="e">
        <f t="shared" si="5"/>
        <v>#REF!</v>
      </c>
      <c r="L24" s="113" t="e">
        <f t="shared" si="6"/>
        <v>#REF!</v>
      </c>
      <c r="M24" s="97" t="e">
        <f t="shared" si="7"/>
        <v>#REF!</v>
      </c>
      <c r="N24" s="22" t="e">
        <f t="shared" si="8"/>
        <v>#REF!</v>
      </c>
      <c r="O24" s="22" t="e">
        <f t="shared" si="9"/>
        <v>#REF!</v>
      </c>
      <c r="P24" s="113" t="e">
        <f t="shared" si="10"/>
        <v>#REF!</v>
      </c>
      <c r="Q24" s="97" t="e">
        <f t="shared" si="11"/>
        <v>#REF!</v>
      </c>
      <c r="R24" s="22" t="e">
        <f t="shared" si="12"/>
        <v>#REF!</v>
      </c>
      <c r="S24" s="22" t="e">
        <f t="shared" si="13"/>
        <v>#REF!</v>
      </c>
      <c r="T24" s="113" t="e">
        <f t="shared" si="14"/>
        <v>#REF!</v>
      </c>
      <c r="U24" s="97" t="e">
        <f t="shared" si="15"/>
        <v>#REF!</v>
      </c>
      <c r="V24" s="22" t="e">
        <f t="shared" si="16"/>
        <v>#REF!</v>
      </c>
      <c r="W24" s="22" t="e">
        <f t="shared" si="17"/>
        <v>#REF!</v>
      </c>
      <c r="X24" s="113" t="e">
        <f t="shared" si="18"/>
        <v>#REF!</v>
      </c>
      <c r="Y24" s="97" t="e">
        <f t="shared" si="19"/>
        <v>#REF!</v>
      </c>
      <c r="Z24" s="22" t="e">
        <f t="shared" si="20"/>
        <v>#REF!</v>
      </c>
      <c r="AA24" s="22" t="e">
        <f t="shared" si="21"/>
        <v>#REF!</v>
      </c>
      <c r="AB24" s="113" t="e">
        <f t="shared" si="22"/>
        <v>#REF!</v>
      </c>
      <c r="AC24" s="97" t="e">
        <f t="shared" si="23"/>
        <v>#REF!</v>
      </c>
      <c r="AD24" s="22" t="e">
        <f t="shared" si="24"/>
        <v>#REF!</v>
      </c>
      <c r="AE24" s="22" t="e">
        <f t="shared" si="25"/>
        <v>#REF!</v>
      </c>
      <c r="AF24" s="113" t="e">
        <f t="shared" si="26"/>
        <v>#REF!</v>
      </c>
      <c r="AG24" s="97" t="e">
        <f t="shared" si="27"/>
        <v>#REF!</v>
      </c>
      <c r="AH24" s="22" t="e">
        <f t="shared" si="28"/>
        <v>#REF!</v>
      </c>
      <c r="AI24" s="22" t="e">
        <f t="shared" si="29"/>
        <v>#REF!</v>
      </c>
      <c r="AJ24" s="113" t="e">
        <f t="shared" si="30"/>
        <v>#REF!</v>
      </c>
      <c r="AK24" s="97" t="e">
        <f t="shared" si="31"/>
        <v>#REF!</v>
      </c>
      <c r="AL24" s="22" t="e">
        <f t="shared" si="32"/>
        <v>#REF!</v>
      </c>
      <c r="AM24" s="22" t="e">
        <f t="shared" si="33"/>
        <v>#REF!</v>
      </c>
      <c r="AN24" s="113" t="e">
        <f t="shared" si="34"/>
        <v>#REF!</v>
      </c>
      <c r="AO24" s="97" t="e">
        <f t="shared" si="35"/>
        <v>#REF!</v>
      </c>
      <c r="AP24" s="22" t="e">
        <f t="shared" si="36"/>
        <v>#REF!</v>
      </c>
      <c r="AQ24" s="22" t="e">
        <f t="shared" si="37"/>
        <v>#REF!</v>
      </c>
      <c r="AR24" s="113" t="e">
        <f t="shared" si="38"/>
        <v>#REF!</v>
      </c>
      <c r="AS24" s="97" t="e">
        <f t="shared" si="39"/>
        <v>#REF!</v>
      </c>
      <c r="AT24" s="22" t="e">
        <f t="shared" si="40"/>
        <v>#REF!</v>
      </c>
      <c r="AU24" s="121" t="e">
        <f t="shared" si="41"/>
        <v>#REF!</v>
      </c>
      <c r="AV24" s="122" t="e">
        <f t="shared" si="42"/>
        <v>#REF!</v>
      </c>
      <c r="AW24" s="112"/>
    </row>
    <row r="25" spans="2:49" x14ac:dyDescent="0.25">
      <c r="B25" s="98">
        <f>'הוראת מעבר- הגנה'!B25</f>
        <v>9</v>
      </c>
      <c r="C25" s="98" t="e">
        <f>'הוראת מעבר- הגנה'!C25</f>
        <v>#REF!</v>
      </c>
      <c r="D25" s="53" t="e">
        <f>#REF!</f>
        <v>#REF!</v>
      </c>
      <c r="E25" s="53" t="e">
        <f>IF(#REF!=0,0.00000000001,#REF!)</f>
        <v>#REF!</v>
      </c>
      <c r="F25" s="22" t="e">
        <f t="shared" si="0"/>
        <v>#REF!</v>
      </c>
      <c r="G25" s="22">
        <f t="shared" si="1"/>
        <v>0</v>
      </c>
      <c r="H25" s="113" t="e">
        <f t="shared" si="2"/>
        <v>#REF!</v>
      </c>
      <c r="I25" s="22" t="e">
        <f t="shared" si="3"/>
        <v>#REF!</v>
      </c>
      <c r="J25" s="22" t="e">
        <f t="shared" si="4"/>
        <v>#REF!</v>
      </c>
      <c r="K25" s="22" t="e">
        <f t="shared" si="5"/>
        <v>#REF!</v>
      </c>
      <c r="L25" s="113" t="e">
        <f t="shared" si="6"/>
        <v>#REF!</v>
      </c>
      <c r="M25" s="97" t="e">
        <f t="shared" si="7"/>
        <v>#REF!</v>
      </c>
      <c r="N25" s="22" t="e">
        <f t="shared" si="8"/>
        <v>#REF!</v>
      </c>
      <c r="O25" s="22" t="e">
        <f t="shared" si="9"/>
        <v>#REF!</v>
      </c>
      <c r="P25" s="113" t="e">
        <f t="shared" si="10"/>
        <v>#REF!</v>
      </c>
      <c r="Q25" s="97" t="e">
        <f t="shared" si="11"/>
        <v>#REF!</v>
      </c>
      <c r="R25" s="22" t="e">
        <f t="shared" si="12"/>
        <v>#REF!</v>
      </c>
      <c r="S25" s="22" t="e">
        <f t="shared" si="13"/>
        <v>#REF!</v>
      </c>
      <c r="T25" s="113" t="e">
        <f t="shared" si="14"/>
        <v>#REF!</v>
      </c>
      <c r="U25" s="97" t="e">
        <f t="shared" si="15"/>
        <v>#REF!</v>
      </c>
      <c r="V25" s="22" t="e">
        <f t="shared" si="16"/>
        <v>#REF!</v>
      </c>
      <c r="W25" s="22" t="e">
        <f t="shared" si="17"/>
        <v>#REF!</v>
      </c>
      <c r="X25" s="113" t="e">
        <f t="shared" si="18"/>
        <v>#REF!</v>
      </c>
      <c r="Y25" s="97" t="e">
        <f t="shared" si="19"/>
        <v>#REF!</v>
      </c>
      <c r="Z25" s="22" t="e">
        <f t="shared" si="20"/>
        <v>#REF!</v>
      </c>
      <c r="AA25" s="22" t="e">
        <f t="shared" si="21"/>
        <v>#REF!</v>
      </c>
      <c r="AB25" s="113" t="e">
        <f t="shared" si="22"/>
        <v>#REF!</v>
      </c>
      <c r="AC25" s="97" t="e">
        <f t="shared" si="23"/>
        <v>#REF!</v>
      </c>
      <c r="AD25" s="22" t="e">
        <f t="shared" si="24"/>
        <v>#REF!</v>
      </c>
      <c r="AE25" s="22" t="e">
        <f t="shared" si="25"/>
        <v>#REF!</v>
      </c>
      <c r="AF25" s="113" t="e">
        <f t="shared" si="26"/>
        <v>#REF!</v>
      </c>
      <c r="AG25" s="97" t="e">
        <f t="shared" si="27"/>
        <v>#REF!</v>
      </c>
      <c r="AH25" s="22" t="e">
        <f t="shared" si="28"/>
        <v>#REF!</v>
      </c>
      <c r="AI25" s="22" t="e">
        <f t="shared" si="29"/>
        <v>#REF!</v>
      </c>
      <c r="AJ25" s="113" t="e">
        <f t="shared" si="30"/>
        <v>#REF!</v>
      </c>
      <c r="AK25" s="97" t="e">
        <f t="shared" si="31"/>
        <v>#REF!</v>
      </c>
      <c r="AL25" s="22" t="e">
        <f t="shared" si="32"/>
        <v>#REF!</v>
      </c>
      <c r="AM25" s="22" t="e">
        <f t="shared" si="33"/>
        <v>#REF!</v>
      </c>
      <c r="AN25" s="113" t="e">
        <f t="shared" si="34"/>
        <v>#REF!</v>
      </c>
      <c r="AO25" s="97" t="e">
        <f t="shared" si="35"/>
        <v>#REF!</v>
      </c>
      <c r="AP25" s="22" t="e">
        <f t="shared" si="36"/>
        <v>#REF!</v>
      </c>
      <c r="AQ25" s="22" t="e">
        <f t="shared" si="37"/>
        <v>#REF!</v>
      </c>
      <c r="AR25" s="113" t="e">
        <f t="shared" si="38"/>
        <v>#REF!</v>
      </c>
      <c r="AS25" s="97" t="e">
        <f t="shared" si="39"/>
        <v>#REF!</v>
      </c>
      <c r="AT25" s="22" t="e">
        <f t="shared" si="40"/>
        <v>#REF!</v>
      </c>
      <c r="AU25" s="121" t="e">
        <f t="shared" si="41"/>
        <v>#REF!</v>
      </c>
      <c r="AV25" s="122" t="e">
        <f t="shared" si="42"/>
        <v>#REF!</v>
      </c>
      <c r="AW25" s="112"/>
    </row>
    <row r="26" spans="2:49" x14ac:dyDescent="0.25">
      <c r="B26" s="98">
        <f>'הוראת מעבר- הגנה'!B26</f>
        <v>10</v>
      </c>
      <c r="C26" s="98" t="e">
        <f>'הוראת מעבר- הגנה'!C26</f>
        <v>#REF!</v>
      </c>
      <c r="D26" s="53" t="e">
        <f>#REF!</f>
        <v>#REF!</v>
      </c>
      <c r="E26" s="53" t="e">
        <f>IF(#REF!=0,0.00000000001,#REF!)</f>
        <v>#REF!</v>
      </c>
      <c r="F26" s="22" t="e">
        <f t="shared" si="0"/>
        <v>#REF!</v>
      </c>
      <c r="G26" s="22">
        <f t="shared" si="1"/>
        <v>0</v>
      </c>
      <c r="H26" s="113" t="e">
        <f t="shared" si="2"/>
        <v>#REF!</v>
      </c>
      <c r="I26" s="22" t="e">
        <f t="shared" si="3"/>
        <v>#REF!</v>
      </c>
      <c r="J26" s="22" t="e">
        <f t="shared" si="4"/>
        <v>#REF!</v>
      </c>
      <c r="K26" s="22" t="e">
        <f t="shared" si="5"/>
        <v>#REF!</v>
      </c>
      <c r="L26" s="113" t="e">
        <f t="shared" si="6"/>
        <v>#REF!</v>
      </c>
      <c r="M26" s="97" t="e">
        <f t="shared" si="7"/>
        <v>#REF!</v>
      </c>
      <c r="N26" s="22" t="e">
        <f t="shared" si="8"/>
        <v>#REF!</v>
      </c>
      <c r="O26" s="22" t="e">
        <f t="shared" si="9"/>
        <v>#REF!</v>
      </c>
      <c r="P26" s="113" t="e">
        <f t="shared" si="10"/>
        <v>#REF!</v>
      </c>
      <c r="Q26" s="97" t="e">
        <f t="shared" si="11"/>
        <v>#REF!</v>
      </c>
      <c r="R26" s="22" t="e">
        <f t="shared" si="12"/>
        <v>#REF!</v>
      </c>
      <c r="S26" s="22" t="e">
        <f t="shared" si="13"/>
        <v>#REF!</v>
      </c>
      <c r="T26" s="113" t="e">
        <f t="shared" si="14"/>
        <v>#REF!</v>
      </c>
      <c r="U26" s="97" t="e">
        <f t="shared" si="15"/>
        <v>#REF!</v>
      </c>
      <c r="V26" s="22" t="e">
        <f t="shared" si="16"/>
        <v>#REF!</v>
      </c>
      <c r="W26" s="22" t="e">
        <f t="shared" si="17"/>
        <v>#REF!</v>
      </c>
      <c r="X26" s="113" t="e">
        <f t="shared" si="18"/>
        <v>#REF!</v>
      </c>
      <c r="Y26" s="97" t="e">
        <f t="shared" si="19"/>
        <v>#REF!</v>
      </c>
      <c r="Z26" s="22" t="e">
        <f t="shared" si="20"/>
        <v>#REF!</v>
      </c>
      <c r="AA26" s="22" t="e">
        <f t="shared" si="21"/>
        <v>#REF!</v>
      </c>
      <c r="AB26" s="113" t="e">
        <f t="shared" si="22"/>
        <v>#REF!</v>
      </c>
      <c r="AC26" s="97" t="e">
        <f t="shared" si="23"/>
        <v>#REF!</v>
      </c>
      <c r="AD26" s="22" t="e">
        <f t="shared" si="24"/>
        <v>#REF!</v>
      </c>
      <c r="AE26" s="22" t="e">
        <f t="shared" si="25"/>
        <v>#REF!</v>
      </c>
      <c r="AF26" s="113" t="e">
        <f t="shared" si="26"/>
        <v>#REF!</v>
      </c>
      <c r="AG26" s="97" t="e">
        <f t="shared" si="27"/>
        <v>#REF!</v>
      </c>
      <c r="AH26" s="22" t="e">
        <f t="shared" si="28"/>
        <v>#REF!</v>
      </c>
      <c r="AI26" s="22" t="e">
        <f t="shared" si="29"/>
        <v>#REF!</v>
      </c>
      <c r="AJ26" s="113" t="e">
        <f t="shared" si="30"/>
        <v>#REF!</v>
      </c>
      <c r="AK26" s="97" t="e">
        <f t="shared" si="31"/>
        <v>#REF!</v>
      </c>
      <c r="AL26" s="22" t="e">
        <f t="shared" si="32"/>
        <v>#REF!</v>
      </c>
      <c r="AM26" s="22" t="e">
        <f t="shared" si="33"/>
        <v>#REF!</v>
      </c>
      <c r="AN26" s="113" t="e">
        <f t="shared" si="34"/>
        <v>#REF!</v>
      </c>
      <c r="AO26" s="97" t="e">
        <f t="shared" si="35"/>
        <v>#REF!</v>
      </c>
      <c r="AP26" s="22" t="e">
        <f t="shared" si="36"/>
        <v>#REF!</v>
      </c>
      <c r="AQ26" s="22" t="e">
        <f t="shared" si="37"/>
        <v>#REF!</v>
      </c>
      <c r="AR26" s="113" t="e">
        <f t="shared" si="38"/>
        <v>#REF!</v>
      </c>
      <c r="AS26" s="97" t="e">
        <f t="shared" si="39"/>
        <v>#REF!</v>
      </c>
      <c r="AT26" s="22" t="e">
        <f t="shared" si="40"/>
        <v>#REF!</v>
      </c>
      <c r="AU26" s="121" t="e">
        <f t="shared" si="41"/>
        <v>#REF!</v>
      </c>
      <c r="AV26" s="122" t="e">
        <f t="shared" si="42"/>
        <v>#REF!</v>
      </c>
      <c r="AW26" s="112"/>
    </row>
    <row r="27" spans="2:49" x14ac:dyDescent="0.25">
      <c r="B27" s="98">
        <f>'הוראת מעבר- הגנה'!B27</f>
        <v>11</v>
      </c>
      <c r="C27" s="98" t="e">
        <f>'הוראת מעבר- הגנה'!C27</f>
        <v>#REF!</v>
      </c>
      <c r="D27" s="53" t="e">
        <f>#REF!</f>
        <v>#REF!</v>
      </c>
      <c r="E27" s="53" t="e">
        <f>IF(#REF!=0,0.00000000001,#REF!)</f>
        <v>#REF!</v>
      </c>
      <c r="F27" s="22" t="e">
        <f t="shared" si="0"/>
        <v>#REF!</v>
      </c>
      <c r="G27" s="22">
        <f t="shared" si="1"/>
        <v>0</v>
      </c>
      <c r="H27" s="113" t="e">
        <f t="shared" si="2"/>
        <v>#REF!</v>
      </c>
      <c r="I27" s="22" t="e">
        <f t="shared" si="3"/>
        <v>#REF!</v>
      </c>
      <c r="J27" s="22" t="e">
        <f t="shared" si="4"/>
        <v>#REF!</v>
      </c>
      <c r="K27" s="22" t="e">
        <f t="shared" si="5"/>
        <v>#REF!</v>
      </c>
      <c r="L27" s="113" t="e">
        <f t="shared" si="6"/>
        <v>#REF!</v>
      </c>
      <c r="M27" s="97" t="e">
        <f t="shared" si="7"/>
        <v>#REF!</v>
      </c>
      <c r="N27" s="22" t="e">
        <f t="shared" si="8"/>
        <v>#REF!</v>
      </c>
      <c r="O27" s="22" t="e">
        <f t="shared" si="9"/>
        <v>#REF!</v>
      </c>
      <c r="P27" s="113" t="e">
        <f t="shared" si="10"/>
        <v>#REF!</v>
      </c>
      <c r="Q27" s="97" t="e">
        <f t="shared" si="11"/>
        <v>#REF!</v>
      </c>
      <c r="R27" s="22" t="e">
        <f t="shared" si="12"/>
        <v>#REF!</v>
      </c>
      <c r="S27" s="22" t="e">
        <f t="shared" si="13"/>
        <v>#REF!</v>
      </c>
      <c r="T27" s="113" t="e">
        <f t="shared" si="14"/>
        <v>#REF!</v>
      </c>
      <c r="U27" s="97" t="e">
        <f t="shared" si="15"/>
        <v>#REF!</v>
      </c>
      <c r="V27" s="22" t="e">
        <f t="shared" si="16"/>
        <v>#REF!</v>
      </c>
      <c r="W27" s="22" t="e">
        <f t="shared" si="17"/>
        <v>#REF!</v>
      </c>
      <c r="X27" s="113" t="e">
        <f t="shared" si="18"/>
        <v>#REF!</v>
      </c>
      <c r="Y27" s="97" t="e">
        <f t="shared" si="19"/>
        <v>#REF!</v>
      </c>
      <c r="Z27" s="22" t="e">
        <f t="shared" si="20"/>
        <v>#REF!</v>
      </c>
      <c r="AA27" s="22" t="e">
        <f t="shared" si="21"/>
        <v>#REF!</v>
      </c>
      <c r="AB27" s="113" t="e">
        <f t="shared" si="22"/>
        <v>#REF!</v>
      </c>
      <c r="AC27" s="97" t="e">
        <f t="shared" si="23"/>
        <v>#REF!</v>
      </c>
      <c r="AD27" s="22" t="e">
        <f t="shared" si="24"/>
        <v>#REF!</v>
      </c>
      <c r="AE27" s="22" t="e">
        <f t="shared" si="25"/>
        <v>#REF!</v>
      </c>
      <c r="AF27" s="113" t="e">
        <f t="shared" si="26"/>
        <v>#REF!</v>
      </c>
      <c r="AG27" s="97" t="e">
        <f t="shared" si="27"/>
        <v>#REF!</v>
      </c>
      <c r="AH27" s="22" t="e">
        <f t="shared" si="28"/>
        <v>#REF!</v>
      </c>
      <c r="AI27" s="22" t="e">
        <f t="shared" si="29"/>
        <v>#REF!</v>
      </c>
      <c r="AJ27" s="113" t="e">
        <f t="shared" si="30"/>
        <v>#REF!</v>
      </c>
      <c r="AK27" s="97" t="e">
        <f t="shared" si="31"/>
        <v>#REF!</v>
      </c>
      <c r="AL27" s="22" t="e">
        <f t="shared" si="32"/>
        <v>#REF!</v>
      </c>
      <c r="AM27" s="22" t="e">
        <f t="shared" si="33"/>
        <v>#REF!</v>
      </c>
      <c r="AN27" s="113" t="e">
        <f t="shared" si="34"/>
        <v>#REF!</v>
      </c>
      <c r="AO27" s="97" t="e">
        <f t="shared" si="35"/>
        <v>#REF!</v>
      </c>
      <c r="AP27" s="22" t="e">
        <f t="shared" si="36"/>
        <v>#REF!</v>
      </c>
      <c r="AQ27" s="22" t="e">
        <f t="shared" si="37"/>
        <v>#REF!</v>
      </c>
      <c r="AR27" s="113" t="e">
        <f t="shared" si="38"/>
        <v>#REF!</v>
      </c>
      <c r="AS27" s="97" t="e">
        <f t="shared" si="39"/>
        <v>#REF!</v>
      </c>
      <c r="AT27" s="22" t="e">
        <f t="shared" si="40"/>
        <v>#REF!</v>
      </c>
      <c r="AU27" s="121" t="e">
        <f t="shared" si="41"/>
        <v>#REF!</v>
      </c>
      <c r="AV27" s="122" t="e">
        <f t="shared" si="42"/>
        <v>#REF!</v>
      </c>
      <c r="AW27" s="112"/>
    </row>
    <row r="28" spans="2:49" x14ac:dyDescent="0.25">
      <c r="B28" s="98">
        <f>'הוראת מעבר- הגנה'!B28</f>
        <v>12</v>
      </c>
      <c r="C28" s="98" t="e">
        <f>'הוראת מעבר- הגנה'!C28</f>
        <v>#REF!</v>
      </c>
      <c r="D28" s="53" t="e">
        <f>#REF!</f>
        <v>#REF!</v>
      </c>
      <c r="E28" s="53" t="e">
        <f>IF(#REF!=0,0.00000000001,#REF!)</f>
        <v>#REF!</v>
      </c>
      <c r="F28" s="22" t="e">
        <f t="shared" si="0"/>
        <v>#REF!</v>
      </c>
      <c r="G28" s="22">
        <f t="shared" si="1"/>
        <v>0</v>
      </c>
      <c r="H28" s="113" t="e">
        <f t="shared" si="2"/>
        <v>#REF!</v>
      </c>
      <c r="I28" s="22" t="e">
        <f t="shared" si="3"/>
        <v>#REF!</v>
      </c>
      <c r="J28" s="22" t="e">
        <f t="shared" si="4"/>
        <v>#REF!</v>
      </c>
      <c r="K28" s="22" t="e">
        <f t="shared" si="5"/>
        <v>#REF!</v>
      </c>
      <c r="L28" s="113" t="e">
        <f t="shared" si="6"/>
        <v>#REF!</v>
      </c>
      <c r="M28" s="97" t="e">
        <f t="shared" si="7"/>
        <v>#REF!</v>
      </c>
      <c r="N28" s="22" t="e">
        <f t="shared" si="8"/>
        <v>#REF!</v>
      </c>
      <c r="O28" s="22" t="e">
        <f t="shared" si="9"/>
        <v>#REF!</v>
      </c>
      <c r="P28" s="113" t="e">
        <f t="shared" si="10"/>
        <v>#REF!</v>
      </c>
      <c r="Q28" s="97" t="e">
        <f t="shared" si="11"/>
        <v>#REF!</v>
      </c>
      <c r="R28" s="22" t="e">
        <f t="shared" si="12"/>
        <v>#REF!</v>
      </c>
      <c r="S28" s="22" t="e">
        <f t="shared" si="13"/>
        <v>#REF!</v>
      </c>
      <c r="T28" s="113" t="e">
        <f t="shared" si="14"/>
        <v>#REF!</v>
      </c>
      <c r="U28" s="97" t="e">
        <f t="shared" si="15"/>
        <v>#REF!</v>
      </c>
      <c r="V28" s="22" t="e">
        <f t="shared" si="16"/>
        <v>#REF!</v>
      </c>
      <c r="W28" s="22" t="e">
        <f t="shared" si="17"/>
        <v>#REF!</v>
      </c>
      <c r="X28" s="113" t="e">
        <f t="shared" si="18"/>
        <v>#REF!</v>
      </c>
      <c r="Y28" s="97" t="e">
        <f t="shared" si="19"/>
        <v>#REF!</v>
      </c>
      <c r="Z28" s="22" t="e">
        <f t="shared" si="20"/>
        <v>#REF!</v>
      </c>
      <c r="AA28" s="22" t="e">
        <f t="shared" si="21"/>
        <v>#REF!</v>
      </c>
      <c r="AB28" s="113" t="e">
        <f t="shared" si="22"/>
        <v>#REF!</v>
      </c>
      <c r="AC28" s="97" t="e">
        <f t="shared" si="23"/>
        <v>#REF!</v>
      </c>
      <c r="AD28" s="22" t="e">
        <f t="shared" si="24"/>
        <v>#REF!</v>
      </c>
      <c r="AE28" s="22" t="e">
        <f t="shared" si="25"/>
        <v>#REF!</v>
      </c>
      <c r="AF28" s="113" t="e">
        <f t="shared" si="26"/>
        <v>#REF!</v>
      </c>
      <c r="AG28" s="97" t="e">
        <f t="shared" si="27"/>
        <v>#REF!</v>
      </c>
      <c r="AH28" s="22" t="e">
        <f t="shared" si="28"/>
        <v>#REF!</v>
      </c>
      <c r="AI28" s="22" t="e">
        <f t="shared" si="29"/>
        <v>#REF!</v>
      </c>
      <c r="AJ28" s="113" t="e">
        <f t="shared" si="30"/>
        <v>#REF!</v>
      </c>
      <c r="AK28" s="97" t="e">
        <f t="shared" si="31"/>
        <v>#REF!</v>
      </c>
      <c r="AL28" s="22" t="e">
        <f t="shared" si="32"/>
        <v>#REF!</v>
      </c>
      <c r="AM28" s="22" t="e">
        <f t="shared" si="33"/>
        <v>#REF!</v>
      </c>
      <c r="AN28" s="113" t="e">
        <f t="shared" si="34"/>
        <v>#REF!</v>
      </c>
      <c r="AO28" s="97" t="e">
        <f t="shared" si="35"/>
        <v>#REF!</v>
      </c>
      <c r="AP28" s="22" t="e">
        <f t="shared" si="36"/>
        <v>#REF!</v>
      </c>
      <c r="AQ28" s="22" t="e">
        <f t="shared" si="37"/>
        <v>#REF!</v>
      </c>
      <c r="AR28" s="113" t="e">
        <f t="shared" si="38"/>
        <v>#REF!</v>
      </c>
      <c r="AS28" s="97" t="e">
        <f t="shared" si="39"/>
        <v>#REF!</v>
      </c>
      <c r="AT28" s="22" t="e">
        <f t="shared" si="40"/>
        <v>#REF!</v>
      </c>
      <c r="AU28" s="121" t="e">
        <f t="shared" si="41"/>
        <v>#REF!</v>
      </c>
      <c r="AV28" s="122" t="e">
        <f t="shared" si="42"/>
        <v>#REF!</v>
      </c>
      <c r="AW28" s="112"/>
    </row>
    <row r="29" spans="2:49" x14ac:dyDescent="0.25">
      <c r="B29" s="98">
        <f>'הוראת מעבר- הגנה'!B29</f>
        <v>13</v>
      </c>
      <c r="C29" s="98" t="e">
        <f>'הוראת מעבר- הגנה'!C29</f>
        <v>#REF!</v>
      </c>
      <c r="D29" s="53" t="e">
        <f>#REF!</f>
        <v>#REF!</v>
      </c>
      <c r="E29" s="53" t="e">
        <f>IF(#REF!=0,0.00000000001,#REF!)</f>
        <v>#REF!</v>
      </c>
      <c r="F29" s="22" t="e">
        <f t="shared" si="0"/>
        <v>#REF!</v>
      </c>
      <c r="G29" s="22">
        <f t="shared" si="1"/>
        <v>0</v>
      </c>
      <c r="H29" s="113" t="e">
        <f t="shared" si="2"/>
        <v>#REF!</v>
      </c>
      <c r="I29" s="22" t="e">
        <f t="shared" si="3"/>
        <v>#REF!</v>
      </c>
      <c r="J29" s="22" t="e">
        <f t="shared" si="4"/>
        <v>#REF!</v>
      </c>
      <c r="K29" s="22" t="e">
        <f t="shared" si="5"/>
        <v>#REF!</v>
      </c>
      <c r="L29" s="113" t="e">
        <f t="shared" si="6"/>
        <v>#REF!</v>
      </c>
      <c r="M29" s="97" t="e">
        <f t="shared" si="7"/>
        <v>#REF!</v>
      </c>
      <c r="N29" s="22" t="e">
        <f t="shared" si="8"/>
        <v>#REF!</v>
      </c>
      <c r="O29" s="22" t="e">
        <f t="shared" si="9"/>
        <v>#REF!</v>
      </c>
      <c r="P29" s="113" t="e">
        <f t="shared" si="10"/>
        <v>#REF!</v>
      </c>
      <c r="Q29" s="97" t="e">
        <f t="shared" si="11"/>
        <v>#REF!</v>
      </c>
      <c r="R29" s="22" t="e">
        <f t="shared" si="12"/>
        <v>#REF!</v>
      </c>
      <c r="S29" s="22" t="e">
        <f t="shared" si="13"/>
        <v>#REF!</v>
      </c>
      <c r="T29" s="113" t="e">
        <f t="shared" si="14"/>
        <v>#REF!</v>
      </c>
      <c r="U29" s="97" t="e">
        <f t="shared" si="15"/>
        <v>#REF!</v>
      </c>
      <c r="V29" s="22" t="e">
        <f t="shared" si="16"/>
        <v>#REF!</v>
      </c>
      <c r="W29" s="22" t="e">
        <f t="shared" si="17"/>
        <v>#REF!</v>
      </c>
      <c r="X29" s="113" t="e">
        <f t="shared" si="18"/>
        <v>#REF!</v>
      </c>
      <c r="Y29" s="97" t="e">
        <f t="shared" si="19"/>
        <v>#REF!</v>
      </c>
      <c r="Z29" s="22" t="e">
        <f t="shared" si="20"/>
        <v>#REF!</v>
      </c>
      <c r="AA29" s="22" t="e">
        <f t="shared" si="21"/>
        <v>#REF!</v>
      </c>
      <c r="AB29" s="113" t="e">
        <f t="shared" si="22"/>
        <v>#REF!</v>
      </c>
      <c r="AC29" s="97" t="e">
        <f t="shared" si="23"/>
        <v>#REF!</v>
      </c>
      <c r="AD29" s="22" t="e">
        <f t="shared" si="24"/>
        <v>#REF!</v>
      </c>
      <c r="AE29" s="22" t="e">
        <f t="shared" si="25"/>
        <v>#REF!</v>
      </c>
      <c r="AF29" s="113" t="e">
        <f t="shared" si="26"/>
        <v>#REF!</v>
      </c>
      <c r="AG29" s="97" t="e">
        <f t="shared" si="27"/>
        <v>#REF!</v>
      </c>
      <c r="AH29" s="22" t="e">
        <f t="shared" si="28"/>
        <v>#REF!</v>
      </c>
      <c r="AI29" s="22" t="e">
        <f t="shared" si="29"/>
        <v>#REF!</v>
      </c>
      <c r="AJ29" s="113" t="e">
        <f t="shared" si="30"/>
        <v>#REF!</v>
      </c>
      <c r="AK29" s="97" t="e">
        <f t="shared" si="31"/>
        <v>#REF!</v>
      </c>
      <c r="AL29" s="22" t="e">
        <f t="shared" si="32"/>
        <v>#REF!</v>
      </c>
      <c r="AM29" s="22" t="e">
        <f t="shared" si="33"/>
        <v>#REF!</v>
      </c>
      <c r="AN29" s="113" t="e">
        <f t="shared" si="34"/>
        <v>#REF!</v>
      </c>
      <c r="AO29" s="97" t="e">
        <f t="shared" si="35"/>
        <v>#REF!</v>
      </c>
      <c r="AP29" s="22" t="e">
        <f t="shared" si="36"/>
        <v>#REF!</v>
      </c>
      <c r="AQ29" s="22" t="e">
        <f t="shared" si="37"/>
        <v>#REF!</v>
      </c>
      <c r="AR29" s="113" t="e">
        <f t="shared" si="38"/>
        <v>#REF!</v>
      </c>
      <c r="AS29" s="97" t="e">
        <f t="shared" si="39"/>
        <v>#REF!</v>
      </c>
      <c r="AT29" s="22" t="e">
        <f t="shared" si="40"/>
        <v>#REF!</v>
      </c>
      <c r="AU29" s="121" t="e">
        <f t="shared" si="41"/>
        <v>#REF!</v>
      </c>
      <c r="AV29" s="122" t="e">
        <f t="shared" si="42"/>
        <v>#REF!</v>
      </c>
      <c r="AW29" s="112"/>
    </row>
    <row r="30" spans="2:49" x14ac:dyDescent="0.25">
      <c r="B30" s="98">
        <f>'הוראת מעבר- הגנה'!B30</f>
        <v>14</v>
      </c>
      <c r="C30" s="98" t="e">
        <f>'הוראת מעבר- הגנה'!C30</f>
        <v>#REF!</v>
      </c>
      <c r="D30" s="53" t="e">
        <f>#REF!</f>
        <v>#REF!</v>
      </c>
      <c r="E30" s="53" t="e">
        <f>IF(#REF!=0,0.00000000001,#REF!)</f>
        <v>#REF!</v>
      </c>
      <c r="F30" s="22" t="e">
        <f t="shared" si="0"/>
        <v>#REF!</v>
      </c>
      <c r="G30" s="22">
        <f t="shared" si="1"/>
        <v>0</v>
      </c>
      <c r="H30" s="113" t="e">
        <f t="shared" si="2"/>
        <v>#REF!</v>
      </c>
      <c r="I30" s="22" t="e">
        <f t="shared" si="3"/>
        <v>#REF!</v>
      </c>
      <c r="J30" s="22" t="e">
        <f t="shared" si="4"/>
        <v>#REF!</v>
      </c>
      <c r="K30" s="22" t="e">
        <f t="shared" si="5"/>
        <v>#REF!</v>
      </c>
      <c r="L30" s="113" t="e">
        <f t="shared" si="6"/>
        <v>#REF!</v>
      </c>
      <c r="M30" s="97" t="e">
        <f t="shared" si="7"/>
        <v>#REF!</v>
      </c>
      <c r="N30" s="22" t="e">
        <f t="shared" si="8"/>
        <v>#REF!</v>
      </c>
      <c r="O30" s="22" t="e">
        <f t="shared" si="9"/>
        <v>#REF!</v>
      </c>
      <c r="P30" s="113" t="e">
        <f t="shared" si="10"/>
        <v>#REF!</v>
      </c>
      <c r="Q30" s="97" t="e">
        <f t="shared" si="11"/>
        <v>#REF!</v>
      </c>
      <c r="R30" s="22" t="e">
        <f t="shared" si="12"/>
        <v>#REF!</v>
      </c>
      <c r="S30" s="22" t="e">
        <f t="shared" si="13"/>
        <v>#REF!</v>
      </c>
      <c r="T30" s="113" t="e">
        <f t="shared" si="14"/>
        <v>#REF!</v>
      </c>
      <c r="U30" s="97" t="e">
        <f t="shared" si="15"/>
        <v>#REF!</v>
      </c>
      <c r="V30" s="22" t="e">
        <f t="shared" si="16"/>
        <v>#REF!</v>
      </c>
      <c r="W30" s="22" t="e">
        <f t="shared" si="17"/>
        <v>#REF!</v>
      </c>
      <c r="X30" s="113" t="e">
        <f t="shared" si="18"/>
        <v>#REF!</v>
      </c>
      <c r="Y30" s="97" t="e">
        <f t="shared" si="19"/>
        <v>#REF!</v>
      </c>
      <c r="Z30" s="22" t="e">
        <f t="shared" si="20"/>
        <v>#REF!</v>
      </c>
      <c r="AA30" s="22" t="e">
        <f t="shared" si="21"/>
        <v>#REF!</v>
      </c>
      <c r="AB30" s="113" t="e">
        <f t="shared" si="22"/>
        <v>#REF!</v>
      </c>
      <c r="AC30" s="97" t="e">
        <f t="shared" si="23"/>
        <v>#REF!</v>
      </c>
      <c r="AD30" s="22" t="e">
        <f t="shared" si="24"/>
        <v>#REF!</v>
      </c>
      <c r="AE30" s="22" t="e">
        <f t="shared" si="25"/>
        <v>#REF!</v>
      </c>
      <c r="AF30" s="113" t="e">
        <f t="shared" si="26"/>
        <v>#REF!</v>
      </c>
      <c r="AG30" s="97" t="e">
        <f t="shared" si="27"/>
        <v>#REF!</v>
      </c>
      <c r="AH30" s="22" t="e">
        <f t="shared" si="28"/>
        <v>#REF!</v>
      </c>
      <c r="AI30" s="22" t="e">
        <f t="shared" si="29"/>
        <v>#REF!</v>
      </c>
      <c r="AJ30" s="113" t="e">
        <f t="shared" si="30"/>
        <v>#REF!</v>
      </c>
      <c r="AK30" s="97" t="e">
        <f t="shared" si="31"/>
        <v>#REF!</v>
      </c>
      <c r="AL30" s="22" t="e">
        <f t="shared" si="32"/>
        <v>#REF!</v>
      </c>
      <c r="AM30" s="22" t="e">
        <f t="shared" si="33"/>
        <v>#REF!</v>
      </c>
      <c r="AN30" s="113" t="e">
        <f t="shared" si="34"/>
        <v>#REF!</v>
      </c>
      <c r="AO30" s="97" t="e">
        <f t="shared" si="35"/>
        <v>#REF!</v>
      </c>
      <c r="AP30" s="22" t="e">
        <f t="shared" si="36"/>
        <v>#REF!</v>
      </c>
      <c r="AQ30" s="22" t="e">
        <f t="shared" si="37"/>
        <v>#REF!</v>
      </c>
      <c r="AR30" s="113" t="e">
        <f t="shared" si="38"/>
        <v>#REF!</v>
      </c>
      <c r="AS30" s="97" t="e">
        <f t="shared" si="39"/>
        <v>#REF!</v>
      </c>
      <c r="AT30" s="22" t="e">
        <f t="shared" si="40"/>
        <v>#REF!</v>
      </c>
      <c r="AU30" s="121" t="e">
        <f t="shared" si="41"/>
        <v>#REF!</v>
      </c>
      <c r="AV30" s="122" t="e">
        <f t="shared" si="42"/>
        <v>#REF!</v>
      </c>
      <c r="AW30" s="112"/>
    </row>
    <row r="31" spans="2:49" x14ac:dyDescent="0.25">
      <c r="B31" s="98">
        <f>'הוראת מעבר- הגנה'!B31</f>
        <v>15</v>
      </c>
      <c r="C31" s="98" t="e">
        <f>'הוראת מעבר- הגנה'!C31</f>
        <v>#REF!</v>
      </c>
      <c r="D31" s="53" t="e">
        <f>#REF!</f>
        <v>#REF!</v>
      </c>
      <c r="E31" s="53" t="e">
        <f>IF(#REF!=0,0.00000000001,#REF!)</f>
        <v>#REF!</v>
      </c>
      <c r="F31" s="22" t="e">
        <f t="shared" si="0"/>
        <v>#REF!</v>
      </c>
      <c r="G31" s="22">
        <f t="shared" si="1"/>
        <v>0</v>
      </c>
      <c r="H31" s="113" t="e">
        <f t="shared" si="2"/>
        <v>#REF!</v>
      </c>
      <c r="I31" s="22" t="e">
        <f t="shared" si="3"/>
        <v>#REF!</v>
      </c>
      <c r="J31" s="22" t="e">
        <f t="shared" si="4"/>
        <v>#REF!</v>
      </c>
      <c r="K31" s="22" t="e">
        <f t="shared" si="5"/>
        <v>#REF!</v>
      </c>
      <c r="L31" s="113" t="e">
        <f t="shared" si="6"/>
        <v>#REF!</v>
      </c>
      <c r="M31" s="97" t="e">
        <f t="shared" si="7"/>
        <v>#REF!</v>
      </c>
      <c r="N31" s="22" t="e">
        <f t="shared" si="8"/>
        <v>#REF!</v>
      </c>
      <c r="O31" s="22" t="e">
        <f t="shared" si="9"/>
        <v>#REF!</v>
      </c>
      <c r="P31" s="113" t="e">
        <f t="shared" si="10"/>
        <v>#REF!</v>
      </c>
      <c r="Q31" s="97" t="e">
        <f t="shared" si="11"/>
        <v>#REF!</v>
      </c>
      <c r="R31" s="22" t="e">
        <f t="shared" si="12"/>
        <v>#REF!</v>
      </c>
      <c r="S31" s="22" t="e">
        <f t="shared" si="13"/>
        <v>#REF!</v>
      </c>
      <c r="T31" s="113" t="e">
        <f t="shared" si="14"/>
        <v>#REF!</v>
      </c>
      <c r="U31" s="97" t="e">
        <f t="shared" si="15"/>
        <v>#REF!</v>
      </c>
      <c r="V31" s="22" t="e">
        <f t="shared" si="16"/>
        <v>#REF!</v>
      </c>
      <c r="W31" s="22" t="e">
        <f t="shared" si="17"/>
        <v>#REF!</v>
      </c>
      <c r="X31" s="113" t="e">
        <f t="shared" si="18"/>
        <v>#REF!</v>
      </c>
      <c r="Y31" s="97" t="e">
        <f t="shared" si="19"/>
        <v>#REF!</v>
      </c>
      <c r="Z31" s="22" t="e">
        <f t="shared" si="20"/>
        <v>#REF!</v>
      </c>
      <c r="AA31" s="22" t="e">
        <f t="shared" si="21"/>
        <v>#REF!</v>
      </c>
      <c r="AB31" s="113" t="e">
        <f t="shared" si="22"/>
        <v>#REF!</v>
      </c>
      <c r="AC31" s="97" t="e">
        <f t="shared" si="23"/>
        <v>#REF!</v>
      </c>
      <c r="AD31" s="22" t="e">
        <f t="shared" si="24"/>
        <v>#REF!</v>
      </c>
      <c r="AE31" s="22" t="e">
        <f t="shared" si="25"/>
        <v>#REF!</v>
      </c>
      <c r="AF31" s="113" t="e">
        <f t="shared" si="26"/>
        <v>#REF!</v>
      </c>
      <c r="AG31" s="97" t="e">
        <f t="shared" si="27"/>
        <v>#REF!</v>
      </c>
      <c r="AH31" s="22" t="e">
        <f t="shared" si="28"/>
        <v>#REF!</v>
      </c>
      <c r="AI31" s="22" t="e">
        <f t="shared" si="29"/>
        <v>#REF!</v>
      </c>
      <c r="AJ31" s="113" t="e">
        <f t="shared" si="30"/>
        <v>#REF!</v>
      </c>
      <c r="AK31" s="97" t="e">
        <f t="shared" si="31"/>
        <v>#REF!</v>
      </c>
      <c r="AL31" s="22" t="e">
        <f t="shared" si="32"/>
        <v>#REF!</v>
      </c>
      <c r="AM31" s="22" t="e">
        <f t="shared" si="33"/>
        <v>#REF!</v>
      </c>
      <c r="AN31" s="113" t="e">
        <f t="shared" si="34"/>
        <v>#REF!</v>
      </c>
      <c r="AO31" s="97" t="e">
        <f t="shared" si="35"/>
        <v>#REF!</v>
      </c>
      <c r="AP31" s="22" t="e">
        <f t="shared" si="36"/>
        <v>#REF!</v>
      </c>
      <c r="AQ31" s="22" t="e">
        <f t="shared" si="37"/>
        <v>#REF!</v>
      </c>
      <c r="AR31" s="113" t="e">
        <f t="shared" si="38"/>
        <v>#REF!</v>
      </c>
      <c r="AS31" s="97" t="e">
        <f t="shared" si="39"/>
        <v>#REF!</v>
      </c>
      <c r="AT31" s="22" t="e">
        <f t="shared" si="40"/>
        <v>#REF!</v>
      </c>
      <c r="AU31" s="121" t="e">
        <f t="shared" si="41"/>
        <v>#REF!</v>
      </c>
      <c r="AV31" s="122" t="e">
        <f t="shared" si="42"/>
        <v>#REF!</v>
      </c>
      <c r="AW31" s="112"/>
    </row>
    <row r="32" spans="2:49" x14ac:dyDescent="0.25">
      <c r="B32" s="98">
        <f>'הוראת מעבר- הגנה'!B32</f>
        <v>16</v>
      </c>
      <c r="C32" s="98" t="e">
        <f>'הוראת מעבר- הגנה'!C32</f>
        <v>#REF!</v>
      </c>
      <c r="D32" s="53" t="e">
        <f>#REF!</f>
        <v>#REF!</v>
      </c>
      <c r="E32" s="53" t="e">
        <f>IF(#REF!=0,0.00000000001,#REF!)</f>
        <v>#REF!</v>
      </c>
      <c r="F32" s="22" t="e">
        <f t="shared" si="0"/>
        <v>#REF!</v>
      </c>
      <c r="G32" s="22">
        <f t="shared" si="1"/>
        <v>0</v>
      </c>
      <c r="H32" s="113" t="e">
        <f t="shared" si="2"/>
        <v>#REF!</v>
      </c>
      <c r="I32" s="22" t="e">
        <f t="shared" si="3"/>
        <v>#REF!</v>
      </c>
      <c r="J32" s="22" t="e">
        <f t="shared" si="4"/>
        <v>#REF!</v>
      </c>
      <c r="K32" s="22" t="e">
        <f t="shared" si="5"/>
        <v>#REF!</v>
      </c>
      <c r="L32" s="113" t="e">
        <f t="shared" si="6"/>
        <v>#REF!</v>
      </c>
      <c r="M32" s="97" t="e">
        <f t="shared" si="7"/>
        <v>#REF!</v>
      </c>
      <c r="N32" s="22" t="e">
        <f t="shared" si="8"/>
        <v>#REF!</v>
      </c>
      <c r="O32" s="22" t="e">
        <f t="shared" si="9"/>
        <v>#REF!</v>
      </c>
      <c r="P32" s="113" t="e">
        <f t="shared" si="10"/>
        <v>#REF!</v>
      </c>
      <c r="Q32" s="97" t="e">
        <f t="shared" si="11"/>
        <v>#REF!</v>
      </c>
      <c r="R32" s="22" t="e">
        <f t="shared" si="12"/>
        <v>#REF!</v>
      </c>
      <c r="S32" s="22" t="e">
        <f t="shared" si="13"/>
        <v>#REF!</v>
      </c>
      <c r="T32" s="113" t="e">
        <f t="shared" si="14"/>
        <v>#REF!</v>
      </c>
      <c r="U32" s="97" t="e">
        <f t="shared" si="15"/>
        <v>#REF!</v>
      </c>
      <c r="V32" s="22" t="e">
        <f t="shared" si="16"/>
        <v>#REF!</v>
      </c>
      <c r="W32" s="22" t="e">
        <f t="shared" si="17"/>
        <v>#REF!</v>
      </c>
      <c r="X32" s="113" t="e">
        <f t="shared" si="18"/>
        <v>#REF!</v>
      </c>
      <c r="Y32" s="97" t="e">
        <f t="shared" si="19"/>
        <v>#REF!</v>
      </c>
      <c r="Z32" s="22" t="e">
        <f t="shared" si="20"/>
        <v>#REF!</v>
      </c>
      <c r="AA32" s="22" t="e">
        <f t="shared" si="21"/>
        <v>#REF!</v>
      </c>
      <c r="AB32" s="113" t="e">
        <f t="shared" si="22"/>
        <v>#REF!</v>
      </c>
      <c r="AC32" s="97" t="e">
        <f t="shared" si="23"/>
        <v>#REF!</v>
      </c>
      <c r="AD32" s="22" t="e">
        <f t="shared" si="24"/>
        <v>#REF!</v>
      </c>
      <c r="AE32" s="22" t="e">
        <f t="shared" si="25"/>
        <v>#REF!</v>
      </c>
      <c r="AF32" s="113" t="e">
        <f t="shared" si="26"/>
        <v>#REF!</v>
      </c>
      <c r="AG32" s="97" t="e">
        <f t="shared" si="27"/>
        <v>#REF!</v>
      </c>
      <c r="AH32" s="22" t="e">
        <f t="shared" si="28"/>
        <v>#REF!</v>
      </c>
      <c r="AI32" s="22" t="e">
        <f t="shared" si="29"/>
        <v>#REF!</v>
      </c>
      <c r="AJ32" s="113" t="e">
        <f t="shared" si="30"/>
        <v>#REF!</v>
      </c>
      <c r="AK32" s="97" t="e">
        <f t="shared" si="31"/>
        <v>#REF!</v>
      </c>
      <c r="AL32" s="22" t="e">
        <f t="shared" si="32"/>
        <v>#REF!</v>
      </c>
      <c r="AM32" s="22" t="e">
        <f t="shared" si="33"/>
        <v>#REF!</v>
      </c>
      <c r="AN32" s="113" t="e">
        <f t="shared" si="34"/>
        <v>#REF!</v>
      </c>
      <c r="AO32" s="97" t="e">
        <f t="shared" si="35"/>
        <v>#REF!</v>
      </c>
      <c r="AP32" s="22" t="e">
        <f t="shared" si="36"/>
        <v>#REF!</v>
      </c>
      <c r="AQ32" s="22" t="e">
        <f t="shared" si="37"/>
        <v>#REF!</v>
      </c>
      <c r="AR32" s="113" t="e">
        <f t="shared" si="38"/>
        <v>#REF!</v>
      </c>
      <c r="AS32" s="97" t="e">
        <f t="shared" si="39"/>
        <v>#REF!</v>
      </c>
      <c r="AT32" s="22" t="e">
        <f t="shared" si="40"/>
        <v>#REF!</v>
      </c>
      <c r="AU32" s="121" t="e">
        <f t="shared" si="41"/>
        <v>#REF!</v>
      </c>
      <c r="AV32" s="122" t="e">
        <f t="shared" si="42"/>
        <v>#REF!</v>
      </c>
      <c r="AW32" s="112"/>
    </row>
    <row r="33" spans="2:49" x14ac:dyDescent="0.25">
      <c r="B33" s="98">
        <f>'הוראת מעבר- הגנה'!B33</f>
        <v>17</v>
      </c>
      <c r="C33" s="98" t="e">
        <f>'הוראת מעבר- הגנה'!C33</f>
        <v>#REF!</v>
      </c>
      <c r="D33" s="53" t="e">
        <f>#REF!</f>
        <v>#REF!</v>
      </c>
      <c r="E33" s="53" t="e">
        <f>IF(#REF!=0,0.00000000001,#REF!)</f>
        <v>#REF!</v>
      </c>
      <c r="F33" s="22" t="e">
        <f t="shared" si="0"/>
        <v>#REF!</v>
      </c>
      <c r="G33" s="22">
        <f t="shared" si="1"/>
        <v>0</v>
      </c>
      <c r="H33" s="113" t="e">
        <f t="shared" si="2"/>
        <v>#REF!</v>
      </c>
      <c r="I33" s="22" t="e">
        <f t="shared" si="3"/>
        <v>#REF!</v>
      </c>
      <c r="J33" s="22" t="e">
        <f t="shared" si="4"/>
        <v>#REF!</v>
      </c>
      <c r="K33" s="22" t="e">
        <f t="shared" si="5"/>
        <v>#REF!</v>
      </c>
      <c r="L33" s="113" t="e">
        <f t="shared" si="6"/>
        <v>#REF!</v>
      </c>
      <c r="M33" s="97" t="e">
        <f t="shared" si="7"/>
        <v>#REF!</v>
      </c>
      <c r="N33" s="22" t="e">
        <f t="shared" si="8"/>
        <v>#REF!</v>
      </c>
      <c r="O33" s="22" t="e">
        <f t="shared" si="9"/>
        <v>#REF!</v>
      </c>
      <c r="P33" s="113" t="e">
        <f t="shared" si="10"/>
        <v>#REF!</v>
      </c>
      <c r="Q33" s="97" t="e">
        <f t="shared" si="11"/>
        <v>#REF!</v>
      </c>
      <c r="R33" s="22" t="e">
        <f t="shared" si="12"/>
        <v>#REF!</v>
      </c>
      <c r="S33" s="22" t="e">
        <f t="shared" si="13"/>
        <v>#REF!</v>
      </c>
      <c r="T33" s="113" t="e">
        <f t="shared" si="14"/>
        <v>#REF!</v>
      </c>
      <c r="U33" s="97" t="e">
        <f t="shared" si="15"/>
        <v>#REF!</v>
      </c>
      <c r="V33" s="22" t="e">
        <f t="shared" si="16"/>
        <v>#REF!</v>
      </c>
      <c r="W33" s="22" t="e">
        <f t="shared" si="17"/>
        <v>#REF!</v>
      </c>
      <c r="X33" s="113" t="e">
        <f t="shared" si="18"/>
        <v>#REF!</v>
      </c>
      <c r="Y33" s="97" t="e">
        <f t="shared" si="19"/>
        <v>#REF!</v>
      </c>
      <c r="Z33" s="22" t="e">
        <f t="shared" si="20"/>
        <v>#REF!</v>
      </c>
      <c r="AA33" s="22" t="e">
        <f t="shared" si="21"/>
        <v>#REF!</v>
      </c>
      <c r="AB33" s="113" t="e">
        <f t="shared" si="22"/>
        <v>#REF!</v>
      </c>
      <c r="AC33" s="97" t="e">
        <f t="shared" si="23"/>
        <v>#REF!</v>
      </c>
      <c r="AD33" s="22" t="e">
        <f t="shared" si="24"/>
        <v>#REF!</v>
      </c>
      <c r="AE33" s="22" t="e">
        <f t="shared" si="25"/>
        <v>#REF!</v>
      </c>
      <c r="AF33" s="113" t="e">
        <f t="shared" si="26"/>
        <v>#REF!</v>
      </c>
      <c r="AG33" s="97" t="e">
        <f t="shared" si="27"/>
        <v>#REF!</v>
      </c>
      <c r="AH33" s="22" t="e">
        <f t="shared" si="28"/>
        <v>#REF!</v>
      </c>
      <c r="AI33" s="22" t="e">
        <f t="shared" si="29"/>
        <v>#REF!</v>
      </c>
      <c r="AJ33" s="113" t="e">
        <f t="shared" si="30"/>
        <v>#REF!</v>
      </c>
      <c r="AK33" s="97" t="e">
        <f t="shared" si="31"/>
        <v>#REF!</v>
      </c>
      <c r="AL33" s="22" t="e">
        <f t="shared" si="32"/>
        <v>#REF!</v>
      </c>
      <c r="AM33" s="22" t="e">
        <f t="shared" si="33"/>
        <v>#REF!</v>
      </c>
      <c r="AN33" s="113" t="e">
        <f t="shared" si="34"/>
        <v>#REF!</v>
      </c>
      <c r="AO33" s="97" t="e">
        <f t="shared" si="35"/>
        <v>#REF!</v>
      </c>
      <c r="AP33" s="22" t="e">
        <f t="shared" si="36"/>
        <v>#REF!</v>
      </c>
      <c r="AQ33" s="22" t="e">
        <f t="shared" si="37"/>
        <v>#REF!</v>
      </c>
      <c r="AR33" s="113" t="e">
        <f t="shared" si="38"/>
        <v>#REF!</v>
      </c>
      <c r="AS33" s="97" t="e">
        <f t="shared" si="39"/>
        <v>#REF!</v>
      </c>
      <c r="AT33" s="22" t="e">
        <f t="shared" si="40"/>
        <v>#REF!</v>
      </c>
      <c r="AU33" s="121" t="e">
        <f t="shared" si="41"/>
        <v>#REF!</v>
      </c>
      <c r="AV33" s="122" t="e">
        <f t="shared" si="42"/>
        <v>#REF!</v>
      </c>
      <c r="AW33" s="112"/>
    </row>
    <row r="34" spans="2:49" x14ac:dyDescent="0.25">
      <c r="B34" s="98">
        <f>'הוראת מעבר- הגנה'!B34</f>
        <v>18</v>
      </c>
      <c r="C34" s="98" t="e">
        <f>'הוראת מעבר- הגנה'!C34</f>
        <v>#REF!</v>
      </c>
      <c r="D34" s="53" t="e">
        <f>#REF!</f>
        <v>#REF!</v>
      </c>
      <c r="E34" s="53" t="e">
        <f>IF(#REF!=0,0.00000000001,#REF!)</f>
        <v>#REF!</v>
      </c>
      <c r="F34" s="22" t="e">
        <f t="shared" si="0"/>
        <v>#REF!</v>
      </c>
      <c r="G34" s="22">
        <f t="shared" si="1"/>
        <v>0</v>
      </c>
      <c r="H34" s="113" t="e">
        <f t="shared" si="2"/>
        <v>#REF!</v>
      </c>
      <c r="I34" s="22" t="e">
        <f t="shared" si="3"/>
        <v>#REF!</v>
      </c>
      <c r="J34" s="22" t="e">
        <f t="shared" si="4"/>
        <v>#REF!</v>
      </c>
      <c r="K34" s="22" t="e">
        <f t="shared" si="5"/>
        <v>#REF!</v>
      </c>
      <c r="L34" s="113" t="e">
        <f t="shared" si="6"/>
        <v>#REF!</v>
      </c>
      <c r="M34" s="97" t="e">
        <f t="shared" si="7"/>
        <v>#REF!</v>
      </c>
      <c r="N34" s="22" t="e">
        <f t="shared" si="8"/>
        <v>#REF!</v>
      </c>
      <c r="O34" s="22" t="e">
        <f t="shared" si="9"/>
        <v>#REF!</v>
      </c>
      <c r="P34" s="113" t="e">
        <f t="shared" si="10"/>
        <v>#REF!</v>
      </c>
      <c r="Q34" s="97" t="e">
        <f t="shared" si="11"/>
        <v>#REF!</v>
      </c>
      <c r="R34" s="22" t="e">
        <f t="shared" si="12"/>
        <v>#REF!</v>
      </c>
      <c r="S34" s="22" t="e">
        <f t="shared" si="13"/>
        <v>#REF!</v>
      </c>
      <c r="T34" s="113" t="e">
        <f t="shared" si="14"/>
        <v>#REF!</v>
      </c>
      <c r="U34" s="97" t="e">
        <f t="shared" si="15"/>
        <v>#REF!</v>
      </c>
      <c r="V34" s="22" t="e">
        <f t="shared" si="16"/>
        <v>#REF!</v>
      </c>
      <c r="W34" s="22" t="e">
        <f t="shared" si="17"/>
        <v>#REF!</v>
      </c>
      <c r="X34" s="113" t="e">
        <f t="shared" si="18"/>
        <v>#REF!</v>
      </c>
      <c r="Y34" s="97" t="e">
        <f t="shared" si="19"/>
        <v>#REF!</v>
      </c>
      <c r="Z34" s="22" t="e">
        <f t="shared" si="20"/>
        <v>#REF!</v>
      </c>
      <c r="AA34" s="22" t="e">
        <f t="shared" si="21"/>
        <v>#REF!</v>
      </c>
      <c r="AB34" s="113" t="e">
        <f t="shared" si="22"/>
        <v>#REF!</v>
      </c>
      <c r="AC34" s="97" t="e">
        <f t="shared" si="23"/>
        <v>#REF!</v>
      </c>
      <c r="AD34" s="22" t="e">
        <f t="shared" si="24"/>
        <v>#REF!</v>
      </c>
      <c r="AE34" s="22" t="e">
        <f t="shared" si="25"/>
        <v>#REF!</v>
      </c>
      <c r="AF34" s="113" t="e">
        <f t="shared" si="26"/>
        <v>#REF!</v>
      </c>
      <c r="AG34" s="97" t="e">
        <f t="shared" si="27"/>
        <v>#REF!</v>
      </c>
      <c r="AH34" s="22" t="e">
        <f t="shared" si="28"/>
        <v>#REF!</v>
      </c>
      <c r="AI34" s="22" t="e">
        <f t="shared" si="29"/>
        <v>#REF!</v>
      </c>
      <c r="AJ34" s="113" t="e">
        <f t="shared" si="30"/>
        <v>#REF!</v>
      </c>
      <c r="AK34" s="97" t="e">
        <f t="shared" si="31"/>
        <v>#REF!</v>
      </c>
      <c r="AL34" s="22" t="e">
        <f t="shared" si="32"/>
        <v>#REF!</v>
      </c>
      <c r="AM34" s="22" t="e">
        <f t="shared" si="33"/>
        <v>#REF!</v>
      </c>
      <c r="AN34" s="113" t="e">
        <f t="shared" si="34"/>
        <v>#REF!</v>
      </c>
      <c r="AO34" s="97" t="e">
        <f t="shared" si="35"/>
        <v>#REF!</v>
      </c>
      <c r="AP34" s="22" t="e">
        <f t="shared" si="36"/>
        <v>#REF!</v>
      </c>
      <c r="AQ34" s="22" t="e">
        <f t="shared" si="37"/>
        <v>#REF!</v>
      </c>
      <c r="AR34" s="113" t="e">
        <f t="shared" si="38"/>
        <v>#REF!</v>
      </c>
      <c r="AS34" s="97" t="e">
        <f t="shared" si="39"/>
        <v>#REF!</v>
      </c>
      <c r="AT34" s="22" t="e">
        <f t="shared" si="40"/>
        <v>#REF!</v>
      </c>
      <c r="AU34" s="121" t="e">
        <f t="shared" si="41"/>
        <v>#REF!</v>
      </c>
      <c r="AV34" s="122" t="e">
        <f t="shared" si="42"/>
        <v>#REF!</v>
      </c>
      <c r="AW34" s="112"/>
    </row>
    <row r="35" spans="2:49" x14ac:dyDescent="0.25">
      <c r="B35" s="98">
        <f>'הוראת מעבר- הגנה'!B35</f>
        <v>19</v>
      </c>
      <c r="C35" s="98" t="e">
        <f>'הוראת מעבר- הגנה'!C35</f>
        <v>#REF!</v>
      </c>
      <c r="D35" s="53" t="e">
        <f>#REF!</f>
        <v>#REF!</v>
      </c>
      <c r="E35" s="53" t="e">
        <f>IF(#REF!=0,0.00000000001,#REF!)</f>
        <v>#REF!</v>
      </c>
      <c r="F35" s="22" t="e">
        <f t="shared" si="0"/>
        <v>#REF!</v>
      </c>
      <c r="G35" s="22">
        <f t="shared" si="1"/>
        <v>0</v>
      </c>
      <c r="H35" s="113" t="e">
        <f t="shared" si="2"/>
        <v>#REF!</v>
      </c>
      <c r="I35" s="22" t="e">
        <f t="shared" si="3"/>
        <v>#REF!</v>
      </c>
      <c r="J35" s="22" t="e">
        <f t="shared" si="4"/>
        <v>#REF!</v>
      </c>
      <c r="K35" s="22" t="e">
        <f t="shared" si="5"/>
        <v>#REF!</v>
      </c>
      <c r="L35" s="113" t="e">
        <f t="shared" si="6"/>
        <v>#REF!</v>
      </c>
      <c r="M35" s="97" t="e">
        <f t="shared" si="7"/>
        <v>#REF!</v>
      </c>
      <c r="N35" s="22" t="e">
        <f t="shared" si="8"/>
        <v>#REF!</v>
      </c>
      <c r="O35" s="22" t="e">
        <f t="shared" si="9"/>
        <v>#REF!</v>
      </c>
      <c r="P35" s="113" t="e">
        <f t="shared" si="10"/>
        <v>#REF!</v>
      </c>
      <c r="Q35" s="97" t="e">
        <f t="shared" si="11"/>
        <v>#REF!</v>
      </c>
      <c r="R35" s="22" t="e">
        <f t="shared" si="12"/>
        <v>#REF!</v>
      </c>
      <c r="S35" s="22" t="e">
        <f t="shared" si="13"/>
        <v>#REF!</v>
      </c>
      <c r="T35" s="113" t="e">
        <f t="shared" si="14"/>
        <v>#REF!</v>
      </c>
      <c r="U35" s="97" t="e">
        <f t="shared" si="15"/>
        <v>#REF!</v>
      </c>
      <c r="V35" s="22" t="e">
        <f t="shared" si="16"/>
        <v>#REF!</v>
      </c>
      <c r="W35" s="22" t="e">
        <f t="shared" si="17"/>
        <v>#REF!</v>
      </c>
      <c r="X35" s="113" t="e">
        <f t="shared" si="18"/>
        <v>#REF!</v>
      </c>
      <c r="Y35" s="97" t="e">
        <f t="shared" si="19"/>
        <v>#REF!</v>
      </c>
      <c r="Z35" s="22" t="e">
        <f t="shared" si="20"/>
        <v>#REF!</v>
      </c>
      <c r="AA35" s="22" t="e">
        <f t="shared" si="21"/>
        <v>#REF!</v>
      </c>
      <c r="AB35" s="113" t="e">
        <f t="shared" si="22"/>
        <v>#REF!</v>
      </c>
      <c r="AC35" s="97" t="e">
        <f t="shared" si="23"/>
        <v>#REF!</v>
      </c>
      <c r="AD35" s="22" t="e">
        <f t="shared" si="24"/>
        <v>#REF!</v>
      </c>
      <c r="AE35" s="22" t="e">
        <f t="shared" si="25"/>
        <v>#REF!</v>
      </c>
      <c r="AF35" s="113" t="e">
        <f t="shared" si="26"/>
        <v>#REF!</v>
      </c>
      <c r="AG35" s="97" t="e">
        <f t="shared" si="27"/>
        <v>#REF!</v>
      </c>
      <c r="AH35" s="22" t="e">
        <f t="shared" si="28"/>
        <v>#REF!</v>
      </c>
      <c r="AI35" s="22" t="e">
        <f t="shared" si="29"/>
        <v>#REF!</v>
      </c>
      <c r="AJ35" s="113" t="e">
        <f t="shared" si="30"/>
        <v>#REF!</v>
      </c>
      <c r="AK35" s="97" t="e">
        <f t="shared" si="31"/>
        <v>#REF!</v>
      </c>
      <c r="AL35" s="22" t="e">
        <f t="shared" si="32"/>
        <v>#REF!</v>
      </c>
      <c r="AM35" s="22" t="e">
        <f t="shared" si="33"/>
        <v>#REF!</v>
      </c>
      <c r="AN35" s="113" t="e">
        <f t="shared" si="34"/>
        <v>#REF!</v>
      </c>
      <c r="AO35" s="97" t="e">
        <f t="shared" si="35"/>
        <v>#REF!</v>
      </c>
      <c r="AP35" s="22" t="e">
        <f t="shared" si="36"/>
        <v>#REF!</v>
      </c>
      <c r="AQ35" s="22" t="e">
        <f t="shared" si="37"/>
        <v>#REF!</v>
      </c>
      <c r="AR35" s="113" t="e">
        <f t="shared" si="38"/>
        <v>#REF!</v>
      </c>
      <c r="AS35" s="97" t="e">
        <f t="shared" si="39"/>
        <v>#REF!</v>
      </c>
      <c r="AT35" s="22" t="e">
        <f t="shared" si="40"/>
        <v>#REF!</v>
      </c>
      <c r="AU35" s="121" t="e">
        <f t="shared" si="41"/>
        <v>#REF!</v>
      </c>
      <c r="AV35" s="122" t="e">
        <f t="shared" si="42"/>
        <v>#REF!</v>
      </c>
      <c r="AW35" s="112"/>
    </row>
    <row r="36" spans="2:49" x14ac:dyDescent="0.25">
      <c r="B36" s="98">
        <f>'הוראת מעבר- הגנה'!B36</f>
        <v>20</v>
      </c>
      <c r="C36" s="98" t="e">
        <f>'הוראת מעבר- הגנה'!C36</f>
        <v>#REF!</v>
      </c>
      <c r="D36" s="53" t="e">
        <f>#REF!</f>
        <v>#REF!</v>
      </c>
      <c r="E36" s="53" t="e">
        <f>IF(#REF!=0,0.00000000001,#REF!)</f>
        <v>#REF!</v>
      </c>
      <c r="F36" s="22" t="e">
        <f t="shared" si="0"/>
        <v>#REF!</v>
      </c>
      <c r="G36" s="22">
        <f t="shared" si="1"/>
        <v>0</v>
      </c>
      <c r="H36" s="113" t="e">
        <f t="shared" si="2"/>
        <v>#REF!</v>
      </c>
      <c r="I36" s="22" t="e">
        <f t="shared" si="3"/>
        <v>#REF!</v>
      </c>
      <c r="J36" s="22" t="e">
        <f t="shared" si="4"/>
        <v>#REF!</v>
      </c>
      <c r="K36" s="22" t="e">
        <f t="shared" si="5"/>
        <v>#REF!</v>
      </c>
      <c r="L36" s="113" t="e">
        <f t="shared" si="6"/>
        <v>#REF!</v>
      </c>
      <c r="M36" s="97" t="e">
        <f t="shared" si="7"/>
        <v>#REF!</v>
      </c>
      <c r="N36" s="22" t="e">
        <f t="shared" si="8"/>
        <v>#REF!</v>
      </c>
      <c r="O36" s="22" t="e">
        <f t="shared" si="9"/>
        <v>#REF!</v>
      </c>
      <c r="P36" s="113" t="e">
        <f t="shared" si="10"/>
        <v>#REF!</v>
      </c>
      <c r="Q36" s="97" t="e">
        <f t="shared" si="11"/>
        <v>#REF!</v>
      </c>
      <c r="R36" s="22" t="e">
        <f t="shared" si="12"/>
        <v>#REF!</v>
      </c>
      <c r="S36" s="22" t="e">
        <f t="shared" si="13"/>
        <v>#REF!</v>
      </c>
      <c r="T36" s="113" t="e">
        <f t="shared" si="14"/>
        <v>#REF!</v>
      </c>
      <c r="U36" s="97" t="e">
        <f t="shared" si="15"/>
        <v>#REF!</v>
      </c>
      <c r="V36" s="22" t="e">
        <f t="shared" si="16"/>
        <v>#REF!</v>
      </c>
      <c r="W36" s="22" t="e">
        <f t="shared" si="17"/>
        <v>#REF!</v>
      </c>
      <c r="X36" s="113" t="e">
        <f t="shared" si="18"/>
        <v>#REF!</v>
      </c>
      <c r="Y36" s="97" t="e">
        <f t="shared" si="19"/>
        <v>#REF!</v>
      </c>
      <c r="Z36" s="22" t="e">
        <f t="shared" si="20"/>
        <v>#REF!</v>
      </c>
      <c r="AA36" s="22" t="e">
        <f t="shared" si="21"/>
        <v>#REF!</v>
      </c>
      <c r="AB36" s="113" t="e">
        <f t="shared" si="22"/>
        <v>#REF!</v>
      </c>
      <c r="AC36" s="97" t="e">
        <f t="shared" si="23"/>
        <v>#REF!</v>
      </c>
      <c r="AD36" s="22" t="e">
        <f t="shared" si="24"/>
        <v>#REF!</v>
      </c>
      <c r="AE36" s="22" t="e">
        <f t="shared" si="25"/>
        <v>#REF!</v>
      </c>
      <c r="AF36" s="113" t="e">
        <f t="shared" si="26"/>
        <v>#REF!</v>
      </c>
      <c r="AG36" s="97" t="e">
        <f t="shared" si="27"/>
        <v>#REF!</v>
      </c>
      <c r="AH36" s="22" t="e">
        <f t="shared" si="28"/>
        <v>#REF!</v>
      </c>
      <c r="AI36" s="22" t="e">
        <f t="shared" si="29"/>
        <v>#REF!</v>
      </c>
      <c r="AJ36" s="113" t="e">
        <f t="shared" si="30"/>
        <v>#REF!</v>
      </c>
      <c r="AK36" s="97" t="e">
        <f t="shared" si="31"/>
        <v>#REF!</v>
      </c>
      <c r="AL36" s="22" t="e">
        <f t="shared" si="32"/>
        <v>#REF!</v>
      </c>
      <c r="AM36" s="22" t="e">
        <f t="shared" si="33"/>
        <v>#REF!</v>
      </c>
      <c r="AN36" s="113" t="e">
        <f t="shared" si="34"/>
        <v>#REF!</v>
      </c>
      <c r="AO36" s="97" t="e">
        <f t="shared" si="35"/>
        <v>#REF!</v>
      </c>
      <c r="AP36" s="22" t="e">
        <f t="shared" si="36"/>
        <v>#REF!</v>
      </c>
      <c r="AQ36" s="22" t="e">
        <f t="shared" si="37"/>
        <v>#REF!</v>
      </c>
      <c r="AR36" s="113" t="e">
        <f t="shared" si="38"/>
        <v>#REF!</v>
      </c>
      <c r="AS36" s="97" t="e">
        <f t="shared" si="39"/>
        <v>#REF!</v>
      </c>
      <c r="AT36" s="22" t="e">
        <f t="shared" si="40"/>
        <v>#REF!</v>
      </c>
      <c r="AU36" s="121" t="e">
        <f t="shared" si="41"/>
        <v>#REF!</v>
      </c>
      <c r="AV36" s="122" t="e">
        <f t="shared" si="42"/>
        <v>#REF!</v>
      </c>
      <c r="AW36" s="112"/>
    </row>
    <row r="37" spans="2:49" x14ac:dyDescent="0.25">
      <c r="B37" s="98">
        <f>'הוראת מעבר- הגנה'!B37</f>
        <v>21</v>
      </c>
      <c r="C37" s="98" t="e">
        <f>'הוראת מעבר- הגנה'!C37</f>
        <v>#REF!</v>
      </c>
      <c r="D37" s="53" t="e">
        <f>#REF!</f>
        <v>#REF!</v>
      </c>
      <c r="E37" s="53" t="e">
        <f>IF(#REF!=0,0.00000000001,#REF!)</f>
        <v>#REF!</v>
      </c>
      <c r="F37" s="22" t="e">
        <f t="shared" si="0"/>
        <v>#REF!</v>
      </c>
      <c r="G37" s="22">
        <f t="shared" si="1"/>
        <v>0</v>
      </c>
      <c r="H37" s="113" t="e">
        <f t="shared" si="2"/>
        <v>#REF!</v>
      </c>
      <c r="I37" s="22" t="e">
        <f t="shared" si="3"/>
        <v>#REF!</v>
      </c>
      <c r="J37" s="22" t="e">
        <f t="shared" si="4"/>
        <v>#REF!</v>
      </c>
      <c r="K37" s="22" t="e">
        <f t="shared" si="5"/>
        <v>#REF!</v>
      </c>
      <c r="L37" s="113" t="e">
        <f t="shared" si="6"/>
        <v>#REF!</v>
      </c>
      <c r="M37" s="97" t="e">
        <f t="shared" si="7"/>
        <v>#REF!</v>
      </c>
      <c r="N37" s="22" t="e">
        <f t="shared" si="8"/>
        <v>#REF!</v>
      </c>
      <c r="O37" s="22" t="e">
        <f t="shared" si="9"/>
        <v>#REF!</v>
      </c>
      <c r="P37" s="113" t="e">
        <f t="shared" si="10"/>
        <v>#REF!</v>
      </c>
      <c r="Q37" s="97" t="e">
        <f t="shared" si="11"/>
        <v>#REF!</v>
      </c>
      <c r="R37" s="22" t="e">
        <f t="shared" si="12"/>
        <v>#REF!</v>
      </c>
      <c r="S37" s="22" t="e">
        <f t="shared" si="13"/>
        <v>#REF!</v>
      </c>
      <c r="T37" s="113" t="e">
        <f t="shared" si="14"/>
        <v>#REF!</v>
      </c>
      <c r="U37" s="97" t="e">
        <f t="shared" si="15"/>
        <v>#REF!</v>
      </c>
      <c r="V37" s="22" t="e">
        <f t="shared" si="16"/>
        <v>#REF!</v>
      </c>
      <c r="W37" s="22" t="e">
        <f t="shared" si="17"/>
        <v>#REF!</v>
      </c>
      <c r="X37" s="113" t="e">
        <f t="shared" si="18"/>
        <v>#REF!</v>
      </c>
      <c r="Y37" s="97" t="e">
        <f t="shared" si="19"/>
        <v>#REF!</v>
      </c>
      <c r="Z37" s="22" t="e">
        <f t="shared" si="20"/>
        <v>#REF!</v>
      </c>
      <c r="AA37" s="22" t="e">
        <f t="shared" si="21"/>
        <v>#REF!</v>
      </c>
      <c r="AB37" s="113" t="e">
        <f t="shared" si="22"/>
        <v>#REF!</v>
      </c>
      <c r="AC37" s="97" t="e">
        <f t="shared" si="23"/>
        <v>#REF!</v>
      </c>
      <c r="AD37" s="22" t="e">
        <f t="shared" si="24"/>
        <v>#REF!</v>
      </c>
      <c r="AE37" s="22" t="e">
        <f t="shared" si="25"/>
        <v>#REF!</v>
      </c>
      <c r="AF37" s="113" t="e">
        <f t="shared" si="26"/>
        <v>#REF!</v>
      </c>
      <c r="AG37" s="97" t="e">
        <f t="shared" si="27"/>
        <v>#REF!</v>
      </c>
      <c r="AH37" s="22" t="e">
        <f t="shared" si="28"/>
        <v>#REF!</v>
      </c>
      <c r="AI37" s="22" t="e">
        <f t="shared" si="29"/>
        <v>#REF!</v>
      </c>
      <c r="AJ37" s="113" t="e">
        <f t="shared" si="30"/>
        <v>#REF!</v>
      </c>
      <c r="AK37" s="97" t="e">
        <f t="shared" si="31"/>
        <v>#REF!</v>
      </c>
      <c r="AL37" s="22" t="e">
        <f t="shared" si="32"/>
        <v>#REF!</v>
      </c>
      <c r="AM37" s="22" t="e">
        <f t="shared" si="33"/>
        <v>#REF!</v>
      </c>
      <c r="AN37" s="113" t="e">
        <f t="shared" si="34"/>
        <v>#REF!</v>
      </c>
      <c r="AO37" s="97" t="e">
        <f t="shared" si="35"/>
        <v>#REF!</v>
      </c>
      <c r="AP37" s="22" t="e">
        <f t="shared" si="36"/>
        <v>#REF!</v>
      </c>
      <c r="AQ37" s="22" t="e">
        <f t="shared" si="37"/>
        <v>#REF!</v>
      </c>
      <c r="AR37" s="113" t="e">
        <f t="shared" si="38"/>
        <v>#REF!</v>
      </c>
      <c r="AS37" s="97" t="e">
        <f t="shared" si="39"/>
        <v>#REF!</v>
      </c>
      <c r="AT37" s="22" t="e">
        <f t="shared" si="40"/>
        <v>#REF!</v>
      </c>
      <c r="AU37" s="121" t="e">
        <f t="shared" si="41"/>
        <v>#REF!</v>
      </c>
      <c r="AV37" s="122" t="e">
        <f t="shared" si="42"/>
        <v>#REF!</v>
      </c>
      <c r="AW37" s="112"/>
    </row>
    <row r="38" spans="2:49" x14ac:dyDescent="0.25">
      <c r="B38" s="98">
        <f>'הוראת מעבר- הגנה'!B38</f>
        <v>22</v>
      </c>
      <c r="C38" s="98" t="e">
        <f>'הוראת מעבר- הגנה'!C38</f>
        <v>#REF!</v>
      </c>
      <c r="D38" s="53" t="e">
        <f>#REF!</f>
        <v>#REF!</v>
      </c>
      <c r="E38" s="53" t="e">
        <f>IF(#REF!=0,0.00000000001,#REF!)</f>
        <v>#REF!</v>
      </c>
      <c r="F38" s="22" t="e">
        <f t="shared" si="0"/>
        <v>#REF!</v>
      </c>
      <c r="G38" s="22">
        <f t="shared" si="1"/>
        <v>0</v>
      </c>
      <c r="H38" s="113" t="e">
        <f t="shared" si="2"/>
        <v>#REF!</v>
      </c>
      <c r="I38" s="22" t="e">
        <f t="shared" si="3"/>
        <v>#REF!</v>
      </c>
      <c r="J38" s="22" t="e">
        <f t="shared" si="4"/>
        <v>#REF!</v>
      </c>
      <c r="K38" s="22" t="e">
        <f t="shared" si="5"/>
        <v>#REF!</v>
      </c>
      <c r="L38" s="113" t="e">
        <f t="shared" si="6"/>
        <v>#REF!</v>
      </c>
      <c r="M38" s="97" t="e">
        <f t="shared" si="7"/>
        <v>#REF!</v>
      </c>
      <c r="N38" s="22" t="e">
        <f t="shared" si="8"/>
        <v>#REF!</v>
      </c>
      <c r="O38" s="22" t="e">
        <f t="shared" si="9"/>
        <v>#REF!</v>
      </c>
      <c r="P38" s="113" t="e">
        <f t="shared" si="10"/>
        <v>#REF!</v>
      </c>
      <c r="Q38" s="97" t="e">
        <f t="shared" si="11"/>
        <v>#REF!</v>
      </c>
      <c r="R38" s="22" t="e">
        <f t="shared" si="12"/>
        <v>#REF!</v>
      </c>
      <c r="S38" s="22" t="e">
        <f t="shared" si="13"/>
        <v>#REF!</v>
      </c>
      <c r="T38" s="113" t="e">
        <f t="shared" si="14"/>
        <v>#REF!</v>
      </c>
      <c r="U38" s="97" t="e">
        <f t="shared" si="15"/>
        <v>#REF!</v>
      </c>
      <c r="V38" s="22" t="e">
        <f t="shared" si="16"/>
        <v>#REF!</v>
      </c>
      <c r="W38" s="22" t="e">
        <f t="shared" si="17"/>
        <v>#REF!</v>
      </c>
      <c r="X38" s="113" t="e">
        <f t="shared" si="18"/>
        <v>#REF!</v>
      </c>
      <c r="Y38" s="97" t="e">
        <f t="shared" si="19"/>
        <v>#REF!</v>
      </c>
      <c r="Z38" s="22" t="e">
        <f t="shared" si="20"/>
        <v>#REF!</v>
      </c>
      <c r="AA38" s="22" t="e">
        <f t="shared" si="21"/>
        <v>#REF!</v>
      </c>
      <c r="AB38" s="113" t="e">
        <f t="shared" si="22"/>
        <v>#REF!</v>
      </c>
      <c r="AC38" s="97" t="e">
        <f t="shared" si="23"/>
        <v>#REF!</v>
      </c>
      <c r="AD38" s="22" t="e">
        <f t="shared" si="24"/>
        <v>#REF!</v>
      </c>
      <c r="AE38" s="22" t="e">
        <f t="shared" si="25"/>
        <v>#REF!</v>
      </c>
      <c r="AF38" s="113" t="e">
        <f t="shared" si="26"/>
        <v>#REF!</v>
      </c>
      <c r="AG38" s="97" t="e">
        <f t="shared" si="27"/>
        <v>#REF!</v>
      </c>
      <c r="AH38" s="22" t="e">
        <f t="shared" si="28"/>
        <v>#REF!</v>
      </c>
      <c r="AI38" s="22" t="e">
        <f t="shared" si="29"/>
        <v>#REF!</v>
      </c>
      <c r="AJ38" s="113" t="e">
        <f t="shared" si="30"/>
        <v>#REF!</v>
      </c>
      <c r="AK38" s="97" t="e">
        <f t="shared" si="31"/>
        <v>#REF!</v>
      </c>
      <c r="AL38" s="22" t="e">
        <f t="shared" si="32"/>
        <v>#REF!</v>
      </c>
      <c r="AM38" s="22" t="e">
        <f t="shared" si="33"/>
        <v>#REF!</v>
      </c>
      <c r="AN38" s="113" t="e">
        <f t="shared" si="34"/>
        <v>#REF!</v>
      </c>
      <c r="AO38" s="97" t="e">
        <f t="shared" si="35"/>
        <v>#REF!</v>
      </c>
      <c r="AP38" s="22" t="e">
        <f t="shared" si="36"/>
        <v>#REF!</v>
      </c>
      <c r="AQ38" s="22" t="e">
        <f t="shared" si="37"/>
        <v>#REF!</v>
      </c>
      <c r="AR38" s="113" t="e">
        <f t="shared" si="38"/>
        <v>#REF!</v>
      </c>
      <c r="AS38" s="97" t="e">
        <f t="shared" si="39"/>
        <v>#REF!</v>
      </c>
      <c r="AT38" s="22" t="e">
        <f t="shared" si="40"/>
        <v>#REF!</v>
      </c>
      <c r="AU38" s="121" t="e">
        <f t="shared" si="41"/>
        <v>#REF!</v>
      </c>
      <c r="AV38" s="122" t="e">
        <f t="shared" si="42"/>
        <v>#REF!</v>
      </c>
      <c r="AW38" s="112"/>
    </row>
    <row r="39" spans="2:49" x14ac:dyDescent="0.25">
      <c r="B39" s="98">
        <f>'הוראת מעבר- הגנה'!B39</f>
        <v>23</v>
      </c>
      <c r="C39" s="98" t="e">
        <f>'הוראת מעבר- הגנה'!C39</f>
        <v>#REF!</v>
      </c>
      <c r="D39" s="53" t="e">
        <f>#REF!</f>
        <v>#REF!</v>
      </c>
      <c r="E39" s="53" t="e">
        <f>IF(#REF!=0,0.00000000001,#REF!)</f>
        <v>#REF!</v>
      </c>
      <c r="F39" s="22" t="e">
        <f t="shared" si="0"/>
        <v>#REF!</v>
      </c>
      <c r="G39" s="22">
        <f t="shared" si="1"/>
        <v>0</v>
      </c>
      <c r="H39" s="113" t="e">
        <f t="shared" si="2"/>
        <v>#REF!</v>
      </c>
      <c r="I39" s="22" t="e">
        <f t="shared" si="3"/>
        <v>#REF!</v>
      </c>
      <c r="J39" s="22" t="e">
        <f t="shared" si="4"/>
        <v>#REF!</v>
      </c>
      <c r="K39" s="22" t="e">
        <f t="shared" si="5"/>
        <v>#REF!</v>
      </c>
      <c r="L39" s="113" t="e">
        <f t="shared" si="6"/>
        <v>#REF!</v>
      </c>
      <c r="M39" s="97" t="e">
        <f t="shared" si="7"/>
        <v>#REF!</v>
      </c>
      <c r="N39" s="22" t="e">
        <f t="shared" si="8"/>
        <v>#REF!</v>
      </c>
      <c r="O39" s="22" t="e">
        <f t="shared" si="9"/>
        <v>#REF!</v>
      </c>
      <c r="P39" s="113" t="e">
        <f t="shared" si="10"/>
        <v>#REF!</v>
      </c>
      <c r="Q39" s="97" t="e">
        <f t="shared" si="11"/>
        <v>#REF!</v>
      </c>
      <c r="R39" s="22" t="e">
        <f t="shared" si="12"/>
        <v>#REF!</v>
      </c>
      <c r="S39" s="22" t="e">
        <f t="shared" si="13"/>
        <v>#REF!</v>
      </c>
      <c r="T39" s="113" t="e">
        <f t="shared" si="14"/>
        <v>#REF!</v>
      </c>
      <c r="U39" s="97" t="e">
        <f t="shared" si="15"/>
        <v>#REF!</v>
      </c>
      <c r="V39" s="22" t="e">
        <f t="shared" si="16"/>
        <v>#REF!</v>
      </c>
      <c r="W39" s="22" t="e">
        <f t="shared" si="17"/>
        <v>#REF!</v>
      </c>
      <c r="X39" s="113" t="e">
        <f t="shared" si="18"/>
        <v>#REF!</v>
      </c>
      <c r="Y39" s="97" t="e">
        <f t="shared" si="19"/>
        <v>#REF!</v>
      </c>
      <c r="Z39" s="22" t="e">
        <f t="shared" si="20"/>
        <v>#REF!</v>
      </c>
      <c r="AA39" s="22" t="e">
        <f t="shared" si="21"/>
        <v>#REF!</v>
      </c>
      <c r="AB39" s="113" t="e">
        <f t="shared" si="22"/>
        <v>#REF!</v>
      </c>
      <c r="AC39" s="97" t="e">
        <f t="shared" si="23"/>
        <v>#REF!</v>
      </c>
      <c r="AD39" s="22" t="e">
        <f t="shared" si="24"/>
        <v>#REF!</v>
      </c>
      <c r="AE39" s="22" t="e">
        <f t="shared" si="25"/>
        <v>#REF!</v>
      </c>
      <c r="AF39" s="113" t="e">
        <f t="shared" si="26"/>
        <v>#REF!</v>
      </c>
      <c r="AG39" s="97" t="e">
        <f t="shared" si="27"/>
        <v>#REF!</v>
      </c>
      <c r="AH39" s="22" t="e">
        <f t="shared" si="28"/>
        <v>#REF!</v>
      </c>
      <c r="AI39" s="22" t="e">
        <f t="shared" si="29"/>
        <v>#REF!</v>
      </c>
      <c r="AJ39" s="113" t="e">
        <f t="shared" si="30"/>
        <v>#REF!</v>
      </c>
      <c r="AK39" s="97" t="e">
        <f t="shared" si="31"/>
        <v>#REF!</v>
      </c>
      <c r="AL39" s="22" t="e">
        <f t="shared" si="32"/>
        <v>#REF!</v>
      </c>
      <c r="AM39" s="22" t="e">
        <f t="shared" si="33"/>
        <v>#REF!</v>
      </c>
      <c r="AN39" s="113" t="e">
        <f t="shared" si="34"/>
        <v>#REF!</v>
      </c>
      <c r="AO39" s="97" t="e">
        <f t="shared" si="35"/>
        <v>#REF!</v>
      </c>
      <c r="AP39" s="22" t="e">
        <f t="shared" si="36"/>
        <v>#REF!</v>
      </c>
      <c r="AQ39" s="22" t="e">
        <f t="shared" si="37"/>
        <v>#REF!</v>
      </c>
      <c r="AR39" s="113" t="e">
        <f t="shared" si="38"/>
        <v>#REF!</v>
      </c>
      <c r="AS39" s="97" t="e">
        <f t="shared" si="39"/>
        <v>#REF!</v>
      </c>
      <c r="AT39" s="22" t="e">
        <f t="shared" si="40"/>
        <v>#REF!</v>
      </c>
      <c r="AU39" s="121" t="e">
        <f t="shared" si="41"/>
        <v>#REF!</v>
      </c>
      <c r="AV39" s="122" t="e">
        <f t="shared" si="42"/>
        <v>#REF!</v>
      </c>
      <c r="AW39" s="112"/>
    </row>
    <row r="40" spans="2:49" x14ac:dyDescent="0.25">
      <c r="B40" s="98">
        <f>'הוראת מעבר- הגנה'!B40</f>
        <v>24</v>
      </c>
      <c r="C40" s="98" t="e">
        <f>'הוראת מעבר- הגנה'!C40</f>
        <v>#REF!</v>
      </c>
      <c r="D40" s="53" t="e">
        <f>#REF!</f>
        <v>#REF!</v>
      </c>
      <c r="E40" s="53" t="e">
        <f>IF(#REF!=0,0.00000000001,#REF!)</f>
        <v>#REF!</v>
      </c>
      <c r="F40" s="22" t="e">
        <f t="shared" si="0"/>
        <v>#REF!</v>
      </c>
      <c r="G40" s="22">
        <f t="shared" si="1"/>
        <v>0</v>
      </c>
      <c r="H40" s="113" t="e">
        <f t="shared" si="2"/>
        <v>#REF!</v>
      </c>
      <c r="I40" s="22" t="e">
        <f t="shared" si="3"/>
        <v>#REF!</v>
      </c>
      <c r="J40" s="22" t="e">
        <f t="shared" si="4"/>
        <v>#REF!</v>
      </c>
      <c r="K40" s="22" t="e">
        <f t="shared" si="5"/>
        <v>#REF!</v>
      </c>
      <c r="L40" s="113" t="e">
        <f t="shared" si="6"/>
        <v>#REF!</v>
      </c>
      <c r="M40" s="97" t="e">
        <f t="shared" si="7"/>
        <v>#REF!</v>
      </c>
      <c r="N40" s="22" t="e">
        <f t="shared" si="8"/>
        <v>#REF!</v>
      </c>
      <c r="O40" s="22" t="e">
        <f t="shared" si="9"/>
        <v>#REF!</v>
      </c>
      <c r="P40" s="113" t="e">
        <f t="shared" si="10"/>
        <v>#REF!</v>
      </c>
      <c r="Q40" s="97" t="e">
        <f t="shared" si="11"/>
        <v>#REF!</v>
      </c>
      <c r="R40" s="22" t="e">
        <f t="shared" si="12"/>
        <v>#REF!</v>
      </c>
      <c r="S40" s="22" t="e">
        <f t="shared" si="13"/>
        <v>#REF!</v>
      </c>
      <c r="T40" s="113" t="e">
        <f t="shared" si="14"/>
        <v>#REF!</v>
      </c>
      <c r="U40" s="97" t="e">
        <f t="shared" si="15"/>
        <v>#REF!</v>
      </c>
      <c r="V40" s="22" t="e">
        <f t="shared" si="16"/>
        <v>#REF!</v>
      </c>
      <c r="W40" s="22" t="e">
        <f t="shared" si="17"/>
        <v>#REF!</v>
      </c>
      <c r="X40" s="113" t="e">
        <f t="shared" si="18"/>
        <v>#REF!</v>
      </c>
      <c r="Y40" s="97" t="e">
        <f t="shared" si="19"/>
        <v>#REF!</v>
      </c>
      <c r="Z40" s="22" t="e">
        <f t="shared" si="20"/>
        <v>#REF!</v>
      </c>
      <c r="AA40" s="22" t="e">
        <f t="shared" si="21"/>
        <v>#REF!</v>
      </c>
      <c r="AB40" s="113" t="e">
        <f t="shared" si="22"/>
        <v>#REF!</v>
      </c>
      <c r="AC40" s="97" t="e">
        <f t="shared" si="23"/>
        <v>#REF!</v>
      </c>
      <c r="AD40" s="22" t="e">
        <f t="shared" si="24"/>
        <v>#REF!</v>
      </c>
      <c r="AE40" s="22" t="e">
        <f t="shared" si="25"/>
        <v>#REF!</v>
      </c>
      <c r="AF40" s="113" t="e">
        <f t="shared" si="26"/>
        <v>#REF!</v>
      </c>
      <c r="AG40" s="97" t="e">
        <f t="shared" si="27"/>
        <v>#REF!</v>
      </c>
      <c r="AH40" s="22" t="e">
        <f t="shared" si="28"/>
        <v>#REF!</v>
      </c>
      <c r="AI40" s="22" t="e">
        <f t="shared" si="29"/>
        <v>#REF!</v>
      </c>
      <c r="AJ40" s="113" t="e">
        <f t="shared" si="30"/>
        <v>#REF!</v>
      </c>
      <c r="AK40" s="97" t="e">
        <f t="shared" si="31"/>
        <v>#REF!</v>
      </c>
      <c r="AL40" s="22" t="e">
        <f t="shared" si="32"/>
        <v>#REF!</v>
      </c>
      <c r="AM40" s="22" t="e">
        <f t="shared" si="33"/>
        <v>#REF!</v>
      </c>
      <c r="AN40" s="113" t="e">
        <f t="shared" si="34"/>
        <v>#REF!</v>
      </c>
      <c r="AO40" s="97" t="e">
        <f t="shared" si="35"/>
        <v>#REF!</v>
      </c>
      <c r="AP40" s="22" t="e">
        <f t="shared" si="36"/>
        <v>#REF!</v>
      </c>
      <c r="AQ40" s="22" t="e">
        <f t="shared" si="37"/>
        <v>#REF!</v>
      </c>
      <c r="AR40" s="113" t="e">
        <f t="shared" si="38"/>
        <v>#REF!</v>
      </c>
      <c r="AS40" s="97" t="e">
        <f t="shared" si="39"/>
        <v>#REF!</v>
      </c>
      <c r="AT40" s="22" t="e">
        <f t="shared" si="40"/>
        <v>#REF!</v>
      </c>
      <c r="AU40" s="121" t="e">
        <f t="shared" si="41"/>
        <v>#REF!</v>
      </c>
      <c r="AV40" s="122" t="e">
        <f t="shared" si="42"/>
        <v>#REF!</v>
      </c>
      <c r="AW40" s="112"/>
    </row>
    <row r="41" spans="2:49" x14ac:dyDescent="0.25">
      <c r="B41" s="98">
        <f>'הוראת מעבר- הגנה'!B41</f>
        <v>25</v>
      </c>
      <c r="C41" s="98" t="e">
        <f>'הוראת מעבר- הגנה'!C41</f>
        <v>#REF!</v>
      </c>
      <c r="D41" s="53" t="e">
        <f>#REF!</f>
        <v>#REF!</v>
      </c>
      <c r="E41" s="53" t="e">
        <f>IF(#REF!=0,0.00000000001,#REF!)</f>
        <v>#REF!</v>
      </c>
      <c r="F41" s="22" t="e">
        <f t="shared" si="0"/>
        <v>#REF!</v>
      </c>
      <c r="G41" s="22">
        <f t="shared" si="1"/>
        <v>0</v>
      </c>
      <c r="H41" s="113" t="e">
        <f t="shared" si="2"/>
        <v>#REF!</v>
      </c>
      <c r="I41" s="22" t="e">
        <f t="shared" si="3"/>
        <v>#REF!</v>
      </c>
      <c r="J41" s="22" t="e">
        <f t="shared" si="4"/>
        <v>#REF!</v>
      </c>
      <c r="K41" s="22" t="e">
        <f t="shared" si="5"/>
        <v>#REF!</v>
      </c>
      <c r="L41" s="113" t="e">
        <f t="shared" si="6"/>
        <v>#REF!</v>
      </c>
      <c r="M41" s="97" t="e">
        <f t="shared" si="7"/>
        <v>#REF!</v>
      </c>
      <c r="N41" s="22" t="e">
        <f t="shared" si="8"/>
        <v>#REF!</v>
      </c>
      <c r="O41" s="22" t="e">
        <f t="shared" si="9"/>
        <v>#REF!</v>
      </c>
      <c r="P41" s="113" t="e">
        <f t="shared" si="10"/>
        <v>#REF!</v>
      </c>
      <c r="Q41" s="97" t="e">
        <f t="shared" si="11"/>
        <v>#REF!</v>
      </c>
      <c r="R41" s="22" t="e">
        <f t="shared" si="12"/>
        <v>#REF!</v>
      </c>
      <c r="S41" s="22" t="e">
        <f t="shared" si="13"/>
        <v>#REF!</v>
      </c>
      <c r="T41" s="113" t="e">
        <f t="shared" si="14"/>
        <v>#REF!</v>
      </c>
      <c r="U41" s="97" t="e">
        <f t="shared" si="15"/>
        <v>#REF!</v>
      </c>
      <c r="V41" s="22" t="e">
        <f t="shared" si="16"/>
        <v>#REF!</v>
      </c>
      <c r="W41" s="22" t="e">
        <f t="shared" si="17"/>
        <v>#REF!</v>
      </c>
      <c r="X41" s="113" t="e">
        <f t="shared" si="18"/>
        <v>#REF!</v>
      </c>
      <c r="Y41" s="97" t="e">
        <f t="shared" si="19"/>
        <v>#REF!</v>
      </c>
      <c r="Z41" s="22" t="e">
        <f t="shared" si="20"/>
        <v>#REF!</v>
      </c>
      <c r="AA41" s="22" t="e">
        <f t="shared" si="21"/>
        <v>#REF!</v>
      </c>
      <c r="AB41" s="113" t="e">
        <f t="shared" si="22"/>
        <v>#REF!</v>
      </c>
      <c r="AC41" s="97" t="e">
        <f t="shared" si="23"/>
        <v>#REF!</v>
      </c>
      <c r="AD41" s="22" t="e">
        <f t="shared" si="24"/>
        <v>#REF!</v>
      </c>
      <c r="AE41" s="22" t="e">
        <f t="shared" si="25"/>
        <v>#REF!</v>
      </c>
      <c r="AF41" s="113" t="e">
        <f t="shared" si="26"/>
        <v>#REF!</v>
      </c>
      <c r="AG41" s="97" t="e">
        <f t="shared" si="27"/>
        <v>#REF!</v>
      </c>
      <c r="AH41" s="22" t="e">
        <f t="shared" si="28"/>
        <v>#REF!</v>
      </c>
      <c r="AI41" s="22" t="e">
        <f t="shared" si="29"/>
        <v>#REF!</v>
      </c>
      <c r="AJ41" s="113" t="e">
        <f t="shared" si="30"/>
        <v>#REF!</v>
      </c>
      <c r="AK41" s="97" t="e">
        <f t="shared" si="31"/>
        <v>#REF!</v>
      </c>
      <c r="AL41" s="22" t="e">
        <f t="shared" si="32"/>
        <v>#REF!</v>
      </c>
      <c r="AM41" s="22" t="e">
        <f t="shared" si="33"/>
        <v>#REF!</v>
      </c>
      <c r="AN41" s="113" t="e">
        <f t="shared" si="34"/>
        <v>#REF!</v>
      </c>
      <c r="AO41" s="97" t="e">
        <f t="shared" si="35"/>
        <v>#REF!</v>
      </c>
      <c r="AP41" s="22" t="e">
        <f t="shared" si="36"/>
        <v>#REF!</v>
      </c>
      <c r="AQ41" s="22" t="e">
        <f t="shared" si="37"/>
        <v>#REF!</v>
      </c>
      <c r="AR41" s="113" t="e">
        <f t="shared" si="38"/>
        <v>#REF!</v>
      </c>
      <c r="AS41" s="97" t="e">
        <f t="shared" si="39"/>
        <v>#REF!</v>
      </c>
      <c r="AT41" s="22" t="e">
        <f t="shared" si="40"/>
        <v>#REF!</v>
      </c>
      <c r="AU41" s="121" t="e">
        <f t="shared" si="41"/>
        <v>#REF!</v>
      </c>
      <c r="AV41" s="122" t="e">
        <f t="shared" si="42"/>
        <v>#REF!</v>
      </c>
      <c r="AW41" s="112"/>
    </row>
    <row r="42" spans="2:49" x14ac:dyDescent="0.25">
      <c r="B42" s="98">
        <f>'הוראת מעבר- הגנה'!B42</f>
        <v>26</v>
      </c>
      <c r="C42" s="98" t="e">
        <f>'הוראת מעבר- הגנה'!C42</f>
        <v>#REF!</v>
      </c>
      <c r="D42" s="53" t="e">
        <f>#REF!</f>
        <v>#REF!</v>
      </c>
      <c r="E42" s="53" t="e">
        <f>IF(#REF!=0,0.00000000001,#REF!)</f>
        <v>#REF!</v>
      </c>
      <c r="F42" s="22" t="e">
        <f t="shared" si="0"/>
        <v>#REF!</v>
      </c>
      <c r="G42" s="22">
        <f t="shared" si="1"/>
        <v>0</v>
      </c>
      <c r="H42" s="113" t="e">
        <f t="shared" si="2"/>
        <v>#REF!</v>
      </c>
      <c r="I42" s="22" t="e">
        <f t="shared" si="3"/>
        <v>#REF!</v>
      </c>
      <c r="J42" s="22" t="e">
        <f t="shared" si="4"/>
        <v>#REF!</v>
      </c>
      <c r="K42" s="22" t="e">
        <f t="shared" si="5"/>
        <v>#REF!</v>
      </c>
      <c r="L42" s="113" t="e">
        <f t="shared" si="6"/>
        <v>#REF!</v>
      </c>
      <c r="M42" s="97" t="e">
        <f t="shared" si="7"/>
        <v>#REF!</v>
      </c>
      <c r="N42" s="22" t="e">
        <f t="shared" si="8"/>
        <v>#REF!</v>
      </c>
      <c r="O42" s="22" t="e">
        <f t="shared" si="9"/>
        <v>#REF!</v>
      </c>
      <c r="P42" s="113" t="e">
        <f t="shared" si="10"/>
        <v>#REF!</v>
      </c>
      <c r="Q42" s="97" t="e">
        <f t="shared" si="11"/>
        <v>#REF!</v>
      </c>
      <c r="R42" s="22" t="e">
        <f t="shared" si="12"/>
        <v>#REF!</v>
      </c>
      <c r="S42" s="22" t="e">
        <f t="shared" si="13"/>
        <v>#REF!</v>
      </c>
      <c r="T42" s="113" t="e">
        <f t="shared" si="14"/>
        <v>#REF!</v>
      </c>
      <c r="U42" s="97" t="e">
        <f t="shared" si="15"/>
        <v>#REF!</v>
      </c>
      <c r="V42" s="22" t="e">
        <f t="shared" si="16"/>
        <v>#REF!</v>
      </c>
      <c r="W42" s="22" t="e">
        <f t="shared" si="17"/>
        <v>#REF!</v>
      </c>
      <c r="X42" s="113" t="e">
        <f t="shared" si="18"/>
        <v>#REF!</v>
      </c>
      <c r="Y42" s="97" t="e">
        <f t="shared" si="19"/>
        <v>#REF!</v>
      </c>
      <c r="Z42" s="22" t="e">
        <f t="shared" si="20"/>
        <v>#REF!</v>
      </c>
      <c r="AA42" s="22" t="e">
        <f t="shared" si="21"/>
        <v>#REF!</v>
      </c>
      <c r="AB42" s="113" t="e">
        <f t="shared" si="22"/>
        <v>#REF!</v>
      </c>
      <c r="AC42" s="97" t="e">
        <f t="shared" si="23"/>
        <v>#REF!</v>
      </c>
      <c r="AD42" s="22" t="e">
        <f t="shared" si="24"/>
        <v>#REF!</v>
      </c>
      <c r="AE42" s="22" t="e">
        <f t="shared" si="25"/>
        <v>#REF!</v>
      </c>
      <c r="AF42" s="113" t="e">
        <f t="shared" si="26"/>
        <v>#REF!</v>
      </c>
      <c r="AG42" s="97" t="e">
        <f t="shared" si="27"/>
        <v>#REF!</v>
      </c>
      <c r="AH42" s="22" t="e">
        <f t="shared" si="28"/>
        <v>#REF!</v>
      </c>
      <c r="AI42" s="22" t="e">
        <f t="shared" si="29"/>
        <v>#REF!</v>
      </c>
      <c r="AJ42" s="113" t="e">
        <f t="shared" si="30"/>
        <v>#REF!</v>
      </c>
      <c r="AK42" s="97" t="e">
        <f t="shared" si="31"/>
        <v>#REF!</v>
      </c>
      <c r="AL42" s="22" t="e">
        <f t="shared" si="32"/>
        <v>#REF!</v>
      </c>
      <c r="AM42" s="22" t="e">
        <f t="shared" si="33"/>
        <v>#REF!</v>
      </c>
      <c r="AN42" s="113" t="e">
        <f t="shared" si="34"/>
        <v>#REF!</v>
      </c>
      <c r="AO42" s="97" t="e">
        <f t="shared" si="35"/>
        <v>#REF!</v>
      </c>
      <c r="AP42" s="22" t="e">
        <f t="shared" si="36"/>
        <v>#REF!</v>
      </c>
      <c r="AQ42" s="22" t="e">
        <f t="shared" si="37"/>
        <v>#REF!</v>
      </c>
      <c r="AR42" s="113" t="e">
        <f t="shared" si="38"/>
        <v>#REF!</v>
      </c>
      <c r="AS42" s="97" t="e">
        <f t="shared" si="39"/>
        <v>#REF!</v>
      </c>
      <c r="AT42" s="22" t="e">
        <f t="shared" si="40"/>
        <v>#REF!</v>
      </c>
      <c r="AU42" s="121" t="e">
        <f t="shared" si="41"/>
        <v>#REF!</v>
      </c>
      <c r="AV42" s="122" t="e">
        <f t="shared" si="42"/>
        <v>#REF!</v>
      </c>
      <c r="AW42" s="112"/>
    </row>
    <row r="43" spans="2:49" x14ac:dyDescent="0.25">
      <c r="B43" s="98">
        <f>'הוראת מעבר- הגנה'!B43</f>
        <v>27</v>
      </c>
      <c r="C43" s="98" t="e">
        <f>'הוראת מעבר- הגנה'!C43</f>
        <v>#REF!</v>
      </c>
      <c r="D43" s="53" t="e">
        <f>#REF!</f>
        <v>#REF!</v>
      </c>
      <c r="E43" s="53" t="e">
        <f>IF(#REF!=0,0.00000000001,#REF!)</f>
        <v>#REF!</v>
      </c>
      <c r="F43" s="22" t="e">
        <f t="shared" si="0"/>
        <v>#REF!</v>
      </c>
      <c r="G43" s="22">
        <f t="shared" si="1"/>
        <v>0</v>
      </c>
      <c r="H43" s="113" t="e">
        <f t="shared" si="2"/>
        <v>#REF!</v>
      </c>
      <c r="I43" s="22" t="e">
        <f t="shared" si="3"/>
        <v>#REF!</v>
      </c>
      <c r="J43" s="22" t="e">
        <f t="shared" si="4"/>
        <v>#REF!</v>
      </c>
      <c r="K43" s="22" t="e">
        <f t="shared" si="5"/>
        <v>#REF!</v>
      </c>
      <c r="L43" s="113" t="e">
        <f t="shared" si="6"/>
        <v>#REF!</v>
      </c>
      <c r="M43" s="97" t="e">
        <f t="shared" si="7"/>
        <v>#REF!</v>
      </c>
      <c r="N43" s="22" t="e">
        <f t="shared" si="8"/>
        <v>#REF!</v>
      </c>
      <c r="O43" s="22" t="e">
        <f t="shared" si="9"/>
        <v>#REF!</v>
      </c>
      <c r="P43" s="113" t="e">
        <f t="shared" si="10"/>
        <v>#REF!</v>
      </c>
      <c r="Q43" s="97" t="e">
        <f t="shared" si="11"/>
        <v>#REF!</v>
      </c>
      <c r="R43" s="22" t="e">
        <f t="shared" si="12"/>
        <v>#REF!</v>
      </c>
      <c r="S43" s="22" t="e">
        <f t="shared" si="13"/>
        <v>#REF!</v>
      </c>
      <c r="T43" s="113" t="e">
        <f t="shared" si="14"/>
        <v>#REF!</v>
      </c>
      <c r="U43" s="97" t="e">
        <f t="shared" si="15"/>
        <v>#REF!</v>
      </c>
      <c r="V43" s="22" t="e">
        <f t="shared" si="16"/>
        <v>#REF!</v>
      </c>
      <c r="W43" s="22" t="e">
        <f t="shared" si="17"/>
        <v>#REF!</v>
      </c>
      <c r="X43" s="113" t="e">
        <f t="shared" si="18"/>
        <v>#REF!</v>
      </c>
      <c r="Y43" s="97" t="e">
        <f t="shared" si="19"/>
        <v>#REF!</v>
      </c>
      <c r="Z43" s="22" t="e">
        <f t="shared" si="20"/>
        <v>#REF!</v>
      </c>
      <c r="AA43" s="22" t="e">
        <f t="shared" si="21"/>
        <v>#REF!</v>
      </c>
      <c r="AB43" s="113" t="e">
        <f t="shared" si="22"/>
        <v>#REF!</v>
      </c>
      <c r="AC43" s="97" t="e">
        <f t="shared" si="23"/>
        <v>#REF!</v>
      </c>
      <c r="AD43" s="22" t="e">
        <f t="shared" si="24"/>
        <v>#REF!</v>
      </c>
      <c r="AE43" s="22" t="e">
        <f t="shared" si="25"/>
        <v>#REF!</v>
      </c>
      <c r="AF43" s="113" t="e">
        <f t="shared" si="26"/>
        <v>#REF!</v>
      </c>
      <c r="AG43" s="97" t="e">
        <f t="shared" si="27"/>
        <v>#REF!</v>
      </c>
      <c r="AH43" s="22" t="e">
        <f t="shared" si="28"/>
        <v>#REF!</v>
      </c>
      <c r="AI43" s="22" t="e">
        <f t="shared" si="29"/>
        <v>#REF!</v>
      </c>
      <c r="AJ43" s="113" t="e">
        <f t="shared" si="30"/>
        <v>#REF!</v>
      </c>
      <c r="AK43" s="97" t="e">
        <f t="shared" si="31"/>
        <v>#REF!</v>
      </c>
      <c r="AL43" s="22" t="e">
        <f t="shared" si="32"/>
        <v>#REF!</v>
      </c>
      <c r="AM43" s="22" t="e">
        <f t="shared" si="33"/>
        <v>#REF!</v>
      </c>
      <c r="AN43" s="113" t="e">
        <f t="shared" si="34"/>
        <v>#REF!</v>
      </c>
      <c r="AO43" s="97" t="e">
        <f t="shared" si="35"/>
        <v>#REF!</v>
      </c>
      <c r="AP43" s="22" t="e">
        <f t="shared" si="36"/>
        <v>#REF!</v>
      </c>
      <c r="AQ43" s="22" t="e">
        <f t="shared" si="37"/>
        <v>#REF!</v>
      </c>
      <c r="AR43" s="113" t="e">
        <f t="shared" si="38"/>
        <v>#REF!</v>
      </c>
      <c r="AS43" s="97" t="e">
        <f t="shared" si="39"/>
        <v>#REF!</v>
      </c>
      <c r="AT43" s="22" t="e">
        <f t="shared" si="40"/>
        <v>#REF!</v>
      </c>
      <c r="AU43" s="121" t="e">
        <f t="shared" si="41"/>
        <v>#REF!</v>
      </c>
      <c r="AV43" s="122" t="e">
        <f t="shared" si="42"/>
        <v>#REF!</v>
      </c>
      <c r="AW43" s="112"/>
    </row>
    <row r="44" spans="2:49" x14ac:dyDescent="0.25">
      <c r="B44" s="98">
        <f>'הוראת מעבר- הגנה'!B44</f>
        <v>28</v>
      </c>
      <c r="C44" s="98" t="e">
        <f>'הוראת מעבר- הגנה'!C44</f>
        <v>#REF!</v>
      </c>
      <c r="D44" s="53" t="e">
        <f>#REF!</f>
        <v>#REF!</v>
      </c>
      <c r="E44" s="53" t="e">
        <f>IF(#REF!=0,0.00000000001,#REF!)</f>
        <v>#REF!</v>
      </c>
      <c r="F44" s="22" t="e">
        <f t="shared" si="0"/>
        <v>#REF!</v>
      </c>
      <c r="G44" s="22">
        <f t="shared" si="1"/>
        <v>0</v>
      </c>
      <c r="H44" s="113" t="e">
        <f t="shared" si="2"/>
        <v>#REF!</v>
      </c>
      <c r="I44" s="22" t="e">
        <f t="shared" si="3"/>
        <v>#REF!</v>
      </c>
      <c r="J44" s="22" t="e">
        <f t="shared" si="4"/>
        <v>#REF!</v>
      </c>
      <c r="K44" s="22" t="e">
        <f t="shared" si="5"/>
        <v>#REF!</v>
      </c>
      <c r="L44" s="113" t="e">
        <f t="shared" si="6"/>
        <v>#REF!</v>
      </c>
      <c r="M44" s="97" t="e">
        <f t="shared" si="7"/>
        <v>#REF!</v>
      </c>
      <c r="N44" s="22" t="e">
        <f t="shared" si="8"/>
        <v>#REF!</v>
      </c>
      <c r="O44" s="22" t="e">
        <f t="shared" si="9"/>
        <v>#REF!</v>
      </c>
      <c r="P44" s="113" t="e">
        <f t="shared" si="10"/>
        <v>#REF!</v>
      </c>
      <c r="Q44" s="97" t="e">
        <f t="shared" si="11"/>
        <v>#REF!</v>
      </c>
      <c r="R44" s="22" t="e">
        <f t="shared" si="12"/>
        <v>#REF!</v>
      </c>
      <c r="S44" s="22" t="e">
        <f t="shared" si="13"/>
        <v>#REF!</v>
      </c>
      <c r="T44" s="113" t="e">
        <f t="shared" si="14"/>
        <v>#REF!</v>
      </c>
      <c r="U44" s="97" t="e">
        <f t="shared" si="15"/>
        <v>#REF!</v>
      </c>
      <c r="V44" s="22" t="e">
        <f t="shared" si="16"/>
        <v>#REF!</v>
      </c>
      <c r="W44" s="22" t="e">
        <f t="shared" si="17"/>
        <v>#REF!</v>
      </c>
      <c r="X44" s="113" t="e">
        <f t="shared" si="18"/>
        <v>#REF!</v>
      </c>
      <c r="Y44" s="97" t="e">
        <f t="shared" si="19"/>
        <v>#REF!</v>
      </c>
      <c r="Z44" s="22" t="e">
        <f t="shared" si="20"/>
        <v>#REF!</v>
      </c>
      <c r="AA44" s="22" t="e">
        <f t="shared" si="21"/>
        <v>#REF!</v>
      </c>
      <c r="AB44" s="113" t="e">
        <f t="shared" si="22"/>
        <v>#REF!</v>
      </c>
      <c r="AC44" s="97" t="e">
        <f t="shared" si="23"/>
        <v>#REF!</v>
      </c>
      <c r="AD44" s="22" t="e">
        <f t="shared" si="24"/>
        <v>#REF!</v>
      </c>
      <c r="AE44" s="22" t="e">
        <f t="shared" si="25"/>
        <v>#REF!</v>
      </c>
      <c r="AF44" s="113" t="e">
        <f t="shared" si="26"/>
        <v>#REF!</v>
      </c>
      <c r="AG44" s="97" t="e">
        <f t="shared" si="27"/>
        <v>#REF!</v>
      </c>
      <c r="AH44" s="22" t="e">
        <f t="shared" si="28"/>
        <v>#REF!</v>
      </c>
      <c r="AI44" s="22" t="e">
        <f t="shared" si="29"/>
        <v>#REF!</v>
      </c>
      <c r="AJ44" s="113" t="e">
        <f t="shared" si="30"/>
        <v>#REF!</v>
      </c>
      <c r="AK44" s="97" t="e">
        <f t="shared" si="31"/>
        <v>#REF!</v>
      </c>
      <c r="AL44" s="22" t="e">
        <f t="shared" si="32"/>
        <v>#REF!</v>
      </c>
      <c r="AM44" s="22" t="e">
        <f t="shared" si="33"/>
        <v>#REF!</v>
      </c>
      <c r="AN44" s="113" t="e">
        <f t="shared" si="34"/>
        <v>#REF!</v>
      </c>
      <c r="AO44" s="97" t="e">
        <f t="shared" si="35"/>
        <v>#REF!</v>
      </c>
      <c r="AP44" s="22" t="e">
        <f t="shared" si="36"/>
        <v>#REF!</v>
      </c>
      <c r="AQ44" s="22" t="e">
        <f t="shared" si="37"/>
        <v>#REF!</v>
      </c>
      <c r="AR44" s="113" t="e">
        <f t="shared" si="38"/>
        <v>#REF!</v>
      </c>
      <c r="AS44" s="97" t="e">
        <f t="shared" si="39"/>
        <v>#REF!</v>
      </c>
      <c r="AT44" s="22" t="e">
        <f t="shared" si="40"/>
        <v>#REF!</v>
      </c>
      <c r="AU44" s="121" t="e">
        <f t="shared" si="41"/>
        <v>#REF!</v>
      </c>
      <c r="AV44" s="122" t="e">
        <f t="shared" si="42"/>
        <v>#REF!</v>
      </c>
      <c r="AW44" s="112"/>
    </row>
    <row r="45" spans="2:49" x14ac:dyDescent="0.25">
      <c r="B45" s="98">
        <f>'הוראת מעבר- הגנה'!B45</f>
        <v>29</v>
      </c>
      <c r="C45" s="98" t="e">
        <f>'הוראת מעבר- הגנה'!C45</f>
        <v>#REF!</v>
      </c>
      <c r="D45" s="53" t="e">
        <f>#REF!</f>
        <v>#REF!</v>
      </c>
      <c r="E45" s="53" t="e">
        <f>IF(#REF!=0,0.00000000001,#REF!)</f>
        <v>#REF!</v>
      </c>
      <c r="F45" s="22" t="e">
        <f t="shared" si="0"/>
        <v>#REF!</v>
      </c>
      <c r="G45" s="22">
        <f t="shared" si="1"/>
        <v>0</v>
      </c>
      <c r="H45" s="113" t="e">
        <f t="shared" si="2"/>
        <v>#REF!</v>
      </c>
      <c r="I45" s="22" t="e">
        <f t="shared" si="3"/>
        <v>#REF!</v>
      </c>
      <c r="J45" s="22" t="e">
        <f t="shared" si="4"/>
        <v>#REF!</v>
      </c>
      <c r="K45" s="22" t="e">
        <f t="shared" si="5"/>
        <v>#REF!</v>
      </c>
      <c r="L45" s="113" t="e">
        <f t="shared" si="6"/>
        <v>#REF!</v>
      </c>
      <c r="M45" s="97" t="e">
        <f t="shared" si="7"/>
        <v>#REF!</v>
      </c>
      <c r="N45" s="22" t="e">
        <f t="shared" si="8"/>
        <v>#REF!</v>
      </c>
      <c r="O45" s="22" t="e">
        <f t="shared" si="9"/>
        <v>#REF!</v>
      </c>
      <c r="P45" s="113" t="e">
        <f t="shared" si="10"/>
        <v>#REF!</v>
      </c>
      <c r="Q45" s="97" t="e">
        <f t="shared" si="11"/>
        <v>#REF!</v>
      </c>
      <c r="R45" s="22" t="e">
        <f t="shared" si="12"/>
        <v>#REF!</v>
      </c>
      <c r="S45" s="22" t="e">
        <f t="shared" si="13"/>
        <v>#REF!</v>
      </c>
      <c r="T45" s="113" t="e">
        <f t="shared" si="14"/>
        <v>#REF!</v>
      </c>
      <c r="U45" s="97" t="e">
        <f t="shared" si="15"/>
        <v>#REF!</v>
      </c>
      <c r="V45" s="22" t="e">
        <f t="shared" si="16"/>
        <v>#REF!</v>
      </c>
      <c r="W45" s="22" t="e">
        <f t="shared" si="17"/>
        <v>#REF!</v>
      </c>
      <c r="X45" s="113" t="e">
        <f t="shared" si="18"/>
        <v>#REF!</v>
      </c>
      <c r="Y45" s="97" t="e">
        <f t="shared" si="19"/>
        <v>#REF!</v>
      </c>
      <c r="Z45" s="22" t="e">
        <f t="shared" si="20"/>
        <v>#REF!</v>
      </c>
      <c r="AA45" s="22" t="e">
        <f t="shared" si="21"/>
        <v>#REF!</v>
      </c>
      <c r="AB45" s="113" t="e">
        <f t="shared" si="22"/>
        <v>#REF!</v>
      </c>
      <c r="AC45" s="97" t="e">
        <f t="shared" si="23"/>
        <v>#REF!</v>
      </c>
      <c r="AD45" s="22" t="e">
        <f t="shared" si="24"/>
        <v>#REF!</v>
      </c>
      <c r="AE45" s="22" t="e">
        <f t="shared" si="25"/>
        <v>#REF!</v>
      </c>
      <c r="AF45" s="113" t="e">
        <f t="shared" si="26"/>
        <v>#REF!</v>
      </c>
      <c r="AG45" s="97" t="e">
        <f t="shared" si="27"/>
        <v>#REF!</v>
      </c>
      <c r="AH45" s="22" t="e">
        <f t="shared" si="28"/>
        <v>#REF!</v>
      </c>
      <c r="AI45" s="22" t="e">
        <f t="shared" si="29"/>
        <v>#REF!</v>
      </c>
      <c r="AJ45" s="113" t="e">
        <f t="shared" si="30"/>
        <v>#REF!</v>
      </c>
      <c r="AK45" s="97" t="e">
        <f t="shared" si="31"/>
        <v>#REF!</v>
      </c>
      <c r="AL45" s="22" t="e">
        <f t="shared" si="32"/>
        <v>#REF!</v>
      </c>
      <c r="AM45" s="22" t="e">
        <f t="shared" si="33"/>
        <v>#REF!</v>
      </c>
      <c r="AN45" s="113" t="e">
        <f t="shared" si="34"/>
        <v>#REF!</v>
      </c>
      <c r="AO45" s="97" t="e">
        <f t="shared" si="35"/>
        <v>#REF!</v>
      </c>
      <c r="AP45" s="22" t="e">
        <f t="shared" si="36"/>
        <v>#REF!</v>
      </c>
      <c r="AQ45" s="22" t="e">
        <f t="shared" si="37"/>
        <v>#REF!</v>
      </c>
      <c r="AR45" s="113" t="e">
        <f t="shared" si="38"/>
        <v>#REF!</v>
      </c>
      <c r="AS45" s="97" t="e">
        <f t="shared" si="39"/>
        <v>#REF!</v>
      </c>
      <c r="AT45" s="22" t="e">
        <f t="shared" si="40"/>
        <v>#REF!</v>
      </c>
      <c r="AU45" s="121" t="e">
        <f t="shared" si="41"/>
        <v>#REF!</v>
      </c>
      <c r="AV45" s="122" t="e">
        <f t="shared" si="42"/>
        <v>#REF!</v>
      </c>
      <c r="AW45" s="112"/>
    </row>
    <row r="46" spans="2:49" x14ac:dyDescent="0.25">
      <c r="B46" s="98">
        <f>'הוראת מעבר- הגנה'!B46</f>
        <v>30</v>
      </c>
      <c r="C46" s="98" t="e">
        <f>'הוראת מעבר- הגנה'!C46</f>
        <v>#REF!</v>
      </c>
      <c r="D46" s="53" t="e">
        <f>#REF!</f>
        <v>#REF!</v>
      </c>
      <c r="E46" s="53" t="e">
        <f>IF(#REF!=0,0.00000000001,#REF!)</f>
        <v>#REF!</v>
      </c>
      <c r="F46" s="22" t="e">
        <f t="shared" si="0"/>
        <v>#REF!</v>
      </c>
      <c r="G46" s="22">
        <f t="shared" si="1"/>
        <v>0</v>
      </c>
      <c r="H46" s="113" t="e">
        <f t="shared" si="2"/>
        <v>#REF!</v>
      </c>
      <c r="I46" s="22" t="e">
        <f t="shared" si="3"/>
        <v>#REF!</v>
      </c>
      <c r="J46" s="22" t="e">
        <f t="shared" si="4"/>
        <v>#REF!</v>
      </c>
      <c r="K46" s="22" t="e">
        <f t="shared" si="5"/>
        <v>#REF!</v>
      </c>
      <c r="L46" s="113" t="e">
        <f t="shared" si="6"/>
        <v>#REF!</v>
      </c>
      <c r="M46" s="97" t="e">
        <f t="shared" si="7"/>
        <v>#REF!</v>
      </c>
      <c r="N46" s="22" t="e">
        <f t="shared" si="8"/>
        <v>#REF!</v>
      </c>
      <c r="O46" s="22" t="e">
        <f t="shared" si="9"/>
        <v>#REF!</v>
      </c>
      <c r="P46" s="113" t="e">
        <f t="shared" si="10"/>
        <v>#REF!</v>
      </c>
      <c r="Q46" s="97" t="e">
        <f t="shared" si="11"/>
        <v>#REF!</v>
      </c>
      <c r="R46" s="22" t="e">
        <f t="shared" si="12"/>
        <v>#REF!</v>
      </c>
      <c r="S46" s="22" t="e">
        <f t="shared" si="13"/>
        <v>#REF!</v>
      </c>
      <c r="T46" s="113" t="e">
        <f t="shared" si="14"/>
        <v>#REF!</v>
      </c>
      <c r="U46" s="97" t="e">
        <f t="shared" si="15"/>
        <v>#REF!</v>
      </c>
      <c r="V46" s="22" t="e">
        <f t="shared" si="16"/>
        <v>#REF!</v>
      </c>
      <c r="W46" s="22" t="e">
        <f t="shared" si="17"/>
        <v>#REF!</v>
      </c>
      <c r="X46" s="113" t="e">
        <f t="shared" si="18"/>
        <v>#REF!</v>
      </c>
      <c r="Y46" s="97" t="e">
        <f t="shared" si="19"/>
        <v>#REF!</v>
      </c>
      <c r="Z46" s="22" t="e">
        <f t="shared" si="20"/>
        <v>#REF!</v>
      </c>
      <c r="AA46" s="22" t="e">
        <f t="shared" si="21"/>
        <v>#REF!</v>
      </c>
      <c r="AB46" s="113" t="e">
        <f t="shared" si="22"/>
        <v>#REF!</v>
      </c>
      <c r="AC46" s="97" t="e">
        <f t="shared" si="23"/>
        <v>#REF!</v>
      </c>
      <c r="AD46" s="22" t="e">
        <f t="shared" si="24"/>
        <v>#REF!</v>
      </c>
      <c r="AE46" s="22" t="e">
        <f t="shared" si="25"/>
        <v>#REF!</v>
      </c>
      <c r="AF46" s="113" t="e">
        <f t="shared" si="26"/>
        <v>#REF!</v>
      </c>
      <c r="AG46" s="97" t="e">
        <f t="shared" si="27"/>
        <v>#REF!</v>
      </c>
      <c r="AH46" s="22" t="e">
        <f t="shared" si="28"/>
        <v>#REF!</v>
      </c>
      <c r="AI46" s="22" t="e">
        <f t="shared" si="29"/>
        <v>#REF!</v>
      </c>
      <c r="AJ46" s="113" t="e">
        <f t="shared" si="30"/>
        <v>#REF!</v>
      </c>
      <c r="AK46" s="97" t="e">
        <f t="shared" si="31"/>
        <v>#REF!</v>
      </c>
      <c r="AL46" s="22" t="e">
        <f t="shared" si="32"/>
        <v>#REF!</v>
      </c>
      <c r="AM46" s="22" t="e">
        <f t="shared" si="33"/>
        <v>#REF!</v>
      </c>
      <c r="AN46" s="113" t="e">
        <f t="shared" si="34"/>
        <v>#REF!</v>
      </c>
      <c r="AO46" s="97" t="e">
        <f t="shared" si="35"/>
        <v>#REF!</v>
      </c>
      <c r="AP46" s="22" t="e">
        <f t="shared" si="36"/>
        <v>#REF!</v>
      </c>
      <c r="AQ46" s="22" t="e">
        <f t="shared" si="37"/>
        <v>#REF!</v>
      </c>
      <c r="AR46" s="113" t="e">
        <f t="shared" si="38"/>
        <v>#REF!</v>
      </c>
      <c r="AS46" s="97" t="e">
        <f t="shared" si="39"/>
        <v>#REF!</v>
      </c>
      <c r="AT46" s="22" t="e">
        <f t="shared" si="40"/>
        <v>#REF!</v>
      </c>
      <c r="AU46" s="121" t="e">
        <f t="shared" si="41"/>
        <v>#REF!</v>
      </c>
      <c r="AV46" s="122" t="e">
        <f t="shared" si="42"/>
        <v>#REF!</v>
      </c>
      <c r="AW46" s="112"/>
    </row>
    <row r="47" spans="2:49" x14ac:dyDescent="0.25">
      <c r="B47" s="98">
        <f>'הוראת מעבר- הגנה'!B47</f>
        <v>31</v>
      </c>
      <c r="C47" s="98" t="e">
        <f>'הוראת מעבר- הגנה'!C47</f>
        <v>#REF!</v>
      </c>
      <c r="D47" s="53" t="e">
        <f>#REF!</f>
        <v>#REF!</v>
      </c>
      <c r="E47" s="53" t="e">
        <f>IF(#REF!=0,0.00000000001,#REF!)</f>
        <v>#REF!</v>
      </c>
      <c r="F47" s="22" t="e">
        <f t="shared" si="0"/>
        <v>#REF!</v>
      </c>
      <c r="G47" s="22">
        <f t="shared" si="1"/>
        <v>0</v>
      </c>
      <c r="H47" s="113" t="e">
        <f t="shared" si="2"/>
        <v>#REF!</v>
      </c>
      <c r="I47" s="22" t="e">
        <f t="shared" si="3"/>
        <v>#REF!</v>
      </c>
      <c r="J47" s="22" t="e">
        <f t="shared" si="4"/>
        <v>#REF!</v>
      </c>
      <c r="K47" s="22" t="e">
        <f t="shared" si="5"/>
        <v>#REF!</v>
      </c>
      <c r="L47" s="113" t="e">
        <f t="shared" si="6"/>
        <v>#REF!</v>
      </c>
      <c r="M47" s="97" t="e">
        <f t="shared" si="7"/>
        <v>#REF!</v>
      </c>
      <c r="N47" s="22" t="e">
        <f t="shared" si="8"/>
        <v>#REF!</v>
      </c>
      <c r="O47" s="22" t="e">
        <f t="shared" si="9"/>
        <v>#REF!</v>
      </c>
      <c r="P47" s="113" t="e">
        <f t="shared" si="10"/>
        <v>#REF!</v>
      </c>
      <c r="Q47" s="97" t="e">
        <f t="shared" si="11"/>
        <v>#REF!</v>
      </c>
      <c r="R47" s="22" t="e">
        <f t="shared" si="12"/>
        <v>#REF!</v>
      </c>
      <c r="S47" s="22" t="e">
        <f t="shared" si="13"/>
        <v>#REF!</v>
      </c>
      <c r="T47" s="113" t="e">
        <f t="shared" si="14"/>
        <v>#REF!</v>
      </c>
      <c r="U47" s="97" t="e">
        <f t="shared" si="15"/>
        <v>#REF!</v>
      </c>
      <c r="V47" s="22" t="e">
        <f t="shared" si="16"/>
        <v>#REF!</v>
      </c>
      <c r="W47" s="22" t="e">
        <f t="shared" si="17"/>
        <v>#REF!</v>
      </c>
      <c r="X47" s="113" t="e">
        <f t="shared" si="18"/>
        <v>#REF!</v>
      </c>
      <c r="Y47" s="97" t="e">
        <f t="shared" si="19"/>
        <v>#REF!</v>
      </c>
      <c r="Z47" s="22" t="e">
        <f t="shared" si="20"/>
        <v>#REF!</v>
      </c>
      <c r="AA47" s="22" t="e">
        <f t="shared" si="21"/>
        <v>#REF!</v>
      </c>
      <c r="AB47" s="113" t="e">
        <f t="shared" si="22"/>
        <v>#REF!</v>
      </c>
      <c r="AC47" s="97" t="e">
        <f t="shared" si="23"/>
        <v>#REF!</v>
      </c>
      <c r="AD47" s="22" t="e">
        <f t="shared" si="24"/>
        <v>#REF!</v>
      </c>
      <c r="AE47" s="22" t="e">
        <f t="shared" si="25"/>
        <v>#REF!</v>
      </c>
      <c r="AF47" s="113" t="e">
        <f t="shared" si="26"/>
        <v>#REF!</v>
      </c>
      <c r="AG47" s="97" t="e">
        <f t="shared" si="27"/>
        <v>#REF!</v>
      </c>
      <c r="AH47" s="22" t="e">
        <f t="shared" si="28"/>
        <v>#REF!</v>
      </c>
      <c r="AI47" s="22" t="e">
        <f t="shared" si="29"/>
        <v>#REF!</v>
      </c>
      <c r="AJ47" s="113" t="e">
        <f t="shared" si="30"/>
        <v>#REF!</v>
      </c>
      <c r="AK47" s="97" t="e">
        <f t="shared" si="31"/>
        <v>#REF!</v>
      </c>
      <c r="AL47" s="22" t="e">
        <f t="shared" si="32"/>
        <v>#REF!</v>
      </c>
      <c r="AM47" s="22" t="e">
        <f t="shared" si="33"/>
        <v>#REF!</v>
      </c>
      <c r="AN47" s="113" t="e">
        <f t="shared" si="34"/>
        <v>#REF!</v>
      </c>
      <c r="AO47" s="97" t="e">
        <f t="shared" si="35"/>
        <v>#REF!</v>
      </c>
      <c r="AP47" s="22" t="e">
        <f t="shared" si="36"/>
        <v>#REF!</v>
      </c>
      <c r="AQ47" s="22" t="e">
        <f t="shared" si="37"/>
        <v>#REF!</v>
      </c>
      <c r="AR47" s="113" t="e">
        <f t="shared" si="38"/>
        <v>#REF!</v>
      </c>
      <c r="AS47" s="97" t="e">
        <f t="shared" si="39"/>
        <v>#REF!</v>
      </c>
      <c r="AT47" s="22" t="e">
        <f t="shared" si="40"/>
        <v>#REF!</v>
      </c>
      <c r="AU47" s="121" t="e">
        <f t="shared" si="41"/>
        <v>#REF!</v>
      </c>
      <c r="AV47" s="122" t="e">
        <f t="shared" si="42"/>
        <v>#REF!</v>
      </c>
      <c r="AW47" s="112"/>
    </row>
    <row r="48" spans="2:49" x14ac:dyDescent="0.25">
      <c r="B48" s="98">
        <f>'הוראת מעבר- הגנה'!B48</f>
        <v>32</v>
      </c>
      <c r="C48" s="98" t="e">
        <f>'הוראת מעבר- הגנה'!C48</f>
        <v>#REF!</v>
      </c>
      <c r="D48" s="53" t="e">
        <f>#REF!</f>
        <v>#REF!</v>
      </c>
      <c r="E48" s="53" t="e">
        <f>IF(#REF!=0,0.00000000001,#REF!)</f>
        <v>#REF!</v>
      </c>
      <c r="F48" s="22" t="e">
        <f t="shared" si="0"/>
        <v>#REF!</v>
      </c>
      <c r="G48" s="22">
        <f t="shared" si="1"/>
        <v>0</v>
      </c>
      <c r="H48" s="113" t="e">
        <f t="shared" si="2"/>
        <v>#REF!</v>
      </c>
      <c r="I48" s="22" t="e">
        <f t="shared" si="3"/>
        <v>#REF!</v>
      </c>
      <c r="J48" s="22" t="e">
        <f t="shared" si="4"/>
        <v>#REF!</v>
      </c>
      <c r="K48" s="22" t="e">
        <f t="shared" si="5"/>
        <v>#REF!</v>
      </c>
      <c r="L48" s="113" t="e">
        <f t="shared" si="6"/>
        <v>#REF!</v>
      </c>
      <c r="M48" s="97" t="e">
        <f t="shared" si="7"/>
        <v>#REF!</v>
      </c>
      <c r="N48" s="22" t="e">
        <f t="shared" si="8"/>
        <v>#REF!</v>
      </c>
      <c r="O48" s="22" t="e">
        <f t="shared" si="9"/>
        <v>#REF!</v>
      </c>
      <c r="P48" s="113" t="e">
        <f t="shared" si="10"/>
        <v>#REF!</v>
      </c>
      <c r="Q48" s="97" t="e">
        <f t="shared" si="11"/>
        <v>#REF!</v>
      </c>
      <c r="R48" s="22" t="e">
        <f t="shared" si="12"/>
        <v>#REF!</v>
      </c>
      <c r="S48" s="22" t="e">
        <f t="shared" si="13"/>
        <v>#REF!</v>
      </c>
      <c r="T48" s="113" t="e">
        <f t="shared" si="14"/>
        <v>#REF!</v>
      </c>
      <c r="U48" s="97" t="e">
        <f t="shared" si="15"/>
        <v>#REF!</v>
      </c>
      <c r="V48" s="22" t="e">
        <f t="shared" si="16"/>
        <v>#REF!</v>
      </c>
      <c r="W48" s="22" t="e">
        <f t="shared" si="17"/>
        <v>#REF!</v>
      </c>
      <c r="X48" s="113" t="e">
        <f t="shared" si="18"/>
        <v>#REF!</v>
      </c>
      <c r="Y48" s="97" t="e">
        <f t="shared" si="19"/>
        <v>#REF!</v>
      </c>
      <c r="Z48" s="22" t="e">
        <f t="shared" si="20"/>
        <v>#REF!</v>
      </c>
      <c r="AA48" s="22" t="e">
        <f t="shared" si="21"/>
        <v>#REF!</v>
      </c>
      <c r="AB48" s="113" t="e">
        <f t="shared" si="22"/>
        <v>#REF!</v>
      </c>
      <c r="AC48" s="97" t="e">
        <f t="shared" si="23"/>
        <v>#REF!</v>
      </c>
      <c r="AD48" s="22" t="e">
        <f t="shared" si="24"/>
        <v>#REF!</v>
      </c>
      <c r="AE48" s="22" t="e">
        <f t="shared" si="25"/>
        <v>#REF!</v>
      </c>
      <c r="AF48" s="113" t="e">
        <f t="shared" si="26"/>
        <v>#REF!</v>
      </c>
      <c r="AG48" s="97" t="e">
        <f t="shared" si="27"/>
        <v>#REF!</v>
      </c>
      <c r="AH48" s="22" t="e">
        <f t="shared" si="28"/>
        <v>#REF!</v>
      </c>
      <c r="AI48" s="22" t="e">
        <f t="shared" si="29"/>
        <v>#REF!</v>
      </c>
      <c r="AJ48" s="113" t="e">
        <f t="shared" si="30"/>
        <v>#REF!</v>
      </c>
      <c r="AK48" s="97" t="e">
        <f t="shared" si="31"/>
        <v>#REF!</v>
      </c>
      <c r="AL48" s="22" t="e">
        <f t="shared" si="32"/>
        <v>#REF!</v>
      </c>
      <c r="AM48" s="22" t="e">
        <f t="shared" si="33"/>
        <v>#REF!</v>
      </c>
      <c r="AN48" s="113" t="e">
        <f t="shared" si="34"/>
        <v>#REF!</v>
      </c>
      <c r="AO48" s="97" t="e">
        <f t="shared" si="35"/>
        <v>#REF!</v>
      </c>
      <c r="AP48" s="22" t="e">
        <f t="shared" si="36"/>
        <v>#REF!</v>
      </c>
      <c r="AQ48" s="22" t="e">
        <f t="shared" si="37"/>
        <v>#REF!</v>
      </c>
      <c r="AR48" s="113" t="e">
        <f t="shared" si="38"/>
        <v>#REF!</v>
      </c>
      <c r="AS48" s="97" t="e">
        <f t="shared" si="39"/>
        <v>#REF!</v>
      </c>
      <c r="AT48" s="22" t="e">
        <f t="shared" si="40"/>
        <v>#REF!</v>
      </c>
      <c r="AU48" s="121" t="e">
        <f t="shared" si="41"/>
        <v>#REF!</v>
      </c>
      <c r="AV48" s="122" t="e">
        <f t="shared" si="42"/>
        <v>#REF!</v>
      </c>
      <c r="AW48" s="112"/>
    </row>
    <row r="49" spans="2:49" x14ac:dyDescent="0.25">
      <c r="B49" s="98">
        <f>'הוראת מעבר- הגנה'!B49</f>
        <v>33</v>
      </c>
      <c r="C49" s="98" t="e">
        <f>'הוראת מעבר- הגנה'!C49</f>
        <v>#REF!</v>
      </c>
      <c r="D49" s="53" t="e">
        <f>#REF!</f>
        <v>#REF!</v>
      </c>
      <c r="E49" s="53" t="e">
        <f>IF(#REF!=0,0.00000000001,#REF!)</f>
        <v>#REF!</v>
      </c>
      <c r="F49" s="22" t="e">
        <f t="shared" si="0"/>
        <v>#REF!</v>
      </c>
      <c r="G49" s="22">
        <f t="shared" si="1"/>
        <v>0</v>
      </c>
      <c r="H49" s="113" t="e">
        <f t="shared" si="2"/>
        <v>#REF!</v>
      </c>
      <c r="I49" s="22" t="e">
        <f t="shared" si="3"/>
        <v>#REF!</v>
      </c>
      <c r="J49" s="22" t="e">
        <f t="shared" si="4"/>
        <v>#REF!</v>
      </c>
      <c r="K49" s="22" t="e">
        <f t="shared" si="5"/>
        <v>#REF!</v>
      </c>
      <c r="L49" s="113" t="e">
        <f t="shared" si="6"/>
        <v>#REF!</v>
      </c>
      <c r="M49" s="97" t="e">
        <f t="shared" si="7"/>
        <v>#REF!</v>
      </c>
      <c r="N49" s="22" t="e">
        <f t="shared" si="8"/>
        <v>#REF!</v>
      </c>
      <c r="O49" s="22" t="e">
        <f t="shared" si="9"/>
        <v>#REF!</v>
      </c>
      <c r="P49" s="113" t="e">
        <f t="shared" si="10"/>
        <v>#REF!</v>
      </c>
      <c r="Q49" s="97" t="e">
        <f t="shared" si="11"/>
        <v>#REF!</v>
      </c>
      <c r="R49" s="22" t="e">
        <f t="shared" si="12"/>
        <v>#REF!</v>
      </c>
      <c r="S49" s="22" t="e">
        <f t="shared" si="13"/>
        <v>#REF!</v>
      </c>
      <c r="T49" s="113" t="e">
        <f t="shared" si="14"/>
        <v>#REF!</v>
      </c>
      <c r="U49" s="97" t="e">
        <f t="shared" si="15"/>
        <v>#REF!</v>
      </c>
      <c r="V49" s="22" t="e">
        <f t="shared" si="16"/>
        <v>#REF!</v>
      </c>
      <c r="W49" s="22" t="e">
        <f t="shared" si="17"/>
        <v>#REF!</v>
      </c>
      <c r="X49" s="113" t="e">
        <f t="shared" si="18"/>
        <v>#REF!</v>
      </c>
      <c r="Y49" s="97" t="e">
        <f t="shared" si="19"/>
        <v>#REF!</v>
      </c>
      <c r="Z49" s="22" t="e">
        <f t="shared" si="20"/>
        <v>#REF!</v>
      </c>
      <c r="AA49" s="22" t="e">
        <f t="shared" si="21"/>
        <v>#REF!</v>
      </c>
      <c r="AB49" s="113" t="e">
        <f t="shared" si="22"/>
        <v>#REF!</v>
      </c>
      <c r="AC49" s="97" t="e">
        <f t="shared" si="23"/>
        <v>#REF!</v>
      </c>
      <c r="AD49" s="22" t="e">
        <f t="shared" si="24"/>
        <v>#REF!</v>
      </c>
      <c r="AE49" s="22" t="e">
        <f t="shared" si="25"/>
        <v>#REF!</v>
      </c>
      <c r="AF49" s="113" t="e">
        <f t="shared" si="26"/>
        <v>#REF!</v>
      </c>
      <c r="AG49" s="97" t="e">
        <f t="shared" si="27"/>
        <v>#REF!</v>
      </c>
      <c r="AH49" s="22" t="e">
        <f t="shared" si="28"/>
        <v>#REF!</v>
      </c>
      <c r="AI49" s="22" t="e">
        <f t="shared" si="29"/>
        <v>#REF!</v>
      </c>
      <c r="AJ49" s="113" t="e">
        <f t="shared" si="30"/>
        <v>#REF!</v>
      </c>
      <c r="AK49" s="97" t="e">
        <f t="shared" si="31"/>
        <v>#REF!</v>
      </c>
      <c r="AL49" s="22" t="e">
        <f t="shared" si="32"/>
        <v>#REF!</v>
      </c>
      <c r="AM49" s="22" t="e">
        <f t="shared" si="33"/>
        <v>#REF!</v>
      </c>
      <c r="AN49" s="113" t="e">
        <f t="shared" si="34"/>
        <v>#REF!</v>
      </c>
      <c r="AO49" s="97" t="e">
        <f t="shared" si="35"/>
        <v>#REF!</v>
      </c>
      <c r="AP49" s="22" t="e">
        <f t="shared" si="36"/>
        <v>#REF!</v>
      </c>
      <c r="AQ49" s="22" t="e">
        <f t="shared" si="37"/>
        <v>#REF!</v>
      </c>
      <c r="AR49" s="113" t="e">
        <f t="shared" si="38"/>
        <v>#REF!</v>
      </c>
      <c r="AS49" s="97" t="e">
        <f t="shared" si="39"/>
        <v>#REF!</v>
      </c>
      <c r="AT49" s="22" t="e">
        <f t="shared" si="40"/>
        <v>#REF!</v>
      </c>
      <c r="AU49" s="121" t="e">
        <f t="shared" si="41"/>
        <v>#REF!</v>
      </c>
      <c r="AV49" s="122" t="e">
        <f t="shared" si="42"/>
        <v>#REF!</v>
      </c>
      <c r="AW49" s="112"/>
    </row>
    <row r="50" spans="2:49" x14ac:dyDescent="0.25">
      <c r="B50" s="98">
        <f>'הוראת מעבר- הגנה'!B50</f>
        <v>34</v>
      </c>
      <c r="C50" s="98" t="e">
        <f>'הוראת מעבר- הגנה'!C50</f>
        <v>#REF!</v>
      </c>
      <c r="D50" s="53" t="e">
        <f>#REF!</f>
        <v>#REF!</v>
      </c>
      <c r="E50" s="53" t="e">
        <f>IF(#REF!=0,0.00000000001,#REF!)</f>
        <v>#REF!</v>
      </c>
      <c r="F50" s="22" t="e">
        <f t="shared" si="0"/>
        <v>#REF!</v>
      </c>
      <c r="G50" s="22">
        <f t="shared" si="1"/>
        <v>0</v>
      </c>
      <c r="H50" s="113" t="e">
        <f t="shared" si="2"/>
        <v>#REF!</v>
      </c>
      <c r="I50" s="22" t="e">
        <f t="shared" si="3"/>
        <v>#REF!</v>
      </c>
      <c r="J50" s="22" t="e">
        <f t="shared" si="4"/>
        <v>#REF!</v>
      </c>
      <c r="K50" s="22" t="e">
        <f t="shared" si="5"/>
        <v>#REF!</v>
      </c>
      <c r="L50" s="113" t="e">
        <f t="shared" si="6"/>
        <v>#REF!</v>
      </c>
      <c r="M50" s="97" t="e">
        <f t="shared" si="7"/>
        <v>#REF!</v>
      </c>
      <c r="N50" s="22" t="e">
        <f t="shared" si="8"/>
        <v>#REF!</v>
      </c>
      <c r="O50" s="22" t="e">
        <f t="shared" si="9"/>
        <v>#REF!</v>
      </c>
      <c r="P50" s="113" t="e">
        <f t="shared" si="10"/>
        <v>#REF!</v>
      </c>
      <c r="Q50" s="97" t="e">
        <f t="shared" si="11"/>
        <v>#REF!</v>
      </c>
      <c r="R50" s="22" t="e">
        <f t="shared" si="12"/>
        <v>#REF!</v>
      </c>
      <c r="S50" s="22" t="e">
        <f t="shared" si="13"/>
        <v>#REF!</v>
      </c>
      <c r="T50" s="113" t="e">
        <f t="shared" si="14"/>
        <v>#REF!</v>
      </c>
      <c r="U50" s="97" t="e">
        <f t="shared" si="15"/>
        <v>#REF!</v>
      </c>
      <c r="V50" s="22" t="e">
        <f t="shared" si="16"/>
        <v>#REF!</v>
      </c>
      <c r="W50" s="22" t="e">
        <f t="shared" si="17"/>
        <v>#REF!</v>
      </c>
      <c r="X50" s="113" t="e">
        <f t="shared" si="18"/>
        <v>#REF!</v>
      </c>
      <c r="Y50" s="97" t="e">
        <f t="shared" si="19"/>
        <v>#REF!</v>
      </c>
      <c r="Z50" s="22" t="e">
        <f t="shared" si="20"/>
        <v>#REF!</v>
      </c>
      <c r="AA50" s="22" t="e">
        <f t="shared" si="21"/>
        <v>#REF!</v>
      </c>
      <c r="AB50" s="113" t="e">
        <f t="shared" si="22"/>
        <v>#REF!</v>
      </c>
      <c r="AC50" s="97" t="e">
        <f t="shared" si="23"/>
        <v>#REF!</v>
      </c>
      <c r="AD50" s="22" t="e">
        <f t="shared" si="24"/>
        <v>#REF!</v>
      </c>
      <c r="AE50" s="22" t="e">
        <f t="shared" si="25"/>
        <v>#REF!</v>
      </c>
      <c r="AF50" s="113" t="e">
        <f t="shared" si="26"/>
        <v>#REF!</v>
      </c>
      <c r="AG50" s="97" t="e">
        <f t="shared" si="27"/>
        <v>#REF!</v>
      </c>
      <c r="AH50" s="22" t="e">
        <f t="shared" si="28"/>
        <v>#REF!</v>
      </c>
      <c r="AI50" s="22" t="e">
        <f t="shared" si="29"/>
        <v>#REF!</v>
      </c>
      <c r="AJ50" s="113" t="e">
        <f t="shared" si="30"/>
        <v>#REF!</v>
      </c>
      <c r="AK50" s="97" t="e">
        <f t="shared" si="31"/>
        <v>#REF!</v>
      </c>
      <c r="AL50" s="22" t="e">
        <f t="shared" si="32"/>
        <v>#REF!</v>
      </c>
      <c r="AM50" s="22" t="e">
        <f t="shared" si="33"/>
        <v>#REF!</v>
      </c>
      <c r="AN50" s="113" t="e">
        <f t="shared" si="34"/>
        <v>#REF!</v>
      </c>
      <c r="AO50" s="97" t="e">
        <f t="shared" si="35"/>
        <v>#REF!</v>
      </c>
      <c r="AP50" s="22" t="e">
        <f t="shared" si="36"/>
        <v>#REF!</v>
      </c>
      <c r="AQ50" s="22" t="e">
        <f t="shared" si="37"/>
        <v>#REF!</v>
      </c>
      <c r="AR50" s="113" t="e">
        <f t="shared" si="38"/>
        <v>#REF!</v>
      </c>
      <c r="AS50" s="97" t="e">
        <f t="shared" si="39"/>
        <v>#REF!</v>
      </c>
      <c r="AT50" s="22" t="e">
        <f t="shared" si="40"/>
        <v>#REF!</v>
      </c>
      <c r="AU50" s="121" t="e">
        <f t="shared" si="41"/>
        <v>#REF!</v>
      </c>
      <c r="AV50" s="122" t="e">
        <f t="shared" si="42"/>
        <v>#REF!</v>
      </c>
      <c r="AW50" s="112"/>
    </row>
    <row r="51" spans="2:49" x14ac:dyDescent="0.25">
      <c r="B51" s="98">
        <f>'הוראת מעבר- הגנה'!B51</f>
        <v>35</v>
      </c>
      <c r="C51" s="98" t="e">
        <f>'הוראת מעבר- הגנה'!C51</f>
        <v>#REF!</v>
      </c>
      <c r="D51" s="53" t="e">
        <f>#REF!</f>
        <v>#REF!</v>
      </c>
      <c r="E51" s="53" t="e">
        <f>IF(#REF!=0,0.00000000001,#REF!)</f>
        <v>#REF!</v>
      </c>
      <c r="F51" s="22" t="e">
        <f t="shared" si="0"/>
        <v>#REF!</v>
      </c>
      <c r="G51" s="22">
        <f t="shared" si="1"/>
        <v>0</v>
      </c>
      <c r="H51" s="113" t="e">
        <f t="shared" si="2"/>
        <v>#REF!</v>
      </c>
      <c r="I51" s="22" t="e">
        <f t="shared" si="3"/>
        <v>#REF!</v>
      </c>
      <c r="J51" s="22" t="e">
        <f t="shared" si="4"/>
        <v>#REF!</v>
      </c>
      <c r="K51" s="22" t="e">
        <f t="shared" si="5"/>
        <v>#REF!</v>
      </c>
      <c r="L51" s="113" t="e">
        <f t="shared" si="6"/>
        <v>#REF!</v>
      </c>
      <c r="M51" s="97" t="e">
        <f t="shared" si="7"/>
        <v>#REF!</v>
      </c>
      <c r="N51" s="22" t="e">
        <f t="shared" si="8"/>
        <v>#REF!</v>
      </c>
      <c r="O51" s="22" t="e">
        <f t="shared" si="9"/>
        <v>#REF!</v>
      </c>
      <c r="P51" s="113" t="e">
        <f t="shared" si="10"/>
        <v>#REF!</v>
      </c>
      <c r="Q51" s="97" t="e">
        <f t="shared" si="11"/>
        <v>#REF!</v>
      </c>
      <c r="R51" s="22" t="e">
        <f t="shared" si="12"/>
        <v>#REF!</v>
      </c>
      <c r="S51" s="22" t="e">
        <f t="shared" si="13"/>
        <v>#REF!</v>
      </c>
      <c r="T51" s="113" t="e">
        <f t="shared" si="14"/>
        <v>#REF!</v>
      </c>
      <c r="U51" s="97" t="e">
        <f t="shared" si="15"/>
        <v>#REF!</v>
      </c>
      <c r="V51" s="22" t="e">
        <f t="shared" si="16"/>
        <v>#REF!</v>
      </c>
      <c r="W51" s="22" t="e">
        <f t="shared" si="17"/>
        <v>#REF!</v>
      </c>
      <c r="X51" s="113" t="e">
        <f t="shared" si="18"/>
        <v>#REF!</v>
      </c>
      <c r="Y51" s="97" t="e">
        <f t="shared" si="19"/>
        <v>#REF!</v>
      </c>
      <c r="Z51" s="22" t="e">
        <f t="shared" si="20"/>
        <v>#REF!</v>
      </c>
      <c r="AA51" s="22" t="e">
        <f t="shared" si="21"/>
        <v>#REF!</v>
      </c>
      <c r="AB51" s="113" t="e">
        <f t="shared" si="22"/>
        <v>#REF!</v>
      </c>
      <c r="AC51" s="97" t="e">
        <f t="shared" si="23"/>
        <v>#REF!</v>
      </c>
      <c r="AD51" s="22" t="e">
        <f t="shared" si="24"/>
        <v>#REF!</v>
      </c>
      <c r="AE51" s="22" t="e">
        <f t="shared" si="25"/>
        <v>#REF!</v>
      </c>
      <c r="AF51" s="113" t="e">
        <f t="shared" si="26"/>
        <v>#REF!</v>
      </c>
      <c r="AG51" s="97" t="e">
        <f t="shared" si="27"/>
        <v>#REF!</v>
      </c>
      <c r="AH51" s="22" t="e">
        <f t="shared" si="28"/>
        <v>#REF!</v>
      </c>
      <c r="AI51" s="22" t="e">
        <f t="shared" si="29"/>
        <v>#REF!</v>
      </c>
      <c r="AJ51" s="113" t="e">
        <f t="shared" si="30"/>
        <v>#REF!</v>
      </c>
      <c r="AK51" s="97" t="e">
        <f t="shared" si="31"/>
        <v>#REF!</v>
      </c>
      <c r="AL51" s="22" t="e">
        <f t="shared" si="32"/>
        <v>#REF!</v>
      </c>
      <c r="AM51" s="22" t="e">
        <f t="shared" si="33"/>
        <v>#REF!</v>
      </c>
      <c r="AN51" s="113" t="e">
        <f t="shared" si="34"/>
        <v>#REF!</v>
      </c>
      <c r="AO51" s="97" t="e">
        <f t="shared" si="35"/>
        <v>#REF!</v>
      </c>
      <c r="AP51" s="22" t="e">
        <f t="shared" si="36"/>
        <v>#REF!</v>
      </c>
      <c r="AQ51" s="22" t="e">
        <f t="shared" si="37"/>
        <v>#REF!</v>
      </c>
      <c r="AR51" s="113" t="e">
        <f t="shared" si="38"/>
        <v>#REF!</v>
      </c>
      <c r="AS51" s="97" t="e">
        <f t="shared" si="39"/>
        <v>#REF!</v>
      </c>
      <c r="AT51" s="22" t="e">
        <f t="shared" si="40"/>
        <v>#REF!</v>
      </c>
      <c r="AU51" s="121" t="e">
        <f t="shared" si="41"/>
        <v>#REF!</v>
      </c>
      <c r="AV51" s="122" t="e">
        <f t="shared" si="42"/>
        <v>#REF!</v>
      </c>
      <c r="AW51" s="112"/>
    </row>
    <row r="52" spans="2:49" x14ac:dyDescent="0.25">
      <c r="B52" s="98">
        <f>'הוראת מעבר- הגנה'!B52</f>
        <v>36</v>
      </c>
      <c r="C52" s="98" t="e">
        <f>'הוראת מעבר- הגנה'!C52</f>
        <v>#REF!</v>
      </c>
      <c r="D52" s="53" t="e">
        <f>#REF!</f>
        <v>#REF!</v>
      </c>
      <c r="E52" s="53" t="e">
        <f>IF(#REF!=0,0.00000000001,#REF!)</f>
        <v>#REF!</v>
      </c>
      <c r="F52" s="22" t="e">
        <f t="shared" si="0"/>
        <v>#REF!</v>
      </c>
      <c r="G52" s="22">
        <f t="shared" si="1"/>
        <v>0</v>
      </c>
      <c r="H52" s="113" t="e">
        <f t="shared" si="2"/>
        <v>#REF!</v>
      </c>
      <c r="I52" s="22" t="e">
        <f t="shared" si="3"/>
        <v>#REF!</v>
      </c>
      <c r="J52" s="22" t="e">
        <f t="shared" si="4"/>
        <v>#REF!</v>
      </c>
      <c r="K52" s="22" t="e">
        <f t="shared" si="5"/>
        <v>#REF!</v>
      </c>
      <c r="L52" s="113" t="e">
        <f t="shared" si="6"/>
        <v>#REF!</v>
      </c>
      <c r="M52" s="97" t="e">
        <f t="shared" si="7"/>
        <v>#REF!</v>
      </c>
      <c r="N52" s="22" t="e">
        <f t="shared" si="8"/>
        <v>#REF!</v>
      </c>
      <c r="O52" s="22" t="e">
        <f t="shared" si="9"/>
        <v>#REF!</v>
      </c>
      <c r="P52" s="113" t="e">
        <f t="shared" si="10"/>
        <v>#REF!</v>
      </c>
      <c r="Q52" s="97" t="e">
        <f t="shared" si="11"/>
        <v>#REF!</v>
      </c>
      <c r="R52" s="22" t="e">
        <f t="shared" si="12"/>
        <v>#REF!</v>
      </c>
      <c r="S52" s="22" t="e">
        <f t="shared" si="13"/>
        <v>#REF!</v>
      </c>
      <c r="T52" s="113" t="e">
        <f t="shared" si="14"/>
        <v>#REF!</v>
      </c>
      <c r="U52" s="97" t="e">
        <f t="shared" si="15"/>
        <v>#REF!</v>
      </c>
      <c r="V52" s="22" t="e">
        <f t="shared" si="16"/>
        <v>#REF!</v>
      </c>
      <c r="W52" s="22" t="e">
        <f t="shared" si="17"/>
        <v>#REF!</v>
      </c>
      <c r="X52" s="113" t="e">
        <f t="shared" si="18"/>
        <v>#REF!</v>
      </c>
      <c r="Y52" s="97" t="e">
        <f t="shared" si="19"/>
        <v>#REF!</v>
      </c>
      <c r="Z52" s="22" t="e">
        <f t="shared" si="20"/>
        <v>#REF!</v>
      </c>
      <c r="AA52" s="22" t="e">
        <f t="shared" si="21"/>
        <v>#REF!</v>
      </c>
      <c r="AB52" s="113" t="e">
        <f t="shared" si="22"/>
        <v>#REF!</v>
      </c>
      <c r="AC52" s="97" t="e">
        <f t="shared" si="23"/>
        <v>#REF!</v>
      </c>
      <c r="AD52" s="22" t="e">
        <f t="shared" si="24"/>
        <v>#REF!</v>
      </c>
      <c r="AE52" s="22" t="e">
        <f t="shared" si="25"/>
        <v>#REF!</v>
      </c>
      <c r="AF52" s="113" t="e">
        <f t="shared" si="26"/>
        <v>#REF!</v>
      </c>
      <c r="AG52" s="97" t="e">
        <f t="shared" si="27"/>
        <v>#REF!</v>
      </c>
      <c r="AH52" s="22" t="e">
        <f t="shared" si="28"/>
        <v>#REF!</v>
      </c>
      <c r="AI52" s="22" t="e">
        <f t="shared" si="29"/>
        <v>#REF!</v>
      </c>
      <c r="AJ52" s="113" t="e">
        <f t="shared" si="30"/>
        <v>#REF!</v>
      </c>
      <c r="AK52" s="97" t="e">
        <f t="shared" si="31"/>
        <v>#REF!</v>
      </c>
      <c r="AL52" s="22" t="e">
        <f t="shared" si="32"/>
        <v>#REF!</v>
      </c>
      <c r="AM52" s="22" t="e">
        <f t="shared" si="33"/>
        <v>#REF!</v>
      </c>
      <c r="AN52" s="113" t="e">
        <f t="shared" si="34"/>
        <v>#REF!</v>
      </c>
      <c r="AO52" s="97" t="e">
        <f t="shared" si="35"/>
        <v>#REF!</v>
      </c>
      <c r="AP52" s="22" t="e">
        <f t="shared" si="36"/>
        <v>#REF!</v>
      </c>
      <c r="AQ52" s="22" t="e">
        <f t="shared" si="37"/>
        <v>#REF!</v>
      </c>
      <c r="AR52" s="113" t="e">
        <f t="shared" si="38"/>
        <v>#REF!</v>
      </c>
      <c r="AS52" s="97" t="e">
        <f t="shared" si="39"/>
        <v>#REF!</v>
      </c>
      <c r="AT52" s="22" t="e">
        <f t="shared" si="40"/>
        <v>#REF!</v>
      </c>
      <c r="AU52" s="121" t="e">
        <f t="shared" si="41"/>
        <v>#REF!</v>
      </c>
      <c r="AV52" s="122" t="e">
        <f t="shared" si="42"/>
        <v>#REF!</v>
      </c>
      <c r="AW52" s="112"/>
    </row>
    <row r="53" spans="2:49" x14ac:dyDescent="0.25">
      <c r="B53" s="98">
        <f>'הוראת מעבר- הגנה'!B53</f>
        <v>37</v>
      </c>
      <c r="C53" s="98" t="e">
        <f>'הוראת מעבר- הגנה'!C53</f>
        <v>#REF!</v>
      </c>
      <c r="D53" s="53" t="e">
        <f>#REF!</f>
        <v>#REF!</v>
      </c>
      <c r="E53" s="53" t="e">
        <f>IF(#REF!=0,0.00000000001,#REF!)</f>
        <v>#REF!</v>
      </c>
      <c r="F53" s="22" t="e">
        <f t="shared" si="0"/>
        <v>#REF!</v>
      </c>
      <c r="G53" s="22">
        <f t="shared" si="1"/>
        <v>0</v>
      </c>
      <c r="H53" s="113" t="e">
        <f t="shared" si="2"/>
        <v>#REF!</v>
      </c>
      <c r="I53" s="22" t="e">
        <f t="shared" si="3"/>
        <v>#REF!</v>
      </c>
      <c r="J53" s="22" t="e">
        <f t="shared" si="4"/>
        <v>#REF!</v>
      </c>
      <c r="K53" s="22" t="e">
        <f t="shared" si="5"/>
        <v>#REF!</v>
      </c>
      <c r="L53" s="113" t="e">
        <f t="shared" si="6"/>
        <v>#REF!</v>
      </c>
      <c r="M53" s="97" t="e">
        <f t="shared" si="7"/>
        <v>#REF!</v>
      </c>
      <c r="N53" s="22" t="e">
        <f t="shared" si="8"/>
        <v>#REF!</v>
      </c>
      <c r="O53" s="22" t="e">
        <f t="shared" si="9"/>
        <v>#REF!</v>
      </c>
      <c r="P53" s="113" t="e">
        <f t="shared" si="10"/>
        <v>#REF!</v>
      </c>
      <c r="Q53" s="97" t="e">
        <f t="shared" si="11"/>
        <v>#REF!</v>
      </c>
      <c r="R53" s="22" t="e">
        <f t="shared" si="12"/>
        <v>#REF!</v>
      </c>
      <c r="S53" s="22" t="e">
        <f t="shared" si="13"/>
        <v>#REF!</v>
      </c>
      <c r="T53" s="113" t="e">
        <f t="shared" si="14"/>
        <v>#REF!</v>
      </c>
      <c r="U53" s="97" t="e">
        <f t="shared" si="15"/>
        <v>#REF!</v>
      </c>
      <c r="V53" s="22" t="e">
        <f t="shared" si="16"/>
        <v>#REF!</v>
      </c>
      <c r="W53" s="22" t="e">
        <f t="shared" si="17"/>
        <v>#REF!</v>
      </c>
      <c r="X53" s="113" t="e">
        <f t="shared" si="18"/>
        <v>#REF!</v>
      </c>
      <c r="Y53" s="97" t="e">
        <f t="shared" si="19"/>
        <v>#REF!</v>
      </c>
      <c r="Z53" s="22" t="e">
        <f t="shared" si="20"/>
        <v>#REF!</v>
      </c>
      <c r="AA53" s="22" t="e">
        <f t="shared" si="21"/>
        <v>#REF!</v>
      </c>
      <c r="AB53" s="113" t="e">
        <f t="shared" si="22"/>
        <v>#REF!</v>
      </c>
      <c r="AC53" s="97" t="e">
        <f t="shared" si="23"/>
        <v>#REF!</v>
      </c>
      <c r="AD53" s="22" t="e">
        <f t="shared" si="24"/>
        <v>#REF!</v>
      </c>
      <c r="AE53" s="22" t="e">
        <f t="shared" si="25"/>
        <v>#REF!</v>
      </c>
      <c r="AF53" s="113" t="e">
        <f t="shared" si="26"/>
        <v>#REF!</v>
      </c>
      <c r="AG53" s="97" t="e">
        <f t="shared" si="27"/>
        <v>#REF!</v>
      </c>
      <c r="AH53" s="22" t="e">
        <f t="shared" si="28"/>
        <v>#REF!</v>
      </c>
      <c r="AI53" s="22" t="e">
        <f t="shared" si="29"/>
        <v>#REF!</v>
      </c>
      <c r="AJ53" s="113" t="e">
        <f t="shared" si="30"/>
        <v>#REF!</v>
      </c>
      <c r="AK53" s="97" t="e">
        <f t="shared" si="31"/>
        <v>#REF!</v>
      </c>
      <c r="AL53" s="22" t="e">
        <f t="shared" si="32"/>
        <v>#REF!</v>
      </c>
      <c r="AM53" s="22" t="e">
        <f t="shared" si="33"/>
        <v>#REF!</v>
      </c>
      <c r="AN53" s="113" t="e">
        <f t="shared" si="34"/>
        <v>#REF!</v>
      </c>
      <c r="AO53" s="97" t="e">
        <f t="shared" si="35"/>
        <v>#REF!</v>
      </c>
      <c r="AP53" s="22" t="e">
        <f t="shared" si="36"/>
        <v>#REF!</v>
      </c>
      <c r="AQ53" s="22" t="e">
        <f t="shared" si="37"/>
        <v>#REF!</v>
      </c>
      <c r="AR53" s="113" t="e">
        <f t="shared" si="38"/>
        <v>#REF!</v>
      </c>
      <c r="AS53" s="97" t="e">
        <f t="shared" si="39"/>
        <v>#REF!</v>
      </c>
      <c r="AT53" s="22" t="e">
        <f t="shared" si="40"/>
        <v>#REF!</v>
      </c>
      <c r="AU53" s="121" t="e">
        <f t="shared" si="41"/>
        <v>#REF!</v>
      </c>
      <c r="AV53" s="122" t="e">
        <f t="shared" si="42"/>
        <v>#REF!</v>
      </c>
      <c r="AW53" s="112"/>
    </row>
    <row r="54" spans="2:49" x14ac:dyDescent="0.25">
      <c r="B54" s="98">
        <f>'הוראת מעבר- הגנה'!B54</f>
        <v>38</v>
      </c>
      <c r="C54" s="98" t="e">
        <f>'הוראת מעבר- הגנה'!C54</f>
        <v>#REF!</v>
      </c>
      <c r="D54" s="53" t="e">
        <f>#REF!</f>
        <v>#REF!</v>
      </c>
      <c r="E54" s="53" t="e">
        <f>IF(#REF!=0,0.00000000001,#REF!)</f>
        <v>#REF!</v>
      </c>
      <c r="F54" s="22" t="e">
        <f t="shared" si="0"/>
        <v>#REF!</v>
      </c>
      <c r="G54" s="22">
        <f t="shared" si="1"/>
        <v>0</v>
      </c>
      <c r="H54" s="113" t="e">
        <f t="shared" si="2"/>
        <v>#REF!</v>
      </c>
      <c r="I54" s="22" t="e">
        <f t="shared" si="3"/>
        <v>#REF!</v>
      </c>
      <c r="J54" s="22" t="e">
        <f t="shared" si="4"/>
        <v>#REF!</v>
      </c>
      <c r="K54" s="22" t="e">
        <f t="shared" si="5"/>
        <v>#REF!</v>
      </c>
      <c r="L54" s="113" t="e">
        <f t="shared" si="6"/>
        <v>#REF!</v>
      </c>
      <c r="M54" s="97" t="e">
        <f t="shared" si="7"/>
        <v>#REF!</v>
      </c>
      <c r="N54" s="22" t="e">
        <f t="shared" si="8"/>
        <v>#REF!</v>
      </c>
      <c r="O54" s="22" t="e">
        <f t="shared" si="9"/>
        <v>#REF!</v>
      </c>
      <c r="P54" s="113" t="e">
        <f t="shared" si="10"/>
        <v>#REF!</v>
      </c>
      <c r="Q54" s="97" t="e">
        <f t="shared" si="11"/>
        <v>#REF!</v>
      </c>
      <c r="R54" s="22" t="e">
        <f t="shared" si="12"/>
        <v>#REF!</v>
      </c>
      <c r="S54" s="22" t="e">
        <f t="shared" si="13"/>
        <v>#REF!</v>
      </c>
      <c r="T54" s="113" t="e">
        <f t="shared" si="14"/>
        <v>#REF!</v>
      </c>
      <c r="U54" s="97" t="e">
        <f t="shared" si="15"/>
        <v>#REF!</v>
      </c>
      <c r="V54" s="22" t="e">
        <f t="shared" si="16"/>
        <v>#REF!</v>
      </c>
      <c r="W54" s="22" t="e">
        <f t="shared" si="17"/>
        <v>#REF!</v>
      </c>
      <c r="X54" s="113" t="e">
        <f t="shared" si="18"/>
        <v>#REF!</v>
      </c>
      <c r="Y54" s="97" t="e">
        <f t="shared" si="19"/>
        <v>#REF!</v>
      </c>
      <c r="Z54" s="22" t="e">
        <f t="shared" si="20"/>
        <v>#REF!</v>
      </c>
      <c r="AA54" s="22" t="e">
        <f t="shared" si="21"/>
        <v>#REF!</v>
      </c>
      <c r="AB54" s="113" t="e">
        <f t="shared" si="22"/>
        <v>#REF!</v>
      </c>
      <c r="AC54" s="97" t="e">
        <f t="shared" si="23"/>
        <v>#REF!</v>
      </c>
      <c r="AD54" s="22" t="e">
        <f t="shared" si="24"/>
        <v>#REF!</v>
      </c>
      <c r="AE54" s="22" t="e">
        <f t="shared" si="25"/>
        <v>#REF!</v>
      </c>
      <c r="AF54" s="113" t="e">
        <f t="shared" si="26"/>
        <v>#REF!</v>
      </c>
      <c r="AG54" s="97" t="e">
        <f t="shared" si="27"/>
        <v>#REF!</v>
      </c>
      <c r="AH54" s="22" t="e">
        <f t="shared" si="28"/>
        <v>#REF!</v>
      </c>
      <c r="AI54" s="22" t="e">
        <f t="shared" si="29"/>
        <v>#REF!</v>
      </c>
      <c r="AJ54" s="113" t="e">
        <f t="shared" si="30"/>
        <v>#REF!</v>
      </c>
      <c r="AK54" s="97" t="e">
        <f t="shared" si="31"/>
        <v>#REF!</v>
      </c>
      <c r="AL54" s="22" t="e">
        <f t="shared" si="32"/>
        <v>#REF!</v>
      </c>
      <c r="AM54" s="22" t="e">
        <f t="shared" si="33"/>
        <v>#REF!</v>
      </c>
      <c r="AN54" s="113" t="e">
        <f t="shared" si="34"/>
        <v>#REF!</v>
      </c>
      <c r="AO54" s="97" t="e">
        <f t="shared" si="35"/>
        <v>#REF!</v>
      </c>
      <c r="AP54" s="22" t="e">
        <f t="shared" si="36"/>
        <v>#REF!</v>
      </c>
      <c r="AQ54" s="22" t="e">
        <f t="shared" si="37"/>
        <v>#REF!</v>
      </c>
      <c r="AR54" s="113" t="e">
        <f t="shared" si="38"/>
        <v>#REF!</v>
      </c>
      <c r="AS54" s="97" t="e">
        <f t="shared" si="39"/>
        <v>#REF!</v>
      </c>
      <c r="AT54" s="22" t="e">
        <f t="shared" si="40"/>
        <v>#REF!</v>
      </c>
      <c r="AU54" s="121" t="e">
        <f t="shared" si="41"/>
        <v>#REF!</v>
      </c>
      <c r="AV54" s="122" t="e">
        <f t="shared" si="42"/>
        <v>#REF!</v>
      </c>
      <c r="AW54" s="112"/>
    </row>
    <row r="55" spans="2:49" x14ac:dyDescent="0.25">
      <c r="B55" s="98">
        <f>'הוראת מעבר- הגנה'!B55</f>
        <v>39</v>
      </c>
      <c r="C55" s="98" t="e">
        <f>'הוראת מעבר- הגנה'!C55</f>
        <v>#REF!</v>
      </c>
      <c r="D55" s="53" t="e">
        <f>#REF!</f>
        <v>#REF!</v>
      </c>
      <c r="E55" s="53" t="e">
        <f>IF(#REF!=0,0.00000000001,#REF!)</f>
        <v>#REF!</v>
      </c>
      <c r="F55" s="22" t="e">
        <f t="shared" si="0"/>
        <v>#REF!</v>
      </c>
      <c r="G55" s="22">
        <f t="shared" si="1"/>
        <v>0</v>
      </c>
      <c r="H55" s="113" t="e">
        <f t="shared" si="2"/>
        <v>#REF!</v>
      </c>
      <c r="I55" s="22" t="e">
        <f t="shared" si="3"/>
        <v>#REF!</v>
      </c>
      <c r="J55" s="22" t="e">
        <f t="shared" si="4"/>
        <v>#REF!</v>
      </c>
      <c r="K55" s="22" t="e">
        <f t="shared" si="5"/>
        <v>#REF!</v>
      </c>
      <c r="L55" s="113" t="e">
        <f t="shared" si="6"/>
        <v>#REF!</v>
      </c>
      <c r="M55" s="97" t="e">
        <f t="shared" si="7"/>
        <v>#REF!</v>
      </c>
      <c r="N55" s="22" t="e">
        <f t="shared" si="8"/>
        <v>#REF!</v>
      </c>
      <c r="O55" s="22" t="e">
        <f t="shared" si="9"/>
        <v>#REF!</v>
      </c>
      <c r="P55" s="113" t="e">
        <f t="shared" si="10"/>
        <v>#REF!</v>
      </c>
      <c r="Q55" s="97" t="e">
        <f t="shared" si="11"/>
        <v>#REF!</v>
      </c>
      <c r="R55" s="22" t="e">
        <f t="shared" si="12"/>
        <v>#REF!</v>
      </c>
      <c r="S55" s="22" t="e">
        <f t="shared" si="13"/>
        <v>#REF!</v>
      </c>
      <c r="T55" s="113" t="e">
        <f t="shared" si="14"/>
        <v>#REF!</v>
      </c>
      <c r="U55" s="97" t="e">
        <f t="shared" si="15"/>
        <v>#REF!</v>
      </c>
      <c r="V55" s="22" t="e">
        <f t="shared" si="16"/>
        <v>#REF!</v>
      </c>
      <c r="W55" s="22" t="e">
        <f t="shared" si="17"/>
        <v>#REF!</v>
      </c>
      <c r="X55" s="113" t="e">
        <f t="shared" si="18"/>
        <v>#REF!</v>
      </c>
      <c r="Y55" s="97" t="e">
        <f t="shared" si="19"/>
        <v>#REF!</v>
      </c>
      <c r="Z55" s="22" t="e">
        <f t="shared" si="20"/>
        <v>#REF!</v>
      </c>
      <c r="AA55" s="22" t="e">
        <f t="shared" si="21"/>
        <v>#REF!</v>
      </c>
      <c r="AB55" s="113" t="e">
        <f t="shared" si="22"/>
        <v>#REF!</v>
      </c>
      <c r="AC55" s="97" t="e">
        <f t="shared" si="23"/>
        <v>#REF!</v>
      </c>
      <c r="AD55" s="22" t="e">
        <f t="shared" si="24"/>
        <v>#REF!</v>
      </c>
      <c r="AE55" s="22" t="e">
        <f t="shared" si="25"/>
        <v>#REF!</v>
      </c>
      <c r="AF55" s="113" t="e">
        <f t="shared" si="26"/>
        <v>#REF!</v>
      </c>
      <c r="AG55" s="97" t="e">
        <f t="shared" si="27"/>
        <v>#REF!</v>
      </c>
      <c r="AH55" s="22" t="e">
        <f t="shared" si="28"/>
        <v>#REF!</v>
      </c>
      <c r="AI55" s="22" t="e">
        <f t="shared" si="29"/>
        <v>#REF!</v>
      </c>
      <c r="AJ55" s="113" t="e">
        <f t="shared" si="30"/>
        <v>#REF!</v>
      </c>
      <c r="AK55" s="97" t="e">
        <f t="shared" si="31"/>
        <v>#REF!</v>
      </c>
      <c r="AL55" s="22" t="e">
        <f t="shared" si="32"/>
        <v>#REF!</v>
      </c>
      <c r="AM55" s="22" t="e">
        <f t="shared" si="33"/>
        <v>#REF!</v>
      </c>
      <c r="AN55" s="113" t="e">
        <f t="shared" si="34"/>
        <v>#REF!</v>
      </c>
      <c r="AO55" s="97" t="e">
        <f t="shared" si="35"/>
        <v>#REF!</v>
      </c>
      <c r="AP55" s="22" t="e">
        <f t="shared" si="36"/>
        <v>#REF!</v>
      </c>
      <c r="AQ55" s="22" t="e">
        <f t="shared" si="37"/>
        <v>#REF!</v>
      </c>
      <c r="AR55" s="113" t="e">
        <f t="shared" si="38"/>
        <v>#REF!</v>
      </c>
      <c r="AS55" s="97" t="e">
        <f t="shared" si="39"/>
        <v>#REF!</v>
      </c>
      <c r="AT55" s="22" t="e">
        <f t="shared" si="40"/>
        <v>#REF!</v>
      </c>
      <c r="AU55" s="121" t="e">
        <f t="shared" si="41"/>
        <v>#REF!</v>
      </c>
      <c r="AV55" s="122" t="e">
        <f t="shared" si="42"/>
        <v>#REF!</v>
      </c>
      <c r="AW55" s="112"/>
    </row>
    <row r="56" spans="2:49" x14ac:dyDescent="0.25">
      <c r="B56" s="98">
        <f>'הוראת מעבר- הגנה'!B56</f>
        <v>40</v>
      </c>
      <c r="C56" s="98" t="e">
        <f>'הוראת מעבר- הגנה'!C56</f>
        <v>#REF!</v>
      </c>
      <c r="D56" s="53" t="e">
        <f>#REF!</f>
        <v>#REF!</v>
      </c>
      <c r="E56" s="53" t="e">
        <f>IF(#REF!=0,0.00000000001,#REF!)</f>
        <v>#REF!</v>
      </c>
      <c r="F56" s="22" t="e">
        <f t="shared" si="0"/>
        <v>#REF!</v>
      </c>
      <c r="G56" s="22">
        <f t="shared" si="1"/>
        <v>0</v>
      </c>
      <c r="H56" s="113" t="e">
        <f t="shared" si="2"/>
        <v>#REF!</v>
      </c>
      <c r="I56" s="22" t="e">
        <f t="shared" si="3"/>
        <v>#REF!</v>
      </c>
      <c r="J56" s="22" t="e">
        <f t="shared" si="4"/>
        <v>#REF!</v>
      </c>
      <c r="K56" s="22" t="e">
        <f t="shared" si="5"/>
        <v>#REF!</v>
      </c>
      <c r="L56" s="113" t="e">
        <f t="shared" si="6"/>
        <v>#REF!</v>
      </c>
      <c r="M56" s="97" t="e">
        <f t="shared" si="7"/>
        <v>#REF!</v>
      </c>
      <c r="N56" s="22" t="e">
        <f t="shared" si="8"/>
        <v>#REF!</v>
      </c>
      <c r="O56" s="22" t="e">
        <f t="shared" si="9"/>
        <v>#REF!</v>
      </c>
      <c r="P56" s="113" t="e">
        <f t="shared" si="10"/>
        <v>#REF!</v>
      </c>
      <c r="Q56" s="97" t="e">
        <f t="shared" si="11"/>
        <v>#REF!</v>
      </c>
      <c r="R56" s="22" t="e">
        <f t="shared" si="12"/>
        <v>#REF!</v>
      </c>
      <c r="S56" s="22" t="e">
        <f t="shared" si="13"/>
        <v>#REF!</v>
      </c>
      <c r="T56" s="113" t="e">
        <f t="shared" si="14"/>
        <v>#REF!</v>
      </c>
      <c r="U56" s="97" t="e">
        <f t="shared" si="15"/>
        <v>#REF!</v>
      </c>
      <c r="V56" s="22" t="e">
        <f t="shared" si="16"/>
        <v>#REF!</v>
      </c>
      <c r="W56" s="22" t="e">
        <f t="shared" si="17"/>
        <v>#REF!</v>
      </c>
      <c r="X56" s="113" t="e">
        <f t="shared" si="18"/>
        <v>#REF!</v>
      </c>
      <c r="Y56" s="97" t="e">
        <f t="shared" si="19"/>
        <v>#REF!</v>
      </c>
      <c r="Z56" s="22" t="e">
        <f t="shared" si="20"/>
        <v>#REF!</v>
      </c>
      <c r="AA56" s="22" t="e">
        <f t="shared" si="21"/>
        <v>#REF!</v>
      </c>
      <c r="AB56" s="113" t="e">
        <f t="shared" si="22"/>
        <v>#REF!</v>
      </c>
      <c r="AC56" s="97" t="e">
        <f t="shared" si="23"/>
        <v>#REF!</v>
      </c>
      <c r="AD56" s="22" t="e">
        <f t="shared" si="24"/>
        <v>#REF!</v>
      </c>
      <c r="AE56" s="22" t="e">
        <f t="shared" si="25"/>
        <v>#REF!</v>
      </c>
      <c r="AF56" s="113" t="e">
        <f t="shared" si="26"/>
        <v>#REF!</v>
      </c>
      <c r="AG56" s="97" t="e">
        <f t="shared" si="27"/>
        <v>#REF!</v>
      </c>
      <c r="AH56" s="22" t="e">
        <f t="shared" si="28"/>
        <v>#REF!</v>
      </c>
      <c r="AI56" s="22" t="e">
        <f t="shared" si="29"/>
        <v>#REF!</v>
      </c>
      <c r="AJ56" s="113" t="e">
        <f t="shared" si="30"/>
        <v>#REF!</v>
      </c>
      <c r="AK56" s="97" t="e">
        <f t="shared" si="31"/>
        <v>#REF!</v>
      </c>
      <c r="AL56" s="22" t="e">
        <f t="shared" si="32"/>
        <v>#REF!</v>
      </c>
      <c r="AM56" s="22" t="e">
        <f t="shared" si="33"/>
        <v>#REF!</v>
      </c>
      <c r="AN56" s="113" t="e">
        <f t="shared" si="34"/>
        <v>#REF!</v>
      </c>
      <c r="AO56" s="97" t="e">
        <f t="shared" si="35"/>
        <v>#REF!</v>
      </c>
      <c r="AP56" s="22" t="e">
        <f t="shared" si="36"/>
        <v>#REF!</v>
      </c>
      <c r="AQ56" s="22" t="e">
        <f t="shared" si="37"/>
        <v>#REF!</v>
      </c>
      <c r="AR56" s="113" t="e">
        <f t="shared" si="38"/>
        <v>#REF!</v>
      </c>
      <c r="AS56" s="97" t="e">
        <f t="shared" si="39"/>
        <v>#REF!</v>
      </c>
      <c r="AT56" s="22" t="e">
        <f t="shared" si="40"/>
        <v>#REF!</v>
      </c>
      <c r="AU56" s="121" t="e">
        <f t="shared" si="41"/>
        <v>#REF!</v>
      </c>
      <c r="AV56" s="122" t="e">
        <f t="shared" si="42"/>
        <v>#REF!</v>
      </c>
      <c r="AW56" s="112"/>
    </row>
    <row r="57" spans="2:49" x14ac:dyDescent="0.25">
      <c r="B57" s="98">
        <f>'הוראת מעבר- הגנה'!B57</f>
        <v>41</v>
      </c>
      <c r="C57" s="98" t="e">
        <f>'הוראת מעבר- הגנה'!C57</f>
        <v>#REF!</v>
      </c>
      <c r="D57" s="53" t="e">
        <f>#REF!</f>
        <v>#REF!</v>
      </c>
      <c r="E57" s="53" t="e">
        <f>IF(#REF!=0,0.00000000001,#REF!)</f>
        <v>#REF!</v>
      </c>
      <c r="F57" s="22" t="e">
        <f t="shared" si="0"/>
        <v>#REF!</v>
      </c>
      <c r="G57" s="22">
        <f t="shared" si="1"/>
        <v>0</v>
      </c>
      <c r="H57" s="113" t="e">
        <f t="shared" si="2"/>
        <v>#REF!</v>
      </c>
      <c r="I57" s="22" t="e">
        <f t="shared" si="3"/>
        <v>#REF!</v>
      </c>
      <c r="J57" s="22" t="e">
        <f t="shared" si="4"/>
        <v>#REF!</v>
      </c>
      <c r="K57" s="22" t="e">
        <f t="shared" si="5"/>
        <v>#REF!</v>
      </c>
      <c r="L57" s="113" t="e">
        <f t="shared" si="6"/>
        <v>#REF!</v>
      </c>
      <c r="M57" s="97" t="e">
        <f t="shared" si="7"/>
        <v>#REF!</v>
      </c>
      <c r="N57" s="22" t="e">
        <f t="shared" si="8"/>
        <v>#REF!</v>
      </c>
      <c r="O57" s="22" t="e">
        <f t="shared" si="9"/>
        <v>#REF!</v>
      </c>
      <c r="P57" s="113" t="e">
        <f t="shared" si="10"/>
        <v>#REF!</v>
      </c>
      <c r="Q57" s="97" t="e">
        <f t="shared" si="11"/>
        <v>#REF!</v>
      </c>
      <c r="R57" s="22" t="e">
        <f t="shared" si="12"/>
        <v>#REF!</v>
      </c>
      <c r="S57" s="22" t="e">
        <f t="shared" si="13"/>
        <v>#REF!</v>
      </c>
      <c r="T57" s="113" t="e">
        <f t="shared" si="14"/>
        <v>#REF!</v>
      </c>
      <c r="U57" s="97" t="e">
        <f t="shared" si="15"/>
        <v>#REF!</v>
      </c>
      <c r="V57" s="22" t="e">
        <f t="shared" si="16"/>
        <v>#REF!</v>
      </c>
      <c r="W57" s="22" t="e">
        <f t="shared" si="17"/>
        <v>#REF!</v>
      </c>
      <c r="X57" s="113" t="e">
        <f t="shared" si="18"/>
        <v>#REF!</v>
      </c>
      <c r="Y57" s="97" t="e">
        <f t="shared" si="19"/>
        <v>#REF!</v>
      </c>
      <c r="Z57" s="22" t="e">
        <f t="shared" si="20"/>
        <v>#REF!</v>
      </c>
      <c r="AA57" s="22" t="e">
        <f t="shared" si="21"/>
        <v>#REF!</v>
      </c>
      <c r="AB57" s="113" t="e">
        <f t="shared" si="22"/>
        <v>#REF!</v>
      </c>
      <c r="AC57" s="97" t="e">
        <f t="shared" si="23"/>
        <v>#REF!</v>
      </c>
      <c r="AD57" s="22" t="e">
        <f t="shared" si="24"/>
        <v>#REF!</v>
      </c>
      <c r="AE57" s="22" t="e">
        <f t="shared" si="25"/>
        <v>#REF!</v>
      </c>
      <c r="AF57" s="113" t="e">
        <f t="shared" si="26"/>
        <v>#REF!</v>
      </c>
      <c r="AG57" s="97" t="e">
        <f t="shared" si="27"/>
        <v>#REF!</v>
      </c>
      <c r="AH57" s="22" t="e">
        <f t="shared" si="28"/>
        <v>#REF!</v>
      </c>
      <c r="AI57" s="22" t="e">
        <f t="shared" si="29"/>
        <v>#REF!</v>
      </c>
      <c r="AJ57" s="113" t="e">
        <f t="shared" si="30"/>
        <v>#REF!</v>
      </c>
      <c r="AK57" s="97" t="e">
        <f t="shared" si="31"/>
        <v>#REF!</v>
      </c>
      <c r="AL57" s="22" t="e">
        <f t="shared" si="32"/>
        <v>#REF!</v>
      </c>
      <c r="AM57" s="22" t="e">
        <f t="shared" si="33"/>
        <v>#REF!</v>
      </c>
      <c r="AN57" s="113" t="e">
        <f t="shared" si="34"/>
        <v>#REF!</v>
      </c>
      <c r="AO57" s="97" t="e">
        <f t="shared" si="35"/>
        <v>#REF!</v>
      </c>
      <c r="AP57" s="22" t="e">
        <f t="shared" si="36"/>
        <v>#REF!</v>
      </c>
      <c r="AQ57" s="22" t="e">
        <f t="shared" si="37"/>
        <v>#REF!</v>
      </c>
      <c r="AR57" s="113" t="e">
        <f t="shared" si="38"/>
        <v>#REF!</v>
      </c>
      <c r="AS57" s="97" t="e">
        <f t="shared" si="39"/>
        <v>#REF!</v>
      </c>
      <c r="AT57" s="22" t="e">
        <f t="shared" si="40"/>
        <v>#REF!</v>
      </c>
      <c r="AU57" s="121" t="e">
        <f t="shared" si="41"/>
        <v>#REF!</v>
      </c>
      <c r="AV57" s="122" t="e">
        <f t="shared" si="42"/>
        <v>#REF!</v>
      </c>
      <c r="AW57" s="112"/>
    </row>
    <row r="58" spans="2:49" x14ac:dyDescent="0.25">
      <c r="B58" s="98">
        <f>'הוראת מעבר- הגנה'!B58</f>
        <v>42</v>
      </c>
      <c r="C58" s="98" t="e">
        <f>'הוראת מעבר- הגנה'!C58</f>
        <v>#REF!</v>
      </c>
      <c r="D58" s="53" t="e">
        <f>#REF!</f>
        <v>#REF!</v>
      </c>
      <c r="E58" s="53" t="e">
        <f>IF(#REF!=0,0.00000000001,#REF!)</f>
        <v>#REF!</v>
      </c>
      <c r="F58" s="22" t="e">
        <f t="shared" si="0"/>
        <v>#REF!</v>
      </c>
      <c r="G58" s="22">
        <f t="shared" si="1"/>
        <v>0</v>
      </c>
      <c r="H58" s="113" t="e">
        <f t="shared" si="2"/>
        <v>#REF!</v>
      </c>
      <c r="I58" s="22" t="e">
        <f t="shared" si="3"/>
        <v>#REF!</v>
      </c>
      <c r="J58" s="22" t="e">
        <f t="shared" si="4"/>
        <v>#REF!</v>
      </c>
      <c r="K58" s="22" t="e">
        <f t="shared" si="5"/>
        <v>#REF!</v>
      </c>
      <c r="L58" s="113" t="e">
        <f t="shared" si="6"/>
        <v>#REF!</v>
      </c>
      <c r="M58" s="97" t="e">
        <f t="shared" si="7"/>
        <v>#REF!</v>
      </c>
      <c r="N58" s="22" t="e">
        <f t="shared" si="8"/>
        <v>#REF!</v>
      </c>
      <c r="O58" s="22" t="e">
        <f t="shared" si="9"/>
        <v>#REF!</v>
      </c>
      <c r="P58" s="113" t="e">
        <f t="shared" si="10"/>
        <v>#REF!</v>
      </c>
      <c r="Q58" s="97" t="e">
        <f t="shared" si="11"/>
        <v>#REF!</v>
      </c>
      <c r="R58" s="22" t="e">
        <f t="shared" si="12"/>
        <v>#REF!</v>
      </c>
      <c r="S58" s="22" t="e">
        <f t="shared" si="13"/>
        <v>#REF!</v>
      </c>
      <c r="T58" s="113" t="e">
        <f t="shared" si="14"/>
        <v>#REF!</v>
      </c>
      <c r="U58" s="97" t="e">
        <f t="shared" si="15"/>
        <v>#REF!</v>
      </c>
      <c r="V58" s="22" t="e">
        <f t="shared" si="16"/>
        <v>#REF!</v>
      </c>
      <c r="W58" s="22" t="e">
        <f t="shared" si="17"/>
        <v>#REF!</v>
      </c>
      <c r="X58" s="113" t="e">
        <f t="shared" si="18"/>
        <v>#REF!</v>
      </c>
      <c r="Y58" s="97" t="e">
        <f t="shared" si="19"/>
        <v>#REF!</v>
      </c>
      <c r="Z58" s="22" t="e">
        <f t="shared" si="20"/>
        <v>#REF!</v>
      </c>
      <c r="AA58" s="22" t="e">
        <f t="shared" si="21"/>
        <v>#REF!</v>
      </c>
      <c r="AB58" s="113" t="e">
        <f t="shared" si="22"/>
        <v>#REF!</v>
      </c>
      <c r="AC58" s="97" t="e">
        <f t="shared" si="23"/>
        <v>#REF!</v>
      </c>
      <c r="AD58" s="22" t="e">
        <f t="shared" si="24"/>
        <v>#REF!</v>
      </c>
      <c r="AE58" s="22" t="e">
        <f t="shared" si="25"/>
        <v>#REF!</v>
      </c>
      <c r="AF58" s="113" t="e">
        <f t="shared" si="26"/>
        <v>#REF!</v>
      </c>
      <c r="AG58" s="97" t="e">
        <f t="shared" si="27"/>
        <v>#REF!</v>
      </c>
      <c r="AH58" s="22" t="e">
        <f t="shared" si="28"/>
        <v>#REF!</v>
      </c>
      <c r="AI58" s="22" t="e">
        <f t="shared" si="29"/>
        <v>#REF!</v>
      </c>
      <c r="AJ58" s="113" t="e">
        <f t="shared" si="30"/>
        <v>#REF!</v>
      </c>
      <c r="AK58" s="97" t="e">
        <f t="shared" si="31"/>
        <v>#REF!</v>
      </c>
      <c r="AL58" s="22" t="e">
        <f t="shared" si="32"/>
        <v>#REF!</v>
      </c>
      <c r="AM58" s="22" t="e">
        <f t="shared" si="33"/>
        <v>#REF!</v>
      </c>
      <c r="AN58" s="113" t="e">
        <f t="shared" si="34"/>
        <v>#REF!</v>
      </c>
      <c r="AO58" s="97" t="e">
        <f t="shared" si="35"/>
        <v>#REF!</v>
      </c>
      <c r="AP58" s="22" t="e">
        <f t="shared" si="36"/>
        <v>#REF!</v>
      </c>
      <c r="AQ58" s="22" t="e">
        <f t="shared" si="37"/>
        <v>#REF!</v>
      </c>
      <c r="AR58" s="113" t="e">
        <f t="shared" si="38"/>
        <v>#REF!</v>
      </c>
      <c r="AS58" s="97" t="e">
        <f t="shared" si="39"/>
        <v>#REF!</v>
      </c>
      <c r="AT58" s="22" t="e">
        <f t="shared" si="40"/>
        <v>#REF!</v>
      </c>
      <c r="AU58" s="121" t="e">
        <f t="shared" si="41"/>
        <v>#REF!</v>
      </c>
      <c r="AV58" s="122" t="e">
        <f t="shared" si="42"/>
        <v>#REF!</v>
      </c>
      <c r="AW58" s="112"/>
    </row>
    <row r="59" spans="2:49" x14ac:dyDescent="0.25">
      <c r="B59" s="98">
        <f>'הוראת מעבר- הגנה'!B59</f>
        <v>43</v>
      </c>
      <c r="C59" s="98" t="e">
        <f>'הוראת מעבר- הגנה'!C59</f>
        <v>#REF!</v>
      </c>
      <c r="D59" s="53" t="e">
        <f>#REF!</f>
        <v>#REF!</v>
      </c>
      <c r="E59" s="53" t="e">
        <f>IF(#REF!=0,0.00000000001,#REF!)</f>
        <v>#REF!</v>
      </c>
      <c r="F59" s="22" t="e">
        <f t="shared" si="0"/>
        <v>#REF!</v>
      </c>
      <c r="G59" s="22">
        <f t="shared" si="1"/>
        <v>0</v>
      </c>
      <c r="H59" s="113" t="e">
        <f t="shared" si="2"/>
        <v>#REF!</v>
      </c>
      <c r="I59" s="22" t="e">
        <f t="shared" si="3"/>
        <v>#REF!</v>
      </c>
      <c r="J59" s="22" t="e">
        <f t="shared" si="4"/>
        <v>#REF!</v>
      </c>
      <c r="K59" s="22" t="e">
        <f t="shared" si="5"/>
        <v>#REF!</v>
      </c>
      <c r="L59" s="113" t="e">
        <f t="shared" si="6"/>
        <v>#REF!</v>
      </c>
      <c r="M59" s="97" t="e">
        <f t="shared" si="7"/>
        <v>#REF!</v>
      </c>
      <c r="N59" s="22" t="e">
        <f t="shared" si="8"/>
        <v>#REF!</v>
      </c>
      <c r="O59" s="22" t="e">
        <f t="shared" si="9"/>
        <v>#REF!</v>
      </c>
      <c r="P59" s="113" t="e">
        <f t="shared" si="10"/>
        <v>#REF!</v>
      </c>
      <c r="Q59" s="97" t="e">
        <f t="shared" si="11"/>
        <v>#REF!</v>
      </c>
      <c r="R59" s="22" t="e">
        <f t="shared" si="12"/>
        <v>#REF!</v>
      </c>
      <c r="S59" s="22" t="e">
        <f t="shared" si="13"/>
        <v>#REF!</v>
      </c>
      <c r="T59" s="113" t="e">
        <f t="shared" si="14"/>
        <v>#REF!</v>
      </c>
      <c r="U59" s="97" t="e">
        <f t="shared" si="15"/>
        <v>#REF!</v>
      </c>
      <c r="V59" s="22" t="e">
        <f t="shared" si="16"/>
        <v>#REF!</v>
      </c>
      <c r="W59" s="22" t="e">
        <f t="shared" si="17"/>
        <v>#REF!</v>
      </c>
      <c r="X59" s="113" t="e">
        <f t="shared" si="18"/>
        <v>#REF!</v>
      </c>
      <c r="Y59" s="97" t="e">
        <f t="shared" si="19"/>
        <v>#REF!</v>
      </c>
      <c r="Z59" s="22" t="e">
        <f t="shared" si="20"/>
        <v>#REF!</v>
      </c>
      <c r="AA59" s="22" t="e">
        <f t="shared" si="21"/>
        <v>#REF!</v>
      </c>
      <c r="AB59" s="113" t="e">
        <f t="shared" si="22"/>
        <v>#REF!</v>
      </c>
      <c r="AC59" s="97" t="e">
        <f t="shared" si="23"/>
        <v>#REF!</v>
      </c>
      <c r="AD59" s="22" t="e">
        <f t="shared" si="24"/>
        <v>#REF!</v>
      </c>
      <c r="AE59" s="22" t="e">
        <f t="shared" si="25"/>
        <v>#REF!</v>
      </c>
      <c r="AF59" s="113" t="e">
        <f t="shared" si="26"/>
        <v>#REF!</v>
      </c>
      <c r="AG59" s="97" t="e">
        <f t="shared" si="27"/>
        <v>#REF!</v>
      </c>
      <c r="AH59" s="22" t="e">
        <f t="shared" si="28"/>
        <v>#REF!</v>
      </c>
      <c r="AI59" s="22" t="e">
        <f t="shared" si="29"/>
        <v>#REF!</v>
      </c>
      <c r="AJ59" s="113" t="e">
        <f t="shared" si="30"/>
        <v>#REF!</v>
      </c>
      <c r="AK59" s="97" t="e">
        <f t="shared" si="31"/>
        <v>#REF!</v>
      </c>
      <c r="AL59" s="22" t="e">
        <f t="shared" si="32"/>
        <v>#REF!</v>
      </c>
      <c r="AM59" s="22" t="e">
        <f t="shared" si="33"/>
        <v>#REF!</v>
      </c>
      <c r="AN59" s="113" t="e">
        <f t="shared" si="34"/>
        <v>#REF!</v>
      </c>
      <c r="AO59" s="97" t="e">
        <f t="shared" si="35"/>
        <v>#REF!</v>
      </c>
      <c r="AP59" s="22" t="e">
        <f t="shared" si="36"/>
        <v>#REF!</v>
      </c>
      <c r="AQ59" s="22" t="e">
        <f t="shared" si="37"/>
        <v>#REF!</v>
      </c>
      <c r="AR59" s="113" t="e">
        <f t="shared" si="38"/>
        <v>#REF!</v>
      </c>
      <c r="AS59" s="97" t="e">
        <f t="shared" si="39"/>
        <v>#REF!</v>
      </c>
      <c r="AT59" s="22" t="e">
        <f t="shared" si="40"/>
        <v>#REF!</v>
      </c>
      <c r="AU59" s="121" t="e">
        <f t="shared" si="41"/>
        <v>#REF!</v>
      </c>
      <c r="AV59" s="122" t="e">
        <f t="shared" si="42"/>
        <v>#REF!</v>
      </c>
      <c r="AW59" s="112"/>
    </row>
    <row r="60" spans="2:49" x14ac:dyDescent="0.25">
      <c r="B60" s="98">
        <f>'הוראת מעבר- הגנה'!B60</f>
        <v>44</v>
      </c>
      <c r="C60" s="98" t="e">
        <f>'הוראת מעבר- הגנה'!C60</f>
        <v>#REF!</v>
      </c>
      <c r="D60" s="53" t="e">
        <f>#REF!</f>
        <v>#REF!</v>
      </c>
      <c r="E60" s="53" t="e">
        <f>IF(#REF!=0,0.00000000001,#REF!)</f>
        <v>#REF!</v>
      </c>
      <c r="F60" s="22" t="e">
        <f t="shared" si="0"/>
        <v>#REF!</v>
      </c>
      <c r="G60" s="22">
        <f t="shared" si="1"/>
        <v>0</v>
      </c>
      <c r="H60" s="113" t="e">
        <f t="shared" si="2"/>
        <v>#REF!</v>
      </c>
      <c r="I60" s="22" t="e">
        <f t="shared" si="3"/>
        <v>#REF!</v>
      </c>
      <c r="J60" s="22" t="e">
        <f t="shared" si="4"/>
        <v>#REF!</v>
      </c>
      <c r="K60" s="22" t="e">
        <f t="shared" si="5"/>
        <v>#REF!</v>
      </c>
      <c r="L60" s="113" t="e">
        <f t="shared" si="6"/>
        <v>#REF!</v>
      </c>
      <c r="M60" s="97" t="e">
        <f t="shared" si="7"/>
        <v>#REF!</v>
      </c>
      <c r="N60" s="22" t="e">
        <f t="shared" si="8"/>
        <v>#REF!</v>
      </c>
      <c r="O60" s="22" t="e">
        <f t="shared" si="9"/>
        <v>#REF!</v>
      </c>
      <c r="P60" s="113" t="e">
        <f t="shared" si="10"/>
        <v>#REF!</v>
      </c>
      <c r="Q60" s="97" t="e">
        <f t="shared" si="11"/>
        <v>#REF!</v>
      </c>
      <c r="R60" s="22" t="e">
        <f t="shared" si="12"/>
        <v>#REF!</v>
      </c>
      <c r="S60" s="22" t="e">
        <f t="shared" si="13"/>
        <v>#REF!</v>
      </c>
      <c r="T60" s="113" t="e">
        <f t="shared" si="14"/>
        <v>#REF!</v>
      </c>
      <c r="U60" s="97" t="e">
        <f t="shared" si="15"/>
        <v>#REF!</v>
      </c>
      <c r="V60" s="22" t="e">
        <f t="shared" si="16"/>
        <v>#REF!</v>
      </c>
      <c r="W60" s="22" t="e">
        <f t="shared" si="17"/>
        <v>#REF!</v>
      </c>
      <c r="X60" s="113" t="e">
        <f t="shared" si="18"/>
        <v>#REF!</v>
      </c>
      <c r="Y60" s="97" t="e">
        <f t="shared" si="19"/>
        <v>#REF!</v>
      </c>
      <c r="Z60" s="22" t="e">
        <f t="shared" si="20"/>
        <v>#REF!</v>
      </c>
      <c r="AA60" s="22" t="e">
        <f t="shared" si="21"/>
        <v>#REF!</v>
      </c>
      <c r="AB60" s="113" t="e">
        <f t="shared" si="22"/>
        <v>#REF!</v>
      </c>
      <c r="AC60" s="97" t="e">
        <f t="shared" si="23"/>
        <v>#REF!</v>
      </c>
      <c r="AD60" s="22" t="e">
        <f t="shared" si="24"/>
        <v>#REF!</v>
      </c>
      <c r="AE60" s="22" t="e">
        <f t="shared" si="25"/>
        <v>#REF!</v>
      </c>
      <c r="AF60" s="113" t="e">
        <f t="shared" si="26"/>
        <v>#REF!</v>
      </c>
      <c r="AG60" s="97" t="e">
        <f t="shared" si="27"/>
        <v>#REF!</v>
      </c>
      <c r="AH60" s="22" t="e">
        <f t="shared" si="28"/>
        <v>#REF!</v>
      </c>
      <c r="AI60" s="22" t="e">
        <f t="shared" si="29"/>
        <v>#REF!</v>
      </c>
      <c r="AJ60" s="113" t="e">
        <f t="shared" si="30"/>
        <v>#REF!</v>
      </c>
      <c r="AK60" s="97" t="e">
        <f t="shared" si="31"/>
        <v>#REF!</v>
      </c>
      <c r="AL60" s="22" t="e">
        <f t="shared" si="32"/>
        <v>#REF!</v>
      </c>
      <c r="AM60" s="22" t="e">
        <f t="shared" si="33"/>
        <v>#REF!</v>
      </c>
      <c r="AN60" s="113" t="e">
        <f t="shared" si="34"/>
        <v>#REF!</v>
      </c>
      <c r="AO60" s="97" t="e">
        <f t="shared" si="35"/>
        <v>#REF!</v>
      </c>
      <c r="AP60" s="22" t="e">
        <f t="shared" si="36"/>
        <v>#REF!</v>
      </c>
      <c r="AQ60" s="22" t="e">
        <f t="shared" si="37"/>
        <v>#REF!</v>
      </c>
      <c r="AR60" s="113" t="e">
        <f t="shared" si="38"/>
        <v>#REF!</v>
      </c>
      <c r="AS60" s="97" t="e">
        <f t="shared" si="39"/>
        <v>#REF!</v>
      </c>
      <c r="AT60" s="22" t="e">
        <f t="shared" si="40"/>
        <v>#REF!</v>
      </c>
      <c r="AU60" s="121" t="e">
        <f t="shared" si="41"/>
        <v>#REF!</v>
      </c>
      <c r="AV60" s="122" t="e">
        <f t="shared" si="42"/>
        <v>#REF!</v>
      </c>
      <c r="AW60" s="112"/>
    </row>
    <row r="61" spans="2:49" x14ac:dyDescent="0.25">
      <c r="B61" s="98">
        <f>'הוראת מעבר- הגנה'!B61</f>
        <v>45</v>
      </c>
      <c r="C61" s="98" t="e">
        <f>'הוראת מעבר- הגנה'!C61</f>
        <v>#REF!</v>
      </c>
      <c r="D61" s="53" t="e">
        <f>#REF!</f>
        <v>#REF!</v>
      </c>
      <c r="E61" s="53" t="e">
        <f>IF(#REF!=0,0.00000000001,#REF!)</f>
        <v>#REF!</v>
      </c>
      <c r="F61" s="22" t="e">
        <f t="shared" si="0"/>
        <v>#REF!</v>
      </c>
      <c r="G61" s="22">
        <f t="shared" si="1"/>
        <v>0</v>
      </c>
      <c r="H61" s="113" t="e">
        <f t="shared" si="2"/>
        <v>#REF!</v>
      </c>
      <c r="I61" s="22" t="e">
        <f t="shared" si="3"/>
        <v>#REF!</v>
      </c>
      <c r="J61" s="22" t="e">
        <f t="shared" si="4"/>
        <v>#REF!</v>
      </c>
      <c r="K61" s="22" t="e">
        <f t="shared" si="5"/>
        <v>#REF!</v>
      </c>
      <c r="L61" s="113" t="e">
        <f t="shared" si="6"/>
        <v>#REF!</v>
      </c>
      <c r="M61" s="97" t="e">
        <f t="shared" si="7"/>
        <v>#REF!</v>
      </c>
      <c r="N61" s="22" t="e">
        <f t="shared" si="8"/>
        <v>#REF!</v>
      </c>
      <c r="O61" s="22" t="e">
        <f t="shared" si="9"/>
        <v>#REF!</v>
      </c>
      <c r="P61" s="113" t="e">
        <f t="shared" si="10"/>
        <v>#REF!</v>
      </c>
      <c r="Q61" s="97" t="e">
        <f t="shared" si="11"/>
        <v>#REF!</v>
      </c>
      <c r="R61" s="22" t="e">
        <f t="shared" si="12"/>
        <v>#REF!</v>
      </c>
      <c r="S61" s="22" t="e">
        <f t="shared" si="13"/>
        <v>#REF!</v>
      </c>
      <c r="T61" s="113" t="e">
        <f t="shared" si="14"/>
        <v>#REF!</v>
      </c>
      <c r="U61" s="97" t="e">
        <f t="shared" si="15"/>
        <v>#REF!</v>
      </c>
      <c r="V61" s="22" t="e">
        <f t="shared" si="16"/>
        <v>#REF!</v>
      </c>
      <c r="W61" s="22" t="e">
        <f t="shared" si="17"/>
        <v>#REF!</v>
      </c>
      <c r="X61" s="113" t="e">
        <f t="shared" si="18"/>
        <v>#REF!</v>
      </c>
      <c r="Y61" s="97" t="e">
        <f t="shared" si="19"/>
        <v>#REF!</v>
      </c>
      <c r="Z61" s="22" t="e">
        <f t="shared" si="20"/>
        <v>#REF!</v>
      </c>
      <c r="AA61" s="22" t="e">
        <f t="shared" si="21"/>
        <v>#REF!</v>
      </c>
      <c r="AB61" s="113" t="e">
        <f t="shared" si="22"/>
        <v>#REF!</v>
      </c>
      <c r="AC61" s="97" t="e">
        <f t="shared" si="23"/>
        <v>#REF!</v>
      </c>
      <c r="AD61" s="22" t="e">
        <f t="shared" si="24"/>
        <v>#REF!</v>
      </c>
      <c r="AE61" s="22" t="e">
        <f t="shared" si="25"/>
        <v>#REF!</v>
      </c>
      <c r="AF61" s="113" t="e">
        <f t="shared" si="26"/>
        <v>#REF!</v>
      </c>
      <c r="AG61" s="97" t="e">
        <f t="shared" si="27"/>
        <v>#REF!</v>
      </c>
      <c r="AH61" s="22" t="e">
        <f t="shared" si="28"/>
        <v>#REF!</v>
      </c>
      <c r="AI61" s="22" t="e">
        <f t="shared" si="29"/>
        <v>#REF!</v>
      </c>
      <c r="AJ61" s="113" t="e">
        <f t="shared" si="30"/>
        <v>#REF!</v>
      </c>
      <c r="AK61" s="97" t="e">
        <f t="shared" si="31"/>
        <v>#REF!</v>
      </c>
      <c r="AL61" s="22" t="e">
        <f t="shared" si="32"/>
        <v>#REF!</v>
      </c>
      <c r="AM61" s="22" t="e">
        <f t="shared" si="33"/>
        <v>#REF!</v>
      </c>
      <c r="AN61" s="113" t="e">
        <f t="shared" si="34"/>
        <v>#REF!</v>
      </c>
      <c r="AO61" s="97" t="e">
        <f t="shared" si="35"/>
        <v>#REF!</v>
      </c>
      <c r="AP61" s="22" t="e">
        <f t="shared" si="36"/>
        <v>#REF!</v>
      </c>
      <c r="AQ61" s="22" t="e">
        <f t="shared" si="37"/>
        <v>#REF!</v>
      </c>
      <c r="AR61" s="113" t="e">
        <f t="shared" si="38"/>
        <v>#REF!</v>
      </c>
      <c r="AS61" s="97" t="e">
        <f t="shared" si="39"/>
        <v>#REF!</v>
      </c>
      <c r="AT61" s="22" t="e">
        <f t="shared" si="40"/>
        <v>#REF!</v>
      </c>
      <c r="AU61" s="121" t="e">
        <f t="shared" si="41"/>
        <v>#REF!</v>
      </c>
      <c r="AV61" s="122" t="e">
        <f t="shared" si="42"/>
        <v>#REF!</v>
      </c>
      <c r="AW61" s="112"/>
    </row>
    <row r="62" spans="2:49" x14ac:dyDescent="0.25">
      <c r="B62" s="98">
        <f>'הוראת מעבר- הגנה'!B62</f>
        <v>46</v>
      </c>
      <c r="C62" s="98" t="e">
        <f>'הוראת מעבר- הגנה'!C62</f>
        <v>#REF!</v>
      </c>
      <c r="D62" s="53" t="e">
        <f>#REF!</f>
        <v>#REF!</v>
      </c>
      <c r="E62" s="53" t="e">
        <f>IF(#REF!=0,0.00000000001,#REF!)</f>
        <v>#REF!</v>
      </c>
      <c r="F62" s="22" t="e">
        <f t="shared" si="0"/>
        <v>#REF!</v>
      </c>
      <c r="G62" s="22">
        <f t="shared" si="1"/>
        <v>0</v>
      </c>
      <c r="H62" s="113" t="e">
        <f t="shared" si="2"/>
        <v>#REF!</v>
      </c>
      <c r="I62" s="22" t="e">
        <f t="shared" si="3"/>
        <v>#REF!</v>
      </c>
      <c r="J62" s="22" t="e">
        <f t="shared" si="4"/>
        <v>#REF!</v>
      </c>
      <c r="K62" s="22" t="e">
        <f t="shared" si="5"/>
        <v>#REF!</v>
      </c>
      <c r="L62" s="113" t="e">
        <f t="shared" si="6"/>
        <v>#REF!</v>
      </c>
      <c r="M62" s="97" t="e">
        <f t="shared" si="7"/>
        <v>#REF!</v>
      </c>
      <c r="N62" s="22" t="e">
        <f t="shared" si="8"/>
        <v>#REF!</v>
      </c>
      <c r="O62" s="22" t="e">
        <f t="shared" si="9"/>
        <v>#REF!</v>
      </c>
      <c r="P62" s="113" t="e">
        <f t="shared" si="10"/>
        <v>#REF!</v>
      </c>
      <c r="Q62" s="97" t="e">
        <f t="shared" si="11"/>
        <v>#REF!</v>
      </c>
      <c r="R62" s="22" t="e">
        <f t="shared" si="12"/>
        <v>#REF!</v>
      </c>
      <c r="S62" s="22" t="e">
        <f t="shared" si="13"/>
        <v>#REF!</v>
      </c>
      <c r="T62" s="113" t="e">
        <f t="shared" si="14"/>
        <v>#REF!</v>
      </c>
      <c r="U62" s="97" t="e">
        <f t="shared" si="15"/>
        <v>#REF!</v>
      </c>
      <c r="V62" s="22" t="e">
        <f t="shared" si="16"/>
        <v>#REF!</v>
      </c>
      <c r="W62" s="22" t="e">
        <f t="shared" si="17"/>
        <v>#REF!</v>
      </c>
      <c r="X62" s="113" t="e">
        <f t="shared" si="18"/>
        <v>#REF!</v>
      </c>
      <c r="Y62" s="97" t="e">
        <f t="shared" si="19"/>
        <v>#REF!</v>
      </c>
      <c r="Z62" s="22" t="e">
        <f t="shared" si="20"/>
        <v>#REF!</v>
      </c>
      <c r="AA62" s="22" t="e">
        <f t="shared" si="21"/>
        <v>#REF!</v>
      </c>
      <c r="AB62" s="113" t="e">
        <f t="shared" si="22"/>
        <v>#REF!</v>
      </c>
      <c r="AC62" s="97" t="e">
        <f t="shared" si="23"/>
        <v>#REF!</v>
      </c>
      <c r="AD62" s="22" t="e">
        <f t="shared" si="24"/>
        <v>#REF!</v>
      </c>
      <c r="AE62" s="22" t="e">
        <f t="shared" si="25"/>
        <v>#REF!</v>
      </c>
      <c r="AF62" s="113" t="e">
        <f t="shared" si="26"/>
        <v>#REF!</v>
      </c>
      <c r="AG62" s="97" t="e">
        <f t="shared" si="27"/>
        <v>#REF!</v>
      </c>
      <c r="AH62" s="22" t="e">
        <f t="shared" si="28"/>
        <v>#REF!</v>
      </c>
      <c r="AI62" s="22" t="e">
        <f t="shared" si="29"/>
        <v>#REF!</v>
      </c>
      <c r="AJ62" s="113" t="e">
        <f t="shared" si="30"/>
        <v>#REF!</v>
      </c>
      <c r="AK62" s="97" t="e">
        <f t="shared" si="31"/>
        <v>#REF!</v>
      </c>
      <c r="AL62" s="22" t="e">
        <f t="shared" si="32"/>
        <v>#REF!</v>
      </c>
      <c r="AM62" s="22" t="e">
        <f t="shared" si="33"/>
        <v>#REF!</v>
      </c>
      <c r="AN62" s="113" t="e">
        <f t="shared" si="34"/>
        <v>#REF!</v>
      </c>
      <c r="AO62" s="97" t="e">
        <f t="shared" si="35"/>
        <v>#REF!</v>
      </c>
      <c r="AP62" s="22" t="e">
        <f t="shared" si="36"/>
        <v>#REF!</v>
      </c>
      <c r="AQ62" s="22" t="e">
        <f t="shared" si="37"/>
        <v>#REF!</v>
      </c>
      <c r="AR62" s="113" t="e">
        <f t="shared" si="38"/>
        <v>#REF!</v>
      </c>
      <c r="AS62" s="97" t="e">
        <f t="shared" si="39"/>
        <v>#REF!</v>
      </c>
      <c r="AT62" s="22" t="e">
        <f t="shared" si="40"/>
        <v>#REF!</v>
      </c>
      <c r="AU62" s="121" t="e">
        <f t="shared" si="41"/>
        <v>#REF!</v>
      </c>
      <c r="AV62" s="122" t="e">
        <f t="shared" si="42"/>
        <v>#REF!</v>
      </c>
      <c r="AW62" s="112"/>
    </row>
    <row r="63" spans="2:49" x14ac:dyDescent="0.25">
      <c r="B63" s="98">
        <f>'הוראת מעבר- הגנה'!B63</f>
        <v>47</v>
      </c>
      <c r="C63" s="98" t="e">
        <f>'הוראת מעבר- הגנה'!C63</f>
        <v>#REF!</v>
      </c>
      <c r="D63" s="53" t="e">
        <f>#REF!</f>
        <v>#REF!</v>
      </c>
      <c r="E63" s="53" t="e">
        <f>IF(#REF!=0,0.00000000001,#REF!)</f>
        <v>#REF!</v>
      </c>
      <c r="F63" s="22" t="e">
        <f t="shared" si="0"/>
        <v>#REF!</v>
      </c>
      <c r="G63" s="22">
        <f t="shared" si="1"/>
        <v>0</v>
      </c>
      <c r="H63" s="113" t="e">
        <f t="shared" si="2"/>
        <v>#REF!</v>
      </c>
      <c r="I63" s="22" t="e">
        <f t="shared" si="3"/>
        <v>#REF!</v>
      </c>
      <c r="J63" s="22" t="e">
        <f t="shared" si="4"/>
        <v>#REF!</v>
      </c>
      <c r="K63" s="22" t="e">
        <f t="shared" si="5"/>
        <v>#REF!</v>
      </c>
      <c r="L63" s="113" t="e">
        <f t="shared" si="6"/>
        <v>#REF!</v>
      </c>
      <c r="M63" s="97" t="e">
        <f t="shared" si="7"/>
        <v>#REF!</v>
      </c>
      <c r="N63" s="22" t="e">
        <f t="shared" si="8"/>
        <v>#REF!</v>
      </c>
      <c r="O63" s="22" t="e">
        <f t="shared" si="9"/>
        <v>#REF!</v>
      </c>
      <c r="P63" s="113" t="e">
        <f t="shared" si="10"/>
        <v>#REF!</v>
      </c>
      <c r="Q63" s="97" t="e">
        <f t="shared" si="11"/>
        <v>#REF!</v>
      </c>
      <c r="R63" s="22" t="e">
        <f t="shared" si="12"/>
        <v>#REF!</v>
      </c>
      <c r="S63" s="22" t="e">
        <f t="shared" si="13"/>
        <v>#REF!</v>
      </c>
      <c r="T63" s="113" t="e">
        <f t="shared" si="14"/>
        <v>#REF!</v>
      </c>
      <c r="U63" s="97" t="e">
        <f t="shared" si="15"/>
        <v>#REF!</v>
      </c>
      <c r="V63" s="22" t="e">
        <f t="shared" si="16"/>
        <v>#REF!</v>
      </c>
      <c r="W63" s="22" t="e">
        <f t="shared" si="17"/>
        <v>#REF!</v>
      </c>
      <c r="X63" s="113" t="e">
        <f t="shared" si="18"/>
        <v>#REF!</v>
      </c>
      <c r="Y63" s="97" t="e">
        <f t="shared" si="19"/>
        <v>#REF!</v>
      </c>
      <c r="Z63" s="22" t="e">
        <f t="shared" si="20"/>
        <v>#REF!</v>
      </c>
      <c r="AA63" s="22" t="e">
        <f t="shared" si="21"/>
        <v>#REF!</v>
      </c>
      <c r="AB63" s="113" t="e">
        <f t="shared" si="22"/>
        <v>#REF!</v>
      </c>
      <c r="AC63" s="97" t="e">
        <f t="shared" si="23"/>
        <v>#REF!</v>
      </c>
      <c r="AD63" s="22" t="e">
        <f t="shared" si="24"/>
        <v>#REF!</v>
      </c>
      <c r="AE63" s="22" t="e">
        <f t="shared" si="25"/>
        <v>#REF!</v>
      </c>
      <c r="AF63" s="113" t="e">
        <f t="shared" si="26"/>
        <v>#REF!</v>
      </c>
      <c r="AG63" s="97" t="e">
        <f t="shared" si="27"/>
        <v>#REF!</v>
      </c>
      <c r="AH63" s="22" t="e">
        <f t="shared" si="28"/>
        <v>#REF!</v>
      </c>
      <c r="AI63" s="22" t="e">
        <f t="shared" si="29"/>
        <v>#REF!</v>
      </c>
      <c r="AJ63" s="113" t="e">
        <f t="shared" si="30"/>
        <v>#REF!</v>
      </c>
      <c r="AK63" s="97" t="e">
        <f t="shared" si="31"/>
        <v>#REF!</v>
      </c>
      <c r="AL63" s="22" t="e">
        <f t="shared" si="32"/>
        <v>#REF!</v>
      </c>
      <c r="AM63" s="22" t="e">
        <f t="shared" si="33"/>
        <v>#REF!</v>
      </c>
      <c r="AN63" s="113" t="e">
        <f t="shared" si="34"/>
        <v>#REF!</v>
      </c>
      <c r="AO63" s="97" t="e">
        <f t="shared" si="35"/>
        <v>#REF!</v>
      </c>
      <c r="AP63" s="22" t="e">
        <f t="shared" si="36"/>
        <v>#REF!</v>
      </c>
      <c r="AQ63" s="22" t="e">
        <f t="shared" si="37"/>
        <v>#REF!</v>
      </c>
      <c r="AR63" s="113" t="e">
        <f t="shared" si="38"/>
        <v>#REF!</v>
      </c>
      <c r="AS63" s="97" t="e">
        <f t="shared" si="39"/>
        <v>#REF!</v>
      </c>
      <c r="AT63" s="22" t="e">
        <f t="shared" si="40"/>
        <v>#REF!</v>
      </c>
      <c r="AU63" s="121" t="e">
        <f t="shared" si="41"/>
        <v>#REF!</v>
      </c>
      <c r="AV63" s="122" t="e">
        <f t="shared" si="42"/>
        <v>#REF!</v>
      </c>
      <c r="AW63" s="112"/>
    </row>
    <row r="64" spans="2:49" x14ac:dyDescent="0.25">
      <c r="B64" s="98">
        <f>'הוראת מעבר- הגנה'!B64</f>
        <v>48</v>
      </c>
      <c r="C64" s="98" t="e">
        <f>'הוראת מעבר- הגנה'!C64</f>
        <v>#REF!</v>
      </c>
      <c r="D64" s="53" t="e">
        <f>#REF!</f>
        <v>#REF!</v>
      </c>
      <c r="E64" s="53" t="e">
        <f>IF(#REF!=0,0.00000000001,#REF!)</f>
        <v>#REF!</v>
      </c>
      <c r="F64" s="22" t="e">
        <f t="shared" si="0"/>
        <v>#REF!</v>
      </c>
      <c r="G64" s="22">
        <f t="shared" si="1"/>
        <v>0</v>
      </c>
      <c r="H64" s="113" t="e">
        <f t="shared" si="2"/>
        <v>#REF!</v>
      </c>
      <c r="I64" s="22" t="e">
        <f t="shared" si="3"/>
        <v>#REF!</v>
      </c>
      <c r="J64" s="22" t="e">
        <f t="shared" si="4"/>
        <v>#REF!</v>
      </c>
      <c r="K64" s="22" t="e">
        <f t="shared" si="5"/>
        <v>#REF!</v>
      </c>
      <c r="L64" s="113" t="e">
        <f t="shared" si="6"/>
        <v>#REF!</v>
      </c>
      <c r="M64" s="97" t="e">
        <f t="shared" si="7"/>
        <v>#REF!</v>
      </c>
      <c r="N64" s="22" t="e">
        <f t="shared" si="8"/>
        <v>#REF!</v>
      </c>
      <c r="O64" s="22" t="e">
        <f t="shared" si="9"/>
        <v>#REF!</v>
      </c>
      <c r="P64" s="113" t="e">
        <f t="shared" si="10"/>
        <v>#REF!</v>
      </c>
      <c r="Q64" s="97" t="e">
        <f t="shared" si="11"/>
        <v>#REF!</v>
      </c>
      <c r="R64" s="22" t="e">
        <f t="shared" si="12"/>
        <v>#REF!</v>
      </c>
      <c r="S64" s="22" t="e">
        <f t="shared" si="13"/>
        <v>#REF!</v>
      </c>
      <c r="T64" s="113" t="e">
        <f t="shared" si="14"/>
        <v>#REF!</v>
      </c>
      <c r="U64" s="97" t="e">
        <f t="shared" si="15"/>
        <v>#REF!</v>
      </c>
      <c r="V64" s="22" t="e">
        <f t="shared" si="16"/>
        <v>#REF!</v>
      </c>
      <c r="W64" s="22" t="e">
        <f t="shared" si="17"/>
        <v>#REF!</v>
      </c>
      <c r="X64" s="113" t="e">
        <f t="shared" si="18"/>
        <v>#REF!</v>
      </c>
      <c r="Y64" s="97" t="e">
        <f t="shared" si="19"/>
        <v>#REF!</v>
      </c>
      <c r="Z64" s="22" t="e">
        <f t="shared" si="20"/>
        <v>#REF!</v>
      </c>
      <c r="AA64" s="22" t="e">
        <f t="shared" si="21"/>
        <v>#REF!</v>
      </c>
      <c r="AB64" s="113" t="e">
        <f t="shared" si="22"/>
        <v>#REF!</v>
      </c>
      <c r="AC64" s="97" t="e">
        <f t="shared" si="23"/>
        <v>#REF!</v>
      </c>
      <c r="AD64" s="22" t="e">
        <f t="shared" si="24"/>
        <v>#REF!</v>
      </c>
      <c r="AE64" s="22" t="e">
        <f t="shared" si="25"/>
        <v>#REF!</v>
      </c>
      <c r="AF64" s="113" t="e">
        <f t="shared" si="26"/>
        <v>#REF!</v>
      </c>
      <c r="AG64" s="97" t="e">
        <f t="shared" si="27"/>
        <v>#REF!</v>
      </c>
      <c r="AH64" s="22" t="e">
        <f t="shared" si="28"/>
        <v>#REF!</v>
      </c>
      <c r="AI64" s="22" t="e">
        <f t="shared" si="29"/>
        <v>#REF!</v>
      </c>
      <c r="AJ64" s="113" t="e">
        <f t="shared" si="30"/>
        <v>#REF!</v>
      </c>
      <c r="AK64" s="97" t="e">
        <f t="shared" si="31"/>
        <v>#REF!</v>
      </c>
      <c r="AL64" s="22" t="e">
        <f t="shared" si="32"/>
        <v>#REF!</v>
      </c>
      <c r="AM64" s="22" t="e">
        <f t="shared" si="33"/>
        <v>#REF!</v>
      </c>
      <c r="AN64" s="113" t="e">
        <f t="shared" si="34"/>
        <v>#REF!</v>
      </c>
      <c r="AO64" s="97" t="e">
        <f t="shared" si="35"/>
        <v>#REF!</v>
      </c>
      <c r="AP64" s="22" t="e">
        <f t="shared" si="36"/>
        <v>#REF!</v>
      </c>
      <c r="AQ64" s="22" t="e">
        <f t="shared" si="37"/>
        <v>#REF!</v>
      </c>
      <c r="AR64" s="113" t="e">
        <f t="shared" si="38"/>
        <v>#REF!</v>
      </c>
      <c r="AS64" s="97" t="e">
        <f t="shared" si="39"/>
        <v>#REF!</v>
      </c>
      <c r="AT64" s="22" t="e">
        <f t="shared" si="40"/>
        <v>#REF!</v>
      </c>
      <c r="AU64" s="121" t="e">
        <f t="shared" si="41"/>
        <v>#REF!</v>
      </c>
      <c r="AV64" s="122" t="e">
        <f t="shared" si="42"/>
        <v>#REF!</v>
      </c>
      <c r="AW64" s="112"/>
    </row>
    <row r="65" spans="2:49" x14ac:dyDescent="0.25">
      <c r="B65" s="98">
        <f>'הוראת מעבר- הגנה'!B65</f>
        <v>49</v>
      </c>
      <c r="C65" s="98" t="e">
        <f>'הוראת מעבר- הגנה'!C65</f>
        <v>#REF!</v>
      </c>
      <c r="D65" s="53" t="e">
        <f>#REF!</f>
        <v>#REF!</v>
      </c>
      <c r="E65" s="53" t="e">
        <f>IF(#REF!=0,0.00000000001,#REF!)</f>
        <v>#REF!</v>
      </c>
      <c r="F65" s="22" t="e">
        <f t="shared" si="0"/>
        <v>#REF!</v>
      </c>
      <c r="G65" s="22">
        <f t="shared" si="1"/>
        <v>0</v>
      </c>
      <c r="H65" s="113" t="e">
        <f t="shared" si="2"/>
        <v>#REF!</v>
      </c>
      <c r="I65" s="22" t="e">
        <f t="shared" si="3"/>
        <v>#REF!</v>
      </c>
      <c r="J65" s="22" t="e">
        <f t="shared" si="4"/>
        <v>#REF!</v>
      </c>
      <c r="K65" s="22" t="e">
        <f t="shared" si="5"/>
        <v>#REF!</v>
      </c>
      <c r="L65" s="113" t="e">
        <f t="shared" si="6"/>
        <v>#REF!</v>
      </c>
      <c r="M65" s="97" t="e">
        <f t="shared" si="7"/>
        <v>#REF!</v>
      </c>
      <c r="N65" s="22" t="e">
        <f t="shared" si="8"/>
        <v>#REF!</v>
      </c>
      <c r="O65" s="22" t="e">
        <f t="shared" si="9"/>
        <v>#REF!</v>
      </c>
      <c r="P65" s="113" t="e">
        <f t="shared" si="10"/>
        <v>#REF!</v>
      </c>
      <c r="Q65" s="97" t="e">
        <f t="shared" si="11"/>
        <v>#REF!</v>
      </c>
      <c r="R65" s="22" t="e">
        <f t="shared" si="12"/>
        <v>#REF!</v>
      </c>
      <c r="S65" s="22" t="e">
        <f t="shared" si="13"/>
        <v>#REF!</v>
      </c>
      <c r="T65" s="113" t="e">
        <f t="shared" si="14"/>
        <v>#REF!</v>
      </c>
      <c r="U65" s="97" t="e">
        <f t="shared" si="15"/>
        <v>#REF!</v>
      </c>
      <c r="V65" s="22" t="e">
        <f t="shared" si="16"/>
        <v>#REF!</v>
      </c>
      <c r="W65" s="22" t="e">
        <f t="shared" si="17"/>
        <v>#REF!</v>
      </c>
      <c r="X65" s="113" t="e">
        <f t="shared" si="18"/>
        <v>#REF!</v>
      </c>
      <c r="Y65" s="97" t="e">
        <f t="shared" si="19"/>
        <v>#REF!</v>
      </c>
      <c r="Z65" s="22" t="e">
        <f t="shared" si="20"/>
        <v>#REF!</v>
      </c>
      <c r="AA65" s="22" t="e">
        <f t="shared" si="21"/>
        <v>#REF!</v>
      </c>
      <c r="AB65" s="113" t="e">
        <f t="shared" si="22"/>
        <v>#REF!</v>
      </c>
      <c r="AC65" s="97" t="e">
        <f t="shared" si="23"/>
        <v>#REF!</v>
      </c>
      <c r="AD65" s="22" t="e">
        <f t="shared" si="24"/>
        <v>#REF!</v>
      </c>
      <c r="AE65" s="22" t="e">
        <f t="shared" si="25"/>
        <v>#REF!</v>
      </c>
      <c r="AF65" s="113" t="e">
        <f t="shared" si="26"/>
        <v>#REF!</v>
      </c>
      <c r="AG65" s="97" t="e">
        <f t="shared" si="27"/>
        <v>#REF!</v>
      </c>
      <c r="AH65" s="22" t="e">
        <f t="shared" si="28"/>
        <v>#REF!</v>
      </c>
      <c r="AI65" s="22" t="e">
        <f t="shared" si="29"/>
        <v>#REF!</v>
      </c>
      <c r="AJ65" s="113" t="e">
        <f t="shared" si="30"/>
        <v>#REF!</v>
      </c>
      <c r="AK65" s="97" t="e">
        <f t="shared" si="31"/>
        <v>#REF!</v>
      </c>
      <c r="AL65" s="22" t="e">
        <f t="shared" si="32"/>
        <v>#REF!</v>
      </c>
      <c r="AM65" s="22" t="e">
        <f t="shared" si="33"/>
        <v>#REF!</v>
      </c>
      <c r="AN65" s="113" t="e">
        <f t="shared" si="34"/>
        <v>#REF!</v>
      </c>
      <c r="AO65" s="97" t="e">
        <f t="shared" si="35"/>
        <v>#REF!</v>
      </c>
      <c r="AP65" s="22" t="e">
        <f t="shared" si="36"/>
        <v>#REF!</v>
      </c>
      <c r="AQ65" s="22" t="e">
        <f t="shared" si="37"/>
        <v>#REF!</v>
      </c>
      <c r="AR65" s="113" t="e">
        <f t="shared" si="38"/>
        <v>#REF!</v>
      </c>
      <c r="AS65" s="97" t="e">
        <f t="shared" si="39"/>
        <v>#REF!</v>
      </c>
      <c r="AT65" s="22" t="e">
        <f t="shared" si="40"/>
        <v>#REF!</v>
      </c>
      <c r="AU65" s="121" t="e">
        <f t="shared" si="41"/>
        <v>#REF!</v>
      </c>
      <c r="AV65" s="122" t="e">
        <f t="shared" si="42"/>
        <v>#REF!</v>
      </c>
      <c r="AW65" s="112"/>
    </row>
    <row r="66" spans="2:49" x14ac:dyDescent="0.25">
      <c r="B66" s="98">
        <f>'הוראת מעבר- הגנה'!B66</f>
        <v>50</v>
      </c>
      <c r="C66" s="98" t="e">
        <f>'הוראת מעבר- הגנה'!C66</f>
        <v>#REF!</v>
      </c>
      <c r="D66" s="53" t="e">
        <f>#REF!</f>
        <v>#REF!</v>
      </c>
      <c r="E66" s="53" t="e">
        <f>IF(#REF!=0,0.00000000001,#REF!)</f>
        <v>#REF!</v>
      </c>
      <c r="F66" s="22" t="e">
        <f t="shared" si="0"/>
        <v>#REF!</v>
      </c>
      <c r="G66" s="22">
        <f t="shared" si="1"/>
        <v>0</v>
      </c>
      <c r="H66" s="113" t="e">
        <f t="shared" si="2"/>
        <v>#REF!</v>
      </c>
      <c r="I66" s="22" t="e">
        <f t="shared" si="3"/>
        <v>#REF!</v>
      </c>
      <c r="J66" s="22" t="e">
        <f t="shared" si="4"/>
        <v>#REF!</v>
      </c>
      <c r="K66" s="22" t="e">
        <f t="shared" si="5"/>
        <v>#REF!</v>
      </c>
      <c r="L66" s="113" t="e">
        <f t="shared" si="6"/>
        <v>#REF!</v>
      </c>
      <c r="M66" s="97" t="e">
        <f t="shared" si="7"/>
        <v>#REF!</v>
      </c>
      <c r="N66" s="22" t="e">
        <f t="shared" si="8"/>
        <v>#REF!</v>
      </c>
      <c r="O66" s="22" t="e">
        <f t="shared" si="9"/>
        <v>#REF!</v>
      </c>
      <c r="P66" s="113" t="e">
        <f t="shared" si="10"/>
        <v>#REF!</v>
      </c>
      <c r="Q66" s="97" t="e">
        <f t="shared" si="11"/>
        <v>#REF!</v>
      </c>
      <c r="R66" s="22" t="e">
        <f t="shared" si="12"/>
        <v>#REF!</v>
      </c>
      <c r="S66" s="22" t="e">
        <f t="shared" si="13"/>
        <v>#REF!</v>
      </c>
      <c r="T66" s="113" t="e">
        <f t="shared" si="14"/>
        <v>#REF!</v>
      </c>
      <c r="U66" s="97" t="e">
        <f t="shared" si="15"/>
        <v>#REF!</v>
      </c>
      <c r="V66" s="22" t="e">
        <f t="shared" si="16"/>
        <v>#REF!</v>
      </c>
      <c r="W66" s="22" t="e">
        <f t="shared" si="17"/>
        <v>#REF!</v>
      </c>
      <c r="X66" s="113" t="e">
        <f t="shared" si="18"/>
        <v>#REF!</v>
      </c>
      <c r="Y66" s="97" t="e">
        <f t="shared" si="19"/>
        <v>#REF!</v>
      </c>
      <c r="Z66" s="22" t="e">
        <f t="shared" si="20"/>
        <v>#REF!</v>
      </c>
      <c r="AA66" s="22" t="e">
        <f t="shared" si="21"/>
        <v>#REF!</v>
      </c>
      <c r="AB66" s="113" t="e">
        <f t="shared" si="22"/>
        <v>#REF!</v>
      </c>
      <c r="AC66" s="97" t="e">
        <f t="shared" si="23"/>
        <v>#REF!</v>
      </c>
      <c r="AD66" s="22" t="e">
        <f t="shared" si="24"/>
        <v>#REF!</v>
      </c>
      <c r="AE66" s="22" t="e">
        <f t="shared" si="25"/>
        <v>#REF!</v>
      </c>
      <c r="AF66" s="113" t="e">
        <f t="shared" si="26"/>
        <v>#REF!</v>
      </c>
      <c r="AG66" s="97" t="e">
        <f t="shared" si="27"/>
        <v>#REF!</v>
      </c>
      <c r="AH66" s="22" t="e">
        <f t="shared" si="28"/>
        <v>#REF!</v>
      </c>
      <c r="AI66" s="22" t="e">
        <f t="shared" si="29"/>
        <v>#REF!</v>
      </c>
      <c r="AJ66" s="113" t="e">
        <f t="shared" si="30"/>
        <v>#REF!</v>
      </c>
      <c r="AK66" s="97" t="e">
        <f t="shared" si="31"/>
        <v>#REF!</v>
      </c>
      <c r="AL66" s="22" t="e">
        <f t="shared" si="32"/>
        <v>#REF!</v>
      </c>
      <c r="AM66" s="22" t="e">
        <f t="shared" si="33"/>
        <v>#REF!</v>
      </c>
      <c r="AN66" s="113" t="e">
        <f t="shared" si="34"/>
        <v>#REF!</v>
      </c>
      <c r="AO66" s="97" t="e">
        <f t="shared" si="35"/>
        <v>#REF!</v>
      </c>
      <c r="AP66" s="22" t="e">
        <f t="shared" si="36"/>
        <v>#REF!</v>
      </c>
      <c r="AQ66" s="22" t="e">
        <f t="shared" si="37"/>
        <v>#REF!</v>
      </c>
      <c r="AR66" s="113" t="e">
        <f t="shared" si="38"/>
        <v>#REF!</v>
      </c>
      <c r="AS66" s="97" t="e">
        <f t="shared" si="39"/>
        <v>#REF!</v>
      </c>
      <c r="AT66" s="22" t="e">
        <f t="shared" si="40"/>
        <v>#REF!</v>
      </c>
      <c r="AU66" s="121" t="e">
        <f t="shared" si="41"/>
        <v>#REF!</v>
      </c>
      <c r="AV66" s="122" t="e">
        <f t="shared" si="42"/>
        <v>#REF!</v>
      </c>
      <c r="AW66" s="112"/>
    </row>
    <row r="67" spans="2:49" x14ac:dyDescent="0.25">
      <c r="B67" s="98">
        <f>'הוראת מעבר- הגנה'!B67</f>
        <v>51</v>
      </c>
      <c r="C67" s="98" t="e">
        <f>'הוראת מעבר- הגנה'!C67</f>
        <v>#REF!</v>
      </c>
      <c r="D67" s="53" t="e">
        <f>#REF!</f>
        <v>#REF!</v>
      </c>
      <c r="E67" s="53" t="e">
        <f>IF(#REF!=0,0.00000000001,#REF!)</f>
        <v>#REF!</v>
      </c>
      <c r="F67" s="22" t="e">
        <f t="shared" si="0"/>
        <v>#REF!</v>
      </c>
      <c r="G67" s="22">
        <f t="shared" si="1"/>
        <v>0</v>
      </c>
      <c r="H67" s="113" t="e">
        <f t="shared" si="2"/>
        <v>#REF!</v>
      </c>
      <c r="I67" s="22" t="e">
        <f t="shared" si="3"/>
        <v>#REF!</v>
      </c>
      <c r="J67" s="22" t="e">
        <f t="shared" si="4"/>
        <v>#REF!</v>
      </c>
      <c r="K67" s="22" t="e">
        <f t="shared" si="5"/>
        <v>#REF!</v>
      </c>
      <c r="L67" s="113" t="e">
        <f t="shared" si="6"/>
        <v>#REF!</v>
      </c>
      <c r="M67" s="97" t="e">
        <f t="shared" si="7"/>
        <v>#REF!</v>
      </c>
      <c r="N67" s="22" t="e">
        <f t="shared" si="8"/>
        <v>#REF!</v>
      </c>
      <c r="O67" s="22" t="e">
        <f t="shared" si="9"/>
        <v>#REF!</v>
      </c>
      <c r="P67" s="113" t="e">
        <f t="shared" si="10"/>
        <v>#REF!</v>
      </c>
      <c r="Q67" s="97" t="e">
        <f t="shared" si="11"/>
        <v>#REF!</v>
      </c>
      <c r="R67" s="22" t="e">
        <f t="shared" si="12"/>
        <v>#REF!</v>
      </c>
      <c r="S67" s="22" t="e">
        <f t="shared" si="13"/>
        <v>#REF!</v>
      </c>
      <c r="T67" s="113" t="e">
        <f t="shared" si="14"/>
        <v>#REF!</v>
      </c>
      <c r="U67" s="97" t="e">
        <f t="shared" si="15"/>
        <v>#REF!</v>
      </c>
      <c r="V67" s="22" t="e">
        <f t="shared" si="16"/>
        <v>#REF!</v>
      </c>
      <c r="W67" s="22" t="e">
        <f t="shared" si="17"/>
        <v>#REF!</v>
      </c>
      <c r="X67" s="113" t="e">
        <f t="shared" si="18"/>
        <v>#REF!</v>
      </c>
      <c r="Y67" s="97" t="e">
        <f t="shared" si="19"/>
        <v>#REF!</v>
      </c>
      <c r="Z67" s="22" t="e">
        <f t="shared" si="20"/>
        <v>#REF!</v>
      </c>
      <c r="AA67" s="22" t="e">
        <f t="shared" si="21"/>
        <v>#REF!</v>
      </c>
      <c r="AB67" s="113" t="e">
        <f t="shared" si="22"/>
        <v>#REF!</v>
      </c>
      <c r="AC67" s="97" t="e">
        <f t="shared" si="23"/>
        <v>#REF!</v>
      </c>
      <c r="AD67" s="22" t="e">
        <f t="shared" si="24"/>
        <v>#REF!</v>
      </c>
      <c r="AE67" s="22" t="e">
        <f t="shared" si="25"/>
        <v>#REF!</v>
      </c>
      <c r="AF67" s="113" t="e">
        <f t="shared" si="26"/>
        <v>#REF!</v>
      </c>
      <c r="AG67" s="97" t="e">
        <f t="shared" si="27"/>
        <v>#REF!</v>
      </c>
      <c r="AH67" s="22" t="e">
        <f t="shared" si="28"/>
        <v>#REF!</v>
      </c>
      <c r="AI67" s="22" t="e">
        <f t="shared" si="29"/>
        <v>#REF!</v>
      </c>
      <c r="AJ67" s="113" t="e">
        <f t="shared" si="30"/>
        <v>#REF!</v>
      </c>
      <c r="AK67" s="97" t="e">
        <f t="shared" si="31"/>
        <v>#REF!</v>
      </c>
      <c r="AL67" s="22" t="e">
        <f t="shared" si="32"/>
        <v>#REF!</v>
      </c>
      <c r="AM67" s="22" t="e">
        <f t="shared" si="33"/>
        <v>#REF!</v>
      </c>
      <c r="AN67" s="113" t="e">
        <f t="shared" si="34"/>
        <v>#REF!</v>
      </c>
      <c r="AO67" s="97" t="e">
        <f t="shared" si="35"/>
        <v>#REF!</v>
      </c>
      <c r="AP67" s="22" t="e">
        <f t="shared" si="36"/>
        <v>#REF!</v>
      </c>
      <c r="AQ67" s="22" t="e">
        <f t="shared" si="37"/>
        <v>#REF!</v>
      </c>
      <c r="AR67" s="113" t="e">
        <f t="shared" si="38"/>
        <v>#REF!</v>
      </c>
      <c r="AS67" s="97" t="e">
        <f t="shared" si="39"/>
        <v>#REF!</v>
      </c>
      <c r="AT67" s="22" t="e">
        <f t="shared" si="40"/>
        <v>#REF!</v>
      </c>
      <c r="AU67" s="121" t="e">
        <f t="shared" si="41"/>
        <v>#REF!</v>
      </c>
      <c r="AV67" s="122" t="e">
        <f t="shared" si="42"/>
        <v>#REF!</v>
      </c>
      <c r="AW67" s="112"/>
    </row>
    <row r="68" spans="2:49" x14ac:dyDescent="0.25">
      <c r="B68" s="98">
        <f>'הוראת מעבר- הגנה'!B68</f>
        <v>52</v>
      </c>
      <c r="C68" s="98" t="e">
        <f>'הוראת מעבר- הגנה'!C68</f>
        <v>#REF!</v>
      </c>
      <c r="D68" s="53" t="e">
        <f>#REF!</f>
        <v>#REF!</v>
      </c>
      <c r="E68" s="53" t="e">
        <f>IF(#REF!=0,0.00000000001,#REF!)</f>
        <v>#REF!</v>
      </c>
      <c r="F68" s="22" t="e">
        <f t="shared" si="0"/>
        <v>#REF!</v>
      </c>
      <c r="G68" s="22">
        <f t="shared" si="1"/>
        <v>0</v>
      </c>
      <c r="H68" s="113" t="e">
        <f t="shared" si="2"/>
        <v>#REF!</v>
      </c>
      <c r="I68" s="22" t="e">
        <f t="shared" si="3"/>
        <v>#REF!</v>
      </c>
      <c r="J68" s="22" t="e">
        <f t="shared" si="4"/>
        <v>#REF!</v>
      </c>
      <c r="K68" s="22" t="e">
        <f t="shared" si="5"/>
        <v>#REF!</v>
      </c>
      <c r="L68" s="113" t="e">
        <f t="shared" si="6"/>
        <v>#REF!</v>
      </c>
      <c r="M68" s="97" t="e">
        <f t="shared" si="7"/>
        <v>#REF!</v>
      </c>
      <c r="N68" s="22" t="e">
        <f t="shared" si="8"/>
        <v>#REF!</v>
      </c>
      <c r="O68" s="22" t="e">
        <f t="shared" si="9"/>
        <v>#REF!</v>
      </c>
      <c r="P68" s="113" t="e">
        <f t="shared" si="10"/>
        <v>#REF!</v>
      </c>
      <c r="Q68" s="97" t="e">
        <f t="shared" si="11"/>
        <v>#REF!</v>
      </c>
      <c r="R68" s="22" t="e">
        <f t="shared" si="12"/>
        <v>#REF!</v>
      </c>
      <c r="S68" s="22" t="e">
        <f t="shared" si="13"/>
        <v>#REF!</v>
      </c>
      <c r="T68" s="113" t="e">
        <f t="shared" si="14"/>
        <v>#REF!</v>
      </c>
      <c r="U68" s="97" t="e">
        <f t="shared" si="15"/>
        <v>#REF!</v>
      </c>
      <c r="V68" s="22" t="e">
        <f t="shared" si="16"/>
        <v>#REF!</v>
      </c>
      <c r="W68" s="22" t="e">
        <f t="shared" si="17"/>
        <v>#REF!</v>
      </c>
      <c r="X68" s="113" t="e">
        <f t="shared" si="18"/>
        <v>#REF!</v>
      </c>
      <c r="Y68" s="97" t="e">
        <f t="shared" si="19"/>
        <v>#REF!</v>
      </c>
      <c r="Z68" s="22" t="e">
        <f t="shared" si="20"/>
        <v>#REF!</v>
      </c>
      <c r="AA68" s="22" t="e">
        <f t="shared" si="21"/>
        <v>#REF!</v>
      </c>
      <c r="AB68" s="113" t="e">
        <f t="shared" si="22"/>
        <v>#REF!</v>
      </c>
      <c r="AC68" s="97" t="e">
        <f t="shared" si="23"/>
        <v>#REF!</v>
      </c>
      <c r="AD68" s="22" t="e">
        <f t="shared" si="24"/>
        <v>#REF!</v>
      </c>
      <c r="AE68" s="22" t="e">
        <f t="shared" si="25"/>
        <v>#REF!</v>
      </c>
      <c r="AF68" s="113" t="e">
        <f t="shared" si="26"/>
        <v>#REF!</v>
      </c>
      <c r="AG68" s="97" t="e">
        <f t="shared" si="27"/>
        <v>#REF!</v>
      </c>
      <c r="AH68" s="22" t="e">
        <f t="shared" si="28"/>
        <v>#REF!</v>
      </c>
      <c r="AI68" s="22" t="e">
        <f t="shared" si="29"/>
        <v>#REF!</v>
      </c>
      <c r="AJ68" s="113" t="e">
        <f t="shared" si="30"/>
        <v>#REF!</v>
      </c>
      <c r="AK68" s="97" t="e">
        <f t="shared" si="31"/>
        <v>#REF!</v>
      </c>
      <c r="AL68" s="22" t="e">
        <f t="shared" si="32"/>
        <v>#REF!</v>
      </c>
      <c r="AM68" s="22" t="e">
        <f t="shared" si="33"/>
        <v>#REF!</v>
      </c>
      <c r="AN68" s="113" t="e">
        <f t="shared" si="34"/>
        <v>#REF!</v>
      </c>
      <c r="AO68" s="97" t="e">
        <f t="shared" si="35"/>
        <v>#REF!</v>
      </c>
      <c r="AP68" s="22" t="e">
        <f t="shared" si="36"/>
        <v>#REF!</v>
      </c>
      <c r="AQ68" s="22" t="e">
        <f t="shared" si="37"/>
        <v>#REF!</v>
      </c>
      <c r="AR68" s="113" t="e">
        <f t="shared" si="38"/>
        <v>#REF!</v>
      </c>
      <c r="AS68" s="97" t="e">
        <f t="shared" si="39"/>
        <v>#REF!</v>
      </c>
      <c r="AT68" s="22" t="e">
        <f t="shared" si="40"/>
        <v>#REF!</v>
      </c>
      <c r="AU68" s="121" t="e">
        <f t="shared" si="41"/>
        <v>#REF!</v>
      </c>
      <c r="AV68" s="122" t="e">
        <f t="shared" si="42"/>
        <v>#REF!</v>
      </c>
      <c r="AW68" s="112"/>
    </row>
    <row r="69" spans="2:49" x14ac:dyDescent="0.25">
      <c r="B69" s="98">
        <f>'הוראת מעבר- הגנה'!B69</f>
        <v>53</v>
      </c>
      <c r="C69" s="98" t="e">
        <f>'הוראת מעבר- הגנה'!C69</f>
        <v>#REF!</v>
      </c>
      <c r="D69" s="53" t="e">
        <f>#REF!</f>
        <v>#REF!</v>
      </c>
      <c r="E69" s="53" t="e">
        <f>IF(#REF!=0,0.00000000001,#REF!)</f>
        <v>#REF!</v>
      </c>
      <c r="F69" s="22" t="e">
        <f t="shared" ref="F69:F76" si="43">IF(C69="","",IF(E69=0.00000000001,1,D69/E69))</f>
        <v>#REF!</v>
      </c>
      <c r="G69" s="22">
        <f t="shared" si="1"/>
        <v>0</v>
      </c>
      <c r="H69" s="113" t="e">
        <f t="shared" si="2"/>
        <v>#REF!</v>
      </c>
      <c r="I69" s="22" t="e">
        <f t="shared" si="3"/>
        <v>#REF!</v>
      </c>
      <c r="J69" s="22" t="e">
        <f t="shared" si="4"/>
        <v>#REF!</v>
      </c>
      <c r="K69" s="22" t="e">
        <f t="shared" si="5"/>
        <v>#REF!</v>
      </c>
      <c r="L69" s="113" t="e">
        <f t="shared" si="6"/>
        <v>#REF!</v>
      </c>
      <c r="M69" s="97" t="e">
        <f t="shared" ref="M69:M76" si="44">IF($C69="","",IF(L69=1,$G69*$E69,J69))</f>
        <v>#REF!</v>
      </c>
      <c r="N69" s="22" t="e">
        <f t="shared" si="8"/>
        <v>#REF!</v>
      </c>
      <c r="O69" s="22" t="e">
        <f t="shared" ref="O69:O76" si="45">IF($C69="","",N69/$E69)</f>
        <v>#REF!</v>
      </c>
      <c r="P69" s="113" t="e">
        <f t="shared" si="10"/>
        <v>#REF!</v>
      </c>
      <c r="Q69" s="97" t="e">
        <f t="shared" ref="Q69:Q76" si="46">IF($C69="","",IF(P69=1,$G69*$E69,N69))</f>
        <v>#REF!</v>
      </c>
      <c r="R69" s="22" t="e">
        <f t="shared" si="12"/>
        <v>#REF!</v>
      </c>
      <c r="S69" s="22" t="e">
        <f t="shared" ref="S69:S76" si="47">IF($C69="","",R69/$E69)</f>
        <v>#REF!</v>
      </c>
      <c r="T69" s="113" t="e">
        <f t="shared" si="14"/>
        <v>#REF!</v>
      </c>
      <c r="U69" s="97" t="e">
        <f t="shared" ref="U69:U76" si="48">IF($C69="","",IF(T69=1,$G69*$E69,R69))</f>
        <v>#REF!</v>
      </c>
      <c r="V69" s="22" t="e">
        <f t="shared" si="16"/>
        <v>#REF!</v>
      </c>
      <c r="W69" s="22" t="e">
        <f t="shared" ref="W69:W76" si="49">IF($C69="","",V69/$E69)</f>
        <v>#REF!</v>
      </c>
      <c r="X69" s="113" t="e">
        <f t="shared" si="18"/>
        <v>#REF!</v>
      </c>
      <c r="Y69" s="97" t="e">
        <f t="shared" ref="Y69:Y76" si="50">IF($C69="","",IF(X69=1,$G69*$E69,V69))</f>
        <v>#REF!</v>
      </c>
      <c r="Z69" s="22" t="e">
        <f t="shared" si="20"/>
        <v>#REF!</v>
      </c>
      <c r="AA69" s="22" t="e">
        <f t="shared" ref="AA69:AA76" si="51">IF($C69="","",Z69/$E69)</f>
        <v>#REF!</v>
      </c>
      <c r="AB69" s="113" t="e">
        <f t="shared" si="22"/>
        <v>#REF!</v>
      </c>
      <c r="AC69" s="97" t="e">
        <f t="shared" ref="AC69:AC76" si="52">IF($C69="","",IF(AB69=1,$G69*$E69,Z69))</f>
        <v>#REF!</v>
      </c>
      <c r="AD69" s="22" t="e">
        <f t="shared" si="24"/>
        <v>#REF!</v>
      </c>
      <c r="AE69" s="22" t="e">
        <f t="shared" ref="AE69:AE76" si="53">IF($C69="","",AD69/$E69)</f>
        <v>#REF!</v>
      </c>
      <c r="AF69" s="113" t="e">
        <f t="shared" si="26"/>
        <v>#REF!</v>
      </c>
      <c r="AG69" s="97" t="e">
        <f t="shared" ref="AG69:AG76" si="54">IF($C69="","",IF(AF69=1,$G69*$E69,AD69))</f>
        <v>#REF!</v>
      </c>
      <c r="AH69" s="22" t="e">
        <f t="shared" si="28"/>
        <v>#REF!</v>
      </c>
      <c r="AI69" s="22" t="e">
        <f t="shared" ref="AI69:AI76" si="55">IF($C69="","",AH69/$E69)</f>
        <v>#REF!</v>
      </c>
      <c r="AJ69" s="113" t="e">
        <f t="shared" si="30"/>
        <v>#REF!</v>
      </c>
      <c r="AK69" s="97" t="e">
        <f t="shared" ref="AK69:AK76" si="56">IF($C69="","",IF(AJ69=1,$G69*$E69,AH69))</f>
        <v>#REF!</v>
      </c>
      <c r="AL69" s="22" t="e">
        <f t="shared" si="32"/>
        <v>#REF!</v>
      </c>
      <c r="AM69" s="22" t="e">
        <f t="shared" ref="AM69:AM76" si="57">IF($C69="","",AL69/$E69)</f>
        <v>#REF!</v>
      </c>
      <c r="AN69" s="113" t="e">
        <f t="shared" si="34"/>
        <v>#REF!</v>
      </c>
      <c r="AO69" s="97" t="e">
        <f t="shared" ref="AO69:AO76" si="58">IF($C69="","",IF(AN69=1,$G69*$E69,AL69))</f>
        <v>#REF!</v>
      </c>
      <c r="AP69" s="22" t="e">
        <f t="shared" si="36"/>
        <v>#REF!</v>
      </c>
      <c r="AQ69" s="22" t="e">
        <f t="shared" ref="AQ69:AQ76" si="59">IF($C69="","",AP69/$E69)</f>
        <v>#REF!</v>
      </c>
      <c r="AR69" s="113" t="e">
        <f t="shared" si="38"/>
        <v>#REF!</v>
      </c>
      <c r="AS69" s="97" t="e">
        <f t="shared" ref="AS69:AS76" si="60">IF($C69="","",IF(AR69=1,$G69*$E69,AP69))</f>
        <v>#REF!</v>
      </c>
      <c r="AT69" s="22" t="e">
        <f t="shared" si="40"/>
        <v>#REF!</v>
      </c>
      <c r="AU69" s="121" t="e">
        <f t="shared" ref="AU69:AU76" si="61">IFERROR(IF(C69="","",AT69),D69)</f>
        <v>#REF!</v>
      </c>
      <c r="AV69" s="122" t="e">
        <f t="shared" si="42"/>
        <v>#REF!</v>
      </c>
      <c r="AW69" s="112"/>
    </row>
    <row r="70" spans="2:49" x14ac:dyDescent="0.25">
      <c r="B70" s="98">
        <f>'הוראת מעבר- הגנה'!B70</f>
        <v>54</v>
      </c>
      <c r="C70" s="98" t="e">
        <f>'הוראת מעבר- הגנה'!C70</f>
        <v>#REF!</v>
      </c>
      <c r="D70" s="53" t="e">
        <f>#REF!</f>
        <v>#REF!</v>
      </c>
      <c r="E70" s="53" t="e">
        <f>IF(#REF!=0,0.00000000001,#REF!)</f>
        <v>#REF!</v>
      </c>
      <c r="F70" s="22" t="e">
        <f t="shared" si="43"/>
        <v>#REF!</v>
      </c>
      <c r="G70" s="22">
        <f t="shared" si="1"/>
        <v>0</v>
      </c>
      <c r="H70" s="113" t="e">
        <f t="shared" si="2"/>
        <v>#REF!</v>
      </c>
      <c r="I70" s="22" t="e">
        <f t="shared" si="3"/>
        <v>#REF!</v>
      </c>
      <c r="J70" s="22" t="e">
        <f t="shared" si="4"/>
        <v>#REF!</v>
      </c>
      <c r="K70" s="22" t="e">
        <f t="shared" si="5"/>
        <v>#REF!</v>
      </c>
      <c r="L70" s="113" t="e">
        <f t="shared" si="6"/>
        <v>#REF!</v>
      </c>
      <c r="M70" s="97" t="e">
        <f t="shared" si="44"/>
        <v>#REF!</v>
      </c>
      <c r="N70" s="22" t="e">
        <f t="shared" si="8"/>
        <v>#REF!</v>
      </c>
      <c r="O70" s="22" t="e">
        <f t="shared" si="45"/>
        <v>#REF!</v>
      </c>
      <c r="P70" s="113" t="e">
        <f t="shared" si="10"/>
        <v>#REF!</v>
      </c>
      <c r="Q70" s="97" t="e">
        <f t="shared" si="46"/>
        <v>#REF!</v>
      </c>
      <c r="R70" s="22" t="e">
        <f t="shared" si="12"/>
        <v>#REF!</v>
      </c>
      <c r="S70" s="22" t="e">
        <f t="shared" si="47"/>
        <v>#REF!</v>
      </c>
      <c r="T70" s="113" t="e">
        <f t="shared" si="14"/>
        <v>#REF!</v>
      </c>
      <c r="U70" s="97" t="e">
        <f t="shared" si="48"/>
        <v>#REF!</v>
      </c>
      <c r="V70" s="22" t="e">
        <f t="shared" si="16"/>
        <v>#REF!</v>
      </c>
      <c r="W70" s="22" t="e">
        <f t="shared" si="49"/>
        <v>#REF!</v>
      </c>
      <c r="X70" s="113" t="e">
        <f t="shared" si="18"/>
        <v>#REF!</v>
      </c>
      <c r="Y70" s="97" t="e">
        <f t="shared" si="50"/>
        <v>#REF!</v>
      </c>
      <c r="Z70" s="22" t="e">
        <f t="shared" si="20"/>
        <v>#REF!</v>
      </c>
      <c r="AA70" s="22" t="e">
        <f t="shared" si="51"/>
        <v>#REF!</v>
      </c>
      <c r="AB70" s="113" t="e">
        <f t="shared" si="22"/>
        <v>#REF!</v>
      </c>
      <c r="AC70" s="97" t="e">
        <f t="shared" si="52"/>
        <v>#REF!</v>
      </c>
      <c r="AD70" s="22" t="e">
        <f t="shared" si="24"/>
        <v>#REF!</v>
      </c>
      <c r="AE70" s="22" t="e">
        <f t="shared" si="53"/>
        <v>#REF!</v>
      </c>
      <c r="AF70" s="113" t="e">
        <f t="shared" si="26"/>
        <v>#REF!</v>
      </c>
      <c r="AG70" s="97" t="e">
        <f t="shared" si="54"/>
        <v>#REF!</v>
      </c>
      <c r="AH70" s="22" t="e">
        <f t="shared" si="28"/>
        <v>#REF!</v>
      </c>
      <c r="AI70" s="22" t="e">
        <f t="shared" si="55"/>
        <v>#REF!</v>
      </c>
      <c r="AJ70" s="113" t="e">
        <f t="shared" si="30"/>
        <v>#REF!</v>
      </c>
      <c r="AK70" s="97" t="e">
        <f t="shared" si="56"/>
        <v>#REF!</v>
      </c>
      <c r="AL70" s="22" t="e">
        <f t="shared" si="32"/>
        <v>#REF!</v>
      </c>
      <c r="AM70" s="22" t="e">
        <f t="shared" si="57"/>
        <v>#REF!</v>
      </c>
      <c r="AN70" s="113" t="e">
        <f t="shared" si="34"/>
        <v>#REF!</v>
      </c>
      <c r="AO70" s="97" t="e">
        <f t="shared" si="58"/>
        <v>#REF!</v>
      </c>
      <c r="AP70" s="22" t="e">
        <f t="shared" si="36"/>
        <v>#REF!</v>
      </c>
      <c r="AQ70" s="22" t="e">
        <f t="shared" si="59"/>
        <v>#REF!</v>
      </c>
      <c r="AR70" s="113" t="e">
        <f t="shared" si="38"/>
        <v>#REF!</v>
      </c>
      <c r="AS70" s="97" t="e">
        <f t="shared" si="60"/>
        <v>#REF!</v>
      </c>
      <c r="AT70" s="22" t="e">
        <f t="shared" si="40"/>
        <v>#REF!</v>
      </c>
      <c r="AU70" s="121" t="e">
        <f t="shared" si="61"/>
        <v>#REF!</v>
      </c>
      <c r="AV70" s="122" t="e">
        <f t="shared" si="42"/>
        <v>#REF!</v>
      </c>
      <c r="AW70" s="112"/>
    </row>
    <row r="71" spans="2:49" x14ac:dyDescent="0.25">
      <c r="B71" s="98">
        <f>'הוראת מעבר- הגנה'!B71</f>
        <v>55</v>
      </c>
      <c r="C71" s="98" t="e">
        <f>'הוראת מעבר- הגנה'!C71</f>
        <v>#REF!</v>
      </c>
      <c r="D71" s="53" t="e">
        <f>#REF!</f>
        <v>#REF!</v>
      </c>
      <c r="E71" s="53" t="e">
        <f>IF(#REF!=0,0.00000000001,#REF!)</f>
        <v>#REF!</v>
      </c>
      <c r="F71" s="22" t="e">
        <f t="shared" si="43"/>
        <v>#REF!</v>
      </c>
      <c r="G71" s="22">
        <f t="shared" si="1"/>
        <v>0</v>
      </c>
      <c r="H71" s="113" t="e">
        <f t="shared" si="2"/>
        <v>#REF!</v>
      </c>
      <c r="I71" s="22" t="e">
        <f t="shared" si="3"/>
        <v>#REF!</v>
      </c>
      <c r="J71" s="22" t="e">
        <f t="shared" si="4"/>
        <v>#REF!</v>
      </c>
      <c r="K71" s="22" t="e">
        <f t="shared" si="5"/>
        <v>#REF!</v>
      </c>
      <c r="L71" s="113" t="e">
        <f t="shared" si="6"/>
        <v>#REF!</v>
      </c>
      <c r="M71" s="97" t="e">
        <f t="shared" si="44"/>
        <v>#REF!</v>
      </c>
      <c r="N71" s="22" t="e">
        <f t="shared" si="8"/>
        <v>#REF!</v>
      </c>
      <c r="O71" s="22" t="e">
        <f t="shared" si="45"/>
        <v>#REF!</v>
      </c>
      <c r="P71" s="113" t="e">
        <f t="shared" si="10"/>
        <v>#REF!</v>
      </c>
      <c r="Q71" s="97" t="e">
        <f t="shared" si="46"/>
        <v>#REF!</v>
      </c>
      <c r="R71" s="22" t="e">
        <f t="shared" si="12"/>
        <v>#REF!</v>
      </c>
      <c r="S71" s="22" t="e">
        <f t="shared" si="47"/>
        <v>#REF!</v>
      </c>
      <c r="T71" s="113" t="e">
        <f t="shared" si="14"/>
        <v>#REF!</v>
      </c>
      <c r="U71" s="97" t="e">
        <f t="shared" si="48"/>
        <v>#REF!</v>
      </c>
      <c r="V71" s="22" t="e">
        <f t="shared" si="16"/>
        <v>#REF!</v>
      </c>
      <c r="W71" s="22" t="e">
        <f t="shared" si="49"/>
        <v>#REF!</v>
      </c>
      <c r="X71" s="113" t="e">
        <f t="shared" si="18"/>
        <v>#REF!</v>
      </c>
      <c r="Y71" s="97" t="e">
        <f t="shared" si="50"/>
        <v>#REF!</v>
      </c>
      <c r="Z71" s="22" t="e">
        <f t="shared" si="20"/>
        <v>#REF!</v>
      </c>
      <c r="AA71" s="22" t="e">
        <f t="shared" si="51"/>
        <v>#REF!</v>
      </c>
      <c r="AB71" s="113" t="e">
        <f t="shared" si="22"/>
        <v>#REF!</v>
      </c>
      <c r="AC71" s="97" t="e">
        <f t="shared" si="52"/>
        <v>#REF!</v>
      </c>
      <c r="AD71" s="22" t="e">
        <f t="shared" si="24"/>
        <v>#REF!</v>
      </c>
      <c r="AE71" s="22" t="e">
        <f t="shared" si="53"/>
        <v>#REF!</v>
      </c>
      <c r="AF71" s="113" t="e">
        <f t="shared" si="26"/>
        <v>#REF!</v>
      </c>
      <c r="AG71" s="97" t="e">
        <f t="shared" si="54"/>
        <v>#REF!</v>
      </c>
      <c r="AH71" s="22" t="e">
        <f t="shared" si="28"/>
        <v>#REF!</v>
      </c>
      <c r="AI71" s="22" t="e">
        <f t="shared" si="55"/>
        <v>#REF!</v>
      </c>
      <c r="AJ71" s="113" t="e">
        <f t="shared" si="30"/>
        <v>#REF!</v>
      </c>
      <c r="AK71" s="97" t="e">
        <f t="shared" si="56"/>
        <v>#REF!</v>
      </c>
      <c r="AL71" s="22" t="e">
        <f t="shared" si="32"/>
        <v>#REF!</v>
      </c>
      <c r="AM71" s="22" t="e">
        <f t="shared" si="57"/>
        <v>#REF!</v>
      </c>
      <c r="AN71" s="113" t="e">
        <f t="shared" si="34"/>
        <v>#REF!</v>
      </c>
      <c r="AO71" s="97" t="e">
        <f t="shared" si="58"/>
        <v>#REF!</v>
      </c>
      <c r="AP71" s="22" t="e">
        <f t="shared" si="36"/>
        <v>#REF!</v>
      </c>
      <c r="AQ71" s="22" t="e">
        <f t="shared" si="59"/>
        <v>#REF!</v>
      </c>
      <c r="AR71" s="113" t="e">
        <f t="shared" si="38"/>
        <v>#REF!</v>
      </c>
      <c r="AS71" s="97" t="e">
        <f t="shared" si="60"/>
        <v>#REF!</v>
      </c>
      <c r="AT71" s="22" t="e">
        <f t="shared" si="40"/>
        <v>#REF!</v>
      </c>
      <c r="AU71" s="121" t="e">
        <f t="shared" si="61"/>
        <v>#REF!</v>
      </c>
      <c r="AV71" s="122" t="e">
        <f t="shared" si="42"/>
        <v>#REF!</v>
      </c>
      <c r="AW71" s="112"/>
    </row>
    <row r="72" spans="2:49" x14ac:dyDescent="0.25">
      <c r="B72" s="98">
        <f>'הוראת מעבר- הגנה'!B72</f>
        <v>56</v>
      </c>
      <c r="C72" s="98" t="e">
        <f>'הוראת מעבר- הגנה'!C72</f>
        <v>#REF!</v>
      </c>
      <c r="D72" s="53" t="e">
        <f>#REF!</f>
        <v>#REF!</v>
      </c>
      <c r="E72" s="53" t="e">
        <f>IF(#REF!=0,0.00000000001,#REF!)</f>
        <v>#REF!</v>
      </c>
      <c r="F72" s="22" t="e">
        <f t="shared" si="43"/>
        <v>#REF!</v>
      </c>
      <c r="G72" s="22">
        <f t="shared" si="1"/>
        <v>0</v>
      </c>
      <c r="H72" s="113" t="e">
        <f t="shared" si="2"/>
        <v>#REF!</v>
      </c>
      <c r="I72" s="22" t="e">
        <f t="shared" si="3"/>
        <v>#REF!</v>
      </c>
      <c r="J72" s="22" t="e">
        <f t="shared" si="4"/>
        <v>#REF!</v>
      </c>
      <c r="K72" s="22" t="e">
        <f t="shared" si="5"/>
        <v>#REF!</v>
      </c>
      <c r="L72" s="113" t="e">
        <f t="shared" si="6"/>
        <v>#REF!</v>
      </c>
      <c r="M72" s="97" t="e">
        <f t="shared" si="44"/>
        <v>#REF!</v>
      </c>
      <c r="N72" s="22" t="e">
        <f t="shared" si="8"/>
        <v>#REF!</v>
      </c>
      <c r="O72" s="22" t="e">
        <f t="shared" si="45"/>
        <v>#REF!</v>
      </c>
      <c r="P72" s="113" t="e">
        <f t="shared" si="10"/>
        <v>#REF!</v>
      </c>
      <c r="Q72" s="97" t="e">
        <f t="shared" si="46"/>
        <v>#REF!</v>
      </c>
      <c r="R72" s="22" t="e">
        <f t="shared" si="12"/>
        <v>#REF!</v>
      </c>
      <c r="S72" s="22" t="e">
        <f t="shared" si="47"/>
        <v>#REF!</v>
      </c>
      <c r="T72" s="113" t="e">
        <f t="shared" si="14"/>
        <v>#REF!</v>
      </c>
      <c r="U72" s="97" t="e">
        <f t="shared" si="48"/>
        <v>#REF!</v>
      </c>
      <c r="V72" s="22" t="e">
        <f t="shared" si="16"/>
        <v>#REF!</v>
      </c>
      <c r="W72" s="22" t="e">
        <f t="shared" si="49"/>
        <v>#REF!</v>
      </c>
      <c r="X72" s="113" t="e">
        <f t="shared" si="18"/>
        <v>#REF!</v>
      </c>
      <c r="Y72" s="97" t="e">
        <f t="shared" si="50"/>
        <v>#REF!</v>
      </c>
      <c r="Z72" s="22" t="e">
        <f t="shared" si="20"/>
        <v>#REF!</v>
      </c>
      <c r="AA72" s="22" t="e">
        <f t="shared" si="51"/>
        <v>#REF!</v>
      </c>
      <c r="AB72" s="113" t="e">
        <f t="shared" si="22"/>
        <v>#REF!</v>
      </c>
      <c r="AC72" s="97" t="e">
        <f t="shared" si="52"/>
        <v>#REF!</v>
      </c>
      <c r="AD72" s="22" t="e">
        <f t="shared" si="24"/>
        <v>#REF!</v>
      </c>
      <c r="AE72" s="22" t="e">
        <f t="shared" si="53"/>
        <v>#REF!</v>
      </c>
      <c r="AF72" s="113" t="e">
        <f t="shared" si="26"/>
        <v>#REF!</v>
      </c>
      <c r="AG72" s="97" t="e">
        <f t="shared" si="54"/>
        <v>#REF!</v>
      </c>
      <c r="AH72" s="22" t="e">
        <f t="shared" si="28"/>
        <v>#REF!</v>
      </c>
      <c r="AI72" s="22" t="e">
        <f t="shared" si="55"/>
        <v>#REF!</v>
      </c>
      <c r="AJ72" s="113" t="e">
        <f t="shared" si="30"/>
        <v>#REF!</v>
      </c>
      <c r="AK72" s="97" t="e">
        <f t="shared" si="56"/>
        <v>#REF!</v>
      </c>
      <c r="AL72" s="22" t="e">
        <f t="shared" si="32"/>
        <v>#REF!</v>
      </c>
      <c r="AM72" s="22" t="e">
        <f t="shared" si="57"/>
        <v>#REF!</v>
      </c>
      <c r="AN72" s="113" t="e">
        <f t="shared" si="34"/>
        <v>#REF!</v>
      </c>
      <c r="AO72" s="97" t="e">
        <f t="shared" si="58"/>
        <v>#REF!</v>
      </c>
      <c r="AP72" s="22" t="e">
        <f t="shared" si="36"/>
        <v>#REF!</v>
      </c>
      <c r="AQ72" s="22" t="e">
        <f t="shared" si="59"/>
        <v>#REF!</v>
      </c>
      <c r="AR72" s="113" t="e">
        <f t="shared" si="38"/>
        <v>#REF!</v>
      </c>
      <c r="AS72" s="97" t="e">
        <f t="shared" si="60"/>
        <v>#REF!</v>
      </c>
      <c r="AT72" s="22" t="e">
        <f t="shared" si="40"/>
        <v>#REF!</v>
      </c>
      <c r="AU72" s="121" t="e">
        <f t="shared" si="61"/>
        <v>#REF!</v>
      </c>
      <c r="AV72" s="122" t="e">
        <f t="shared" si="42"/>
        <v>#REF!</v>
      </c>
      <c r="AW72" s="112"/>
    </row>
    <row r="73" spans="2:49" x14ac:dyDescent="0.25">
      <c r="B73" s="98">
        <f>'הוראת מעבר- הגנה'!B73</f>
        <v>57</v>
      </c>
      <c r="C73" s="98" t="e">
        <f>'הוראת מעבר- הגנה'!C73</f>
        <v>#REF!</v>
      </c>
      <c r="D73" s="53" t="e">
        <f>#REF!</f>
        <v>#REF!</v>
      </c>
      <c r="E73" s="53" t="e">
        <f>IF(#REF!=0,0.00000000001,#REF!)</f>
        <v>#REF!</v>
      </c>
      <c r="F73" s="22" t="e">
        <f t="shared" si="43"/>
        <v>#REF!</v>
      </c>
      <c r="G73" s="22">
        <f t="shared" si="1"/>
        <v>0</v>
      </c>
      <c r="H73" s="113" t="e">
        <f t="shared" si="2"/>
        <v>#REF!</v>
      </c>
      <c r="I73" s="22" t="e">
        <f t="shared" si="3"/>
        <v>#REF!</v>
      </c>
      <c r="J73" s="22" t="e">
        <f t="shared" si="4"/>
        <v>#REF!</v>
      </c>
      <c r="K73" s="22" t="e">
        <f t="shared" si="5"/>
        <v>#REF!</v>
      </c>
      <c r="L73" s="113" t="e">
        <f t="shared" si="6"/>
        <v>#REF!</v>
      </c>
      <c r="M73" s="97" t="e">
        <f t="shared" si="44"/>
        <v>#REF!</v>
      </c>
      <c r="N73" s="22" t="e">
        <f t="shared" si="8"/>
        <v>#REF!</v>
      </c>
      <c r="O73" s="22" t="e">
        <f t="shared" si="45"/>
        <v>#REF!</v>
      </c>
      <c r="P73" s="113" t="e">
        <f t="shared" si="10"/>
        <v>#REF!</v>
      </c>
      <c r="Q73" s="97" t="e">
        <f t="shared" si="46"/>
        <v>#REF!</v>
      </c>
      <c r="R73" s="22" t="e">
        <f t="shared" si="12"/>
        <v>#REF!</v>
      </c>
      <c r="S73" s="22" t="e">
        <f t="shared" si="47"/>
        <v>#REF!</v>
      </c>
      <c r="T73" s="113" t="e">
        <f t="shared" si="14"/>
        <v>#REF!</v>
      </c>
      <c r="U73" s="97" t="e">
        <f t="shared" si="48"/>
        <v>#REF!</v>
      </c>
      <c r="V73" s="22" t="e">
        <f t="shared" si="16"/>
        <v>#REF!</v>
      </c>
      <c r="W73" s="22" t="e">
        <f t="shared" si="49"/>
        <v>#REF!</v>
      </c>
      <c r="X73" s="113" t="e">
        <f t="shared" si="18"/>
        <v>#REF!</v>
      </c>
      <c r="Y73" s="97" t="e">
        <f t="shared" si="50"/>
        <v>#REF!</v>
      </c>
      <c r="Z73" s="22" t="e">
        <f t="shared" si="20"/>
        <v>#REF!</v>
      </c>
      <c r="AA73" s="22" t="e">
        <f t="shared" si="51"/>
        <v>#REF!</v>
      </c>
      <c r="AB73" s="113" t="e">
        <f t="shared" si="22"/>
        <v>#REF!</v>
      </c>
      <c r="AC73" s="97" t="e">
        <f t="shared" si="52"/>
        <v>#REF!</v>
      </c>
      <c r="AD73" s="22" t="e">
        <f t="shared" si="24"/>
        <v>#REF!</v>
      </c>
      <c r="AE73" s="22" t="e">
        <f t="shared" si="53"/>
        <v>#REF!</v>
      </c>
      <c r="AF73" s="113" t="e">
        <f t="shared" si="26"/>
        <v>#REF!</v>
      </c>
      <c r="AG73" s="97" t="e">
        <f t="shared" si="54"/>
        <v>#REF!</v>
      </c>
      <c r="AH73" s="22" t="e">
        <f t="shared" si="28"/>
        <v>#REF!</v>
      </c>
      <c r="AI73" s="22" t="e">
        <f t="shared" si="55"/>
        <v>#REF!</v>
      </c>
      <c r="AJ73" s="113" t="e">
        <f t="shared" si="30"/>
        <v>#REF!</v>
      </c>
      <c r="AK73" s="97" t="e">
        <f t="shared" si="56"/>
        <v>#REF!</v>
      </c>
      <c r="AL73" s="22" t="e">
        <f t="shared" si="32"/>
        <v>#REF!</v>
      </c>
      <c r="AM73" s="22" t="e">
        <f t="shared" si="57"/>
        <v>#REF!</v>
      </c>
      <c r="AN73" s="113" t="e">
        <f t="shared" si="34"/>
        <v>#REF!</v>
      </c>
      <c r="AO73" s="97" t="e">
        <f t="shared" si="58"/>
        <v>#REF!</v>
      </c>
      <c r="AP73" s="22" t="e">
        <f t="shared" si="36"/>
        <v>#REF!</v>
      </c>
      <c r="AQ73" s="22" t="e">
        <f t="shared" si="59"/>
        <v>#REF!</v>
      </c>
      <c r="AR73" s="113" t="e">
        <f t="shared" si="38"/>
        <v>#REF!</v>
      </c>
      <c r="AS73" s="97" t="e">
        <f t="shared" si="60"/>
        <v>#REF!</v>
      </c>
      <c r="AT73" s="22" t="e">
        <f t="shared" si="40"/>
        <v>#REF!</v>
      </c>
      <c r="AU73" s="121" t="e">
        <f t="shared" si="61"/>
        <v>#REF!</v>
      </c>
      <c r="AV73" s="122" t="e">
        <f t="shared" si="42"/>
        <v>#REF!</v>
      </c>
      <c r="AW73" s="112"/>
    </row>
    <row r="74" spans="2:49" x14ac:dyDescent="0.25">
      <c r="B74" s="98">
        <f>'הוראת מעבר- הגנה'!B74</f>
        <v>58</v>
      </c>
      <c r="C74" s="98" t="e">
        <f>'הוראת מעבר- הגנה'!C74</f>
        <v>#REF!</v>
      </c>
      <c r="D74" s="53" t="e">
        <f>#REF!</f>
        <v>#REF!</v>
      </c>
      <c r="E74" s="53" t="e">
        <f>IF(#REF!=0,0.00000000001,#REF!)</f>
        <v>#REF!</v>
      </c>
      <c r="F74" s="22" t="e">
        <f t="shared" si="43"/>
        <v>#REF!</v>
      </c>
      <c r="G74" s="22">
        <f t="shared" si="1"/>
        <v>0</v>
      </c>
      <c r="H74" s="113" t="e">
        <f t="shared" si="2"/>
        <v>#REF!</v>
      </c>
      <c r="I74" s="22" t="e">
        <f t="shared" si="3"/>
        <v>#REF!</v>
      </c>
      <c r="J74" s="22" t="e">
        <f t="shared" si="4"/>
        <v>#REF!</v>
      </c>
      <c r="K74" s="22" t="e">
        <f t="shared" si="5"/>
        <v>#REF!</v>
      </c>
      <c r="L74" s="113" t="e">
        <f t="shared" si="6"/>
        <v>#REF!</v>
      </c>
      <c r="M74" s="97" t="e">
        <f t="shared" si="44"/>
        <v>#REF!</v>
      </c>
      <c r="N74" s="22" t="e">
        <f t="shared" si="8"/>
        <v>#REF!</v>
      </c>
      <c r="O74" s="22" t="e">
        <f t="shared" si="45"/>
        <v>#REF!</v>
      </c>
      <c r="P74" s="113" t="e">
        <f t="shared" si="10"/>
        <v>#REF!</v>
      </c>
      <c r="Q74" s="97" t="e">
        <f t="shared" si="46"/>
        <v>#REF!</v>
      </c>
      <c r="R74" s="22" t="e">
        <f t="shared" si="12"/>
        <v>#REF!</v>
      </c>
      <c r="S74" s="22" t="e">
        <f t="shared" si="47"/>
        <v>#REF!</v>
      </c>
      <c r="T74" s="113" t="e">
        <f t="shared" si="14"/>
        <v>#REF!</v>
      </c>
      <c r="U74" s="97" t="e">
        <f t="shared" si="48"/>
        <v>#REF!</v>
      </c>
      <c r="V74" s="22" t="e">
        <f t="shared" si="16"/>
        <v>#REF!</v>
      </c>
      <c r="W74" s="22" t="e">
        <f t="shared" si="49"/>
        <v>#REF!</v>
      </c>
      <c r="X74" s="113" t="e">
        <f t="shared" si="18"/>
        <v>#REF!</v>
      </c>
      <c r="Y74" s="97" t="e">
        <f t="shared" si="50"/>
        <v>#REF!</v>
      </c>
      <c r="Z74" s="22" t="e">
        <f t="shared" si="20"/>
        <v>#REF!</v>
      </c>
      <c r="AA74" s="22" t="e">
        <f t="shared" si="51"/>
        <v>#REF!</v>
      </c>
      <c r="AB74" s="113" t="e">
        <f t="shared" si="22"/>
        <v>#REF!</v>
      </c>
      <c r="AC74" s="97" t="e">
        <f t="shared" si="52"/>
        <v>#REF!</v>
      </c>
      <c r="AD74" s="22" t="e">
        <f t="shared" si="24"/>
        <v>#REF!</v>
      </c>
      <c r="AE74" s="22" t="e">
        <f t="shared" si="53"/>
        <v>#REF!</v>
      </c>
      <c r="AF74" s="113" t="e">
        <f t="shared" si="26"/>
        <v>#REF!</v>
      </c>
      <c r="AG74" s="97" t="e">
        <f t="shared" si="54"/>
        <v>#REF!</v>
      </c>
      <c r="AH74" s="22" t="e">
        <f t="shared" si="28"/>
        <v>#REF!</v>
      </c>
      <c r="AI74" s="22" t="e">
        <f t="shared" si="55"/>
        <v>#REF!</v>
      </c>
      <c r="AJ74" s="113" t="e">
        <f t="shared" si="30"/>
        <v>#REF!</v>
      </c>
      <c r="AK74" s="97" t="e">
        <f t="shared" si="56"/>
        <v>#REF!</v>
      </c>
      <c r="AL74" s="22" t="e">
        <f t="shared" si="32"/>
        <v>#REF!</v>
      </c>
      <c r="AM74" s="22" t="e">
        <f t="shared" si="57"/>
        <v>#REF!</v>
      </c>
      <c r="AN74" s="113" t="e">
        <f t="shared" si="34"/>
        <v>#REF!</v>
      </c>
      <c r="AO74" s="97" t="e">
        <f t="shared" si="58"/>
        <v>#REF!</v>
      </c>
      <c r="AP74" s="22" t="e">
        <f t="shared" si="36"/>
        <v>#REF!</v>
      </c>
      <c r="AQ74" s="22" t="e">
        <f t="shared" si="59"/>
        <v>#REF!</v>
      </c>
      <c r="AR74" s="113" t="e">
        <f t="shared" si="38"/>
        <v>#REF!</v>
      </c>
      <c r="AS74" s="97" t="e">
        <f t="shared" si="60"/>
        <v>#REF!</v>
      </c>
      <c r="AT74" s="22" t="e">
        <f t="shared" si="40"/>
        <v>#REF!</v>
      </c>
      <c r="AU74" s="121" t="e">
        <f t="shared" si="61"/>
        <v>#REF!</v>
      </c>
      <c r="AV74" s="122" t="e">
        <f t="shared" si="42"/>
        <v>#REF!</v>
      </c>
      <c r="AW74" s="112"/>
    </row>
    <row r="75" spans="2:49" x14ac:dyDescent="0.25">
      <c r="B75" s="98">
        <f>'הוראת מעבר- הגנה'!B75</f>
        <v>59</v>
      </c>
      <c r="C75" s="98" t="e">
        <f>'הוראת מעבר- הגנה'!C75</f>
        <v>#REF!</v>
      </c>
      <c r="D75" s="53" t="e">
        <f>#REF!</f>
        <v>#REF!</v>
      </c>
      <c r="E75" s="53" t="e">
        <f>IF(#REF!=0,0.00000000001,#REF!)</f>
        <v>#REF!</v>
      </c>
      <c r="F75" s="22" t="e">
        <f t="shared" si="43"/>
        <v>#REF!</v>
      </c>
      <c r="G75" s="22">
        <f t="shared" si="1"/>
        <v>0</v>
      </c>
      <c r="H75" s="113" t="e">
        <f t="shared" si="2"/>
        <v>#REF!</v>
      </c>
      <c r="I75" s="22" t="e">
        <f t="shared" si="3"/>
        <v>#REF!</v>
      </c>
      <c r="J75" s="22" t="e">
        <f t="shared" si="4"/>
        <v>#REF!</v>
      </c>
      <c r="K75" s="22" t="e">
        <f t="shared" si="5"/>
        <v>#REF!</v>
      </c>
      <c r="L75" s="113" t="e">
        <f t="shared" si="6"/>
        <v>#REF!</v>
      </c>
      <c r="M75" s="97" t="e">
        <f t="shared" si="44"/>
        <v>#REF!</v>
      </c>
      <c r="N75" s="22" t="e">
        <f t="shared" si="8"/>
        <v>#REF!</v>
      </c>
      <c r="O75" s="22" t="e">
        <f t="shared" si="45"/>
        <v>#REF!</v>
      </c>
      <c r="P75" s="113" t="e">
        <f t="shared" si="10"/>
        <v>#REF!</v>
      </c>
      <c r="Q75" s="97" t="e">
        <f t="shared" si="46"/>
        <v>#REF!</v>
      </c>
      <c r="R75" s="22" t="e">
        <f t="shared" si="12"/>
        <v>#REF!</v>
      </c>
      <c r="S75" s="22" t="e">
        <f t="shared" si="47"/>
        <v>#REF!</v>
      </c>
      <c r="T75" s="113" t="e">
        <f t="shared" si="14"/>
        <v>#REF!</v>
      </c>
      <c r="U75" s="97" t="e">
        <f t="shared" si="48"/>
        <v>#REF!</v>
      </c>
      <c r="V75" s="22" t="e">
        <f t="shared" si="16"/>
        <v>#REF!</v>
      </c>
      <c r="W75" s="22" t="e">
        <f t="shared" si="49"/>
        <v>#REF!</v>
      </c>
      <c r="X75" s="113" t="e">
        <f t="shared" si="18"/>
        <v>#REF!</v>
      </c>
      <c r="Y75" s="97" t="e">
        <f t="shared" si="50"/>
        <v>#REF!</v>
      </c>
      <c r="Z75" s="22" t="e">
        <f t="shared" si="20"/>
        <v>#REF!</v>
      </c>
      <c r="AA75" s="22" t="e">
        <f t="shared" si="51"/>
        <v>#REF!</v>
      </c>
      <c r="AB75" s="113" t="e">
        <f t="shared" si="22"/>
        <v>#REF!</v>
      </c>
      <c r="AC75" s="97" t="e">
        <f t="shared" si="52"/>
        <v>#REF!</v>
      </c>
      <c r="AD75" s="22" t="e">
        <f t="shared" si="24"/>
        <v>#REF!</v>
      </c>
      <c r="AE75" s="22" t="e">
        <f t="shared" si="53"/>
        <v>#REF!</v>
      </c>
      <c r="AF75" s="113" t="e">
        <f t="shared" si="26"/>
        <v>#REF!</v>
      </c>
      <c r="AG75" s="97" t="e">
        <f t="shared" si="54"/>
        <v>#REF!</v>
      </c>
      <c r="AH75" s="22" t="e">
        <f t="shared" si="28"/>
        <v>#REF!</v>
      </c>
      <c r="AI75" s="22" t="e">
        <f t="shared" si="55"/>
        <v>#REF!</v>
      </c>
      <c r="AJ75" s="113" t="e">
        <f t="shared" si="30"/>
        <v>#REF!</v>
      </c>
      <c r="AK75" s="97" t="e">
        <f t="shared" si="56"/>
        <v>#REF!</v>
      </c>
      <c r="AL75" s="22" t="e">
        <f t="shared" si="32"/>
        <v>#REF!</v>
      </c>
      <c r="AM75" s="22" t="e">
        <f t="shared" si="57"/>
        <v>#REF!</v>
      </c>
      <c r="AN75" s="113" t="e">
        <f t="shared" si="34"/>
        <v>#REF!</v>
      </c>
      <c r="AO75" s="97" t="e">
        <f t="shared" si="58"/>
        <v>#REF!</v>
      </c>
      <c r="AP75" s="22" t="e">
        <f t="shared" si="36"/>
        <v>#REF!</v>
      </c>
      <c r="AQ75" s="22" t="e">
        <f t="shared" si="59"/>
        <v>#REF!</v>
      </c>
      <c r="AR75" s="113" t="e">
        <f t="shared" si="38"/>
        <v>#REF!</v>
      </c>
      <c r="AS75" s="97" t="e">
        <f t="shared" si="60"/>
        <v>#REF!</v>
      </c>
      <c r="AT75" s="22" t="e">
        <f t="shared" si="40"/>
        <v>#REF!</v>
      </c>
      <c r="AU75" s="121" t="e">
        <f t="shared" si="61"/>
        <v>#REF!</v>
      </c>
      <c r="AV75" s="122" t="e">
        <f t="shared" si="42"/>
        <v>#REF!</v>
      </c>
      <c r="AW75" s="112"/>
    </row>
    <row r="76" spans="2:49" x14ac:dyDescent="0.25">
      <c r="B76" s="98">
        <f>'הוראת מעבר- הגנה'!B76</f>
        <v>60</v>
      </c>
      <c r="C76" s="98" t="e">
        <f>'הוראת מעבר- הגנה'!C76</f>
        <v>#REF!</v>
      </c>
      <c r="D76" s="53" t="e">
        <f>#REF!</f>
        <v>#REF!</v>
      </c>
      <c r="E76" s="53" t="e">
        <f>IF(#REF!=0,0.00000000001,#REF!)</f>
        <v>#REF!</v>
      </c>
      <c r="F76" s="22" t="e">
        <f t="shared" si="43"/>
        <v>#REF!</v>
      </c>
      <c r="G76" s="22">
        <f t="shared" si="1"/>
        <v>0</v>
      </c>
      <c r="H76" s="113" t="e">
        <f t="shared" si="2"/>
        <v>#REF!</v>
      </c>
      <c r="I76" s="22" t="e">
        <f t="shared" si="3"/>
        <v>#REF!</v>
      </c>
      <c r="J76" s="22" t="e">
        <f t="shared" si="4"/>
        <v>#REF!</v>
      </c>
      <c r="K76" s="22" t="e">
        <f t="shared" si="5"/>
        <v>#REF!</v>
      </c>
      <c r="L76" s="113" t="e">
        <f t="shared" si="6"/>
        <v>#REF!</v>
      </c>
      <c r="M76" s="97" t="e">
        <f t="shared" si="44"/>
        <v>#REF!</v>
      </c>
      <c r="N76" s="22" t="e">
        <f t="shared" si="8"/>
        <v>#REF!</v>
      </c>
      <c r="O76" s="22" t="e">
        <f t="shared" si="45"/>
        <v>#REF!</v>
      </c>
      <c r="P76" s="113" t="e">
        <f t="shared" si="10"/>
        <v>#REF!</v>
      </c>
      <c r="Q76" s="97" t="e">
        <f t="shared" si="46"/>
        <v>#REF!</v>
      </c>
      <c r="R76" s="22" t="e">
        <f t="shared" si="12"/>
        <v>#REF!</v>
      </c>
      <c r="S76" s="22" t="e">
        <f t="shared" si="47"/>
        <v>#REF!</v>
      </c>
      <c r="T76" s="113" t="e">
        <f t="shared" si="14"/>
        <v>#REF!</v>
      </c>
      <c r="U76" s="97" t="e">
        <f t="shared" si="48"/>
        <v>#REF!</v>
      </c>
      <c r="V76" s="22" t="e">
        <f t="shared" si="16"/>
        <v>#REF!</v>
      </c>
      <c r="W76" s="22" t="e">
        <f t="shared" si="49"/>
        <v>#REF!</v>
      </c>
      <c r="X76" s="113" t="e">
        <f t="shared" si="18"/>
        <v>#REF!</v>
      </c>
      <c r="Y76" s="97" t="e">
        <f t="shared" si="50"/>
        <v>#REF!</v>
      </c>
      <c r="Z76" s="22" t="e">
        <f t="shared" si="20"/>
        <v>#REF!</v>
      </c>
      <c r="AA76" s="22" t="e">
        <f t="shared" si="51"/>
        <v>#REF!</v>
      </c>
      <c r="AB76" s="113" t="e">
        <f t="shared" si="22"/>
        <v>#REF!</v>
      </c>
      <c r="AC76" s="97" t="e">
        <f t="shared" si="52"/>
        <v>#REF!</v>
      </c>
      <c r="AD76" s="22" t="e">
        <f t="shared" si="24"/>
        <v>#REF!</v>
      </c>
      <c r="AE76" s="22" t="e">
        <f t="shared" si="53"/>
        <v>#REF!</v>
      </c>
      <c r="AF76" s="113" t="e">
        <f t="shared" si="26"/>
        <v>#REF!</v>
      </c>
      <c r="AG76" s="97" t="e">
        <f t="shared" si="54"/>
        <v>#REF!</v>
      </c>
      <c r="AH76" s="22" t="e">
        <f t="shared" si="28"/>
        <v>#REF!</v>
      </c>
      <c r="AI76" s="22" t="e">
        <f t="shared" si="55"/>
        <v>#REF!</v>
      </c>
      <c r="AJ76" s="113" t="e">
        <f t="shared" si="30"/>
        <v>#REF!</v>
      </c>
      <c r="AK76" s="97" t="e">
        <f t="shared" si="56"/>
        <v>#REF!</v>
      </c>
      <c r="AL76" s="22" t="e">
        <f t="shared" si="32"/>
        <v>#REF!</v>
      </c>
      <c r="AM76" s="22" t="e">
        <f t="shared" si="57"/>
        <v>#REF!</v>
      </c>
      <c r="AN76" s="113" t="e">
        <f t="shared" si="34"/>
        <v>#REF!</v>
      </c>
      <c r="AO76" s="97" t="e">
        <f t="shared" si="58"/>
        <v>#REF!</v>
      </c>
      <c r="AP76" s="22" t="e">
        <f t="shared" si="36"/>
        <v>#REF!</v>
      </c>
      <c r="AQ76" s="22" t="e">
        <f t="shared" si="59"/>
        <v>#REF!</v>
      </c>
      <c r="AR76" s="113" t="e">
        <f t="shared" si="38"/>
        <v>#REF!</v>
      </c>
      <c r="AS76" s="97" t="e">
        <f t="shared" si="60"/>
        <v>#REF!</v>
      </c>
      <c r="AT76" s="22" t="e">
        <f t="shared" si="40"/>
        <v>#REF!</v>
      </c>
      <c r="AU76" s="121" t="e">
        <f t="shared" si="61"/>
        <v>#REF!</v>
      </c>
      <c r="AV76" s="122" t="e">
        <f t="shared" si="42"/>
        <v>#REF!</v>
      </c>
      <c r="AW76" s="112"/>
    </row>
  </sheetData>
  <sheetProtection algorithmName="SHA-512" hashValue="ra5F+gXibXdWrQ2IoxrorA8qS9VfumwdqCJ8qwhy20U8bzexB7D/Qv/+BzTpQ8Hj5GHeOvEyWavKXcZzGpKBzA==" saltValue="b4dEWrKKPLvO1s7YmR3j0g==" spinCount="100000" sheet="1" scenarios="1" formatColumns="0" formatRows="0" autoFilter="0"/>
  <mergeCells count="47">
    <mergeCell ref="AJ15:AJ16"/>
    <mergeCell ref="AO15:AO16"/>
    <mergeCell ref="AP15:AP16"/>
    <mergeCell ref="AV15:AV16"/>
    <mergeCell ref="AR15:AR16"/>
    <mergeCell ref="AS15:AS16"/>
    <mergeCell ref="AT15:AT16"/>
    <mergeCell ref="AU15:AU16"/>
    <mergeCell ref="AQ15:AQ16"/>
    <mergeCell ref="AL15:AL16"/>
    <mergeCell ref="AM15:AM16"/>
    <mergeCell ref="AN15:AN16"/>
    <mergeCell ref="AK15:AK16"/>
    <mergeCell ref="AE15:AE16"/>
    <mergeCell ref="AF15:AF16"/>
    <mergeCell ref="AG15:AG16"/>
    <mergeCell ref="AH15:AH16"/>
    <mergeCell ref="AI15:AI16"/>
    <mergeCell ref="Z15:Z16"/>
    <mergeCell ref="AA15:AA16"/>
    <mergeCell ref="AB15:AB16"/>
    <mergeCell ref="AC15:AC16"/>
    <mergeCell ref="AD15:AD16"/>
    <mergeCell ref="Y15:Y16"/>
    <mergeCell ref="N15:N16"/>
    <mergeCell ref="O15:O16"/>
    <mergeCell ref="P15:P16"/>
    <mergeCell ref="Q15:Q16"/>
    <mergeCell ref="R15:R16"/>
    <mergeCell ref="S15:S16"/>
    <mergeCell ref="T15:T16"/>
    <mergeCell ref="U15:U16"/>
    <mergeCell ref="V15:V16"/>
    <mergeCell ref="W15:W16"/>
    <mergeCell ref="X15:X16"/>
    <mergeCell ref="M15:M16"/>
    <mergeCell ref="B15:B16"/>
    <mergeCell ref="C15:C16"/>
    <mergeCell ref="D15:D16"/>
    <mergeCell ref="E15:E16"/>
    <mergeCell ref="F15:F16"/>
    <mergeCell ref="G15:G16"/>
    <mergeCell ref="H15:H16"/>
    <mergeCell ref="I15:I16"/>
    <mergeCell ref="J15:J16"/>
    <mergeCell ref="K15:K16"/>
    <mergeCell ref="L15:L16"/>
  </mergeCells>
  <conditionalFormatting sqref="F17:AT76">
    <cfRule type="containsText" dxfId="221" priority="1" operator="containsText" text="הזנה שגויה">
      <formula>NOT(ISERROR(SEARCH("הזנה שגויה",F17)))</formula>
    </cfRule>
  </conditionalFormatting>
  <pageMargins left="0.70866141732283472" right="0.70866141732283472" top="0.74803149606299213" bottom="0.74803149606299213" header="0.31496062992125984" footer="0.31496062992125984"/>
  <pageSetup paperSize="9" scale="10" orientation="portrait" r:id="rId1"/>
  <headerFooter>
    <oddFooter>&amp;C&amp;"David,מודגש"א. חפץ ושות'
ייעוץ כלכלי</oddFooter>
  </headerFooter>
  <rowBreaks count="1" manualBreakCount="1">
    <brk id="40" min="1" max="4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גיליון16">
    <tabColor theme="4" tint="-0.249977111117893"/>
    <pageSetUpPr fitToPage="1"/>
  </sheetPr>
  <dimension ref="B2:G82"/>
  <sheetViews>
    <sheetView rightToLeft="1" view="pageBreakPreview" zoomScale="70" zoomScaleNormal="80" zoomScaleSheetLayoutView="70" workbookViewId="0"/>
  </sheetViews>
  <sheetFormatPr defaultColWidth="9.140625" defaultRowHeight="20.25" x14ac:dyDescent="0.25"/>
  <cols>
    <col min="1" max="1" width="9.140625" style="87"/>
    <col min="2" max="2" width="30.42578125" style="87" bestFit="1" customWidth="1"/>
    <col min="3" max="3" width="41.5703125" style="87" bestFit="1" customWidth="1"/>
    <col min="4" max="4" width="16.140625" style="87" customWidth="1"/>
    <col min="5" max="5" width="17.85546875" style="87" customWidth="1"/>
    <col min="6" max="6" width="18.42578125" style="87" customWidth="1"/>
    <col min="7" max="7" width="16.140625" style="87" bestFit="1" customWidth="1"/>
    <col min="8" max="8" width="36" style="87" customWidth="1"/>
    <col min="9" max="16384" width="9.140625" style="87"/>
  </cols>
  <sheetData>
    <row r="2" spans="2:7" x14ac:dyDescent="0.25">
      <c r="B2" s="86" t="str">
        <f>פרמטרים!B3</f>
        <v>שנת תקציב</v>
      </c>
      <c r="C2" s="75">
        <f>פרמטרים!C3</f>
        <v>2025</v>
      </c>
    </row>
    <row r="3" spans="2:7" x14ac:dyDescent="0.25">
      <c r="B3" s="86" t="str">
        <f>פרמטרים!B4</f>
        <v xml:space="preserve">גובה תמיכה </v>
      </c>
      <c r="C3" s="77">
        <f>פרמטרים!C4</f>
        <v>15000000</v>
      </c>
    </row>
    <row r="4" spans="2:7" x14ac:dyDescent="0.25">
      <c r="B4" s="118" t="s">
        <v>248</v>
      </c>
      <c r="C4" s="119">
        <f ca="1">C3-E79</f>
        <v>0</v>
      </c>
    </row>
    <row r="5" spans="2:7" hidden="1" x14ac:dyDescent="0.25"/>
    <row r="6" spans="2:7" hidden="1" x14ac:dyDescent="0.25"/>
    <row r="7" spans="2:7" hidden="1" x14ac:dyDescent="0.25"/>
    <row r="8" spans="2:7" hidden="1" x14ac:dyDescent="0.25"/>
    <row r="9" spans="2:7" hidden="1" x14ac:dyDescent="0.25"/>
    <row r="10" spans="2:7" hidden="1" x14ac:dyDescent="0.25"/>
    <row r="11" spans="2:7" hidden="1" x14ac:dyDescent="0.25"/>
    <row r="12" spans="2:7" hidden="1" x14ac:dyDescent="0.25"/>
    <row r="13" spans="2:7" hidden="1" x14ac:dyDescent="0.25"/>
    <row r="14" spans="2:7" ht="21" thickBot="1" x14ac:dyDescent="0.3"/>
    <row r="15" spans="2:7" ht="21" thickBot="1" x14ac:dyDescent="0.3">
      <c r="B15" s="577" t="str">
        <f>'ריכוז נתונים'!C15:C16</f>
        <v>מספר סידורי</v>
      </c>
      <c r="C15" s="579" t="str">
        <f>'ריכוז נתונים'!D15:D16</f>
        <v>שם המוסד</v>
      </c>
      <c r="D15" s="581" t="s">
        <v>249</v>
      </c>
      <c r="E15" s="581"/>
      <c r="F15" s="581"/>
      <c r="G15" s="582"/>
    </row>
    <row r="16" spans="2:7" ht="40.5" customHeight="1" thickBot="1" x14ac:dyDescent="0.3">
      <c r="B16" s="578"/>
      <c r="C16" s="580"/>
      <c r="D16" s="313" t="s">
        <v>250</v>
      </c>
      <c r="E16" s="306" t="s">
        <v>186</v>
      </c>
      <c r="F16" s="306" t="s">
        <v>251</v>
      </c>
      <c r="G16" s="306" t="s">
        <v>252</v>
      </c>
    </row>
    <row r="17" spans="2:7" x14ac:dyDescent="0.25">
      <c r="B17" s="123">
        <f>'ריכוז נתונים'!C17</f>
        <v>1</v>
      </c>
      <c r="C17" s="123" t="str">
        <f ca="1">ייצוב!C31</f>
        <v>מרכז מורשת בבל</v>
      </c>
      <c r="D17" s="89">
        <f ca="1">IF(AND(C17="",E17=""),"",E17/$C$3)</f>
        <v>5.3532225548708706E-2</v>
      </c>
      <c r="E17" s="90">
        <f ca="1">ייצוב!Z31</f>
        <v>802983.38323063054</v>
      </c>
      <c r="F17" s="90">
        <f>'ריכוז נתונים כללים'!O17</f>
        <v>656553.68000000005</v>
      </c>
      <c r="G17" s="124">
        <f ca="1">IF(OR(C17="",F17=0),"",E17/F17-1)</f>
        <v>0.22302777014459885</v>
      </c>
    </row>
    <row r="18" spans="2:7" x14ac:dyDescent="0.25">
      <c r="B18" s="88">
        <f>'ריכוז נתונים'!C18</f>
        <v>2</v>
      </c>
      <c r="C18" s="123" t="str">
        <f ca="1">ייצוב!C32</f>
        <v>מורשת יהודי צפון  אפריקה</v>
      </c>
      <c r="D18" s="89">
        <f t="shared" ref="D18:D76" ca="1" si="0">IF(AND(C18="",E18=""),"",E18/$C$3)</f>
        <v>2.0320414219325109E-2</v>
      </c>
      <c r="E18" s="90">
        <f ca="1">ייצוב!Z32</f>
        <v>304806.21328987664</v>
      </c>
      <c r="F18" s="90">
        <f>'ריכוז נתונים כללים'!O18</f>
        <v>242368.27</v>
      </c>
      <c r="G18" s="124">
        <f t="shared" ref="G18:G76" ca="1" si="1">IF(OR(C18="",F18=0),"",E18/F18-1)</f>
        <v>0.25761599606201191</v>
      </c>
    </row>
    <row r="19" spans="2:7" x14ac:dyDescent="0.25">
      <c r="B19" s="88">
        <f>'ריכוז נתונים'!C19</f>
        <v>3</v>
      </c>
      <c r="C19" s="123" t="str">
        <f ca="1">ייצוב!C33</f>
        <v>מורשת יהדות קוצין</v>
      </c>
      <c r="D19" s="89">
        <f t="shared" ca="1" si="0"/>
        <v>3.3834167778271584E-2</v>
      </c>
      <c r="E19" s="90">
        <f ca="1">ייצוב!Z33</f>
        <v>507512.51667407376</v>
      </c>
      <c r="F19" s="90">
        <f>'ריכוז נתונים כללים'!O19</f>
        <v>387242.95</v>
      </c>
      <c r="G19" s="124">
        <f t="shared" ca="1" si="1"/>
        <v>0.31057909943634554</v>
      </c>
    </row>
    <row r="20" spans="2:7" hidden="1" x14ac:dyDescent="0.25">
      <c r="B20" s="88">
        <f>'ריכוז נתונים'!C20</f>
        <v>4</v>
      </c>
      <c r="C20" s="123" t="str">
        <f ca="1">ייצוב!C34</f>
        <v>הפדרציה העולמית של יהדות תוניס</v>
      </c>
      <c r="D20" s="89">
        <f t="shared" ca="1" si="0"/>
        <v>5.7728254712555811E-3</v>
      </c>
      <c r="E20" s="90">
        <f ca="1">ייצוב!Z34</f>
        <v>86592.382068833715</v>
      </c>
      <c r="F20" s="90">
        <f>'ריכוז נתונים כללים'!O20</f>
        <v>137789.1</v>
      </c>
      <c r="G20" s="124">
        <f t="shared" ca="1" si="1"/>
        <v>-0.3715585480358482</v>
      </c>
    </row>
    <row r="21" spans="2:7" x14ac:dyDescent="0.25">
      <c r="B21" s="88">
        <f>'ריכוז נתונים'!C21</f>
        <v>5</v>
      </c>
      <c r="C21" s="123" t="str">
        <f ca="1">ייצוב!C35</f>
        <v>התאחדות עולי מצרים</v>
      </c>
      <c r="D21" s="89">
        <f t="shared" ca="1" si="0"/>
        <v>2.035328202141708E-2</v>
      </c>
      <c r="E21" s="90">
        <f ca="1">ייצוב!Z35</f>
        <v>305299.23032125621</v>
      </c>
      <c r="F21" s="90">
        <f>'ריכוז נתונים כללים'!O21</f>
        <v>192461.67</v>
      </c>
      <c r="G21" s="124">
        <f t="shared" ca="1" si="1"/>
        <v>0.58628588394383252</v>
      </c>
    </row>
    <row r="22" spans="2:7" x14ac:dyDescent="0.25">
      <c r="B22" s="88">
        <f>'ריכוז נתונים'!C22</f>
        <v>6</v>
      </c>
      <c r="C22" s="123" t="str">
        <f ca="1">ייצוב!C36</f>
        <v>יהודים יוצאי לוב</v>
      </c>
      <c r="D22" s="89">
        <f t="shared" ca="1" si="0"/>
        <v>3.2587595738611391E-2</v>
      </c>
      <c r="E22" s="90">
        <f ca="1">ייצוב!Z36</f>
        <v>488813.93607917085</v>
      </c>
      <c r="F22" s="90">
        <f>'ריכוז נתונים כללים'!O22</f>
        <v>501135.74</v>
      </c>
      <c r="G22" s="124">
        <f t="shared" ca="1" si="1"/>
        <v>-2.458775724283635E-2</v>
      </c>
    </row>
    <row r="23" spans="2:7" x14ac:dyDescent="0.25">
      <c r="B23" s="88">
        <f>'ריכוז נתונים'!C23</f>
        <v>7</v>
      </c>
      <c r="C23" s="123" t="str">
        <f ca="1">ייצוב!C37</f>
        <v>הפדרציה העולמית של יהדות מרוקו</v>
      </c>
      <c r="D23" s="89">
        <f t="shared" ca="1" si="0"/>
        <v>2.0231285318742711E-2</v>
      </c>
      <c r="E23" s="90">
        <f ca="1">ייצוב!Z37</f>
        <v>303469.27978114068</v>
      </c>
      <c r="F23" s="90">
        <f>'ריכוז נתונים כללים'!O23</f>
        <v>308058</v>
      </c>
      <c r="G23" s="124">
        <f t="shared" ca="1" si="1"/>
        <v>-1.4895637246425397E-2</v>
      </c>
    </row>
    <row r="24" spans="2:7" x14ac:dyDescent="0.25">
      <c r="B24" s="88">
        <f>'ריכוז נתונים'!C24</f>
        <v>8</v>
      </c>
      <c r="C24" s="123" t="str">
        <f ca="1">ייצוב!C38</f>
        <v>אורות הגליל</v>
      </c>
      <c r="D24" s="89">
        <f t="shared" ca="1" si="0"/>
        <v>2.8072592052394901E-2</v>
      </c>
      <c r="E24" s="90">
        <f ca="1">ייצוב!Z38</f>
        <v>421088.88078592351</v>
      </c>
      <c r="F24" s="90">
        <f>'ריכוז נתונים כללים'!O24</f>
        <v>295429.61</v>
      </c>
      <c r="G24" s="124">
        <f t="shared" ca="1" si="1"/>
        <v>0.42534419886322006</v>
      </c>
    </row>
    <row r="25" spans="2:7" x14ac:dyDescent="0.25">
      <c r="B25" s="88">
        <f>'ריכוז נתונים'!C25</f>
        <v>9</v>
      </c>
      <c r="C25" s="123" t="str">
        <f ca="1">ייצוב!C39</f>
        <v>אלמז</v>
      </c>
      <c r="D25" s="89">
        <f t="shared" ca="1" si="0"/>
        <v>9.0051980616083875E-3</v>
      </c>
      <c r="E25" s="90">
        <f ca="1">ייצוב!Z39</f>
        <v>135077.97092412581</v>
      </c>
      <c r="F25" s="90">
        <f>'ריכוז נתונים כללים'!O25</f>
        <v>103736.29</v>
      </c>
      <c r="G25" s="124">
        <f t="shared" ca="1" si="1"/>
        <v>0.30212841546700608</v>
      </c>
    </row>
    <row r="26" spans="2:7" x14ac:dyDescent="0.25">
      <c r="B26" s="88">
        <f>'ריכוז נתונים'!C26</f>
        <v>10</v>
      </c>
      <c r="C26" s="123" t="str">
        <f ca="1">ייצוב!C40</f>
        <v>קונגרס יהודי בוכרה</v>
      </c>
      <c r="D26" s="89">
        <f t="shared" ca="1" si="0"/>
        <v>9.8017486389855704E-2</v>
      </c>
      <c r="E26" s="90">
        <f ca="1">ייצוב!Z40</f>
        <v>1470262.2958478355</v>
      </c>
      <c r="F26" s="90">
        <f>'ריכוז נתונים כללים'!O26</f>
        <v>1071864</v>
      </c>
      <c r="G26" s="124">
        <f t="shared" ca="1" si="1"/>
        <v>0.37168735571661649</v>
      </c>
    </row>
    <row r="27" spans="2:7" x14ac:dyDescent="0.25">
      <c r="B27" s="88">
        <f>'ריכוז נתונים'!C27</f>
        <v>11</v>
      </c>
      <c r="C27" s="123" t="str">
        <f ca="1">ייצוב!C41</f>
        <v>יהדות שאלוניקי יוון</v>
      </c>
      <c r="D27" s="89">
        <f t="shared" ca="1" si="0"/>
        <v>2.1880900117912098E-2</v>
      </c>
      <c r="E27" s="90">
        <f ca="1">ייצוב!Z41</f>
        <v>328213.50176868145</v>
      </c>
      <c r="F27" s="90">
        <f>'ריכוז נתונים כללים'!O27</f>
        <v>264243.15000000002</v>
      </c>
      <c r="G27" s="124">
        <f t="shared" ca="1" si="1"/>
        <v>0.2420889690751924</v>
      </c>
    </row>
    <row r="28" spans="2:7" hidden="1" x14ac:dyDescent="0.25">
      <c r="B28" s="88">
        <f>'ריכוז נתונים'!C28</f>
        <v>12</v>
      </c>
      <c r="C28" s="123" t="str">
        <f ca="1">ייצוב!C42</f>
        <v/>
      </c>
      <c r="D28" s="89" t="str">
        <f t="shared" ca="1" si="0"/>
        <v/>
      </c>
      <c r="E28" s="90" t="str">
        <f ca="1">ייצוב!Z42</f>
        <v/>
      </c>
      <c r="F28" s="90">
        <f>'ריכוז נתונים כללים'!O28</f>
        <v>0</v>
      </c>
      <c r="G28" s="124" t="str">
        <f t="shared" ca="1" si="1"/>
        <v/>
      </c>
    </row>
    <row r="29" spans="2:7" hidden="1" x14ac:dyDescent="0.25">
      <c r="B29" s="88">
        <f>'ריכוז נתונים'!C29</f>
        <v>13</v>
      </c>
      <c r="C29" s="123" t="str">
        <f ca="1">ייצוב!C43</f>
        <v/>
      </c>
      <c r="D29" s="89" t="str">
        <f t="shared" ca="1" si="0"/>
        <v/>
      </c>
      <c r="E29" s="90" t="str">
        <f ca="1">ייצוב!Z43</f>
        <v/>
      </c>
      <c r="F29" s="90">
        <f>'ריכוז נתונים כללים'!O29</f>
        <v>0</v>
      </c>
      <c r="G29" s="124" t="str">
        <f t="shared" ca="1" si="1"/>
        <v/>
      </c>
    </row>
    <row r="30" spans="2:7" hidden="1" x14ac:dyDescent="0.25">
      <c r="B30" s="88">
        <f>'ריכוז נתונים'!C30</f>
        <v>14</v>
      </c>
      <c r="C30" s="123" t="str">
        <f ca="1">ייצוב!C44</f>
        <v/>
      </c>
      <c r="D30" s="89" t="str">
        <f t="shared" ca="1" si="0"/>
        <v/>
      </c>
      <c r="E30" s="90" t="str">
        <f ca="1">ייצוב!Z44</f>
        <v/>
      </c>
      <c r="F30" s="90">
        <f>'ריכוז נתונים כללים'!O30</f>
        <v>0</v>
      </c>
      <c r="G30" s="124" t="str">
        <f t="shared" ca="1" si="1"/>
        <v/>
      </c>
    </row>
    <row r="31" spans="2:7" x14ac:dyDescent="0.25">
      <c r="B31" s="88">
        <f>'ריכוז נתונים'!C31</f>
        <v>15</v>
      </c>
      <c r="C31" s="123" t="str">
        <f ca="1">ייצוב!C45</f>
        <v xml:space="preserve">החברה לטיפוח חברה תרבות תיעוד </v>
      </c>
      <c r="D31" s="89">
        <f t="shared" ca="1" si="0"/>
        <v>0.1556389481202719</v>
      </c>
      <c r="E31" s="90">
        <f ca="1">ייצוב!Z45</f>
        <v>2334584.2218040787</v>
      </c>
      <c r="F31" s="90">
        <f>'ריכוז נתונים כללים'!O31</f>
        <v>1514521.42</v>
      </c>
      <c r="G31" s="124">
        <f t="shared" ca="1" si="1"/>
        <v>0.54146662501747822</v>
      </c>
    </row>
    <row r="32" spans="2:7" x14ac:dyDescent="0.25">
      <c r="B32" s="88">
        <f>'ריכוז נתונים'!C32</f>
        <v>16</v>
      </c>
      <c r="C32" s="123" t="str">
        <f ca="1">ייצוב!C46</f>
        <v>עמותת אור שלום</v>
      </c>
      <c r="D32" s="89">
        <f t="shared" ca="1" si="0"/>
        <v>4.1388374729204938E-2</v>
      </c>
      <c r="E32" s="90">
        <f ca="1">ייצוב!Z46</f>
        <v>620825.62093807408</v>
      </c>
      <c r="F32" s="90">
        <f>'ריכוז נתונים כללים'!O32</f>
        <v>510958.73</v>
      </c>
      <c r="G32" s="124">
        <f t="shared" ca="1" si="1"/>
        <v>0.21502106625729644</v>
      </c>
    </row>
    <row r="33" spans="2:7" hidden="1" x14ac:dyDescent="0.25">
      <c r="B33" s="88">
        <f>'ריכוז נתונים'!C33</f>
        <v>17</v>
      </c>
      <c r="C33" s="123" t="str">
        <f ca="1">ייצוב!C47</f>
        <v/>
      </c>
      <c r="D33" s="89" t="str">
        <f t="shared" ca="1" si="0"/>
        <v/>
      </c>
      <c r="E33" s="90" t="str">
        <f ca="1">ייצוב!Z47</f>
        <v/>
      </c>
      <c r="F33" s="90">
        <f>'ריכוז נתונים כללים'!O33</f>
        <v>0</v>
      </c>
      <c r="G33" s="124" t="str">
        <f t="shared" ca="1" si="1"/>
        <v/>
      </c>
    </row>
    <row r="34" spans="2:7" x14ac:dyDescent="0.25">
      <c r="B34" s="88">
        <f>'ריכוז נתונים'!C34</f>
        <v>18</v>
      </c>
      <c r="C34" s="123" t="str">
        <f ca="1">ייצוב!C48</f>
        <v>ישיבת קרלין סטולין</v>
      </c>
      <c r="D34" s="89">
        <f t="shared" ca="1" si="0"/>
        <v>2.6185512146466989E-2</v>
      </c>
      <c r="E34" s="90">
        <f ca="1">ייצוב!Z48</f>
        <v>392782.68219700485</v>
      </c>
      <c r="F34" s="90">
        <f>'ריכוז נתונים כללים'!O34</f>
        <v>375308.62</v>
      </c>
      <c r="G34" s="124">
        <f t="shared" ca="1" si="1"/>
        <v>4.6559181606339983E-2</v>
      </c>
    </row>
    <row r="35" spans="2:7" hidden="1" x14ac:dyDescent="0.25">
      <c r="B35" s="88">
        <f>'ריכוז נתונים'!C35</f>
        <v>19</v>
      </c>
      <c r="C35" s="123" t="str">
        <f ca="1">ייצוב!C49</f>
        <v/>
      </c>
      <c r="D35" s="89" t="str">
        <f t="shared" ca="1" si="0"/>
        <v/>
      </c>
      <c r="E35" s="90" t="str">
        <f ca="1">ייצוב!Z49</f>
        <v/>
      </c>
      <c r="F35" s="90">
        <f>'ריכוז נתונים כללים'!O35</f>
        <v>0</v>
      </c>
      <c r="G35" s="124" t="str">
        <f t="shared" ca="1" si="1"/>
        <v/>
      </c>
    </row>
    <row r="36" spans="2:7" hidden="1" x14ac:dyDescent="0.25">
      <c r="B36" s="88">
        <f>'ריכוז נתונים'!C36</f>
        <v>20</v>
      </c>
      <c r="C36" s="123" t="str">
        <f ca="1">ייצוב!C50</f>
        <v/>
      </c>
      <c r="D36" s="89" t="str">
        <f t="shared" ca="1" si="0"/>
        <v/>
      </c>
      <c r="E36" s="90" t="str">
        <f ca="1">ייצוב!Z50</f>
        <v/>
      </c>
      <c r="F36" s="90">
        <f>'ריכוז נתונים כללים'!O36</f>
        <v>0</v>
      </c>
      <c r="G36" s="124" t="str">
        <f t="shared" ca="1" si="1"/>
        <v/>
      </c>
    </row>
    <row r="37" spans="2:7" x14ac:dyDescent="0.25">
      <c r="B37" s="88">
        <f>'ריכוז נתונים'!C37</f>
        <v>21</v>
      </c>
      <c r="C37" s="123" t="str">
        <f ca="1">ייצוב!C51</f>
        <v>ברית יוצאי מרוקו</v>
      </c>
      <c r="D37" s="89">
        <f t="shared" ca="1" si="0"/>
        <v>1.3734525348135233E-2</v>
      </c>
      <c r="E37" s="90">
        <f ca="1">ייצוב!Z51</f>
        <v>206017.8802220285</v>
      </c>
      <c r="F37" s="90">
        <f>'ריכוז נתונים כללים'!O37</f>
        <v>182409</v>
      </c>
      <c r="G37" s="124">
        <f t="shared" ca="1" si="1"/>
        <v>0.12942826407703834</v>
      </c>
    </row>
    <row r="38" spans="2:7" x14ac:dyDescent="0.25">
      <c r="B38" s="88">
        <f>'ריכוז נתונים'!C38</f>
        <v>22</v>
      </c>
      <c r="C38" s="123" t="str">
        <f ca="1">ייצוב!C52</f>
        <v>הקם - בית הקונפדרציה</v>
      </c>
      <c r="D38" s="89">
        <f t="shared" ca="1" si="0"/>
        <v>4.018833939344324E-2</v>
      </c>
      <c r="E38" s="90">
        <f ca="1">ייצוב!Z52</f>
        <v>602825.09090164863</v>
      </c>
      <c r="F38" s="90">
        <f>'ריכוז נתונים כללים'!O38</f>
        <v>612871.59</v>
      </c>
      <c r="G38" s="124">
        <f t="shared" ca="1" si="1"/>
        <v>-1.6392502544213761E-2</v>
      </c>
    </row>
    <row r="39" spans="2:7" x14ac:dyDescent="0.25">
      <c r="B39" s="88">
        <f>'ריכוז נתונים'!C39</f>
        <v>23</v>
      </c>
      <c r="C39" s="123" t="str">
        <f ca="1">ייצוב!C53</f>
        <v>מוסיקה מזרח מערב</v>
      </c>
      <c r="D39" s="89">
        <f t="shared" ca="1" si="0"/>
        <v>6.1412772114854956E-2</v>
      </c>
      <c r="E39" s="90">
        <f ca="1">ייצוב!Z53</f>
        <v>921191.58172282437</v>
      </c>
      <c r="F39" s="90">
        <f>'ריכוז נתונים כללים'!O39</f>
        <v>690258.18</v>
      </c>
      <c r="G39" s="124">
        <f t="shared" ca="1" si="1"/>
        <v>0.33456090549020989</v>
      </c>
    </row>
    <row r="40" spans="2:7" x14ac:dyDescent="0.25">
      <c r="B40" s="88">
        <f>'ריכוז נתונים'!C40</f>
        <v>24</v>
      </c>
      <c r="C40" s="123" t="str">
        <f ca="1">ייצוב!C54</f>
        <v>אעלה בתמר</v>
      </c>
      <c r="D40" s="89">
        <f t="shared" ca="1" si="0"/>
        <v>0.12949290654119039</v>
      </c>
      <c r="E40" s="90">
        <f ca="1">ייצוב!Z54</f>
        <v>1942393.5981178558</v>
      </c>
      <c r="F40" s="90">
        <f>'ריכוז נתונים כללים'!O40</f>
        <v>1206197.58</v>
      </c>
      <c r="G40" s="124">
        <f t="shared" ca="1" si="1"/>
        <v>0.61034446621742999</v>
      </c>
    </row>
    <row r="41" spans="2:7" hidden="1" x14ac:dyDescent="0.25">
      <c r="B41" s="88">
        <f>'ריכוז נתונים'!C41</f>
        <v>25</v>
      </c>
      <c r="C41" s="123" t="str">
        <f ca="1">ייצוב!C55</f>
        <v/>
      </c>
      <c r="D41" s="89" t="str">
        <f t="shared" ca="1" si="0"/>
        <v/>
      </c>
      <c r="E41" s="90" t="str">
        <f ca="1">ייצוב!Z55</f>
        <v/>
      </c>
      <c r="F41" s="90">
        <f>'ריכוז נתונים כללים'!O41</f>
        <v>0</v>
      </c>
      <c r="G41" s="124" t="str">
        <f t="shared" ca="1" si="1"/>
        <v/>
      </c>
    </row>
    <row r="42" spans="2:7" hidden="1" x14ac:dyDescent="0.25">
      <c r="B42" s="88">
        <f>'ריכוז נתונים'!C42</f>
        <v>26</v>
      </c>
      <c r="C42" s="123" t="str">
        <f ca="1">ייצוב!C56</f>
        <v/>
      </c>
      <c r="D42" s="89" t="str">
        <f t="shared" ca="1" si="0"/>
        <v/>
      </c>
      <c r="E42" s="90" t="str">
        <f ca="1">ייצוב!Z56</f>
        <v/>
      </c>
      <c r="F42" s="90">
        <f>'ריכוז נתונים כללים'!O42</f>
        <v>0</v>
      </c>
      <c r="G42" s="124" t="str">
        <f t="shared" ca="1" si="1"/>
        <v/>
      </c>
    </row>
    <row r="43" spans="2:7" x14ac:dyDescent="0.25">
      <c r="B43" s="88">
        <f>'ריכוז נתונים'!C43</f>
        <v>27</v>
      </c>
      <c r="C43" s="123" t="str">
        <f ca="1">ייצוב!C57</f>
        <v>מכון הברמן</v>
      </c>
      <c r="D43" s="89">
        <f t="shared" ca="1" si="0"/>
        <v>2.1318543528962328E-2</v>
      </c>
      <c r="E43" s="90">
        <f ca="1">ייצוב!Z57</f>
        <v>319778.15293443494</v>
      </c>
      <c r="F43" s="90">
        <f>'ריכוז נתונים כללים'!O43</f>
        <v>268632.15999999997</v>
      </c>
      <c r="G43" s="124">
        <f t="shared" ca="1" si="1"/>
        <v>0.19039415435007845</v>
      </c>
    </row>
    <row r="44" spans="2:7" hidden="1" x14ac:dyDescent="0.25">
      <c r="B44" s="88">
        <f>'ריכוז נתונים'!C44</f>
        <v>28</v>
      </c>
      <c r="C44" s="123" t="str">
        <f ca="1">ייצוב!C58</f>
        <v/>
      </c>
      <c r="D44" s="89" t="str">
        <f t="shared" ca="1" si="0"/>
        <v/>
      </c>
      <c r="E44" s="90" t="str">
        <f ca="1">ייצוב!Z58</f>
        <v/>
      </c>
      <c r="F44" s="90">
        <f>'ריכוז נתונים כללים'!O44</f>
        <v>0</v>
      </c>
      <c r="G44" s="124" t="str">
        <f t="shared" ca="1" si="1"/>
        <v/>
      </c>
    </row>
    <row r="45" spans="2:7" x14ac:dyDescent="0.25">
      <c r="B45" s="88">
        <f>'ריכוז נתונים'!C45</f>
        <v>29</v>
      </c>
      <c r="C45" s="123" t="str">
        <f ca="1">ייצוב!C59</f>
        <v/>
      </c>
      <c r="D45" s="89" t="str">
        <f t="shared" ca="1" si="0"/>
        <v/>
      </c>
      <c r="E45" s="90" t="str">
        <f ca="1">ייצוב!Z59</f>
        <v/>
      </c>
      <c r="F45" s="90">
        <f>'ריכוז נתונים כללים'!O45</f>
        <v>0</v>
      </c>
      <c r="G45" s="124" t="str">
        <f t="shared" ca="1" si="1"/>
        <v/>
      </c>
    </row>
    <row r="46" spans="2:7" hidden="1" x14ac:dyDescent="0.25">
      <c r="B46" s="88">
        <f>'ריכוז נתונים'!C46</f>
        <v>30</v>
      </c>
      <c r="C46" s="123" t="str">
        <f ca="1">ייצוב!C60</f>
        <v/>
      </c>
      <c r="D46" s="89" t="str">
        <f t="shared" ca="1" si="0"/>
        <v/>
      </c>
      <c r="E46" s="90" t="str">
        <f ca="1">ייצוב!Z60</f>
        <v/>
      </c>
      <c r="F46" s="90">
        <f>'ריכוז נתונים כללים'!O46</f>
        <v>0</v>
      </c>
      <c r="G46" s="124" t="str">
        <f t="shared" ca="1" si="1"/>
        <v/>
      </c>
    </row>
    <row r="47" spans="2:7" hidden="1" x14ac:dyDescent="0.25">
      <c r="B47" s="88">
        <f>'ריכוז נתונים'!C47</f>
        <v>31</v>
      </c>
      <c r="C47" s="123" t="str">
        <f ca="1">ייצוב!C61</f>
        <v>כולנא</v>
      </c>
      <c r="D47" s="89">
        <f t="shared" ca="1" si="0"/>
        <v>3.4796022361349897E-2</v>
      </c>
      <c r="E47" s="90">
        <f ca="1">ייצוב!Z61</f>
        <v>521940.33542024845</v>
      </c>
      <c r="F47" s="90">
        <f>'ריכוז נתונים כללים'!O47</f>
        <v>367491.24</v>
      </c>
      <c r="G47" s="124">
        <f t="shared" ca="1" si="1"/>
        <v>0.42027966549692031</v>
      </c>
    </row>
    <row r="48" spans="2:7" hidden="1" x14ac:dyDescent="0.25">
      <c r="B48" s="88">
        <f>'ריכוז נתונים'!C48</f>
        <v>32</v>
      </c>
      <c r="C48" s="123" t="str">
        <f ca="1">ייצוב!C62</f>
        <v/>
      </c>
      <c r="D48" s="89" t="str">
        <f t="shared" ca="1" si="0"/>
        <v/>
      </c>
      <c r="E48" s="90" t="str">
        <f ca="1">ייצוב!Z62</f>
        <v/>
      </c>
      <c r="F48" s="90">
        <f>'ריכוז נתונים כללים'!O48</f>
        <v>0</v>
      </c>
      <c r="G48" s="124" t="str">
        <f t="shared" ca="1" si="1"/>
        <v/>
      </c>
    </row>
    <row r="49" spans="2:7" hidden="1" x14ac:dyDescent="0.25">
      <c r="B49" s="88">
        <f>'ריכוז נתונים'!C49</f>
        <v>33</v>
      </c>
      <c r="C49" s="123" t="str">
        <f ca="1">ייצוב!C63</f>
        <v/>
      </c>
      <c r="D49" s="89" t="str">
        <f t="shared" ca="1" si="0"/>
        <v/>
      </c>
      <c r="E49" s="90" t="str">
        <f ca="1">ייצוב!Z63</f>
        <v/>
      </c>
      <c r="F49" s="90">
        <f>'ריכוז נתונים כללים'!O49</f>
        <v>0</v>
      </c>
      <c r="G49" s="124" t="str">
        <f t="shared" ca="1" si="1"/>
        <v/>
      </c>
    </row>
    <row r="50" spans="2:7" hidden="1" x14ac:dyDescent="0.25">
      <c r="B50" s="88">
        <f>'ריכוז נתונים'!C50</f>
        <v>34</v>
      </c>
      <c r="C50" s="123" t="str">
        <f ca="1">ייצוב!C64</f>
        <v/>
      </c>
      <c r="D50" s="89" t="str">
        <f t="shared" ca="1" si="0"/>
        <v/>
      </c>
      <c r="E50" s="90" t="str">
        <f ca="1">ייצוב!Z64</f>
        <v/>
      </c>
      <c r="F50" s="90">
        <f>'ריכוז נתונים כללים'!O50</f>
        <v>0</v>
      </c>
      <c r="G50" s="124" t="str">
        <f t="shared" ca="1" si="1"/>
        <v/>
      </c>
    </row>
    <row r="51" spans="2:7" hidden="1" x14ac:dyDescent="0.25">
      <c r="B51" s="88">
        <f>'ריכוז נתונים'!C51</f>
        <v>35</v>
      </c>
      <c r="C51" s="123" t="str">
        <f ca="1">ייצוב!C65</f>
        <v/>
      </c>
      <c r="D51" s="89" t="str">
        <f t="shared" ca="1" si="0"/>
        <v/>
      </c>
      <c r="E51" s="90" t="str">
        <f ca="1">ייצוב!Z65</f>
        <v/>
      </c>
      <c r="F51" s="90">
        <f>'ריכוז נתונים כללים'!O51</f>
        <v>0</v>
      </c>
      <c r="G51" s="124" t="str">
        <f t="shared" ca="1" si="1"/>
        <v/>
      </c>
    </row>
    <row r="52" spans="2:7" hidden="1" x14ac:dyDescent="0.25">
      <c r="B52" s="88">
        <f>'ריכוז נתונים'!C52</f>
        <v>36</v>
      </c>
      <c r="C52" s="123" t="str">
        <f ca="1">ייצוב!C66</f>
        <v/>
      </c>
      <c r="D52" s="89" t="str">
        <f t="shared" ca="1" si="0"/>
        <v/>
      </c>
      <c r="E52" s="90" t="str">
        <f ca="1">ייצוב!Z66</f>
        <v/>
      </c>
      <c r="F52" s="90">
        <f>'ריכוז נתונים כללים'!O52</f>
        <v>0</v>
      </c>
      <c r="G52" s="124" t="str">
        <f t="shared" ca="1" si="1"/>
        <v/>
      </c>
    </row>
    <row r="53" spans="2:7" hidden="1" x14ac:dyDescent="0.25">
      <c r="B53" s="88">
        <f>'ריכוז נתונים'!C53</f>
        <v>37</v>
      </c>
      <c r="C53" s="123" t="str">
        <f ca="1">ייצוב!C67</f>
        <v/>
      </c>
      <c r="D53" s="89" t="str">
        <f t="shared" ca="1" si="0"/>
        <v/>
      </c>
      <c r="E53" s="90" t="str">
        <f ca="1">ייצוב!Z67</f>
        <v/>
      </c>
      <c r="F53" s="90">
        <f>'ריכוז נתונים כללים'!O53</f>
        <v>0</v>
      </c>
      <c r="G53" s="124" t="str">
        <f t="shared" ca="1" si="1"/>
        <v/>
      </c>
    </row>
    <row r="54" spans="2:7" hidden="1" x14ac:dyDescent="0.25">
      <c r="B54" s="88">
        <f>'ריכוז נתונים'!C54</f>
        <v>38</v>
      </c>
      <c r="C54" s="123" t="str">
        <f ca="1">ייצוב!C68</f>
        <v/>
      </c>
      <c r="D54" s="89" t="str">
        <f t="shared" ca="1" si="0"/>
        <v/>
      </c>
      <c r="E54" s="90" t="str">
        <f ca="1">ייצוב!Z68</f>
        <v/>
      </c>
      <c r="F54" s="90">
        <f>'ריכוז נתונים כללים'!O54</f>
        <v>0</v>
      </c>
      <c r="G54" s="124" t="str">
        <f t="shared" ca="1" si="1"/>
        <v/>
      </c>
    </row>
    <row r="55" spans="2:7" hidden="1" x14ac:dyDescent="0.25">
      <c r="B55" s="88">
        <f>'ריכוז נתונים'!C55</f>
        <v>39</v>
      </c>
      <c r="C55" s="123" t="str">
        <f ca="1">ייצוב!C69</f>
        <v/>
      </c>
      <c r="D55" s="89" t="str">
        <f t="shared" ca="1" si="0"/>
        <v/>
      </c>
      <c r="E55" s="90" t="str">
        <f ca="1">ייצוב!Z69</f>
        <v/>
      </c>
      <c r="F55" s="90">
        <f>'ריכוז נתונים כללים'!O55</f>
        <v>0</v>
      </c>
      <c r="G55" s="124" t="str">
        <f t="shared" ca="1" si="1"/>
        <v/>
      </c>
    </row>
    <row r="56" spans="2:7" hidden="1" x14ac:dyDescent="0.25">
      <c r="B56" s="88">
        <f>'ריכוז נתונים'!C56</f>
        <v>40</v>
      </c>
      <c r="C56" s="123" t="str">
        <f ca="1">ייצוב!C70</f>
        <v/>
      </c>
      <c r="D56" s="89" t="str">
        <f t="shared" ca="1" si="0"/>
        <v/>
      </c>
      <c r="E56" s="90" t="str">
        <f ca="1">ייצוב!Z70</f>
        <v/>
      </c>
      <c r="F56" s="90">
        <f>'ריכוז נתונים כללים'!O56</f>
        <v>0</v>
      </c>
      <c r="G56" s="124" t="str">
        <f t="shared" ca="1" si="1"/>
        <v/>
      </c>
    </row>
    <row r="57" spans="2:7" hidden="1" x14ac:dyDescent="0.25">
      <c r="B57" s="88">
        <f>'ריכוז נתונים'!C57</f>
        <v>41</v>
      </c>
      <c r="C57" s="123" t="str">
        <f ca="1">ייצוב!C71</f>
        <v/>
      </c>
      <c r="D57" s="89" t="str">
        <f t="shared" ca="1" si="0"/>
        <v/>
      </c>
      <c r="E57" s="90" t="str">
        <f ca="1">ייצוב!Z71</f>
        <v/>
      </c>
      <c r="F57" s="90">
        <f>'ריכוז נתונים כללים'!O57</f>
        <v>0</v>
      </c>
      <c r="G57" s="124" t="str">
        <f t="shared" ca="1" si="1"/>
        <v/>
      </c>
    </row>
    <row r="58" spans="2:7" hidden="1" x14ac:dyDescent="0.25">
      <c r="B58" s="88">
        <f>'ריכוז נתונים'!C58</f>
        <v>42</v>
      </c>
      <c r="C58" s="123" t="str">
        <f ca="1">ייצוב!C72</f>
        <v/>
      </c>
      <c r="D58" s="89" t="str">
        <f t="shared" ca="1" si="0"/>
        <v/>
      </c>
      <c r="E58" s="90" t="str">
        <f ca="1">ייצוב!Z72</f>
        <v/>
      </c>
      <c r="F58" s="90">
        <f>'ריכוז נתונים כללים'!O58</f>
        <v>0</v>
      </c>
      <c r="G58" s="124" t="str">
        <f t="shared" ca="1" si="1"/>
        <v/>
      </c>
    </row>
    <row r="59" spans="2:7" hidden="1" x14ac:dyDescent="0.25">
      <c r="B59" s="88">
        <f>'ריכוז נתונים'!C59</f>
        <v>43</v>
      </c>
      <c r="C59" s="123" t="str">
        <f ca="1">ייצוב!C73</f>
        <v/>
      </c>
      <c r="D59" s="89" t="str">
        <f t="shared" ca="1" si="0"/>
        <v/>
      </c>
      <c r="E59" s="90" t="str">
        <f ca="1">ייצוב!Z73</f>
        <v/>
      </c>
      <c r="F59" s="90">
        <f>'ריכוז נתונים כללים'!O59</f>
        <v>0</v>
      </c>
      <c r="G59" s="124" t="str">
        <f t="shared" ca="1" si="1"/>
        <v/>
      </c>
    </row>
    <row r="60" spans="2:7" hidden="1" x14ac:dyDescent="0.25">
      <c r="B60" s="88">
        <f>'ריכוז נתונים'!C60</f>
        <v>44</v>
      </c>
      <c r="C60" s="123" t="str">
        <f ca="1">ייצוב!C74</f>
        <v/>
      </c>
      <c r="D60" s="89" t="str">
        <f t="shared" ca="1" si="0"/>
        <v/>
      </c>
      <c r="E60" s="90" t="str">
        <f ca="1">ייצוב!Z74</f>
        <v/>
      </c>
      <c r="F60" s="90">
        <f>'ריכוז נתונים כללים'!O60</f>
        <v>0</v>
      </c>
      <c r="G60" s="124" t="str">
        <f t="shared" ca="1" si="1"/>
        <v/>
      </c>
    </row>
    <row r="61" spans="2:7" x14ac:dyDescent="0.25">
      <c r="B61" s="88">
        <f>'ריכוז נתונים'!C61</f>
        <v>45</v>
      </c>
      <c r="C61" s="123" t="str">
        <f ca="1">ייצוב!C75</f>
        <v/>
      </c>
      <c r="D61" s="89" t="str">
        <f t="shared" ca="1" si="0"/>
        <v/>
      </c>
      <c r="E61" s="90" t="str">
        <f ca="1">ייצוב!Z75</f>
        <v/>
      </c>
      <c r="F61" s="90">
        <f>'ריכוז נתונים כללים'!O61</f>
        <v>0</v>
      </c>
      <c r="G61" s="124" t="str">
        <f t="shared" ca="1" si="1"/>
        <v/>
      </c>
    </row>
    <row r="62" spans="2:7" x14ac:dyDescent="0.25">
      <c r="B62" s="88">
        <f>'ריכוז נתונים'!C62</f>
        <v>46</v>
      </c>
      <c r="C62" s="123" t="str">
        <f ca="1">ייצוב!C76</f>
        <v>ענבל מרכז אתני</v>
      </c>
      <c r="D62" s="89">
        <f t="shared" ca="1" si="0"/>
        <v>4.6277930780501977E-2</v>
      </c>
      <c r="E62" s="90">
        <f ca="1">ייצוב!Z76</f>
        <v>694168.96170752961</v>
      </c>
      <c r="F62" s="90">
        <f>'ריכוז נתונים כללים'!O62</f>
        <v>828405.49</v>
      </c>
      <c r="G62" s="124">
        <f t="shared" ca="1" si="1"/>
        <v>-0.16204205538578742</v>
      </c>
    </row>
    <row r="63" spans="2:7" x14ac:dyDescent="0.25">
      <c r="B63" s="88">
        <f>'ריכוז נתונים'!C63</f>
        <v>47</v>
      </c>
      <c r="C63" s="123" t="str">
        <f ca="1">ייצוב!C77</f>
        <v>א.ב. חדשות השומרונים</v>
      </c>
      <c r="D63" s="89">
        <f t="shared" ca="1" si="0"/>
        <v>1.523596256908359E-2</v>
      </c>
      <c r="E63" s="90">
        <f ca="1">ייצוב!Z77</f>
        <v>228539.43853625385</v>
      </c>
      <c r="F63" s="90">
        <f>'ריכוז נתונים כללים'!O63</f>
        <v>162810.15</v>
      </c>
      <c r="G63" s="124">
        <f t="shared" ca="1" si="1"/>
        <v>0.40371738823564662</v>
      </c>
    </row>
    <row r="64" spans="2:7" hidden="1" x14ac:dyDescent="0.25">
      <c r="B64" s="88">
        <f>'ריכוז נתונים'!C64</f>
        <v>48</v>
      </c>
      <c r="C64" s="123" t="str">
        <f ca="1">ייצוב!C78</f>
        <v/>
      </c>
      <c r="D64" s="89" t="str">
        <f t="shared" ca="1" si="0"/>
        <v/>
      </c>
      <c r="E64" s="90" t="str">
        <f ca="1">ייצוב!Z78</f>
        <v/>
      </c>
      <c r="F64" s="90">
        <f>'ריכוז נתונים כללים'!O64</f>
        <v>0</v>
      </c>
      <c r="G64" s="124" t="str">
        <f t="shared" ca="1" si="1"/>
        <v/>
      </c>
    </row>
    <row r="65" spans="2:7" hidden="1" x14ac:dyDescent="0.25">
      <c r="B65" s="88">
        <f>'ריכוז נתונים'!C65</f>
        <v>49</v>
      </c>
      <c r="C65" s="123" t="str">
        <f ca="1">ייצוב!C79</f>
        <v/>
      </c>
      <c r="D65" s="89" t="str">
        <f t="shared" ca="1" si="0"/>
        <v/>
      </c>
      <c r="E65" s="90" t="str">
        <f ca="1">ייצוב!Z79</f>
        <v/>
      </c>
      <c r="F65" s="90">
        <f>'ריכוז נתונים כללים'!O65</f>
        <v>0</v>
      </c>
      <c r="G65" s="124" t="str">
        <f t="shared" ca="1" si="1"/>
        <v/>
      </c>
    </row>
    <row r="66" spans="2:7" hidden="1" x14ac:dyDescent="0.25">
      <c r="B66" s="88">
        <f>'ריכוז נתונים'!C66</f>
        <v>50</v>
      </c>
      <c r="C66" s="123" t="str">
        <f ca="1">ייצוב!C80</f>
        <v/>
      </c>
      <c r="D66" s="89" t="str">
        <f t="shared" ca="1" si="0"/>
        <v/>
      </c>
      <c r="E66" s="90" t="str">
        <f ca="1">ייצוב!Z80</f>
        <v/>
      </c>
      <c r="F66" s="90">
        <f>'ריכוז נתונים כללים'!O66</f>
        <v>0</v>
      </c>
      <c r="G66" s="124" t="str">
        <f t="shared" ca="1" si="1"/>
        <v/>
      </c>
    </row>
    <row r="67" spans="2:7" hidden="1" x14ac:dyDescent="0.25">
      <c r="B67" s="88">
        <f>'ריכוז נתונים'!C67</f>
        <v>51</v>
      </c>
      <c r="C67" s="123" t="str">
        <f ca="1">ייצוב!C81</f>
        <v/>
      </c>
      <c r="D67" s="89" t="str">
        <f t="shared" ca="1" si="0"/>
        <v/>
      </c>
      <c r="E67" s="90" t="str">
        <f ca="1">ייצוב!Z81</f>
        <v/>
      </c>
      <c r="F67" s="90">
        <f>'ריכוז נתונים כללים'!O67</f>
        <v>0</v>
      </c>
      <c r="G67" s="124" t="str">
        <f t="shared" ca="1" si="1"/>
        <v/>
      </c>
    </row>
    <row r="68" spans="2:7" x14ac:dyDescent="0.25">
      <c r="B68" s="88">
        <f>'ריכוז נתונים'!C68</f>
        <v>52</v>
      </c>
      <c r="C68" s="123" t="str">
        <f ca="1">ייצוב!C82</f>
        <v>עמותת הנני</v>
      </c>
      <c r="D68" s="89">
        <f ca="1">IF(AND(C68="",E68=""),"",E68/$C$3)</f>
        <v>3.7964520278392345E-2</v>
      </c>
      <c r="E68" s="90">
        <f ca="1">ייצוב!Z82</f>
        <v>569467.80417588516</v>
      </c>
      <c r="F68" s="90">
        <f>'ריכוז נתונים כללים'!O68</f>
        <v>440077.17</v>
      </c>
      <c r="G68" s="124">
        <f t="shared" ca="1" si="1"/>
        <v>0.29401805636926182</v>
      </c>
    </row>
    <row r="69" spans="2:7" hidden="1" x14ac:dyDescent="0.25">
      <c r="B69" s="88">
        <f>'ריכוז נתונים'!C69</f>
        <v>53</v>
      </c>
      <c r="C69" s="123" t="str">
        <f ca="1">ייצוב!C83</f>
        <v/>
      </c>
      <c r="D69" s="89" t="str">
        <f t="shared" ca="1" si="0"/>
        <v/>
      </c>
      <c r="E69" s="90" t="str">
        <f ca="1">ייצוב!Z83</f>
        <v/>
      </c>
      <c r="F69" s="90">
        <f>'ריכוז נתונים כללים'!O69</f>
        <v>0</v>
      </c>
      <c r="G69" s="124" t="str">
        <f t="shared" ca="1" si="1"/>
        <v/>
      </c>
    </row>
    <row r="70" spans="2:7" hidden="1" x14ac:dyDescent="0.25">
      <c r="B70" s="88">
        <f>'ריכוז נתונים'!C70</f>
        <v>54</v>
      </c>
      <c r="C70" s="123" t="str">
        <f ca="1">ייצוב!C84</f>
        <v/>
      </c>
      <c r="D70" s="89" t="str">
        <f t="shared" ca="1" si="0"/>
        <v/>
      </c>
      <c r="E70" s="90" t="str">
        <f ca="1">ייצוב!Z84</f>
        <v/>
      </c>
      <c r="F70" s="90">
        <f>'ריכוז נתונים כללים'!O70</f>
        <v>0</v>
      </c>
      <c r="G70" s="124" t="str">
        <f t="shared" ca="1" si="1"/>
        <v/>
      </c>
    </row>
    <row r="71" spans="2:7" hidden="1" x14ac:dyDescent="0.25">
      <c r="B71" s="88">
        <f>'ריכוז נתונים'!C71</f>
        <v>55</v>
      </c>
      <c r="C71" s="123" t="str">
        <f ca="1">ייצוב!C85</f>
        <v/>
      </c>
      <c r="D71" s="89" t="str">
        <f t="shared" ca="1" si="0"/>
        <v/>
      </c>
      <c r="E71" s="90" t="str">
        <f ca="1">ייצוב!Z85</f>
        <v/>
      </c>
      <c r="F71" s="90">
        <f>'ריכוז נתונים כללים'!O71</f>
        <v>0</v>
      </c>
      <c r="G71" s="124" t="str">
        <f t="shared" ca="1" si="1"/>
        <v/>
      </c>
    </row>
    <row r="72" spans="2:7" hidden="1" x14ac:dyDescent="0.25">
      <c r="B72" s="88">
        <f>'ריכוז נתונים'!C72</f>
        <v>56</v>
      </c>
      <c r="C72" s="123" t="str">
        <f ca="1">ייצוב!C86</f>
        <v/>
      </c>
      <c r="D72" s="89" t="str">
        <f t="shared" ca="1" si="0"/>
        <v/>
      </c>
      <c r="E72" s="90" t="str">
        <f ca="1">ייצוב!Z86</f>
        <v/>
      </c>
      <c r="F72" s="90">
        <f>'ריכוז נתונים כללים'!O72</f>
        <v>0</v>
      </c>
      <c r="G72" s="124" t="str">
        <f t="shared" ca="1" si="1"/>
        <v/>
      </c>
    </row>
    <row r="73" spans="2:7" hidden="1" x14ac:dyDescent="0.25">
      <c r="B73" s="88">
        <f>'ריכוז נתונים'!C73</f>
        <v>57</v>
      </c>
      <c r="C73" s="123" t="str">
        <f ca="1">ייצוב!C87</f>
        <v/>
      </c>
      <c r="D73" s="89" t="str">
        <f t="shared" ca="1" si="0"/>
        <v/>
      </c>
      <c r="E73" s="90" t="str">
        <f ca="1">ייצוב!Z87</f>
        <v/>
      </c>
      <c r="F73" s="90">
        <f>'ריכוז נתונים כללים'!O73</f>
        <v>0</v>
      </c>
      <c r="G73" s="124" t="str">
        <f t="shared" ca="1" si="1"/>
        <v/>
      </c>
    </row>
    <row r="74" spans="2:7" hidden="1" x14ac:dyDescent="0.25">
      <c r="B74" s="88">
        <f>'ריכוז נתונים'!C74</f>
        <v>58</v>
      </c>
      <c r="C74" s="123" t="str">
        <f ca="1">ייצוב!C88</f>
        <v/>
      </c>
      <c r="D74" s="89" t="str">
        <f t="shared" ca="1" si="0"/>
        <v/>
      </c>
      <c r="E74" s="90" t="str">
        <f ca="1">ייצוב!Z88</f>
        <v/>
      </c>
      <c r="F74" s="90">
        <f>'ריכוז נתונים כללים'!O74</f>
        <v>0</v>
      </c>
      <c r="G74" s="124" t="str">
        <f t="shared" ca="1" si="1"/>
        <v/>
      </c>
    </row>
    <row r="75" spans="2:7" hidden="1" x14ac:dyDescent="0.25">
      <c r="B75" s="88">
        <f>'ריכוז נתונים'!C75</f>
        <v>59</v>
      </c>
      <c r="C75" s="123" t="str">
        <f ca="1">ייצוב!C89</f>
        <v/>
      </c>
      <c r="D75" s="89" t="str">
        <f t="shared" ca="1" si="0"/>
        <v/>
      </c>
      <c r="E75" s="90" t="str">
        <f ca="1">ייצוב!Z89</f>
        <v/>
      </c>
      <c r="F75" s="90">
        <f>'ריכוז נתונים כללים'!O75</f>
        <v>0</v>
      </c>
      <c r="G75" s="124" t="str">
        <f t="shared" ca="1" si="1"/>
        <v/>
      </c>
    </row>
    <row r="76" spans="2:7" x14ac:dyDescent="0.25">
      <c r="B76" s="183">
        <f>'ריכוז נתונים'!C76</f>
        <v>60</v>
      </c>
      <c r="C76" s="123" t="str">
        <f ca="1">ייצוב!C90</f>
        <v>שרשרת הדורות</v>
      </c>
      <c r="D76" s="184">
        <f t="shared" ca="1" si="0"/>
        <v>1.123037158910687E-2</v>
      </c>
      <c r="E76" s="90">
        <f ca="1">ייצוב!Z90</f>
        <v>168455.57383660306</v>
      </c>
      <c r="F76" s="185">
        <f>'ריכוז נתונים כללים'!O76</f>
        <v>89206.74</v>
      </c>
      <c r="G76" s="186">
        <f t="shared" ca="1" si="1"/>
        <v>0.88837271529710704</v>
      </c>
    </row>
    <row r="77" spans="2:7" x14ac:dyDescent="0.25">
      <c r="B77" s="183">
        <f>'ריכוז נתונים'!C77</f>
        <v>61</v>
      </c>
      <c r="C77" s="123" t="str">
        <f ca="1">ייצוב!C91</f>
        <v>חיבה</v>
      </c>
      <c r="D77" s="184">
        <f t="shared" ref="D77:D78" ca="1" si="2">IF(AND(C77="",E77=""),"",E77/$C$3)</f>
        <v>2.1527297780931917E-2</v>
      </c>
      <c r="E77" s="90">
        <f ca="1">ייצוב!Z91</f>
        <v>322909.46671397873</v>
      </c>
      <c r="F77" s="185">
        <f>'ריכוז נתונים כללים'!O77</f>
        <v>248599.4</v>
      </c>
      <c r="G77" s="186">
        <f t="shared" ref="G77:G78" ca="1" si="3">IF(OR(C77="",F77=0),"",E77/F77-1)</f>
        <v>0.29891490773500951</v>
      </c>
    </row>
    <row r="78" spans="2:7" hidden="1" x14ac:dyDescent="0.25">
      <c r="B78" s="183">
        <f>'ריכוז נתונים'!C78</f>
        <v>62</v>
      </c>
      <c r="C78" s="123" t="str">
        <f ca="1">ייצוב!C92</f>
        <v/>
      </c>
      <c r="D78" s="184" t="str">
        <f t="shared" ca="1" si="2"/>
        <v/>
      </c>
      <c r="E78" s="90" t="str">
        <f ca="1">ייצוב!Z92</f>
        <v/>
      </c>
      <c r="F78" s="185" t="str">
        <f ca="1">'ריכוז נתונים כללים'!O78</f>
        <v/>
      </c>
      <c r="G78" s="186" t="str">
        <f t="shared" ca="1" si="3"/>
        <v/>
      </c>
    </row>
    <row r="79" spans="2:7" x14ac:dyDescent="0.25">
      <c r="B79" s="583" t="s">
        <v>187</v>
      </c>
      <c r="C79" s="584"/>
      <c r="D79" s="188">
        <f ca="1">SUM(D17:D78)</f>
        <v>1</v>
      </c>
      <c r="E79" s="187">
        <f ca="1">SUM(E17:E78)</f>
        <v>14999999.999999998</v>
      </c>
      <c r="F79" s="187">
        <f ca="1">SUM(F17:F78)</f>
        <v>11658629.93</v>
      </c>
      <c r="G79" s="188">
        <f ca="1">E79/F79-1</f>
        <v>0.2866005774316569</v>
      </c>
    </row>
    <row r="81" spans="2:2" x14ac:dyDescent="0.25">
      <c r="B81" s="133"/>
    </row>
    <row r="82" spans="2:2" x14ac:dyDescent="0.25">
      <c r="B82" s="133"/>
    </row>
  </sheetData>
  <sheetProtection algorithmName="SHA-512" hashValue="lub3JWq5WfxdgwuJR3a8CrZiY7qBwSh+36wEicYvhppFtfhaoR+5td/qsKsEJW/w9Vpn/2U6SVgvkAJRQtspKQ==" saltValue="Yl2mRgTVGKGeqHDAfCHWUw==" spinCount="100000" sheet="1" scenarios="1" formatColumns="0" formatRows="0" autoFilter="0"/>
  <mergeCells count="4">
    <mergeCell ref="B15:B16"/>
    <mergeCell ref="C15:C16"/>
    <mergeCell ref="D15:G15"/>
    <mergeCell ref="B79:C79"/>
  </mergeCells>
  <conditionalFormatting sqref="H17:H78">
    <cfRule type="notContainsBlanks" dxfId="220" priority="1">
      <formula>LEN(TRIM(H17))&gt;0</formula>
    </cfRule>
  </conditionalFormatting>
  <pageMargins left="0.19685039370078741" right="0.23622047244094491" top="0.35433070866141736" bottom="0.15748031496062992" header="0.31496062992125984" footer="0.31496062992125984"/>
  <pageSetup paperSize="9" scale="57" orientation="portrait" r:id="rId1"/>
  <headerFooter>
    <oddFooter>&amp;C&amp;"David,מודגש"א. חפץ ושות'
ייעוץ כלכלי</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
    <tabColor theme="8" tint="-0.249977111117893"/>
  </sheetPr>
  <dimension ref="A1:GY132"/>
  <sheetViews>
    <sheetView rightToLeft="1" view="pageBreakPreview" topLeftCell="B1" zoomScaleNormal="100" zoomScaleSheetLayoutView="100" workbookViewId="0">
      <pane ySplit="30" topLeftCell="A31" activePane="bottomLeft" state="frozen"/>
      <selection activeCell="M88" sqref="M88"/>
      <selection pane="bottomLeft" activeCell="B31" sqref="B31"/>
    </sheetView>
  </sheetViews>
  <sheetFormatPr defaultColWidth="8" defaultRowHeight="15.75" x14ac:dyDescent="0.25"/>
  <cols>
    <col min="1" max="1" width="8" hidden="1" customWidth="1"/>
    <col min="2" max="2" width="15.140625" customWidth="1"/>
    <col min="3" max="3" width="34.85546875" bestFit="1" customWidth="1"/>
    <col min="4" max="4" width="17" bestFit="1" customWidth="1"/>
    <col min="5" max="5" width="15.42578125" bestFit="1" customWidth="1"/>
    <col min="6" max="6" width="10.140625" customWidth="1"/>
    <col min="7" max="7" width="15.42578125" bestFit="1" customWidth="1"/>
    <col min="8" max="8" width="24" customWidth="1"/>
    <col min="9" max="20" width="24" hidden="1" customWidth="1"/>
    <col min="21" max="21" width="19.5703125" bestFit="1" customWidth="1"/>
    <col min="22" max="25" width="9.140625" hidden="1" customWidth="1"/>
    <col min="26" max="26" width="9.42578125" customWidth="1"/>
    <col min="27" max="200" width="0" hidden="1" customWidth="1"/>
    <col min="206" max="206" width="9" bestFit="1" customWidth="1"/>
    <col min="207" max="207" width="8.85546875" bestFit="1" customWidth="1"/>
  </cols>
  <sheetData>
    <row r="1" spans="2:32" ht="18.75" x14ac:dyDescent="0.25">
      <c r="B1" s="137" t="str">
        <f>פרמטרים!B3</f>
        <v>שנת תקציב</v>
      </c>
      <c r="C1" s="138">
        <f>פרמטרים!C3</f>
        <v>2025</v>
      </c>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t="s">
        <v>253</v>
      </c>
    </row>
    <row r="2" spans="2:32" ht="19.5" thickBot="1" x14ac:dyDescent="0.3">
      <c r="B2" s="140" t="str">
        <f>פרמטרים!B4</f>
        <v xml:space="preserve">גובה תמיכה </v>
      </c>
      <c r="C2" s="141">
        <f>פרמטרים!C4</f>
        <v>15000000</v>
      </c>
      <c r="D2" s="139"/>
      <c r="E2" s="139"/>
      <c r="F2" s="588" t="str">
        <f ca="1">IF(AND(U131&lt;&gt;0,C2&gt;U131),"נא לשים לב כי לא חולק סך התקציב בשל הגבולת לסכום מבוקש","")</f>
        <v/>
      </c>
      <c r="G2" s="588"/>
      <c r="H2" s="588"/>
      <c r="I2" s="588"/>
      <c r="J2" s="588"/>
      <c r="K2" s="588"/>
      <c r="L2" s="588"/>
      <c r="M2" s="588"/>
      <c r="N2" s="588"/>
      <c r="O2" s="588"/>
      <c r="P2" s="588"/>
      <c r="Q2" s="588"/>
      <c r="R2" s="588"/>
      <c r="S2" s="588"/>
      <c r="T2" s="588"/>
      <c r="U2" s="588"/>
      <c r="V2" s="139"/>
      <c r="W2" s="139"/>
      <c r="X2" s="139"/>
      <c r="Y2" s="139"/>
      <c r="Z2" s="139"/>
      <c r="AA2" s="139"/>
      <c r="AB2" s="139"/>
      <c r="AC2" s="139"/>
      <c r="AD2" s="139"/>
      <c r="AE2" s="139"/>
      <c r="AF2" s="139"/>
    </row>
    <row r="4" spans="2:32" ht="16.5" thickBot="1" x14ac:dyDescent="0.3">
      <c r="B4" s="139"/>
      <c r="C4" s="139"/>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row>
    <row r="5" spans="2:32" ht="13.5" hidden="1" customHeight="1" x14ac:dyDescent="0.25">
      <c r="B5" s="139"/>
      <c r="C5" s="139"/>
      <c r="D5" s="139"/>
      <c r="E5" s="139"/>
      <c r="F5" s="139"/>
      <c r="G5" s="139"/>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row>
    <row r="6" spans="2:32" ht="16.5" hidden="1" thickBot="1" x14ac:dyDescent="0.3">
      <c r="B6" s="139"/>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row>
    <row r="7" spans="2:32" ht="16.5" hidden="1" thickBot="1" x14ac:dyDescent="0.3">
      <c r="B7" s="139"/>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row>
    <row r="8" spans="2:32" ht="16.5" hidden="1" thickBot="1" x14ac:dyDescent="0.3">
      <c r="B8" s="139"/>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c r="AF8" s="139"/>
    </row>
    <row r="9" spans="2:32" ht="16.5" hidden="1" thickBot="1" x14ac:dyDescent="0.3">
      <c r="B9" s="139"/>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row>
    <row r="10" spans="2:32" ht="16.5" hidden="1" thickBot="1" x14ac:dyDescent="0.3">
      <c r="B10" s="139"/>
      <c r="C10" s="139"/>
      <c r="D10" s="139"/>
      <c r="E10" s="139"/>
      <c r="F10" s="139"/>
      <c r="G10" s="139"/>
      <c r="H10" s="139"/>
      <c r="I10" s="139"/>
      <c r="J10" s="139"/>
      <c r="K10" s="139"/>
      <c r="L10" s="139"/>
      <c r="M10" s="139"/>
      <c r="N10" s="139"/>
      <c r="O10" s="139"/>
      <c r="P10" s="139"/>
      <c r="Q10" s="139"/>
      <c r="R10" s="139"/>
      <c r="S10" s="139"/>
      <c r="T10" s="139"/>
      <c r="U10" s="139"/>
      <c r="V10" s="139"/>
      <c r="W10" s="139"/>
      <c r="X10" s="139"/>
      <c r="Y10" s="139"/>
      <c r="Z10" s="139"/>
      <c r="AA10" s="139"/>
      <c r="AB10" s="139"/>
      <c r="AC10" s="139"/>
      <c r="AD10" s="139"/>
      <c r="AE10" s="139"/>
      <c r="AF10" s="139"/>
    </row>
    <row r="11" spans="2:32" ht="16.5" hidden="1" thickBot="1" x14ac:dyDescent="0.3">
      <c r="B11" s="139"/>
      <c r="C11" s="139"/>
      <c r="D11" s="139"/>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row>
    <row r="12" spans="2:32" ht="16.5" hidden="1" thickBot="1" x14ac:dyDescent="0.3">
      <c r="B12" s="139"/>
      <c r="C12" s="139"/>
      <c r="D12" s="139"/>
      <c r="E12" s="139"/>
      <c r="F12" s="139"/>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c r="AF12" s="139"/>
    </row>
    <row r="13" spans="2:32" ht="16.5" hidden="1" thickBot="1" x14ac:dyDescent="0.3">
      <c r="B13" s="139"/>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row>
    <row r="14" spans="2:32" ht="16.5" hidden="1" thickBot="1" x14ac:dyDescent="0.3">
      <c r="B14" s="139"/>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row>
    <row r="15" spans="2:32" ht="16.5" hidden="1" thickBot="1" x14ac:dyDescent="0.3">
      <c r="B15" s="139"/>
      <c r="C15" s="139"/>
      <c r="D15" s="139"/>
      <c r="E15" s="139"/>
      <c r="F15" s="139"/>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39"/>
    </row>
    <row r="16" spans="2:32" ht="16.5" hidden="1" thickBot="1" x14ac:dyDescent="0.3">
      <c r="B16" s="139"/>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row>
    <row r="17" spans="2:29" ht="16.5" hidden="1" thickBot="1" x14ac:dyDescent="0.3">
      <c r="B17" s="139"/>
      <c r="C17" s="139"/>
      <c r="D17" s="139"/>
      <c r="E17" s="139"/>
      <c r="F17" s="139"/>
      <c r="G17" s="139"/>
      <c r="H17" s="139"/>
      <c r="I17" s="139"/>
      <c r="J17" s="139"/>
      <c r="K17" s="139"/>
      <c r="L17" s="139"/>
      <c r="M17" s="139"/>
      <c r="N17" s="139"/>
      <c r="O17" s="139"/>
      <c r="P17" s="139"/>
      <c r="Q17" s="139"/>
      <c r="R17" s="139"/>
      <c r="S17" s="139"/>
      <c r="T17" s="139"/>
      <c r="U17" s="139"/>
      <c r="V17" s="139"/>
      <c r="W17" s="139"/>
      <c r="X17" s="139"/>
      <c r="Y17" s="139"/>
      <c r="Z17" s="139"/>
      <c r="AA17" s="139"/>
      <c r="AB17" s="139"/>
      <c r="AC17" s="139"/>
    </row>
    <row r="18" spans="2:29" ht="16.5" hidden="1" thickBot="1" x14ac:dyDescent="0.3">
      <c r="B18" s="139"/>
      <c r="C18" s="139"/>
      <c r="D18" s="139"/>
      <c r="E18" s="139"/>
      <c r="F18" s="139"/>
      <c r="G18" s="139"/>
      <c r="H18" s="139"/>
      <c r="I18" s="139"/>
      <c r="J18" s="139"/>
      <c r="K18" s="139"/>
      <c r="L18" s="139"/>
      <c r="M18" s="139"/>
      <c r="N18" s="139"/>
      <c r="O18" s="139"/>
      <c r="P18" s="139"/>
      <c r="Q18" s="139"/>
      <c r="R18" s="139"/>
      <c r="S18" s="139"/>
      <c r="T18" s="139"/>
      <c r="U18" s="139"/>
      <c r="V18" s="139"/>
      <c r="W18" s="139"/>
      <c r="X18" s="139"/>
      <c r="Y18" s="139"/>
      <c r="Z18" s="139"/>
      <c r="AA18" s="139"/>
      <c r="AB18" s="139"/>
      <c r="AC18" s="139"/>
    </row>
    <row r="19" spans="2:29" ht="16.5" hidden="1" thickBot="1" x14ac:dyDescent="0.3">
      <c r="B19" s="139"/>
      <c r="C19" s="139"/>
      <c r="D19" s="139"/>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row>
    <row r="20" spans="2:29" ht="16.5" hidden="1" thickBot="1" x14ac:dyDescent="0.3">
      <c r="B20" s="139"/>
      <c r="C20" s="139"/>
      <c r="D20" s="139"/>
      <c r="E20" s="139"/>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row>
    <row r="21" spans="2:29" ht="16.5" hidden="1" thickBot="1" x14ac:dyDescent="0.3">
      <c r="B21" s="139"/>
      <c r="C21" s="139"/>
      <c r="D21" s="139"/>
      <c r="E21" s="139"/>
      <c r="F21" s="139"/>
      <c r="G21" s="139"/>
      <c r="H21" s="139"/>
      <c r="I21" s="139"/>
      <c r="J21" s="139"/>
      <c r="K21" s="139"/>
      <c r="L21" s="139"/>
      <c r="M21" s="139"/>
      <c r="N21" s="139"/>
      <c r="O21" s="139"/>
      <c r="P21" s="139"/>
      <c r="Q21" s="139"/>
      <c r="R21" s="139"/>
      <c r="S21" s="139"/>
      <c r="T21" s="139"/>
      <c r="U21" s="139"/>
      <c r="V21" s="139"/>
      <c r="W21" s="139"/>
      <c r="X21" s="139"/>
      <c r="Y21" s="139"/>
      <c r="Z21" s="139"/>
      <c r="AA21" s="139"/>
      <c r="AB21" s="139"/>
      <c r="AC21" s="139"/>
    </row>
    <row r="22" spans="2:29" ht="16.5" hidden="1" thickBot="1" x14ac:dyDescent="0.3">
      <c r="B22" s="139"/>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row>
    <row r="23" spans="2:29" ht="16.5" hidden="1" thickBot="1" x14ac:dyDescent="0.3">
      <c r="B23" s="139"/>
      <c r="C23" s="139"/>
      <c r="D23" s="139"/>
      <c r="E23" s="139"/>
      <c r="F23" s="139"/>
      <c r="G23" s="139"/>
      <c r="H23" s="139"/>
      <c r="I23" s="139"/>
      <c r="J23" s="139"/>
      <c r="K23" s="139"/>
      <c r="L23" s="139"/>
      <c r="M23" s="139"/>
      <c r="N23" s="139"/>
      <c r="O23" s="139"/>
      <c r="P23" s="139"/>
      <c r="Q23" s="139"/>
      <c r="R23" s="139"/>
      <c r="S23" s="139"/>
      <c r="T23" s="139"/>
      <c r="U23" s="139"/>
      <c r="V23" s="139"/>
      <c r="W23" s="139"/>
      <c r="X23" s="139"/>
      <c r="Y23" s="139"/>
      <c r="Z23" s="139"/>
      <c r="AA23" s="139"/>
      <c r="AB23" s="139"/>
      <c r="AC23" s="139"/>
    </row>
    <row r="24" spans="2:29" ht="16.5" hidden="1" thickBot="1" x14ac:dyDescent="0.3">
      <c r="B24" s="139"/>
      <c r="C24" s="139"/>
      <c r="D24" s="139"/>
      <c r="E24" s="139"/>
      <c r="F24" s="139"/>
      <c r="G24" s="139"/>
      <c r="H24" s="139"/>
      <c r="I24" s="139"/>
      <c r="J24" s="139"/>
      <c r="K24" s="139"/>
      <c r="L24" s="139"/>
      <c r="M24" s="139"/>
      <c r="N24" s="139"/>
      <c r="O24" s="139"/>
      <c r="P24" s="139"/>
      <c r="Q24" s="139"/>
      <c r="R24" s="139"/>
      <c r="S24" s="139"/>
      <c r="T24" s="139"/>
      <c r="U24" s="139"/>
      <c r="V24" s="139"/>
      <c r="W24" s="139"/>
      <c r="X24" s="139"/>
      <c r="Y24" s="139"/>
      <c r="Z24" s="139"/>
      <c r="AA24" s="139"/>
      <c r="AB24" s="139"/>
      <c r="AC24" s="139"/>
    </row>
    <row r="25" spans="2:29" ht="16.5" hidden="1" thickBot="1" x14ac:dyDescent="0.3">
      <c r="B25" s="139"/>
      <c r="C25" s="139"/>
      <c r="D25" s="139"/>
      <c r="E25" s="139"/>
      <c r="F25" s="139"/>
      <c r="G25" s="139"/>
      <c r="H25" s="139"/>
      <c r="I25" s="139"/>
      <c r="J25" s="139"/>
      <c r="K25" s="139"/>
      <c r="L25" s="139"/>
      <c r="M25" s="139"/>
      <c r="N25" s="139"/>
      <c r="O25" s="139"/>
      <c r="P25" s="139"/>
      <c r="Q25" s="139"/>
      <c r="R25" s="139"/>
      <c r="S25" s="139"/>
      <c r="T25" s="139"/>
      <c r="U25" s="139"/>
      <c r="V25" s="139"/>
      <c r="W25" s="139"/>
      <c r="X25" s="139"/>
      <c r="Y25" s="139"/>
      <c r="Z25" s="139"/>
      <c r="AA25" s="139"/>
      <c r="AB25" s="139"/>
      <c r="AC25" s="139"/>
    </row>
    <row r="26" spans="2:29" ht="16.5" hidden="1" thickBot="1" x14ac:dyDescent="0.3">
      <c r="B26" s="139"/>
      <c r="C26" s="139"/>
      <c r="D26" s="139"/>
      <c r="E26" s="139"/>
      <c r="F26" s="139"/>
      <c r="G26" s="139"/>
      <c r="H26" s="139"/>
      <c r="I26" s="139"/>
      <c r="J26" s="139"/>
      <c r="K26" s="139"/>
      <c r="L26" s="139"/>
      <c r="M26" s="139"/>
      <c r="N26" s="139"/>
      <c r="O26" s="139"/>
      <c r="P26" s="139"/>
      <c r="Q26" s="139"/>
      <c r="R26" s="139"/>
      <c r="S26" s="139"/>
      <c r="T26" s="139"/>
      <c r="U26" s="139"/>
      <c r="V26" s="139"/>
      <c r="W26" s="139"/>
      <c r="X26" s="139"/>
      <c r="Y26" s="139"/>
      <c r="Z26" s="139"/>
      <c r="AA26" s="139"/>
      <c r="AB26" s="139"/>
      <c r="AC26" s="139"/>
    </row>
    <row r="27" spans="2:29" ht="16.5" hidden="1" thickBot="1" x14ac:dyDescent="0.3">
      <c r="B27" s="139"/>
      <c r="C27" s="139"/>
      <c r="D27" s="139"/>
      <c r="E27" s="139"/>
      <c r="F27" s="139"/>
      <c r="G27" s="139"/>
      <c r="H27" s="139"/>
      <c r="I27" s="139"/>
      <c r="J27" s="139"/>
      <c r="K27" s="139"/>
      <c r="L27" s="139"/>
      <c r="M27" s="139"/>
      <c r="N27" s="139"/>
      <c r="O27" s="139"/>
      <c r="P27" s="139"/>
      <c r="Q27" s="139"/>
      <c r="R27" s="139"/>
      <c r="S27" s="139"/>
      <c r="T27" s="139"/>
      <c r="U27" s="139"/>
      <c r="V27" s="139"/>
      <c r="W27" s="139"/>
      <c r="X27" s="139"/>
      <c r="Y27" s="139"/>
      <c r="Z27" s="139"/>
      <c r="AA27" s="139"/>
      <c r="AB27" s="139"/>
      <c r="AC27" s="139"/>
    </row>
    <row r="28" spans="2:29" ht="19.5" thickBot="1" x14ac:dyDescent="0.3">
      <c r="B28" s="589" t="str">
        <f ca="1">MID(CELL("filename",B29),FIND("]",CELL("filename",C29),1)+1,99)</f>
        <v>הגבלה לסכום מבוקש (1)</v>
      </c>
      <c r="C28" s="590"/>
      <c r="D28" s="590"/>
      <c r="E28" s="590"/>
      <c r="F28" s="590"/>
      <c r="G28" s="590"/>
      <c r="H28" s="590"/>
      <c r="I28" s="590"/>
      <c r="J28" s="590"/>
      <c r="K28" s="590"/>
      <c r="L28" s="590"/>
      <c r="M28" s="590"/>
      <c r="N28" s="590"/>
      <c r="O28" s="590"/>
      <c r="P28" s="590"/>
      <c r="Q28" s="590"/>
      <c r="R28" s="590"/>
      <c r="S28" s="590"/>
      <c r="T28" s="590"/>
      <c r="U28" s="590"/>
      <c r="V28" s="590"/>
      <c r="W28" s="590"/>
      <c r="X28" s="590"/>
      <c r="Y28" s="590"/>
      <c r="Z28" s="591"/>
      <c r="AA28" s="139"/>
      <c r="AB28" s="139"/>
      <c r="AC28" s="139"/>
    </row>
    <row r="29" spans="2:29" s="142" customFormat="1" ht="45" customHeight="1" x14ac:dyDescent="0.25">
      <c r="B29" s="592" t="s">
        <v>145</v>
      </c>
      <c r="C29" s="594" t="s">
        <v>146</v>
      </c>
      <c r="D29" s="314" t="s">
        <v>254</v>
      </c>
      <c r="E29" s="596" t="s">
        <v>255</v>
      </c>
      <c r="F29" s="596" t="s">
        <v>256</v>
      </c>
      <c r="G29" s="596" t="s">
        <v>257</v>
      </c>
      <c r="H29" s="596" t="s">
        <v>258</v>
      </c>
      <c r="I29" s="315"/>
      <c r="J29" s="315"/>
      <c r="K29" s="315"/>
      <c r="L29" s="315"/>
      <c r="M29" s="315"/>
      <c r="N29" s="315"/>
      <c r="O29" s="315"/>
      <c r="P29" s="315"/>
      <c r="Q29" s="315"/>
      <c r="R29" s="315"/>
      <c r="S29" s="315"/>
      <c r="T29" s="315"/>
      <c r="U29" s="596" t="s">
        <v>259</v>
      </c>
      <c r="V29" s="316"/>
      <c r="W29" s="316"/>
      <c r="X29" s="316"/>
      <c r="Y29" s="316"/>
      <c r="Z29" s="598" t="s">
        <v>260</v>
      </c>
      <c r="AC29" s="585" t="s">
        <v>261</v>
      </c>
    </row>
    <row r="30" spans="2:29" s="142" customFormat="1" ht="30.75" customHeight="1" thickBot="1" x14ac:dyDescent="0.3">
      <c r="B30" s="593"/>
      <c r="C30" s="595"/>
      <c r="D30" s="319" t="s">
        <v>189</v>
      </c>
      <c r="E30" s="597"/>
      <c r="F30" s="597"/>
      <c r="G30" s="597"/>
      <c r="H30" s="597"/>
      <c r="I30" s="317" t="s">
        <v>262</v>
      </c>
      <c r="J30" s="317" t="s">
        <v>263</v>
      </c>
      <c r="K30" s="317" t="s">
        <v>264</v>
      </c>
      <c r="L30" s="317" t="s">
        <v>265</v>
      </c>
      <c r="M30" s="317" t="s">
        <v>266</v>
      </c>
      <c r="N30" s="317" t="s">
        <v>267</v>
      </c>
      <c r="O30" s="317" t="s">
        <v>268</v>
      </c>
      <c r="P30" s="317" t="s">
        <v>269</v>
      </c>
      <c r="Q30" s="317" t="s">
        <v>270</v>
      </c>
      <c r="R30" s="317" t="s">
        <v>271</v>
      </c>
      <c r="S30" s="317" t="s">
        <v>272</v>
      </c>
      <c r="T30" s="317" t="s">
        <v>273</v>
      </c>
      <c r="U30" s="597"/>
      <c r="V30" s="318"/>
      <c r="W30" s="318"/>
      <c r="X30" s="318"/>
      <c r="Y30" s="318"/>
      <c r="Z30" s="599"/>
      <c r="AC30" s="585"/>
    </row>
    <row r="31" spans="2:29" s="142" customFormat="1" x14ac:dyDescent="0.25">
      <c r="B31" s="143">
        <f ca="1">IF(C31="","",ROW()-30)</f>
        <v>1</v>
      </c>
      <c r="C31" s="144" t="str">
        <f ca="1">סיכום!C17</f>
        <v>מרכז מורשת בבל</v>
      </c>
      <c r="D31" s="146">
        <f>'סיכום לועדה- הזנת נתונים'!O31</f>
        <v>1500000</v>
      </c>
      <c r="E31" s="146">
        <f ca="1">סיכום!E17</f>
        <v>802983.38323063054</v>
      </c>
      <c r="F31" s="147">
        <f ca="1">IF(C31="","",IF(E31&gt;$D31,1,0))</f>
        <v>0</v>
      </c>
      <c r="G31" s="146">
        <f ca="1">IF($C31="","",MIN(D31:E31))</f>
        <v>802983.38323063054</v>
      </c>
      <c r="H31" s="146">
        <f ca="1">IF($C31="","",IF(F31=1,G31,G31/SUMIF(F$31:F$130,0,G$31:G$130)*($C$2-SUMIF(F$31:F$130,1,G$31:G$130))))</f>
        <v>839717.47929086012</v>
      </c>
      <c r="I31" s="148">
        <f ca="1">IF(OR(H31&gt;$D31,$F31=1),1,0)</f>
        <v>0</v>
      </c>
      <c r="J31" s="149">
        <f ca="1">IF($C31="","",MIN(H31,$D31))</f>
        <v>839717.47929086012</v>
      </c>
      <c r="K31" s="149">
        <f ca="1">IF($C31="","",IF(I31=1,J31,J31/SUMIF(I$31:I$130,0,J$31:J$130)*($C$2-SUMIF(I$31:I$130,1,J$31:J$130))))</f>
        <v>843151.02176823688</v>
      </c>
      <c r="L31" s="148">
        <f ca="1">IF(OR(K31&gt;$D31,$F31=1,$I31=1),1,0)</f>
        <v>0</v>
      </c>
      <c r="M31" s="149">
        <f ca="1">IF($C31="","",MIN(K31,$D31))</f>
        <v>843151.02176823688</v>
      </c>
      <c r="N31" s="149">
        <f ca="1">IF($C31="","",IF(L31=1,M31,M31/SUMIF(L$31:L$130,0,M$31:M$130)*($C$2-SUMIF(L$31:L$130,1,M$31:M$130))))</f>
        <v>843151.02176823688</v>
      </c>
      <c r="O31" s="148">
        <f ca="1">IF(OR(N31&gt;$D31,$F31=1,$I31=1,$L31=1),1,0)</f>
        <v>0</v>
      </c>
      <c r="P31" s="149">
        <f ca="1">IF($C31="","",MIN(N31,$D31))</f>
        <v>843151.02176823688</v>
      </c>
      <c r="Q31" s="149">
        <f ca="1">IF($C31="","",IF(O31=2,P31,IF(O31=1,P31,P31/SUMIF(O$31:O$130,0,P$31:P$130)*($C$2-SUMIF(O$31:O$130,1,P$31:P$130)-SUMIF(O$31:O$130,2,P$31:P$130)))))</f>
        <v>843151.02176823688</v>
      </c>
      <c r="R31" s="148">
        <f ca="1">IF(OR(Q31&gt;$D31,$F31=1,$I31=1,$L31=1,$O31=1),1,0)</f>
        <v>0</v>
      </c>
      <c r="S31" s="149">
        <f ca="1">IF($C31="","",MIN(Q31,$D31))</f>
        <v>843151.02176823688</v>
      </c>
      <c r="T31" s="149">
        <f ca="1">IF($C31="","",IF(R31=2,S31,IF(R31=1,S31,S31/SUMIF(R$31:R$130,0,S$31:S$130)*($C$2-SUMIF(R$31:R$130,1,S$31:S$130)-SUMIF(R$31:R$130,2,S$31:S$130)))))</f>
        <v>843151.02176823688</v>
      </c>
      <c r="U31" s="150">
        <f ca="1">IFERROR(T31,0)</f>
        <v>843151.02176823688</v>
      </c>
      <c r="V31" s="150"/>
      <c r="W31" s="150"/>
      <c r="X31" s="150"/>
      <c r="Y31" s="150"/>
      <c r="Z31" s="151">
        <f ca="1">IF(C31="","",IFERROR(U31/SUMIF($U$31:$U$130,"&lt;&gt;#DIV/0!"),0))</f>
        <v>5.6210068117882456E-2</v>
      </c>
      <c r="AC31" s="152">
        <f>IFERROR(IF(D31*1&gt;=0,1,0),0)</f>
        <v>1</v>
      </c>
    </row>
    <row r="32" spans="2:29" s="142" customFormat="1" x14ac:dyDescent="0.25">
      <c r="B32" s="143">
        <f t="shared" ref="B32:B90" ca="1" si="0">IF(C32="","",ROW()-30)</f>
        <v>2</v>
      </c>
      <c r="C32" s="144" t="str">
        <f ca="1">סיכום!C18</f>
        <v>מורשת יהודי צפון  אפריקה</v>
      </c>
      <c r="D32" s="146">
        <f>'סיכום לועדה- הזנת נתונים'!O32</f>
        <v>300000</v>
      </c>
      <c r="E32" s="146">
        <f ca="1">סיכום!E18</f>
        <v>304806.21328987664</v>
      </c>
      <c r="F32" s="147">
        <f ca="1">IF(C32="","",IF(E32&gt;$D32,1,0))</f>
        <v>1</v>
      </c>
      <c r="G32" s="146">
        <f ca="1">IF($C32="","",MIN(D32:E32))</f>
        <v>300000</v>
      </c>
      <c r="H32" s="146">
        <f ca="1">IF($C32="","",IF(F32=1,G32,G32/SUMIF(F$31:F$130,0,G$31:G$130)*($C$2-SUMIF(F$31:F$130,1,G$31:G$130))))</f>
        <v>300000</v>
      </c>
      <c r="I32" s="148">
        <f ca="1">IF(OR(H32&gt;$D32,$F32=1),1,0)</f>
        <v>1</v>
      </c>
      <c r="J32" s="149">
        <f ca="1">IF($C32="","",MIN(H32,$D32))</f>
        <v>300000</v>
      </c>
      <c r="K32" s="149">
        <f ca="1">IF($C32="","",IF(I32=1,J32,J32/SUMIF(I$31:I$130,0,J$31:J$130)*($C$2-SUMIF(I$31:I$130,1,J$31:J$130))))</f>
        <v>300000</v>
      </c>
      <c r="L32" s="148">
        <f ca="1">IF(OR(K32&gt;$D32,$F32=1,$I32=1),1,0)</f>
        <v>1</v>
      </c>
      <c r="M32" s="149">
        <f ca="1">IF($C32="","",MIN(K32,$D32))</f>
        <v>300000</v>
      </c>
      <c r="N32" s="149">
        <f ca="1">IF($C32="","",IF(L32=1,M32,M32/SUMIF(L$31:L$130,0,M$31:M$130)*($C$2-SUMIF(L$31:L$130,1,M$31:M$130))))</f>
        <v>300000</v>
      </c>
      <c r="O32" s="148">
        <f ca="1">IF(OR(N32&gt;$D32,$F32=1,$I32=1,$L32=1),1,0)</f>
        <v>1</v>
      </c>
      <c r="P32" s="149">
        <f ca="1">IF($C32="","",MIN(N32,$D32))</f>
        <v>300000</v>
      </c>
      <c r="Q32" s="149">
        <f ca="1">IF($C32="","",IF(O32=2,P32,IF(O32=1,P32,P32/SUMIF(O$31:O$130,0,P$31:P$130)*($C$2-SUMIF(O$31:O$130,1,P$31:P$130)-SUMIF(O$31:O$130,2,P$31:P$130)))))</f>
        <v>300000</v>
      </c>
      <c r="R32" s="148">
        <f ca="1">IF(OR(Q32&gt;$D32,$F32=1,$I32=1,$L32=1,$O32=1),1,0)</f>
        <v>1</v>
      </c>
      <c r="S32" s="149">
        <f ca="1">IF($C32="","",MIN(Q32,$D32))</f>
        <v>300000</v>
      </c>
      <c r="T32" s="149">
        <f ca="1">IF($C32="","",IF(R32=2,S32,IF(R32=1,S32,S32/SUMIF(R$31:R$130,0,S$31:S$130)*($C$2-SUMIF(R$31:R$130,1,S$31:S$130)-SUMIF(R$31:R$130,2,S$31:S$130)))))</f>
        <v>300000</v>
      </c>
      <c r="U32" s="150">
        <f ca="1">IFERROR(T32,0)</f>
        <v>300000</v>
      </c>
      <c r="V32" s="150"/>
      <c r="W32" s="150"/>
      <c r="X32" s="150"/>
      <c r="Y32" s="150"/>
      <c r="Z32" s="151">
        <f ca="1">IF(C32="","",IFERROR(U32/SUMIF($U$31:$U$130,"&lt;&gt;#DIV/0!"),0))</f>
        <v>0.02</v>
      </c>
      <c r="AC32" s="152">
        <f t="shared" ref="AC32:AC95" si="1">IFERROR(IF(D32*1&gt;=0,1,0),0)</f>
        <v>1</v>
      </c>
    </row>
    <row r="33" spans="2:207" s="142" customFormat="1" x14ac:dyDescent="0.25">
      <c r="B33" s="143">
        <f t="shared" ca="1" si="0"/>
        <v>3</v>
      </c>
      <c r="C33" s="144" t="str">
        <f ca="1">סיכום!C19</f>
        <v>מורשת יהדות קוצין</v>
      </c>
      <c r="D33" s="146">
        <f>'סיכום לועדה- הזנת נתונים'!O33</f>
        <v>700000</v>
      </c>
      <c r="E33" s="146">
        <f ca="1">סיכום!E19</f>
        <v>507512.51667407376</v>
      </c>
      <c r="F33" s="147">
        <f ca="1">IF(C33="","",IF(E33&gt;$D33,1,0))</f>
        <v>0</v>
      </c>
      <c r="G33" s="146">
        <f ca="1">IF($C33="","",MIN(D33:E33))</f>
        <v>507512.51667407376</v>
      </c>
      <c r="H33" s="146">
        <f ca="1">IF($C33="","",IF(F33=1,G33,G33/SUMIF(F$31:F$130,0,G$31:G$130)*($C$2-SUMIF(F$31:F$130,1,G$31:G$130))))</f>
        <v>530729.7013987042</v>
      </c>
      <c r="I33" s="148">
        <f ca="1">IF(OR(H33&gt;$D33,$F33=1),1,0)</f>
        <v>0</v>
      </c>
      <c r="J33" s="149">
        <f ca="1">IF($C33="","",MIN(H33,$D33))</f>
        <v>530729.7013987042</v>
      </c>
      <c r="K33" s="149">
        <f ca="1">IF($C33="","",IF(I33=1,J33,J33/SUMIF(I$31:I$130,0,J$31:J$130)*($C$2-SUMIF(I$31:I$130,1,J$31:J$130))))</f>
        <v>532899.81577490713</v>
      </c>
      <c r="L33" s="148">
        <f ca="1">IF(OR(K33&gt;$D33,$F33=1,$I33=1),1,0)</f>
        <v>0</v>
      </c>
      <c r="M33" s="149">
        <f ca="1">IF($C33="","",MIN(K33,$D33))</f>
        <v>532899.81577490713</v>
      </c>
      <c r="N33" s="149">
        <f ca="1">IF($C33="","",IF(L33=1,M33,M33/SUMIF(L$31:L$130,0,M$31:M$130)*($C$2-SUMIF(L$31:L$130,1,M$31:M$130))))</f>
        <v>532899.81577490713</v>
      </c>
      <c r="O33" s="148">
        <f ca="1">IF(OR(N33&gt;$D33,$F33=1,$I33=1,$L33=1),1,0)</f>
        <v>0</v>
      </c>
      <c r="P33" s="149">
        <f ca="1">IF($C33="","",MIN(N33,$D33))</f>
        <v>532899.81577490713</v>
      </c>
      <c r="Q33" s="149">
        <f ca="1">IF($C33="","",IF(O33=2,P33,IF(O33=1,P33,P33/SUMIF(O$31:O$130,0,P$31:P$130)*($C$2-SUMIF(O$31:O$130,1,P$31:P$130)-SUMIF(O$31:O$130,2,P$31:P$130)))))</f>
        <v>532899.81577490713</v>
      </c>
      <c r="R33" s="148">
        <f ca="1">IF(OR(Q33&gt;$D33,$F33=1,$I33=1,$L33=1,$O33=1),1,0)</f>
        <v>0</v>
      </c>
      <c r="S33" s="149">
        <f ca="1">IF($C33="","",MIN(Q33,$D33))</f>
        <v>532899.81577490713</v>
      </c>
      <c r="T33" s="149">
        <f ca="1">IF($C33="","",IF(R33=2,S33,IF(R33=1,S33,S33/SUMIF(R$31:R$130,0,S$31:S$130)*($C$2-SUMIF(R$31:R$130,1,S$31:S$130)-SUMIF(R$31:R$130,2,S$31:S$130)))))</f>
        <v>532899.81577490713</v>
      </c>
      <c r="U33" s="150">
        <f ca="1">IFERROR(T33,0)</f>
        <v>532899.81577490713</v>
      </c>
      <c r="V33" s="150"/>
      <c r="W33" s="150"/>
      <c r="X33" s="150"/>
      <c r="Y33" s="150"/>
      <c r="Z33" s="151">
        <f ca="1">IF(C33="","",IFERROR(U33/SUMIF($U$31:$U$130,"&lt;&gt;#DIV/0!"),0))</f>
        <v>3.5526654384993805E-2</v>
      </c>
      <c r="AC33" s="152">
        <f t="shared" si="1"/>
        <v>1</v>
      </c>
    </row>
    <row r="34" spans="2:207" s="142" customFormat="1" x14ac:dyDescent="0.25">
      <c r="B34" s="143">
        <f t="shared" ca="1" si="0"/>
        <v>4</v>
      </c>
      <c r="C34" s="144" t="str">
        <f ca="1">סיכום!C20</f>
        <v>הפדרציה העולמית של יהדות תוניס</v>
      </c>
      <c r="D34" s="146">
        <f>'סיכום לועדה- הזנת נתונים'!O34</f>
        <v>200000</v>
      </c>
      <c r="E34" s="146">
        <f ca="1">סיכום!E20</f>
        <v>86592.382068833715</v>
      </c>
      <c r="F34" s="147">
        <f ca="1">IF(C34="","",IF(E34&gt;$D34,1,0))</f>
        <v>0</v>
      </c>
      <c r="G34" s="146">
        <f ca="1">IF($C34="","",MIN(D34:E34))</f>
        <v>86592.382068833715</v>
      </c>
      <c r="H34" s="146">
        <f ca="1">IF($C34="","",IF(F34=1,G34,G34/SUMIF(F$31:F$130,0,G$31:G$130)*($C$2-SUMIF(F$31:F$130,1,G$31:G$130))))</f>
        <v>90553.725413453125</v>
      </c>
      <c r="I34" s="148">
        <f ca="1">IF(OR(H34&gt;$D34,$F34=1),1,0)</f>
        <v>0</v>
      </c>
      <c r="J34" s="149">
        <f ca="1">IF($C34="","",MIN(H34,$D34))</f>
        <v>90553.725413453125</v>
      </c>
      <c r="K34" s="149">
        <f ca="1">IF($C34="","",IF(I34=1,J34,J34/SUMIF(I$31:I$130,0,J$31:J$130)*($C$2-SUMIF(I$31:I$130,1,J$31:J$130))))</f>
        <v>90923.99287883252</v>
      </c>
      <c r="L34" s="148">
        <f ca="1">IF(OR(K34&gt;$D34,$F34=1,$I34=1),1,0)</f>
        <v>0</v>
      </c>
      <c r="M34" s="149">
        <f ca="1">IF($C34="","",MIN(K34,$D34))</f>
        <v>90923.99287883252</v>
      </c>
      <c r="N34" s="149">
        <f ca="1">IF($C34="","",IF(L34=1,M34,M34/SUMIF(L$31:L$130,0,M$31:M$130)*($C$2-SUMIF(L$31:L$130,1,M$31:M$130))))</f>
        <v>90923.99287883252</v>
      </c>
      <c r="O34" s="148">
        <f ca="1">IF(OR(N34&gt;$D34,$F34=1,$I34=1,$L34=1),1,0)</f>
        <v>0</v>
      </c>
      <c r="P34" s="149">
        <f ca="1">IF($C34="","",MIN(N34,$D34))</f>
        <v>90923.99287883252</v>
      </c>
      <c r="Q34" s="149">
        <f ca="1">IF($C34="","",IF(O34=2,P34,IF(O34=1,P34,P34/SUMIF(O$31:O$130,0,P$31:P$130)*($C$2-SUMIF(O$31:O$130,1,P$31:P$130)-SUMIF(O$31:O$130,2,P$31:P$130)))))</f>
        <v>90923.99287883252</v>
      </c>
      <c r="R34" s="148">
        <f ca="1">IF(OR(Q34&gt;$D34,$F34=1,$I34=1,$L34=1,$O34=1),1,0)</f>
        <v>0</v>
      </c>
      <c r="S34" s="149">
        <f ca="1">IF($C34="","",MIN(Q34,$D34))</f>
        <v>90923.99287883252</v>
      </c>
      <c r="T34" s="149">
        <f ca="1">IF($C34="","",IF(R34=2,S34,IF(R34=1,S34,S34/SUMIF(R$31:R$130,0,S$31:S$130)*($C$2-SUMIF(R$31:R$130,1,S$31:S$130)-SUMIF(R$31:R$130,2,S$31:S$130)))))</f>
        <v>90923.99287883252</v>
      </c>
      <c r="U34" s="150">
        <f ca="1">IFERROR(T34,0)</f>
        <v>90923.99287883252</v>
      </c>
      <c r="V34" s="150"/>
      <c r="W34" s="150"/>
      <c r="X34" s="150"/>
      <c r="Y34" s="150"/>
      <c r="Z34" s="151">
        <f ca="1">IF(C34="","",IFERROR(U34/SUMIF($U$31:$U$130,"&lt;&gt;#DIV/0!"),0))</f>
        <v>6.0615995252555014E-3</v>
      </c>
      <c r="AC34" s="152">
        <f t="shared" si="1"/>
        <v>1</v>
      </c>
    </row>
    <row r="35" spans="2:207" s="142" customFormat="1" x14ac:dyDescent="0.25">
      <c r="B35" s="143">
        <f t="shared" ca="1" si="0"/>
        <v>5</v>
      </c>
      <c r="C35" s="144" t="str">
        <f ca="1">סיכום!C21</f>
        <v>התאחדות עולי מצרים</v>
      </c>
      <c r="D35" s="146">
        <f>'סיכום לועדה- הזנת נתונים'!O35</f>
        <v>250000</v>
      </c>
      <c r="E35" s="146">
        <f ca="1">סיכום!E21</f>
        <v>305299.23032125621</v>
      </c>
      <c r="F35" s="147">
        <f ca="1">IF(C35="","",IF(E35&gt;$D35,1,0))</f>
        <v>1</v>
      </c>
      <c r="G35" s="146">
        <f ca="1">IF($C35="","",MIN(D35:E35))</f>
        <v>250000</v>
      </c>
      <c r="H35" s="146">
        <f ca="1">IF($C35="","",IF(F35=1,G35,G35/SUMIF(F$31:F$130,0,G$31:G$130)*($C$2-SUMIF(F$31:F$130,1,G$31:G$130))))</f>
        <v>250000</v>
      </c>
      <c r="I35" s="148">
        <f ca="1">IF(OR(H35&gt;$D35,$F35=1),1,0)</f>
        <v>1</v>
      </c>
      <c r="J35" s="149">
        <f ca="1">IF($C35="","",MIN(H35,$D35))</f>
        <v>250000</v>
      </c>
      <c r="K35" s="149">
        <f ca="1">IF($C35="","",IF(I35=1,J35,J35/SUMIF(I$31:I$130,0,J$31:J$130)*($C$2-SUMIF(I$31:I$130,1,J$31:J$130))))</f>
        <v>250000</v>
      </c>
      <c r="L35" s="148">
        <f ca="1">IF(OR(K35&gt;$D35,$F35=1,$I35=1),1,0)</f>
        <v>1</v>
      </c>
      <c r="M35" s="149">
        <f ca="1">IF($C35="","",MIN(K35,$D35))</f>
        <v>250000</v>
      </c>
      <c r="N35" s="149">
        <f ca="1">IF($C35="","",IF(L35=1,M35,M35/SUMIF(L$31:L$130,0,M$31:M$130)*($C$2-SUMIF(L$31:L$130,1,M$31:M$130))))</f>
        <v>250000</v>
      </c>
      <c r="O35" s="148">
        <f ca="1">IF(OR(N35&gt;$D35,$F35=1,$I35=1,$L35=1),1,0)</f>
        <v>1</v>
      </c>
      <c r="P35" s="149">
        <f ca="1">IF($C35="","",MIN(N35,$D35))</f>
        <v>250000</v>
      </c>
      <c r="Q35" s="149">
        <f ca="1">IF($C35="","",IF(O35=2,P35,IF(O35=1,P35,P35/SUMIF(O$31:O$130,0,P$31:P$130)*($C$2-SUMIF(O$31:O$130,1,P$31:P$130)-SUMIF(O$31:O$130,2,P$31:P$130)))))</f>
        <v>250000</v>
      </c>
      <c r="R35" s="148">
        <f ca="1">IF(OR(Q35&gt;$D35,$F35=1,$I35=1,$L35=1,$O35=1),1,0)</f>
        <v>1</v>
      </c>
      <c r="S35" s="149">
        <f ca="1">IF($C35="","",MIN(Q35,$D35))</f>
        <v>250000</v>
      </c>
      <c r="T35" s="149">
        <f ca="1">IF($C35="","",IF(R35=2,S35,IF(R35=1,S35,S35/SUMIF(R$31:R$130,0,S$31:S$130)*($C$2-SUMIF(R$31:R$130,1,S$31:S$130)-SUMIF(R$31:R$130,2,S$31:S$130)))))</f>
        <v>250000</v>
      </c>
      <c r="U35" s="150">
        <f ca="1">IFERROR(T35,0)</f>
        <v>250000</v>
      </c>
      <c r="V35" s="150"/>
      <c r="W35" s="150"/>
      <c r="X35" s="150"/>
      <c r="Y35" s="150"/>
      <c r="Z35" s="151">
        <f ca="1">IF(C35="","",IFERROR(U35/SUMIF($U$31:$U$130,"&lt;&gt;#DIV/0!"),0))</f>
        <v>1.6666666666666666E-2</v>
      </c>
      <c r="AC35" s="152">
        <f t="shared" si="1"/>
        <v>1</v>
      </c>
    </row>
    <row r="36" spans="2:207" x14ac:dyDescent="0.25">
      <c r="B36" s="143">
        <f t="shared" ca="1" si="0"/>
        <v>6</v>
      </c>
      <c r="C36" s="144" t="str">
        <f ca="1">סיכום!C22</f>
        <v>יהודים יוצאי לוב</v>
      </c>
      <c r="D36" s="146">
        <f>'סיכום לועדה- הזנת נתונים'!O36</f>
        <v>1200000</v>
      </c>
      <c r="E36" s="146">
        <f ca="1">סיכום!E22</f>
        <v>488813.93607917085</v>
      </c>
      <c r="F36" s="147">
        <f t="shared" ref="F36:F90" ca="1" si="2">IF(C36="","",IF(E36&gt;$D36,1,0))</f>
        <v>0</v>
      </c>
      <c r="G36" s="146">
        <f t="shared" ref="G36:G90" ca="1" si="3">IF($C36="","",MIN(D36:E36))</f>
        <v>488813.93607917085</v>
      </c>
      <c r="H36" s="146">
        <f t="shared" ref="H36:H90" ca="1" si="4">IF($C36="","",IF(F36=1,G36,G36/SUMIF(F$31:F$130,0,G$31:G$130)*($C$2-SUMIF(F$31:F$130,1,G$31:G$130))))</f>
        <v>511175.71648273099</v>
      </c>
      <c r="I36" s="148">
        <f t="shared" ref="I36:I90" ca="1" si="5">IF(OR(H36&gt;$D36,$F36=1),1,0)</f>
        <v>0</v>
      </c>
      <c r="J36" s="149">
        <f t="shared" ref="J36:J90" ca="1" si="6">IF($C36="","",MIN(H36,$D36))</f>
        <v>511175.71648273099</v>
      </c>
      <c r="K36" s="149">
        <f t="shared" ref="K36:K90" ca="1" si="7">IF($C36="","",IF(I36=1,J36,J36/SUMIF(I$31:I$130,0,J$31:J$130)*($C$2-SUMIF(I$31:I$130,1,J$31:J$130))))</f>
        <v>513265.8760652481</v>
      </c>
      <c r="L36" s="148">
        <f t="shared" ref="L36:L90" ca="1" si="8">IF(OR(K36&gt;$D36,$F36=1,$I36=1),1,0)</f>
        <v>0</v>
      </c>
      <c r="M36" s="149">
        <f t="shared" ref="M36:M90" ca="1" si="9">IF($C36="","",MIN(K36,$D36))</f>
        <v>513265.8760652481</v>
      </c>
      <c r="N36" s="149">
        <f t="shared" ref="N36:N90" ca="1" si="10">IF($C36="","",IF(L36=1,M36,M36/SUMIF(L$31:L$130,0,M$31:M$130)*($C$2-SUMIF(L$31:L$130,1,M$31:M$130))))</f>
        <v>513265.8760652481</v>
      </c>
      <c r="O36" s="148">
        <f t="shared" ref="O36:O90" ca="1" si="11">IF(OR(N36&gt;$D36,$F36=1,$I36=1,$L36=1),1,0)</f>
        <v>0</v>
      </c>
      <c r="P36" s="149">
        <f t="shared" ref="P36:P90" ca="1" si="12">IF($C36="","",MIN(N36,$D36))</f>
        <v>513265.8760652481</v>
      </c>
      <c r="Q36" s="149">
        <f t="shared" ref="Q36:Q90" ca="1" si="13">IF($C36="","",IF(O36=2,P36,IF(O36=1,P36,P36/SUMIF(O$31:O$130,0,P$31:P$130)*($C$2-SUMIF(O$31:O$130,1,P$31:P$130)-SUMIF(O$31:O$130,2,P$31:P$130)))))</f>
        <v>513265.8760652481</v>
      </c>
      <c r="R36" s="148">
        <f t="shared" ref="R36:R90" ca="1" si="14">IF(OR(Q36&gt;$D36,$F36=1,$I36=1,$L36=1,$O36=1),1,0)</f>
        <v>0</v>
      </c>
      <c r="S36" s="149">
        <f t="shared" ref="S36:S90" ca="1" si="15">IF($C36="","",MIN(Q36,$D36))</f>
        <v>513265.8760652481</v>
      </c>
      <c r="T36" s="149">
        <f t="shared" ref="T36:T90" ca="1" si="16">IF($C36="","",IF(R36=2,S36,IF(R36=1,S36,S36/SUMIF(R$31:R$130,0,S$31:S$130)*($C$2-SUMIF(R$31:R$130,1,S$31:S$130)-SUMIF(R$31:R$130,2,S$31:S$130)))))</f>
        <v>513265.8760652481</v>
      </c>
      <c r="U36" s="150">
        <f t="shared" ref="U36:U90" ca="1" si="17">IFERROR(T36,0)</f>
        <v>513265.8760652481</v>
      </c>
      <c r="V36" s="150"/>
      <c r="W36" s="150"/>
      <c r="X36" s="150"/>
      <c r="Y36" s="150"/>
      <c r="Z36" s="151">
        <f t="shared" ref="Z36:Z90" ca="1" si="18">IF(C36="","",IFERROR(U36/SUMIF($U$31:$U$130,"&lt;&gt;#DIV/0!"),0))</f>
        <v>3.4217725071016537E-2</v>
      </c>
      <c r="AA36" s="139"/>
      <c r="AB36" s="139"/>
      <c r="AC36" s="152">
        <f t="shared" si="1"/>
        <v>1</v>
      </c>
      <c r="GX36" s="142"/>
      <c r="GY36" s="142"/>
    </row>
    <row r="37" spans="2:207" x14ac:dyDescent="0.25">
      <c r="B37" s="143">
        <f t="shared" ca="1" si="0"/>
        <v>7</v>
      </c>
      <c r="C37" s="144" t="str">
        <f ca="1">סיכום!C23</f>
        <v>הפדרציה העולמית של יהדות מרוקו</v>
      </c>
      <c r="D37" s="146">
        <f>'סיכום לועדה- הזנת נתונים'!O37</f>
        <v>1500000</v>
      </c>
      <c r="E37" s="146">
        <f ca="1">סיכום!E23</f>
        <v>303469.27978114068</v>
      </c>
      <c r="F37" s="147">
        <f t="shared" ca="1" si="2"/>
        <v>0</v>
      </c>
      <c r="G37" s="146">
        <f t="shared" ca="1" si="3"/>
        <v>303469.27978114068</v>
      </c>
      <c r="H37" s="146">
        <f t="shared" ca="1" si="4"/>
        <v>317352.09467820474</v>
      </c>
      <c r="I37" s="148">
        <f t="shared" ca="1" si="5"/>
        <v>0</v>
      </c>
      <c r="J37" s="149">
        <f t="shared" ca="1" si="6"/>
        <v>317352.09467820474</v>
      </c>
      <c r="K37" s="149">
        <f t="shared" ca="1" si="7"/>
        <v>318649.72385019995</v>
      </c>
      <c r="L37" s="148">
        <f t="shared" ca="1" si="8"/>
        <v>0</v>
      </c>
      <c r="M37" s="149">
        <f t="shared" ca="1" si="9"/>
        <v>318649.72385019995</v>
      </c>
      <c r="N37" s="149">
        <f t="shared" ca="1" si="10"/>
        <v>318649.72385019995</v>
      </c>
      <c r="O37" s="148">
        <f t="shared" ca="1" si="11"/>
        <v>0</v>
      </c>
      <c r="P37" s="149">
        <f t="shared" ca="1" si="12"/>
        <v>318649.72385019995</v>
      </c>
      <c r="Q37" s="149">
        <f t="shared" ca="1" si="13"/>
        <v>318649.72385019995</v>
      </c>
      <c r="R37" s="148">
        <f t="shared" ca="1" si="14"/>
        <v>0</v>
      </c>
      <c r="S37" s="149">
        <f t="shared" ca="1" si="15"/>
        <v>318649.72385019995</v>
      </c>
      <c r="T37" s="149">
        <f t="shared" ca="1" si="16"/>
        <v>318649.72385019995</v>
      </c>
      <c r="U37" s="150">
        <f t="shared" ca="1" si="17"/>
        <v>318649.72385019995</v>
      </c>
      <c r="V37" s="150"/>
      <c r="W37" s="150"/>
      <c r="X37" s="150"/>
      <c r="Y37" s="150"/>
      <c r="Z37" s="151">
        <f t="shared" ca="1" si="18"/>
        <v>2.1243314923346662E-2</v>
      </c>
      <c r="AA37" s="139"/>
      <c r="AB37" s="139"/>
      <c r="AC37" s="152">
        <f t="shared" si="1"/>
        <v>1</v>
      </c>
      <c r="GX37" s="142"/>
      <c r="GY37" s="142"/>
    </row>
    <row r="38" spans="2:207" x14ac:dyDescent="0.25">
      <c r="B38" s="143">
        <f t="shared" ca="1" si="0"/>
        <v>8</v>
      </c>
      <c r="C38" s="144" t="str">
        <f ca="1">סיכום!C24</f>
        <v>אורות הגליל</v>
      </c>
      <c r="D38" s="146">
        <f>'סיכום לועדה- הזנת נתונים'!O38</f>
        <v>450000</v>
      </c>
      <c r="E38" s="146">
        <f ca="1">סיכום!E24</f>
        <v>421088.88078592351</v>
      </c>
      <c r="F38" s="147">
        <f t="shared" ca="1" si="2"/>
        <v>0</v>
      </c>
      <c r="G38" s="146">
        <f t="shared" ca="1" si="3"/>
        <v>421088.88078592351</v>
      </c>
      <c r="H38" s="146">
        <f t="shared" ca="1" si="4"/>
        <v>440352.44180066237</v>
      </c>
      <c r="I38" s="148">
        <f t="shared" ca="1" si="5"/>
        <v>0</v>
      </c>
      <c r="J38" s="149">
        <f t="shared" ca="1" si="6"/>
        <v>440352.44180066237</v>
      </c>
      <c r="K38" s="149">
        <f t="shared" ca="1" si="7"/>
        <v>442153.01026711374</v>
      </c>
      <c r="L38" s="148">
        <f t="shared" ca="1" si="8"/>
        <v>0</v>
      </c>
      <c r="M38" s="149">
        <f t="shared" ca="1" si="9"/>
        <v>442153.01026711374</v>
      </c>
      <c r="N38" s="149">
        <f t="shared" ca="1" si="10"/>
        <v>442153.01026711374</v>
      </c>
      <c r="O38" s="148">
        <f t="shared" ca="1" si="11"/>
        <v>0</v>
      </c>
      <c r="P38" s="149">
        <f t="shared" ca="1" si="12"/>
        <v>442153.01026711374</v>
      </c>
      <c r="Q38" s="149">
        <f t="shared" ca="1" si="13"/>
        <v>442153.01026711374</v>
      </c>
      <c r="R38" s="148">
        <f t="shared" ca="1" si="14"/>
        <v>0</v>
      </c>
      <c r="S38" s="149">
        <f t="shared" ca="1" si="15"/>
        <v>442153.01026711374</v>
      </c>
      <c r="T38" s="149">
        <f t="shared" ca="1" si="16"/>
        <v>442153.01026711374</v>
      </c>
      <c r="U38" s="150">
        <f t="shared" ca="1" si="17"/>
        <v>442153.01026711374</v>
      </c>
      <c r="V38" s="150"/>
      <c r="W38" s="150"/>
      <c r="X38" s="150"/>
      <c r="Y38" s="150"/>
      <c r="Z38" s="151">
        <f t="shared" ca="1" si="18"/>
        <v>2.9476867351140915E-2</v>
      </c>
      <c r="AA38" s="139"/>
      <c r="AB38" s="139"/>
      <c r="AC38" s="152">
        <f t="shared" si="1"/>
        <v>1</v>
      </c>
      <c r="GX38" s="142"/>
      <c r="GY38" s="142"/>
    </row>
    <row r="39" spans="2:207" x14ac:dyDescent="0.25">
      <c r="B39" s="143">
        <f t="shared" ca="1" si="0"/>
        <v>9</v>
      </c>
      <c r="C39" s="144" t="str">
        <f ca="1">סיכום!C25</f>
        <v>אלמז</v>
      </c>
      <c r="D39" s="146">
        <f>'סיכום לועדה- הזנת נתונים'!O39</f>
        <v>300000</v>
      </c>
      <c r="E39" s="146">
        <f ca="1">סיכום!E25</f>
        <v>135077.97092412581</v>
      </c>
      <c r="F39" s="147">
        <f t="shared" ca="1" si="2"/>
        <v>0</v>
      </c>
      <c r="G39" s="146">
        <f t="shared" ca="1" si="3"/>
        <v>135077.97092412581</v>
      </c>
      <c r="H39" s="146">
        <f t="shared" ca="1" si="4"/>
        <v>141257.38542157694</v>
      </c>
      <c r="I39" s="148">
        <f t="shared" ca="1" si="5"/>
        <v>0</v>
      </c>
      <c r="J39" s="149">
        <f t="shared" ca="1" si="6"/>
        <v>141257.38542157694</v>
      </c>
      <c r="K39" s="149">
        <f t="shared" ca="1" si="7"/>
        <v>141834.97639121802</v>
      </c>
      <c r="L39" s="148">
        <f t="shared" ca="1" si="8"/>
        <v>0</v>
      </c>
      <c r="M39" s="149">
        <f t="shared" ca="1" si="9"/>
        <v>141834.97639121802</v>
      </c>
      <c r="N39" s="149">
        <f t="shared" ca="1" si="10"/>
        <v>141834.97639121802</v>
      </c>
      <c r="O39" s="148">
        <f t="shared" ca="1" si="11"/>
        <v>0</v>
      </c>
      <c r="P39" s="149">
        <f t="shared" ca="1" si="12"/>
        <v>141834.97639121802</v>
      </c>
      <c r="Q39" s="149">
        <f t="shared" ca="1" si="13"/>
        <v>141834.97639121802</v>
      </c>
      <c r="R39" s="148">
        <f t="shared" ca="1" si="14"/>
        <v>0</v>
      </c>
      <c r="S39" s="149">
        <f t="shared" ca="1" si="15"/>
        <v>141834.97639121802</v>
      </c>
      <c r="T39" s="149">
        <f t="shared" ca="1" si="16"/>
        <v>141834.97639121802</v>
      </c>
      <c r="U39" s="150">
        <f t="shared" ca="1" si="17"/>
        <v>141834.97639121802</v>
      </c>
      <c r="V39" s="150"/>
      <c r="W39" s="150"/>
      <c r="X39" s="150"/>
      <c r="Y39" s="150"/>
      <c r="Z39" s="151">
        <f t="shared" ca="1" si="18"/>
        <v>9.4556650927478687E-3</v>
      </c>
      <c r="AA39" s="139"/>
      <c r="AB39" s="139"/>
      <c r="AC39" s="152">
        <f t="shared" si="1"/>
        <v>1</v>
      </c>
      <c r="GX39" s="142"/>
      <c r="GY39" s="142"/>
    </row>
    <row r="40" spans="2:207" x14ac:dyDescent="0.25">
      <c r="B40" s="143">
        <f t="shared" ca="1" si="0"/>
        <v>10</v>
      </c>
      <c r="C40" s="144" t="str">
        <f ca="1">סיכום!C26</f>
        <v>קונגרס יהודי בוכרה</v>
      </c>
      <c r="D40" s="146">
        <f>'סיכום לועדה- הזנת נתונים'!O40</f>
        <v>1800000</v>
      </c>
      <c r="E40" s="146">
        <f ca="1">סיכום!E26</f>
        <v>1470262.2958478355</v>
      </c>
      <c r="F40" s="147">
        <f t="shared" ca="1" si="2"/>
        <v>0</v>
      </c>
      <c r="G40" s="146">
        <f t="shared" ca="1" si="3"/>
        <v>1470262.2958478355</v>
      </c>
      <c r="H40" s="146">
        <f t="shared" ca="1" si="4"/>
        <v>1537522.4129776761</v>
      </c>
      <c r="I40" s="148">
        <f t="shared" ca="1" si="5"/>
        <v>0</v>
      </c>
      <c r="J40" s="149">
        <f t="shared" ca="1" si="6"/>
        <v>1537522.4129776761</v>
      </c>
      <c r="K40" s="149">
        <f t="shared" ca="1" si="7"/>
        <v>1543809.2280614062</v>
      </c>
      <c r="L40" s="148">
        <f t="shared" ca="1" si="8"/>
        <v>0</v>
      </c>
      <c r="M40" s="149">
        <f t="shared" ca="1" si="9"/>
        <v>1543809.2280614062</v>
      </c>
      <c r="N40" s="149">
        <f t="shared" ca="1" si="10"/>
        <v>1543809.2280614062</v>
      </c>
      <c r="O40" s="148">
        <f t="shared" ca="1" si="11"/>
        <v>0</v>
      </c>
      <c r="P40" s="149">
        <f t="shared" ca="1" si="12"/>
        <v>1543809.2280614062</v>
      </c>
      <c r="Q40" s="149">
        <f t="shared" ca="1" si="13"/>
        <v>1543809.2280614062</v>
      </c>
      <c r="R40" s="148">
        <f t="shared" ca="1" si="14"/>
        <v>0</v>
      </c>
      <c r="S40" s="149">
        <f t="shared" ca="1" si="15"/>
        <v>1543809.2280614062</v>
      </c>
      <c r="T40" s="149">
        <f t="shared" ca="1" si="16"/>
        <v>1543809.2280614062</v>
      </c>
      <c r="U40" s="150">
        <f t="shared" ca="1" si="17"/>
        <v>1543809.2280614062</v>
      </c>
      <c r="V40" s="150"/>
      <c r="W40" s="150"/>
      <c r="X40" s="150"/>
      <c r="Y40" s="150"/>
      <c r="Z40" s="151">
        <f t="shared" ca="1" si="18"/>
        <v>0.10292061520409375</v>
      </c>
      <c r="AA40" s="139"/>
      <c r="AB40" s="139"/>
      <c r="AC40" s="152">
        <f t="shared" si="1"/>
        <v>1</v>
      </c>
      <c r="GX40" s="142"/>
      <c r="GY40" s="142"/>
    </row>
    <row r="41" spans="2:207" x14ac:dyDescent="0.25">
      <c r="B41" s="143">
        <f t="shared" ca="1" si="0"/>
        <v>11</v>
      </c>
      <c r="C41" s="144" t="str">
        <f ca="1">סיכום!C27</f>
        <v>יהדות שאלוניקי יוון</v>
      </c>
      <c r="D41" s="146">
        <f>'סיכום לועדה- הזנת נתונים'!O41</f>
        <v>2700000</v>
      </c>
      <c r="E41" s="146">
        <f ca="1">סיכום!E27</f>
        <v>328213.50176868145</v>
      </c>
      <c r="F41" s="147">
        <f t="shared" ca="1" si="2"/>
        <v>0</v>
      </c>
      <c r="G41" s="146">
        <f t="shared" ca="1" si="3"/>
        <v>328213.50176868145</v>
      </c>
      <c r="H41" s="146">
        <f t="shared" ca="1" si="4"/>
        <v>343228.29105825286</v>
      </c>
      <c r="I41" s="148">
        <f t="shared" ca="1" si="5"/>
        <v>0</v>
      </c>
      <c r="J41" s="149">
        <f t="shared" ca="1" si="6"/>
        <v>343228.29105825286</v>
      </c>
      <c r="K41" s="149">
        <f t="shared" ca="1" si="7"/>
        <v>344631.7260775895</v>
      </c>
      <c r="L41" s="148">
        <f t="shared" ca="1" si="8"/>
        <v>0</v>
      </c>
      <c r="M41" s="149">
        <f t="shared" ca="1" si="9"/>
        <v>344631.7260775895</v>
      </c>
      <c r="N41" s="149">
        <f t="shared" ca="1" si="10"/>
        <v>344631.7260775895</v>
      </c>
      <c r="O41" s="148">
        <f t="shared" ca="1" si="11"/>
        <v>0</v>
      </c>
      <c r="P41" s="149">
        <f t="shared" ca="1" si="12"/>
        <v>344631.7260775895</v>
      </c>
      <c r="Q41" s="149">
        <f t="shared" ca="1" si="13"/>
        <v>344631.7260775895</v>
      </c>
      <c r="R41" s="148">
        <f t="shared" ca="1" si="14"/>
        <v>0</v>
      </c>
      <c r="S41" s="149">
        <f t="shared" ca="1" si="15"/>
        <v>344631.7260775895</v>
      </c>
      <c r="T41" s="149">
        <f t="shared" ca="1" si="16"/>
        <v>344631.7260775895</v>
      </c>
      <c r="U41" s="150">
        <f t="shared" ca="1" si="17"/>
        <v>344631.7260775895</v>
      </c>
      <c r="V41" s="150"/>
      <c r="W41" s="150"/>
      <c r="X41" s="150"/>
      <c r="Y41" s="150"/>
      <c r="Z41" s="151">
        <f t="shared" ca="1" si="18"/>
        <v>2.2975448405172634E-2</v>
      </c>
      <c r="AA41" s="139"/>
      <c r="AB41" s="139"/>
      <c r="AC41" s="152">
        <f t="shared" si="1"/>
        <v>1</v>
      </c>
      <c r="GX41" s="142"/>
      <c r="GY41" s="142"/>
    </row>
    <row r="42" spans="2:207" hidden="1" x14ac:dyDescent="0.25">
      <c r="B42" s="143" t="str">
        <f t="shared" ca="1" si="0"/>
        <v/>
      </c>
      <c r="C42" s="144" t="str">
        <f ca="1">סיכום!C28</f>
        <v/>
      </c>
      <c r="D42" s="146" t="str">
        <f>'סיכום לועדה- הזנת נתונים'!O42</f>
        <v/>
      </c>
      <c r="E42" s="146" t="str">
        <f ca="1">סיכום!E28</f>
        <v/>
      </c>
      <c r="F42" s="147" t="str">
        <f t="shared" ca="1" si="2"/>
        <v/>
      </c>
      <c r="G42" s="146" t="str">
        <f t="shared" ca="1" si="3"/>
        <v/>
      </c>
      <c r="H42" s="146" t="str">
        <f t="shared" ca="1" si="4"/>
        <v/>
      </c>
      <c r="I42" s="148">
        <f t="shared" ca="1" si="5"/>
        <v>0</v>
      </c>
      <c r="J42" s="149" t="str">
        <f t="shared" ca="1" si="6"/>
        <v/>
      </c>
      <c r="K42" s="149" t="str">
        <f t="shared" ca="1" si="7"/>
        <v/>
      </c>
      <c r="L42" s="148">
        <f t="shared" ca="1" si="8"/>
        <v>0</v>
      </c>
      <c r="M42" s="149" t="str">
        <f t="shared" ca="1" si="9"/>
        <v/>
      </c>
      <c r="N42" s="149" t="str">
        <f t="shared" ca="1" si="10"/>
        <v/>
      </c>
      <c r="O42" s="148">
        <f t="shared" ca="1" si="11"/>
        <v>0</v>
      </c>
      <c r="P42" s="149" t="str">
        <f t="shared" ca="1" si="12"/>
        <v/>
      </c>
      <c r="Q42" s="149" t="str">
        <f t="shared" ca="1" si="13"/>
        <v/>
      </c>
      <c r="R42" s="148">
        <f t="shared" ca="1" si="14"/>
        <v>0</v>
      </c>
      <c r="S42" s="149" t="str">
        <f t="shared" ca="1" si="15"/>
        <v/>
      </c>
      <c r="T42" s="149" t="str">
        <f t="shared" ca="1" si="16"/>
        <v/>
      </c>
      <c r="U42" s="150" t="str">
        <f t="shared" ca="1" si="17"/>
        <v/>
      </c>
      <c r="V42" s="150"/>
      <c r="W42" s="150"/>
      <c r="X42" s="150"/>
      <c r="Y42" s="150"/>
      <c r="Z42" s="151" t="str">
        <f t="shared" ca="1" si="18"/>
        <v/>
      </c>
      <c r="AA42" s="139"/>
      <c r="AB42" s="139"/>
      <c r="AC42" s="152">
        <f t="shared" si="1"/>
        <v>0</v>
      </c>
      <c r="GX42" s="142"/>
      <c r="GY42" s="142"/>
    </row>
    <row r="43" spans="2:207" hidden="1" x14ac:dyDescent="0.25">
      <c r="B43" s="143" t="str">
        <f t="shared" ca="1" si="0"/>
        <v/>
      </c>
      <c r="C43" s="144" t="str">
        <f ca="1">סיכום!C29</f>
        <v/>
      </c>
      <c r="D43" s="146" t="str">
        <f>'סיכום לועדה- הזנת נתונים'!O43</f>
        <v/>
      </c>
      <c r="E43" s="146" t="str">
        <f ca="1">סיכום!E29</f>
        <v/>
      </c>
      <c r="F43" s="147" t="str">
        <f t="shared" ca="1" si="2"/>
        <v/>
      </c>
      <c r="G43" s="146" t="str">
        <f t="shared" ca="1" si="3"/>
        <v/>
      </c>
      <c r="H43" s="146" t="str">
        <f t="shared" ca="1" si="4"/>
        <v/>
      </c>
      <c r="I43" s="148">
        <f t="shared" ca="1" si="5"/>
        <v>0</v>
      </c>
      <c r="J43" s="149" t="str">
        <f t="shared" ca="1" si="6"/>
        <v/>
      </c>
      <c r="K43" s="149" t="str">
        <f t="shared" ca="1" si="7"/>
        <v/>
      </c>
      <c r="L43" s="148">
        <f t="shared" ca="1" si="8"/>
        <v>0</v>
      </c>
      <c r="M43" s="149" t="str">
        <f t="shared" ca="1" si="9"/>
        <v/>
      </c>
      <c r="N43" s="149" t="str">
        <f t="shared" ca="1" si="10"/>
        <v/>
      </c>
      <c r="O43" s="148">
        <f t="shared" ca="1" si="11"/>
        <v>0</v>
      </c>
      <c r="P43" s="149" t="str">
        <f t="shared" ca="1" si="12"/>
        <v/>
      </c>
      <c r="Q43" s="149" t="str">
        <f t="shared" ca="1" si="13"/>
        <v/>
      </c>
      <c r="R43" s="148">
        <f t="shared" ca="1" si="14"/>
        <v>0</v>
      </c>
      <c r="S43" s="149" t="str">
        <f t="shared" ca="1" si="15"/>
        <v/>
      </c>
      <c r="T43" s="149" t="str">
        <f t="shared" ca="1" si="16"/>
        <v/>
      </c>
      <c r="U43" s="150" t="str">
        <f t="shared" ca="1" si="17"/>
        <v/>
      </c>
      <c r="V43" s="150"/>
      <c r="W43" s="150"/>
      <c r="X43" s="150"/>
      <c r="Y43" s="150"/>
      <c r="Z43" s="151" t="str">
        <f t="shared" ca="1" si="18"/>
        <v/>
      </c>
      <c r="AA43" s="139"/>
      <c r="AB43" s="139"/>
      <c r="AC43" s="152">
        <f t="shared" si="1"/>
        <v>0</v>
      </c>
      <c r="GX43" s="142"/>
      <c r="GY43" s="142"/>
    </row>
    <row r="44" spans="2:207" hidden="1" x14ac:dyDescent="0.25">
      <c r="B44" s="143" t="str">
        <f t="shared" ca="1" si="0"/>
        <v/>
      </c>
      <c r="C44" s="144" t="str">
        <f ca="1">סיכום!C30</f>
        <v/>
      </c>
      <c r="D44" s="146" t="str">
        <f>'סיכום לועדה- הזנת נתונים'!O44</f>
        <v/>
      </c>
      <c r="E44" s="146" t="str">
        <f ca="1">סיכום!E30</f>
        <v/>
      </c>
      <c r="F44" s="147" t="str">
        <f t="shared" ca="1" si="2"/>
        <v/>
      </c>
      <c r="G44" s="146" t="str">
        <f t="shared" ca="1" si="3"/>
        <v/>
      </c>
      <c r="H44" s="146" t="str">
        <f t="shared" ca="1" si="4"/>
        <v/>
      </c>
      <c r="I44" s="148">
        <f t="shared" ca="1" si="5"/>
        <v>0</v>
      </c>
      <c r="J44" s="149" t="str">
        <f t="shared" ca="1" si="6"/>
        <v/>
      </c>
      <c r="K44" s="149" t="str">
        <f t="shared" ca="1" si="7"/>
        <v/>
      </c>
      <c r="L44" s="148">
        <f t="shared" ca="1" si="8"/>
        <v>0</v>
      </c>
      <c r="M44" s="149" t="str">
        <f t="shared" ca="1" si="9"/>
        <v/>
      </c>
      <c r="N44" s="149" t="str">
        <f t="shared" ca="1" si="10"/>
        <v/>
      </c>
      <c r="O44" s="148">
        <f t="shared" ca="1" si="11"/>
        <v>0</v>
      </c>
      <c r="P44" s="149" t="str">
        <f t="shared" ca="1" si="12"/>
        <v/>
      </c>
      <c r="Q44" s="149" t="str">
        <f t="shared" ca="1" si="13"/>
        <v/>
      </c>
      <c r="R44" s="148">
        <f t="shared" ca="1" si="14"/>
        <v>0</v>
      </c>
      <c r="S44" s="149" t="str">
        <f t="shared" ca="1" si="15"/>
        <v/>
      </c>
      <c r="T44" s="149" t="str">
        <f t="shared" ca="1" si="16"/>
        <v/>
      </c>
      <c r="U44" s="150" t="str">
        <f t="shared" ca="1" si="17"/>
        <v/>
      </c>
      <c r="V44" s="150"/>
      <c r="W44" s="150"/>
      <c r="X44" s="150"/>
      <c r="Y44" s="150"/>
      <c r="Z44" s="151" t="str">
        <f t="shared" ca="1" si="18"/>
        <v/>
      </c>
      <c r="AA44" s="139"/>
      <c r="AB44" s="139"/>
      <c r="AC44" s="152">
        <f t="shared" si="1"/>
        <v>0</v>
      </c>
      <c r="GX44" s="142"/>
      <c r="GY44" s="142"/>
    </row>
    <row r="45" spans="2:207" x14ac:dyDescent="0.25">
      <c r="B45" s="143">
        <f t="shared" ca="1" si="0"/>
        <v>15</v>
      </c>
      <c r="C45" s="144" t="str">
        <f ca="1">סיכום!C31</f>
        <v xml:space="preserve">החברה לטיפוח חברה תרבות תיעוד </v>
      </c>
      <c r="D45" s="146">
        <f>'סיכום לועדה- הזנת נתונים'!O45</f>
        <v>2400000</v>
      </c>
      <c r="E45" s="146">
        <f ca="1">סיכום!E31</f>
        <v>2334584.2218040787</v>
      </c>
      <c r="F45" s="147">
        <f t="shared" ca="1" si="2"/>
        <v>0</v>
      </c>
      <c r="G45" s="146">
        <f t="shared" ca="1" si="3"/>
        <v>2334584.2218040787</v>
      </c>
      <c r="H45" s="146">
        <f t="shared" ca="1" si="4"/>
        <v>2441384.4904714264</v>
      </c>
      <c r="I45" s="148">
        <f t="shared" ca="1" si="5"/>
        <v>1</v>
      </c>
      <c r="J45" s="149">
        <f t="shared" ca="1" si="6"/>
        <v>2400000</v>
      </c>
      <c r="K45" s="149">
        <f t="shared" ca="1" si="7"/>
        <v>2400000</v>
      </c>
      <c r="L45" s="148">
        <f t="shared" ca="1" si="8"/>
        <v>1</v>
      </c>
      <c r="M45" s="149">
        <f t="shared" ca="1" si="9"/>
        <v>2400000</v>
      </c>
      <c r="N45" s="149">
        <f t="shared" ca="1" si="10"/>
        <v>2400000</v>
      </c>
      <c r="O45" s="148">
        <f t="shared" ca="1" si="11"/>
        <v>1</v>
      </c>
      <c r="P45" s="149">
        <f t="shared" ca="1" si="12"/>
        <v>2400000</v>
      </c>
      <c r="Q45" s="149">
        <f t="shared" ca="1" si="13"/>
        <v>2400000</v>
      </c>
      <c r="R45" s="148">
        <f t="shared" ca="1" si="14"/>
        <v>1</v>
      </c>
      <c r="S45" s="149">
        <f t="shared" ca="1" si="15"/>
        <v>2400000</v>
      </c>
      <c r="T45" s="149">
        <f t="shared" ca="1" si="16"/>
        <v>2400000</v>
      </c>
      <c r="U45" s="150">
        <f t="shared" ca="1" si="17"/>
        <v>2400000</v>
      </c>
      <c r="V45" s="150"/>
      <c r="W45" s="150"/>
      <c r="X45" s="150"/>
      <c r="Y45" s="150"/>
      <c r="Z45" s="151">
        <f t="shared" ca="1" si="18"/>
        <v>0.16</v>
      </c>
      <c r="AA45" s="139"/>
      <c r="AB45" s="139"/>
      <c r="AC45" s="152">
        <f t="shared" si="1"/>
        <v>1</v>
      </c>
      <c r="GX45" s="142"/>
      <c r="GY45" s="142"/>
    </row>
    <row r="46" spans="2:207" x14ac:dyDescent="0.25">
      <c r="B46" s="143">
        <f t="shared" ca="1" si="0"/>
        <v>16</v>
      </c>
      <c r="C46" s="144" t="str">
        <f ca="1">סיכום!C32</f>
        <v>עמותת אור שלום</v>
      </c>
      <c r="D46" s="146">
        <f>'סיכום לועדה- הזנת נתונים'!O46</f>
        <v>680000</v>
      </c>
      <c r="E46" s="146">
        <f ca="1">סיכום!E32</f>
        <v>620825.62093807408</v>
      </c>
      <c r="F46" s="147">
        <f t="shared" ca="1" si="2"/>
        <v>0</v>
      </c>
      <c r="G46" s="146">
        <f t="shared" ca="1" si="3"/>
        <v>620825.62093807408</v>
      </c>
      <c r="H46" s="146">
        <f t="shared" ca="1" si="4"/>
        <v>649226.54239231138</v>
      </c>
      <c r="I46" s="148">
        <f t="shared" ca="1" si="5"/>
        <v>0</v>
      </c>
      <c r="J46" s="149">
        <f t="shared" ca="1" si="6"/>
        <v>649226.54239231138</v>
      </c>
      <c r="K46" s="149">
        <f t="shared" ca="1" si="7"/>
        <v>651881.18156050739</v>
      </c>
      <c r="L46" s="148">
        <f t="shared" ca="1" si="8"/>
        <v>0</v>
      </c>
      <c r="M46" s="149">
        <f t="shared" ca="1" si="9"/>
        <v>651881.18156050739</v>
      </c>
      <c r="N46" s="149">
        <f t="shared" ca="1" si="10"/>
        <v>651881.18156050739</v>
      </c>
      <c r="O46" s="148">
        <f t="shared" ca="1" si="11"/>
        <v>0</v>
      </c>
      <c r="P46" s="149">
        <f t="shared" ca="1" si="12"/>
        <v>651881.18156050739</v>
      </c>
      <c r="Q46" s="149">
        <f t="shared" ca="1" si="13"/>
        <v>651881.18156050739</v>
      </c>
      <c r="R46" s="148">
        <f t="shared" ca="1" si="14"/>
        <v>0</v>
      </c>
      <c r="S46" s="149">
        <f t="shared" ca="1" si="15"/>
        <v>651881.18156050739</v>
      </c>
      <c r="T46" s="149">
        <f t="shared" ca="1" si="16"/>
        <v>651881.18156050739</v>
      </c>
      <c r="U46" s="150">
        <f t="shared" ca="1" si="17"/>
        <v>651881.18156050739</v>
      </c>
      <c r="V46" s="150"/>
      <c r="W46" s="150"/>
      <c r="X46" s="150"/>
      <c r="Y46" s="150"/>
      <c r="Z46" s="151">
        <f t="shared" ca="1" si="18"/>
        <v>4.3458745437367156E-2</v>
      </c>
      <c r="AA46" s="139"/>
      <c r="AB46" s="139"/>
      <c r="AC46" s="152">
        <f t="shared" si="1"/>
        <v>1</v>
      </c>
      <c r="GX46" s="142"/>
      <c r="GY46" s="142"/>
    </row>
    <row r="47" spans="2:207" hidden="1" x14ac:dyDescent="0.25">
      <c r="B47" s="143" t="str">
        <f t="shared" ca="1" si="0"/>
        <v/>
      </c>
      <c r="C47" s="144" t="str">
        <f ca="1">סיכום!C33</f>
        <v/>
      </c>
      <c r="D47" s="146" t="str">
        <f>'סיכום לועדה- הזנת נתונים'!O47</f>
        <v/>
      </c>
      <c r="E47" s="146" t="str">
        <f ca="1">סיכום!E33</f>
        <v/>
      </c>
      <c r="F47" s="147" t="str">
        <f t="shared" ca="1" si="2"/>
        <v/>
      </c>
      <c r="G47" s="146" t="str">
        <f t="shared" ca="1" si="3"/>
        <v/>
      </c>
      <c r="H47" s="146" t="str">
        <f t="shared" ca="1" si="4"/>
        <v/>
      </c>
      <c r="I47" s="148">
        <f t="shared" ca="1" si="5"/>
        <v>0</v>
      </c>
      <c r="J47" s="149" t="str">
        <f t="shared" ca="1" si="6"/>
        <v/>
      </c>
      <c r="K47" s="149" t="str">
        <f t="shared" ca="1" si="7"/>
        <v/>
      </c>
      <c r="L47" s="148">
        <f t="shared" ca="1" si="8"/>
        <v>0</v>
      </c>
      <c r="M47" s="149" t="str">
        <f t="shared" ca="1" si="9"/>
        <v/>
      </c>
      <c r="N47" s="149" t="str">
        <f t="shared" ca="1" si="10"/>
        <v/>
      </c>
      <c r="O47" s="148">
        <f t="shared" ca="1" si="11"/>
        <v>0</v>
      </c>
      <c r="P47" s="149" t="str">
        <f t="shared" ca="1" si="12"/>
        <v/>
      </c>
      <c r="Q47" s="149" t="str">
        <f t="shared" ca="1" si="13"/>
        <v/>
      </c>
      <c r="R47" s="148">
        <f t="shared" ca="1" si="14"/>
        <v>0</v>
      </c>
      <c r="S47" s="149" t="str">
        <f t="shared" ca="1" si="15"/>
        <v/>
      </c>
      <c r="T47" s="149" t="str">
        <f t="shared" ca="1" si="16"/>
        <v/>
      </c>
      <c r="U47" s="150" t="str">
        <f t="shared" ca="1" si="17"/>
        <v/>
      </c>
      <c r="V47" s="150"/>
      <c r="W47" s="150"/>
      <c r="X47" s="150"/>
      <c r="Y47" s="150"/>
      <c r="Z47" s="151" t="str">
        <f t="shared" ca="1" si="18"/>
        <v/>
      </c>
      <c r="AA47" s="139"/>
      <c r="AB47" s="139"/>
      <c r="AC47" s="152">
        <f t="shared" si="1"/>
        <v>0</v>
      </c>
      <c r="GX47" s="142"/>
      <c r="GY47" s="142"/>
    </row>
    <row r="48" spans="2:207" x14ac:dyDescent="0.25">
      <c r="B48" s="143">
        <f t="shared" ca="1" si="0"/>
        <v>18</v>
      </c>
      <c r="C48" s="144" t="str">
        <f ca="1">סיכום!C34</f>
        <v>ישיבת קרלין סטולין</v>
      </c>
      <c r="D48" s="146">
        <f>'סיכום לועדה- הזנת נתונים'!O48</f>
        <v>700000</v>
      </c>
      <c r="E48" s="146">
        <f ca="1">סיכום!E34</f>
        <v>392782.68219700485</v>
      </c>
      <c r="F48" s="147">
        <f t="shared" ca="1" si="2"/>
        <v>0</v>
      </c>
      <c r="G48" s="146">
        <f t="shared" ca="1" si="3"/>
        <v>392782.68219700485</v>
      </c>
      <c r="H48" s="146">
        <f t="shared" ca="1" si="4"/>
        <v>410751.31900810468</v>
      </c>
      <c r="I48" s="148">
        <f t="shared" ca="1" si="5"/>
        <v>0</v>
      </c>
      <c r="J48" s="149">
        <f t="shared" ca="1" si="6"/>
        <v>410751.31900810468</v>
      </c>
      <c r="K48" s="149">
        <f t="shared" ca="1" si="7"/>
        <v>412430.85067945189</v>
      </c>
      <c r="L48" s="148">
        <f t="shared" ca="1" si="8"/>
        <v>0</v>
      </c>
      <c r="M48" s="149">
        <f t="shared" ca="1" si="9"/>
        <v>412430.85067945189</v>
      </c>
      <c r="N48" s="149">
        <f t="shared" ca="1" si="10"/>
        <v>412430.85067945189</v>
      </c>
      <c r="O48" s="148">
        <f t="shared" ca="1" si="11"/>
        <v>0</v>
      </c>
      <c r="P48" s="149">
        <f t="shared" ca="1" si="12"/>
        <v>412430.85067945189</v>
      </c>
      <c r="Q48" s="149">
        <f t="shared" ca="1" si="13"/>
        <v>412430.85067945189</v>
      </c>
      <c r="R48" s="148">
        <f t="shared" ca="1" si="14"/>
        <v>0</v>
      </c>
      <c r="S48" s="149">
        <f t="shared" ca="1" si="15"/>
        <v>412430.85067945189</v>
      </c>
      <c r="T48" s="149">
        <f t="shared" ca="1" si="16"/>
        <v>412430.85067945189</v>
      </c>
      <c r="U48" s="150">
        <f t="shared" ca="1" si="17"/>
        <v>412430.85067945189</v>
      </c>
      <c r="V48" s="150"/>
      <c r="W48" s="150"/>
      <c r="X48" s="150"/>
      <c r="Y48" s="150"/>
      <c r="Z48" s="151">
        <f t="shared" ca="1" si="18"/>
        <v>2.7495390045296792E-2</v>
      </c>
      <c r="AA48" s="139"/>
      <c r="AB48" s="139"/>
      <c r="AC48" s="152">
        <f t="shared" si="1"/>
        <v>1</v>
      </c>
      <c r="GX48" s="142"/>
      <c r="GY48" s="142"/>
    </row>
    <row r="49" spans="2:207" hidden="1" x14ac:dyDescent="0.25">
      <c r="B49" s="143" t="str">
        <f t="shared" ca="1" si="0"/>
        <v/>
      </c>
      <c r="C49" s="144" t="str">
        <f ca="1">סיכום!C35</f>
        <v/>
      </c>
      <c r="D49" s="146" t="str">
        <f>'סיכום לועדה- הזנת נתונים'!O49</f>
        <v/>
      </c>
      <c r="E49" s="146" t="str">
        <f ca="1">סיכום!E35</f>
        <v/>
      </c>
      <c r="F49" s="147" t="str">
        <f ca="1">IF(C49="","",IF(E49&gt;$D49,1,0))</f>
        <v/>
      </c>
      <c r="G49" s="146" t="str">
        <f t="shared" ca="1" si="3"/>
        <v/>
      </c>
      <c r="H49" s="146" t="str">
        <f t="shared" ca="1" si="4"/>
        <v/>
      </c>
      <c r="I49" s="148">
        <f t="shared" ca="1" si="5"/>
        <v>0</v>
      </c>
      <c r="J49" s="149" t="str">
        <f t="shared" ca="1" si="6"/>
        <v/>
      </c>
      <c r="K49" s="149" t="str">
        <f t="shared" ca="1" si="7"/>
        <v/>
      </c>
      <c r="L49" s="148">
        <f t="shared" ca="1" si="8"/>
        <v>0</v>
      </c>
      <c r="M49" s="149" t="str">
        <f t="shared" ca="1" si="9"/>
        <v/>
      </c>
      <c r="N49" s="149" t="str">
        <f t="shared" ca="1" si="10"/>
        <v/>
      </c>
      <c r="O49" s="148">
        <f t="shared" ca="1" si="11"/>
        <v>0</v>
      </c>
      <c r="P49" s="149" t="str">
        <f t="shared" ca="1" si="12"/>
        <v/>
      </c>
      <c r="Q49" s="149" t="str">
        <f t="shared" ca="1" si="13"/>
        <v/>
      </c>
      <c r="R49" s="148">
        <f t="shared" ca="1" si="14"/>
        <v>0</v>
      </c>
      <c r="S49" s="149" t="str">
        <f t="shared" ca="1" si="15"/>
        <v/>
      </c>
      <c r="T49" s="149" t="str">
        <f t="shared" ca="1" si="16"/>
        <v/>
      </c>
      <c r="U49" s="150" t="str">
        <f t="shared" ca="1" si="17"/>
        <v/>
      </c>
      <c r="V49" s="150"/>
      <c r="W49" s="150"/>
      <c r="X49" s="150"/>
      <c r="Y49" s="150"/>
      <c r="Z49" s="151" t="str">
        <f t="shared" ca="1" si="18"/>
        <v/>
      </c>
      <c r="AA49" s="139"/>
      <c r="AB49" s="139"/>
      <c r="AC49" s="152">
        <f t="shared" si="1"/>
        <v>0</v>
      </c>
      <c r="GX49" s="142"/>
      <c r="GY49" s="142"/>
    </row>
    <row r="50" spans="2:207" hidden="1" x14ac:dyDescent="0.25">
      <c r="B50" s="143" t="str">
        <f t="shared" ca="1" si="0"/>
        <v/>
      </c>
      <c r="C50" s="144" t="str">
        <f ca="1">סיכום!C36</f>
        <v/>
      </c>
      <c r="D50" s="146" t="str">
        <f>'סיכום לועדה- הזנת נתונים'!O50</f>
        <v/>
      </c>
      <c r="E50" s="146" t="str">
        <f ca="1">סיכום!E36</f>
        <v/>
      </c>
      <c r="F50" s="147" t="str">
        <f t="shared" ca="1" si="2"/>
        <v/>
      </c>
      <c r="G50" s="146" t="str">
        <f t="shared" ca="1" si="3"/>
        <v/>
      </c>
      <c r="H50" s="146" t="str">
        <f t="shared" ca="1" si="4"/>
        <v/>
      </c>
      <c r="I50" s="148">
        <f t="shared" ca="1" si="5"/>
        <v>0</v>
      </c>
      <c r="J50" s="149" t="str">
        <f t="shared" ca="1" si="6"/>
        <v/>
      </c>
      <c r="K50" s="149" t="str">
        <f t="shared" ca="1" si="7"/>
        <v/>
      </c>
      <c r="L50" s="148">
        <f t="shared" ca="1" si="8"/>
        <v>0</v>
      </c>
      <c r="M50" s="149" t="str">
        <f t="shared" ca="1" si="9"/>
        <v/>
      </c>
      <c r="N50" s="149" t="str">
        <f t="shared" ca="1" si="10"/>
        <v/>
      </c>
      <c r="O50" s="148">
        <f t="shared" ca="1" si="11"/>
        <v>0</v>
      </c>
      <c r="P50" s="149" t="str">
        <f t="shared" ca="1" si="12"/>
        <v/>
      </c>
      <c r="Q50" s="149" t="str">
        <f t="shared" ca="1" si="13"/>
        <v/>
      </c>
      <c r="R50" s="148">
        <f t="shared" ca="1" si="14"/>
        <v>0</v>
      </c>
      <c r="S50" s="149" t="str">
        <f t="shared" ca="1" si="15"/>
        <v/>
      </c>
      <c r="T50" s="149" t="str">
        <f t="shared" ca="1" si="16"/>
        <v/>
      </c>
      <c r="U50" s="150" t="str">
        <f t="shared" ca="1" si="17"/>
        <v/>
      </c>
      <c r="V50" s="150"/>
      <c r="W50" s="150"/>
      <c r="X50" s="150"/>
      <c r="Y50" s="150"/>
      <c r="Z50" s="151" t="str">
        <f t="shared" ca="1" si="18"/>
        <v/>
      </c>
      <c r="AA50" s="139"/>
      <c r="AB50" s="139"/>
      <c r="AC50" s="152">
        <f t="shared" si="1"/>
        <v>0</v>
      </c>
      <c r="GX50" s="142"/>
      <c r="GY50" s="142"/>
    </row>
    <row r="51" spans="2:207" x14ac:dyDescent="0.25">
      <c r="B51" s="143">
        <f t="shared" ca="1" si="0"/>
        <v>21</v>
      </c>
      <c r="C51" s="144" t="str">
        <f ca="1">סיכום!C37</f>
        <v>ברית יוצאי מרוקו</v>
      </c>
      <c r="D51" s="146">
        <f>'סיכום לועדה- הזנת נתונים'!O51</f>
        <v>200000</v>
      </c>
      <c r="E51" s="146">
        <f ca="1">סיכום!E37</f>
        <v>206017.8802220285</v>
      </c>
      <c r="F51" s="147">
        <f t="shared" ca="1" si="2"/>
        <v>1</v>
      </c>
      <c r="G51" s="146">
        <f t="shared" ca="1" si="3"/>
        <v>200000</v>
      </c>
      <c r="H51" s="146">
        <f t="shared" ca="1" si="4"/>
        <v>200000</v>
      </c>
      <c r="I51" s="148">
        <f t="shared" ca="1" si="5"/>
        <v>1</v>
      </c>
      <c r="J51" s="149">
        <f t="shared" ca="1" si="6"/>
        <v>200000</v>
      </c>
      <c r="K51" s="149">
        <f t="shared" ca="1" si="7"/>
        <v>200000</v>
      </c>
      <c r="L51" s="148">
        <f t="shared" ca="1" si="8"/>
        <v>1</v>
      </c>
      <c r="M51" s="149">
        <f t="shared" ca="1" si="9"/>
        <v>200000</v>
      </c>
      <c r="N51" s="149">
        <f t="shared" ca="1" si="10"/>
        <v>200000</v>
      </c>
      <c r="O51" s="148">
        <f t="shared" ca="1" si="11"/>
        <v>1</v>
      </c>
      <c r="P51" s="149">
        <f t="shared" ca="1" si="12"/>
        <v>200000</v>
      </c>
      <c r="Q51" s="149">
        <f t="shared" ca="1" si="13"/>
        <v>200000</v>
      </c>
      <c r="R51" s="148">
        <f t="shared" ca="1" si="14"/>
        <v>1</v>
      </c>
      <c r="S51" s="149">
        <f t="shared" ca="1" si="15"/>
        <v>200000</v>
      </c>
      <c r="T51" s="149">
        <f t="shared" ca="1" si="16"/>
        <v>200000</v>
      </c>
      <c r="U51" s="150">
        <f t="shared" ca="1" si="17"/>
        <v>200000</v>
      </c>
      <c r="V51" s="150"/>
      <c r="W51" s="150"/>
      <c r="X51" s="150"/>
      <c r="Y51" s="150"/>
      <c r="Z51" s="151">
        <f t="shared" ca="1" si="18"/>
        <v>1.3333333333333334E-2</v>
      </c>
      <c r="AA51" s="139"/>
      <c r="AB51" s="139"/>
      <c r="AC51" s="152">
        <f t="shared" si="1"/>
        <v>1</v>
      </c>
      <c r="GX51" s="142"/>
      <c r="GY51" s="142"/>
    </row>
    <row r="52" spans="2:207" x14ac:dyDescent="0.25">
      <c r="B52" s="143">
        <f t="shared" ca="1" si="0"/>
        <v>22</v>
      </c>
      <c r="C52" s="144" t="str">
        <f ca="1">סיכום!C38</f>
        <v>הקם - בית הקונפדרציה</v>
      </c>
      <c r="D52" s="146">
        <f>'סיכום לועדה- הזנת נתונים'!O52</f>
        <v>1400000</v>
      </c>
      <c r="E52" s="146">
        <f ca="1">סיכום!E38</f>
        <v>602825.09090164863</v>
      </c>
      <c r="F52" s="147">
        <f t="shared" ca="1" si="2"/>
        <v>0</v>
      </c>
      <c r="G52" s="146">
        <f t="shared" ca="1" si="3"/>
        <v>602825.09090164863</v>
      </c>
      <c r="H52" s="146">
        <f t="shared" ca="1" si="4"/>
        <v>630402.54176695202</v>
      </c>
      <c r="I52" s="148">
        <f t="shared" ca="1" si="5"/>
        <v>0</v>
      </c>
      <c r="J52" s="149">
        <f t="shared" ca="1" si="6"/>
        <v>630402.54176695202</v>
      </c>
      <c r="K52" s="149">
        <f t="shared" ca="1" si="7"/>
        <v>632980.21099307202</v>
      </c>
      <c r="L52" s="148">
        <f t="shared" ca="1" si="8"/>
        <v>0</v>
      </c>
      <c r="M52" s="149">
        <f t="shared" ca="1" si="9"/>
        <v>632980.21099307202</v>
      </c>
      <c r="N52" s="149">
        <f t="shared" ca="1" si="10"/>
        <v>632980.21099307202</v>
      </c>
      <c r="O52" s="148">
        <f t="shared" ca="1" si="11"/>
        <v>0</v>
      </c>
      <c r="P52" s="149">
        <f t="shared" ca="1" si="12"/>
        <v>632980.21099307202</v>
      </c>
      <c r="Q52" s="149">
        <f t="shared" ca="1" si="13"/>
        <v>632980.21099307202</v>
      </c>
      <c r="R52" s="148">
        <f t="shared" ca="1" si="14"/>
        <v>0</v>
      </c>
      <c r="S52" s="149">
        <f t="shared" ca="1" si="15"/>
        <v>632980.21099307202</v>
      </c>
      <c r="T52" s="149">
        <f t="shared" ca="1" si="16"/>
        <v>632980.21099307202</v>
      </c>
      <c r="U52" s="150">
        <f t="shared" ca="1" si="17"/>
        <v>632980.21099307202</v>
      </c>
      <c r="V52" s="150"/>
      <c r="W52" s="150"/>
      <c r="X52" s="150"/>
      <c r="Y52" s="150"/>
      <c r="Z52" s="151">
        <f t="shared" ca="1" si="18"/>
        <v>4.2198680732871467E-2</v>
      </c>
      <c r="AA52" s="139"/>
      <c r="AB52" s="139"/>
      <c r="AC52" s="152">
        <f t="shared" si="1"/>
        <v>1</v>
      </c>
      <c r="GX52" s="142"/>
      <c r="GY52" s="142"/>
    </row>
    <row r="53" spans="2:207" x14ac:dyDescent="0.25">
      <c r="B53" s="143">
        <f t="shared" ca="1" si="0"/>
        <v>23</v>
      </c>
      <c r="C53" s="144" t="str">
        <f ca="1">סיכום!C39</f>
        <v>מוסיקה מזרח מערב</v>
      </c>
      <c r="D53" s="146">
        <f>'סיכום לועדה- הזנת נתונים'!O53</f>
        <v>1600000</v>
      </c>
      <c r="E53" s="146">
        <f ca="1">סיכום!E39</f>
        <v>921191.58172282437</v>
      </c>
      <c r="F53" s="147">
        <f t="shared" ca="1" si="2"/>
        <v>0</v>
      </c>
      <c r="G53" s="146">
        <f t="shared" ca="1" si="3"/>
        <v>921191.58172282437</v>
      </c>
      <c r="H53" s="146">
        <f t="shared" ca="1" si="4"/>
        <v>963333.3504811473</v>
      </c>
      <c r="I53" s="148">
        <f t="shared" ca="1" si="5"/>
        <v>0</v>
      </c>
      <c r="J53" s="149">
        <f t="shared" ca="1" si="6"/>
        <v>963333.3504811473</v>
      </c>
      <c r="K53" s="149">
        <f t="shared" ca="1" si="7"/>
        <v>967272.34908523015</v>
      </c>
      <c r="L53" s="148">
        <f t="shared" ca="1" si="8"/>
        <v>0</v>
      </c>
      <c r="M53" s="149">
        <f t="shared" ca="1" si="9"/>
        <v>967272.34908523015</v>
      </c>
      <c r="N53" s="149">
        <f t="shared" ca="1" si="10"/>
        <v>967272.34908523015</v>
      </c>
      <c r="O53" s="148">
        <f t="shared" ca="1" si="11"/>
        <v>0</v>
      </c>
      <c r="P53" s="149">
        <f t="shared" ca="1" si="12"/>
        <v>967272.34908523015</v>
      </c>
      <c r="Q53" s="149">
        <f t="shared" ca="1" si="13"/>
        <v>967272.34908523015</v>
      </c>
      <c r="R53" s="148">
        <f t="shared" ca="1" si="14"/>
        <v>0</v>
      </c>
      <c r="S53" s="149">
        <f t="shared" ca="1" si="15"/>
        <v>967272.34908523015</v>
      </c>
      <c r="T53" s="149">
        <f t="shared" ca="1" si="16"/>
        <v>967272.34908523015</v>
      </c>
      <c r="U53" s="150">
        <f t="shared" ca="1" si="17"/>
        <v>967272.34908523015</v>
      </c>
      <c r="V53" s="150"/>
      <c r="W53" s="150"/>
      <c r="X53" s="150"/>
      <c r="Y53" s="150"/>
      <c r="Z53" s="151">
        <f t="shared" ca="1" si="18"/>
        <v>6.4484823272348682E-2</v>
      </c>
      <c r="AA53" s="139"/>
      <c r="AB53" s="139"/>
      <c r="AC53" s="152">
        <f t="shared" si="1"/>
        <v>1</v>
      </c>
      <c r="GX53" s="142"/>
      <c r="GY53" s="142"/>
    </row>
    <row r="54" spans="2:207" x14ac:dyDescent="0.25">
      <c r="B54" s="143">
        <f t="shared" ca="1" si="0"/>
        <v>24</v>
      </c>
      <c r="C54" s="144" t="str">
        <f ca="1">סיכום!C40</f>
        <v>אעלה בתמר</v>
      </c>
      <c r="D54" s="146">
        <f>'סיכום לועדה- הזנת נתונים'!O54</f>
        <v>1500000</v>
      </c>
      <c r="E54" s="146">
        <f ca="1">סיכום!E40</f>
        <v>1942393.5981178558</v>
      </c>
      <c r="F54" s="147">
        <f t="shared" ca="1" si="2"/>
        <v>1</v>
      </c>
      <c r="G54" s="146">
        <f t="shared" ca="1" si="3"/>
        <v>1500000</v>
      </c>
      <c r="H54" s="146">
        <f t="shared" ca="1" si="4"/>
        <v>1500000</v>
      </c>
      <c r="I54" s="148">
        <f t="shared" ca="1" si="5"/>
        <v>1</v>
      </c>
      <c r="J54" s="149">
        <f t="shared" ca="1" si="6"/>
        <v>1500000</v>
      </c>
      <c r="K54" s="149">
        <f t="shared" ca="1" si="7"/>
        <v>1500000</v>
      </c>
      <c r="L54" s="148">
        <f t="shared" ca="1" si="8"/>
        <v>1</v>
      </c>
      <c r="M54" s="149">
        <f t="shared" ca="1" si="9"/>
        <v>1500000</v>
      </c>
      <c r="N54" s="149">
        <f t="shared" ca="1" si="10"/>
        <v>1500000</v>
      </c>
      <c r="O54" s="148">
        <f t="shared" ca="1" si="11"/>
        <v>1</v>
      </c>
      <c r="P54" s="149">
        <f t="shared" ca="1" si="12"/>
        <v>1500000</v>
      </c>
      <c r="Q54" s="149">
        <f t="shared" ca="1" si="13"/>
        <v>1500000</v>
      </c>
      <c r="R54" s="148">
        <f t="shared" ca="1" si="14"/>
        <v>1</v>
      </c>
      <c r="S54" s="149">
        <f t="shared" ca="1" si="15"/>
        <v>1500000</v>
      </c>
      <c r="T54" s="149">
        <f t="shared" ca="1" si="16"/>
        <v>1500000</v>
      </c>
      <c r="U54" s="150">
        <f t="shared" ca="1" si="17"/>
        <v>1500000</v>
      </c>
      <c r="V54" s="150"/>
      <c r="W54" s="150"/>
      <c r="X54" s="150"/>
      <c r="Y54" s="150"/>
      <c r="Z54" s="151">
        <f t="shared" ca="1" si="18"/>
        <v>0.1</v>
      </c>
      <c r="AA54" s="139"/>
      <c r="AB54" s="139"/>
      <c r="AC54" s="152">
        <f t="shared" si="1"/>
        <v>1</v>
      </c>
      <c r="GX54" s="142"/>
      <c r="GY54" s="142"/>
    </row>
    <row r="55" spans="2:207" hidden="1" x14ac:dyDescent="0.25">
      <c r="B55" s="143" t="str">
        <f t="shared" ca="1" si="0"/>
        <v/>
      </c>
      <c r="C55" s="144" t="str">
        <f ca="1">סיכום!C41</f>
        <v/>
      </c>
      <c r="D55" s="146" t="str">
        <f>'סיכום לועדה- הזנת נתונים'!O55</f>
        <v/>
      </c>
      <c r="E55" s="146" t="str">
        <f ca="1">סיכום!E41</f>
        <v/>
      </c>
      <c r="F55" s="147" t="str">
        <f t="shared" ca="1" si="2"/>
        <v/>
      </c>
      <c r="G55" s="146" t="str">
        <f t="shared" ca="1" si="3"/>
        <v/>
      </c>
      <c r="H55" s="146" t="str">
        <f t="shared" ca="1" si="4"/>
        <v/>
      </c>
      <c r="I55" s="148">
        <f t="shared" ca="1" si="5"/>
        <v>0</v>
      </c>
      <c r="J55" s="149" t="str">
        <f t="shared" ca="1" si="6"/>
        <v/>
      </c>
      <c r="K55" s="149" t="str">
        <f t="shared" ca="1" si="7"/>
        <v/>
      </c>
      <c r="L55" s="148">
        <f t="shared" ca="1" si="8"/>
        <v>0</v>
      </c>
      <c r="M55" s="149" t="str">
        <f t="shared" ca="1" si="9"/>
        <v/>
      </c>
      <c r="N55" s="149" t="str">
        <f t="shared" ca="1" si="10"/>
        <v/>
      </c>
      <c r="O55" s="148">
        <f t="shared" ca="1" si="11"/>
        <v>0</v>
      </c>
      <c r="P55" s="149" t="str">
        <f t="shared" ca="1" si="12"/>
        <v/>
      </c>
      <c r="Q55" s="149" t="str">
        <f t="shared" ca="1" si="13"/>
        <v/>
      </c>
      <c r="R55" s="148">
        <f t="shared" ca="1" si="14"/>
        <v>0</v>
      </c>
      <c r="S55" s="149" t="str">
        <f t="shared" ca="1" si="15"/>
        <v/>
      </c>
      <c r="T55" s="149" t="str">
        <f t="shared" ca="1" si="16"/>
        <v/>
      </c>
      <c r="U55" s="150" t="str">
        <f t="shared" ca="1" si="17"/>
        <v/>
      </c>
      <c r="V55" s="150"/>
      <c r="W55" s="150"/>
      <c r="X55" s="150"/>
      <c r="Y55" s="150"/>
      <c r="Z55" s="151" t="str">
        <f t="shared" ca="1" si="18"/>
        <v/>
      </c>
      <c r="AA55" s="139"/>
      <c r="AB55" s="139"/>
      <c r="AC55" s="152">
        <f t="shared" si="1"/>
        <v>0</v>
      </c>
      <c r="GX55" s="142"/>
      <c r="GY55" s="142"/>
    </row>
    <row r="56" spans="2:207" hidden="1" x14ac:dyDescent="0.25">
      <c r="B56" s="143" t="str">
        <f t="shared" ca="1" si="0"/>
        <v/>
      </c>
      <c r="C56" s="144" t="str">
        <f ca="1">סיכום!C42</f>
        <v/>
      </c>
      <c r="D56" s="146" t="str">
        <f>'סיכום לועדה- הזנת נתונים'!O56</f>
        <v/>
      </c>
      <c r="E56" s="146" t="str">
        <f ca="1">סיכום!E42</f>
        <v/>
      </c>
      <c r="F56" s="147" t="str">
        <f t="shared" ca="1" si="2"/>
        <v/>
      </c>
      <c r="G56" s="146" t="str">
        <f t="shared" ca="1" si="3"/>
        <v/>
      </c>
      <c r="H56" s="146" t="str">
        <f t="shared" ca="1" si="4"/>
        <v/>
      </c>
      <c r="I56" s="148">
        <f t="shared" ca="1" si="5"/>
        <v>0</v>
      </c>
      <c r="J56" s="149" t="str">
        <f t="shared" ca="1" si="6"/>
        <v/>
      </c>
      <c r="K56" s="149" t="str">
        <f t="shared" ca="1" si="7"/>
        <v/>
      </c>
      <c r="L56" s="148">
        <f t="shared" ca="1" si="8"/>
        <v>0</v>
      </c>
      <c r="M56" s="149" t="str">
        <f t="shared" ca="1" si="9"/>
        <v/>
      </c>
      <c r="N56" s="149" t="str">
        <f t="shared" ca="1" si="10"/>
        <v/>
      </c>
      <c r="O56" s="148">
        <f t="shared" ca="1" si="11"/>
        <v>0</v>
      </c>
      <c r="P56" s="149" t="str">
        <f t="shared" ca="1" si="12"/>
        <v/>
      </c>
      <c r="Q56" s="149" t="str">
        <f t="shared" ca="1" si="13"/>
        <v/>
      </c>
      <c r="R56" s="148">
        <f t="shared" ca="1" si="14"/>
        <v>0</v>
      </c>
      <c r="S56" s="149" t="str">
        <f t="shared" ca="1" si="15"/>
        <v/>
      </c>
      <c r="T56" s="149" t="str">
        <f t="shared" ca="1" si="16"/>
        <v/>
      </c>
      <c r="U56" s="150" t="str">
        <f t="shared" ca="1" si="17"/>
        <v/>
      </c>
      <c r="V56" s="150"/>
      <c r="W56" s="150"/>
      <c r="X56" s="150"/>
      <c r="Y56" s="150"/>
      <c r="Z56" s="151" t="str">
        <f t="shared" ca="1" si="18"/>
        <v/>
      </c>
      <c r="AA56" s="139"/>
      <c r="AB56" s="139"/>
      <c r="AC56" s="152">
        <f t="shared" si="1"/>
        <v>0</v>
      </c>
      <c r="GX56" s="142"/>
      <c r="GY56" s="142"/>
    </row>
    <row r="57" spans="2:207" x14ac:dyDescent="0.25">
      <c r="B57" s="143">
        <f t="shared" ca="1" si="0"/>
        <v>27</v>
      </c>
      <c r="C57" s="144" t="str">
        <f ca="1">סיכום!C43</f>
        <v>מכון הברמן</v>
      </c>
      <c r="D57" s="146">
        <f>'סיכום לועדה- הזנת נתונים'!O57</f>
        <v>725000</v>
      </c>
      <c r="E57" s="146">
        <f ca="1">סיכום!E43</f>
        <v>319778.15293443494</v>
      </c>
      <c r="F57" s="147">
        <f t="shared" ca="1" si="2"/>
        <v>0</v>
      </c>
      <c r="G57" s="146">
        <f t="shared" ca="1" si="3"/>
        <v>319778.15293443494</v>
      </c>
      <c r="H57" s="146">
        <f t="shared" ca="1" si="4"/>
        <v>334407.05016092019</v>
      </c>
      <c r="I57" s="148">
        <f t="shared" ca="1" si="5"/>
        <v>0</v>
      </c>
      <c r="J57" s="149">
        <f t="shared" ca="1" si="6"/>
        <v>334407.05016092019</v>
      </c>
      <c r="K57" s="149">
        <f t="shared" ca="1" si="7"/>
        <v>335774.41578064195</v>
      </c>
      <c r="L57" s="148">
        <f t="shared" ca="1" si="8"/>
        <v>0</v>
      </c>
      <c r="M57" s="149">
        <f t="shared" ca="1" si="9"/>
        <v>335774.41578064195</v>
      </c>
      <c r="N57" s="149">
        <f t="shared" ca="1" si="10"/>
        <v>335774.41578064195</v>
      </c>
      <c r="O57" s="148">
        <f t="shared" ca="1" si="11"/>
        <v>0</v>
      </c>
      <c r="P57" s="149">
        <f t="shared" ca="1" si="12"/>
        <v>335774.41578064195</v>
      </c>
      <c r="Q57" s="149">
        <f t="shared" ca="1" si="13"/>
        <v>335774.41578064195</v>
      </c>
      <c r="R57" s="148">
        <f t="shared" ca="1" si="14"/>
        <v>0</v>
      </c>
      <c r="S57" s="149">
        <f t="shared" ca="1" si="15"/>
        <v>335774.41578064195</v>
      </c>
      <c r="T57" s="149">
        <f t="shared" ca="1" si="16"/>
        <v>335774.41578064195</v>
      </c>
      <c r="U57" s="150">
        <f t="shared" ca="1" si="17"/>
        <v>335774.41578064195</v>
      </c>
      <c r="V57" s="150"/>
      <c r="W57" s="150"/>
      <c r="X57" s="150"/>
      <c r="Y57" s="150"/>
      <c r="Z57" s="151">
        <f t="shared" ca="1" si="18"/>
        <v>2.2384961052042796E-2</v>
      </c>
      <c r="AA57" s="139"/>
      <c r="AB57" s="139"/>
      <c r="AC57" s="152">
        <f t="shared" si="1"/>
        <v>1</v>
      </c>
      <c r="GX57" s="142"/>
      <c r="GY57" s="142"/>
    </row>
    <row r="58" spans="2:207" hidden="1" x14ac:dyDescent="0.25">
      <c r="B58" s="143" t="str">
        <f t="shared" ca="1" si="0"/>
        <v/>
      </c>
      <c r="C58" s="144" t="str">
        <f ca="1">סיכום!C44</f>
        <v/>
      </c>
      <c r="D58" s="146" t="str">
        <f>'סיכום לועדה- הזנת נתונים'!O58</f>
        <v/>
      </c>
      <c r="E58" s="146" t="str">
        <f ca="1">סיכום!E44</f>
        <v/>
      </c>
      <c r="F58" s="147" t="str">
        <f t="shared" ca="1" si="2"/>
        <v/>
      </c>
      <c r="G58" s="146" t="str">
        <f t="shared" ca="1" si="3"/>
        <v/>
      </c>
      <c r="H58" s="146" t="str">
        <f t="shared" ca="1" si="4"/>
        <v/>
      </c>
      <c r="I58" s="148">
        <f t="shared" ca="1" si="5"/>
        <v>0</v>
      </c>
      <c r="J58" s="149" t="str">
        <f t="shared" ca="1" si="6"/>
        <v/>
      </c>
      <c r="K58" s="149" t="str">
        <f t="shared" ca="1" si="7"/>
        <v/>
      </c>
      <c r="L58" s="148">
        <f t="shared" ca="1" si="8"/>
        <v>0</v>
      </c>
      <c r="M58" s="149" t="str">
        <f t="shared" ca="1" si="9"/>
        <v/>
      </c>
      <c r="N58" s="149" t="str">
        <f t="shared" ca="1" si="10"/>
        <v/>
      </c>
      <c r="O58" s="148">
        <f t="shared" ca="1" si="11"/>
        <v>0</v>
      </c>
      <c r="P58" s="149" t="str">
        <f t="shared" ca="1" si="12"/>
        <v/>
      </c>
      <c r="Q58" s="149" t="str">
        <f t="shared" ca="1" si="13"/>
        <v/>
      </c>
      <c r="R58" s="148">
        <f t="shared" ca="1" si="14"/>
        <v>0</v>
      </c>
      <c r="S58" s="149" t="str">
        <f t="shared" ca="1" si="15"/>
        <v/>
      </c>
      <c r="T58" s="149" t="str">
        <f t="shared" ca="1" si="16"/>
        <v/>
      </c>
      <c r="U58" s="150" t="str">
        <f t="shared" ca="1" si="17"/>
        <v/>
      </c>
      <c r="V58" s="150"/>
      <c r="W58" s="150"/>
      <c r="X58" s="150"/>
      <c r="Y58" s="150"/>
      <c r="Z58" s="151" t="str">
        <f t="shared" ca="1" si="18"/>
        <v/>
      </c>
      <c r="AA58" s="139"/>
      <c r="AB58" s="139"/>
      <c r="AC58" s="152">
        <f t="shared" si="1"/>
        <v>0</v>
      </c>
      <c r="GX58" s="142"/>
      <c r="GY58" s="142"/>
    </row>
    <row r="59" spans="2:207" x14ac:dyDescent="0.25">
      <c r="B59" s="143" t="str">
        <f t="shared" ca="1" si="0"/>
        <v/>
      </c>
      <c r="C59" s="144" t="str">
        <f ca="1">סיכום!C45</f>
        <v/>
      </c>
      <c r="D59" s="146" t="str">
        <f>'סיכום לועדה- הזנת נתונים'!O59</f>
        <v/>
      </c>
      <c r="E59" s="146" t="str">
        <f ca="1">סיכום!E45</f>
        <v/>
      </c>
      <c r="F59" s="147" t="str">
        <f t="shared" ca="1" si="2"/>
        <v/>
      </c>
      <c r="G59" s="146" t="str">
        <f t="shared" ca="1" si="3"/>
        <v/>
      </c>
      <c r="H59" s="146" t="str">
        <f t="shared" ca="1" si="4"/>
        <v/>
      </c>
      <c r="I59" s="148">
        <f t="shared" ca="1" si="5"/>
        <v>0</v>
      </c>
      <c r="J59" s="149" t="str">
        <f t="shared" ca="1" si="6"/>
        <v/>
      </c>
      <c r="K59" s="149" t="str">
        <f t="shared" ca="1" si="7"/>
        <v/>
      </c>
      <c r="L59" s="148">
        <f t="shared" ca="1" si="8"/>
        <v>0</v>
      </c>
      <c r="M59" s="149" t="str">
        <f t="shared" ca="1" si="9"/>
        <v/>
      </c>
      <c r="N59" s="149" t="str">
        <f t="shared" ca="1" si="10"/>
        <v/>
      </c>
      <c r="O59" s="148">
        <f t="shared" ca="1" si="11"/>
        <v>0</v>
      </c>
      <c r="P59" s="149" t="str">
        <f t="shared" ca="1" si="12"/>
        <v/>
      </c>
      <c r="Q59" s="149" t="str">
        <f t="shared" ca="1" si="13"/>
        <v/>
      </c>
      <c r="R59" s="148">
        <f t="shared" ca="1" si="14"/>
        <v>0</v>
      </c>
      <c r="S59" s="149" t="str">
        <f t="shared" ca="1" si="15"/>
        <v/>
      </c>
      <c r="T59" s="149" t="str">
        <f t="shared" ca="1" si="16"/>
        <v/>
      </c>
      <c r="U59" s="150" t="str">
        <f t="shared" ca="1" si="17"/>
        <v/>
      </c>
      <c r="V59" s="150"/>
      <c r="W59" s="150"/>
      <c r="X59" s="150"/>
      <c r="Y59" s="150"/>
      <c r="Z59" s="151" t="str">
        <f t="shared" ca="1" si="18"/>
        <v/>
      </c>
      <c r="AA59" s="139"/>
      <c r="AB59" s="139"/>
      <c r="AC59" s="152">
        <f t="shared" si="1"/>
        <v>0</v>
      </c>
      <c r="GX59" s="142"/>
      <c r="GY59" s="142"/>
    </row>
    <row r="60" spans="2:207" hidden="1" x14ac:dyDescent="0.25">
      <c r="B60" s="143" t="str">
        <f t="shared" ca="1" si="0"/>
        <v/>
      </c>
      <c r="C60" s="144" t="str">
        <f ca="1">סיכום!C46</f>
        <v/>
      </c>
      <c r="D60" s="146" t="str">
        <f>'סיכום לועדה- הזנת נתונים'!O60</f>
        <v/>
      </c>
      <c r="E60" s="146" t="str">
        <f ca="1">סיכום!E46</f>
        <v/>
      </c>
      <c r="F60" s="147" t="str">
        <f t="shared" ca="1" si="2"/>
        <v/>
      </c>
      <c r="G60" s="146" t="str">
        <f t="shared" ca="1" si="3"/>
        <v/>
      </c>
      <c r="H60" s="146" t="str">
        <f t="shared" ca="1" si="4"/>
        <v/>
      </c>
      <c r="I60" s="148">
        <f t="shared" ca="1" si="5"/>
        <v>0</v>
      </c>
      <c r="J60" s="149" t="str">
        <f t="shared" ca="1" si="6"/>
        <v/>
      </c>
      <c r="K60" s="149" t="str">
        <f t="shared" ca="1" si="7"/>
        <v/>
      </c>
      <c r="L60" s="148">
        <f t="shared" ca="1" si="8"/>
        <v>0</v>
      </c>
      <c r="M60" s="149" t="str">
        <f t="shared" ca="1" si="9"/>
        <v/>
      </c>
      <c r="N60" s="149" t="str">
        <f t="shared" ca="1" si="10"/>
        <v/>
      </c>
      <c r="O60" s="148">
        <f t="shared" ca="1" si="11"/>
        <v>0</v>
      </c>
      <c r="P60" s="149" t="str">
        <f t="shared" ca="1" si="12"/>
        <v/>
      </c>
      <c r="Q60" s="149" t="str">
        <f t="shared" ca="1" si="13"/>
        <v/>
      </c>
      <c r="R60" s="148">
        <f t="shared" ca="1" si="14"/>
        <v>0</v>
      </c>
      <c r="S60" s="149" t="str">
        <f t="shared" ca="1" si="15"/>
        <v/>
      </c>
      <c r="T60" s="149" t="str">
        <f t="shared" ca="1" si="16"/>
        <v/>
      </c>
      <c r="U60" s="150" t="str">
        <f t="shared" ca="1" si="17"/>
        <v/>
      </c>
      <c r="V60" s="150"/>
      <c r="W60" s="150"/>
      <c r="X60" s="150"/>
      <c r="Y60" s="150"/>
      <c r="Z60" s="151" t="str">
        <f t="shared" ca="1" si="18"/>
        <v/>
      </c>
      <c r="AA60" s="139"/>
      <c r="AB60" s="139"/>
      <c r="AC60" s="152">
        <f t="shared" si="1"/>
        <v>0</v>
      </c>
      <c r="GX60" s="142"/>
      <c r="GY60" s="142"/>
    </row>
    <row r="61" spans="2:207" hidden="1" x14ac:dyDescent="0.25">
      <c r="B61" s="143">
        <f t="shared" ca="1" si="0"/>
        <v>31</v>
      </c>
      <c r="C61" s="144" t="str">
        <f ca="1">סיכום!C47</f>
        <v>כולנא</v>
      </c>
      <c r="D61" s="146">
        <f>'סיכום לועדה- הזנת נתונים'!O61</f>
        <v>1500000</v>
      </c>
      <c r="E61" s="146">
        <f ca="1">סיכום!E47</f>
        <v>521940.33542024845</v>
      </c>
      <c r="F61" s="147">
        <f t="shared" ca="1" si="2"/>
        <v>0</v>
      </c>
      <c r="G61" s="146">
        <f t="shared" ca="1" si="3"/>
        <v>521940.33542024845</v>
      </c>
      <c r="H61" s="146">
        <f t="shared" ca="1" si="4"/>
        <v>545817.54984266579</v>
      </c>
      <c r="I61" s="148">
        <f t="shared" ca="1" si="5"/>
        <v>0</v>
      </c>
      <c r="J61" s="149">
        <f t="shared" ca="1" si="6"/>
        <v>545817.54984266579</v>
      </c>
      <c r="K61" s="149">
        <f t="shared" ca="1" si="7"/>
        <v>548049.35731184587</v>
      </c>
      <c r="L61" s="148">
        <f t="shared" ca="1" si="8"/>
        <v>0</v>
      </c>
      <c r="M61" s="149">
        <f t="shared" ca="1" si="9"/>
        <v>548049.35731184587</v>
      </c>
      <c r="N61" s="149">
        <f t="shared" ca="1" si="10"/>
        <v>548049.35731184587</v>
      </c>
      <c r="O61" s="148">
        <f t="shared" ca="1" si="11"/>
        <v>0</v>
      </c>
      <c r="P61" s="149">
        <f t="shared" ca="1" si="12"/>
        <v>548049.35731184587</v>
      </c>
      <c r="Q61" s="149">
        <f t="shared" ca="1" si="13"/>
        <v>548049.35731184587</v>
      </c>
      <c r="R61" s="148">
        <f t="shared" ca="1" si="14"/>
        <v>0</v>
      </c>
      <c r="S61" s="149">
        <f t="shared" ca="1" si="15"/>
        <v>548049.35731184587</v>
      </c>
      <c r="T61" s="149">
        <f t="shared" ca="1" si="16"/>
        <v>548049.35731184587</v>
      </c>
      <c r="U61" s="150">
        <f t="shared" ca="1" si="17"/>
        <v>548049.35731184587</v>
      </c>
      <c r="V61" s="150"/>
      <c r="W61" s="150"/>
      <c r="X61" s="150"/>
      <c r="Y61" s="150"/>
      <c r="Z61" s="151">
        <f t="shared" ca="1" si="18"/>
        <v>3.6536623820789725E-2</v>
      </c>
      <c r="AA61" s="139"/>
      <c r="AB61" s="139"/>
      <c r="AC61" s="152">
        <f t="shared" si="1"/>
        <v>1</v>
      </c>
      <c r="GX61" s="142"/>
      <c r="GY61" s="142"/>
    </row>
    <row r="62" spans="2:207" hidden="1" x14ac:dyDescent="0.25">
      <c r="B62" s="143" t="str">
        <f t="shared" ca="1" si="0"/>
        <v/>
      </c>
      <c r="C62" s="144" t="str">
        <f ca="1">סיכום!C48</f>
        <v/>
      </c>
      <c r="D62" s="146" t="str">
        <f>'סיכום לועדה- הזנת נתונים'!O62</f>
        <v/>
      </c>
      <c r="E62" s="146" t="str">
        <f ca="1">סיכום!E48</f>
        <v/>
      </c>
      <c r="F62" s="147" t="str">
        <f t="shared" ca="1" si="2"/>
        <v/>
      </c>
      <c r="G62" s="146" t="str">
        <f t="shared" ca="1" si="3"/>
        <v/>
      </c>
      <c r="H62" s="146" t="str">
        <f t="shared" ca="1" si="4"/>
        <v/>
      </c>
      <c r="I62" s="148">
        <f t="shared" ca="1" si="5"/>
        <v>0</v>
      </c>
      <c r="J62" s="149" t="str">
        <f t="shared" ca="1" si="6"/>
        <v/>
      </c>
      <c r="K62" s="149" t="str">
        <f t="shared" ca="1" si="7"/>
        <v/>
      </c>
      <c r="L62" s="148">
        <f t="shared" ca="1" si="8"/>
        <v>0</v>
      </c>
      <c r="M62" s="149" t="str">
        <f t="shared" ca="1" si="9"/>
        <v/>
      </c>
      <c r="N62" s="149" t="str">
        <f t="shared" ca="1" si="10"/>
        <v/>
      </c>
      <c r="O62" s="148">
        <f t="shared" ca="1" si="11"/>
        <v>0</v>
      </c>
      <c r="P62" s="149" t="str">
        <f t="shared" ca="1" si="12"/>
        <v/>
      </c>
      <c r="Q62" s="149" t="str">
        <f t="shared" ca="1" si="13"/>
        <v/>
      </c>
      <c r="R62" s="148">
        <f t="shared" ca="1" si="14"/>
        <v>0</v>
      </c>
      <c r="S62" s="149" t="str">
        <f t="shared" ca="1" si="15"/>
        <v/>
      </c>
      <c r="T62" s="149" t="str">
        <f t="shared" ca="1" si="16"/>
        <v/>
      </c>
      <c r="U62" s="150" t="str">
        <f t="shared" ca="1" si="17"/>
        <v/>
      </c>
      <c r="V62" s="150"/>
      <c r="W62" s="150"/>
      <c r="X62" s="150"/>
      <c r="Y62" s="150"/>
      <c r="Z62" s="151" t="str">
        <f t="shared" ca="1" si="18"/>
        <v/>
      </c>
      <c r="AA62" s="139"/>
      <c r="AB62" s="139"/>
      <c r="AC62" s="152">
        <f t="shared" si="1"/>
        <v>0</v>
      </c>
      <c r="GX62" s="142"/>
      <c r="GY62" s="142"/>
    </row>
    <row r="63" spans="2:207" hidden="1" x14ac:dyDescent="0.25">
      <c r="B63" s="143" t="str">
        <f t="shared" ca="1" si="0"/>
        <v/>
      </c>
      <c r="C63" s="144" t="str">
        <f ca="1">סיכום!C49</f>
        <v/>
      </c>
      <c r="D63" s="146" t="str">
        <f>'סיכום לועדה- הזנת נתונים'!O63</f>
        <v/>
      </c>
      <c r="E63" s="146" t="str">
        <f ca="1">סיכום!E49</f>
        <v/>
      </c>
      <c r="F63" s="147" t="str">
        <f t="shared" ca="1" si="2"/>
        <v/>
      </c>
      <c r="G63" s="146" t="str">
        <f t="shared" ca="1" si="3"/>
        <v/>
      </c>
      <c r="H63" s="146" t="str">
        <f t="shared" ca="1" si="4"/>
        <v/>
      </c>
      <c r="I63" s="148">
        <f t="shared" ca="1" si="5"/>
        <v>0</v>
      </c>
      <c r="J63" s="149" t="str">
        <f t="shared" ca="1" si="6"/>
        <v/>
      </c>
      <c r="K63" s="149" t="str">
        <f t="shared" ca="1" si="7"/>
        <v/>
      </c>
      <c r="L63" s="148">
        <f t="shared" ca="1" si="8"/>
        <v>0</v>
      </c>
      <c r="M63" s="149" t="str">
        <f t="shared" ca="1" si="9"/>
        <v/>
      </c>
      <c r="N63" s="149" t="str">
        <f t="shared" ca="1" si="10"/>
        <v/>
      </c>
      <c r="O63" s="148">
        <f t="shared" ca="1" si="11"/>
        <v>0</v>
      </c>
      <c r="P63" s="149" t="str">
        <f t="shared" ca="1" si="12"/>
        <v/>
      </c>
      <c r="Q63" s="149" t="str">
        <f t="shared" ca="1" si="13"/>
        <v/>
      </c>
      <c r="R63" s="148">
        <f t="shared" ca="1" si="14"/>
        <v>0</v>
      </c>
      <c r="S63" s="149" t="str">
        <f t="shared" ca="1" si="15"/>
        <v/>
      </c>
      <c r="T63" s="149" t="str">
        <f t="shared" ca="1" si="16"/>
        <v/>
      </c>
      <c r="U63" s="150" t="str">
        <f t="shared" ca="1" si="17"/>
        <v/>
      </c>
      <c r="V63" s="150"/>
      <c r="W63" s="150"/>
      <c r="X63" s="150"/>
      <c r="Y63" s="150"/>
      <c r="Z63" s="151" t="str">
        <f t="shared" ca="1" si="18"/>
        <v/>
      </c>
      <c r="AA63" s="139"/>
      <c r="AB63" s="139"/>
      <c r="AC63" s="152">
        <f t="shared" si="1"/>
        <v>0</v>
      </c>
      <c r="GX63" s="142"/>
      <c r="GY63" s="142"/>
    </row>
    <row r="64" spans="2:207" hidden="1" x14ac:dyDescent="0.25">
      <c r="B64" s="143" t="str">
        <f t="shared" ca="1" si="0"/>
        <v/>
      </c>
      <c r="C64" s="144" t="str">
        <f ca="1">סיכום!C50</f>
        <v/>
      </c>
      <c r="D64" s="146" t="str">
        <f>'סיכום לועדה- הזנת נתונים'!O64</f>
        <v/>
      </c>
      <c r="E64" s="146" t="str">
        <f ca="1">סיכום!E50</f>
        <v/>
      </c>
      <c r="F64" s="147" t="str">
        <f t="shared" ca="1" si="2"/>
        <v/>
      </c>
      <c r="G64" s="146" t="str">
        <f t="shared" ca="1" si="3"/>
        <v/>
      </c>
      <c r="H64" s="146" t="str">
        <f t="shared" ca="1" si="4"/>
        <v/>
      </c>
      <c r="I64" s="148">
        <f t="shared" ca="1" si="5"/>
        <v>0</v>
      </c>
      <c r="J64" s="149" t="str">
        <f t="shared" ca="1" si="6"/>
        <v/>
      </c>
      <c r="K64" s="149" t="str">
        <f t="shared" ca="1" si="7"/>
        <v/>
      </c>
      <c r="L64" s="148">
        <f t="shared" ca="1" si="8"/>
        <v>0</v>
      </c>
      <c r="M64" s="149" t="str">
        <f t="shared" ca="1" si="9"/>
        <v/>
      </c>
      <c r="N64" s="149" t="str">
        <f t="shared" ca="1" si="10"/>
        <v/>
      </c>
      <c r="O64" s="148">
        <f t="shared" ca="1" si="11"/>
        <v>0</v>
      </c>
      <c r="P64" s="149" t="str">
        <f t="shared" ca="1" si="12"/>
        <v/>
      </c>
      <c r="Q64" s="149" t="str">
        <f t="shared" ca="1" si="13"/>
        <v/>
      </c>
      <c r="R64" s="148">
        <f t="shared" ca="1" si="14"/>
        <v>0</v>
      </c>
      <c r="S64" s="149" t="str">
        <f t="shared" ca="1" si="15"/>
        <v/>
      </c>
      <c r="T64" s="149" t="str">
        <f t="shared" ca="1" si="16"/>
        <v/>
      </c>
      <c r="U64" s="150" t="str">
        <f t="shared" ca="1" si="17"/>
        <v/>
      </c>
      <c r="V64" s="150"/>
      <c r="W64" s="150"/>
      <c r="X64" s="150"/>
      <c r="Y64" s="150"/>
      <c r="Z64" s="151" t="str">
        <f t="shared" ca="1" si="18"/>
        <v/>
      </c>
      <c r="AA64" s="139"/>
      <c r="AB64" s="139"/>
      <c r="AC64" s="152">
        <f t="shared" si="1"/>
        <v>0</v>
      </c>
      <c r="GX64" s="142"/>
      <c r="GY64" s="142"/>
    </row>
    <row r="65" spans="2:207" hidden="1" x14ac:dyDescent="0.25">
      <c r="B65" s="143" t="str">
        <f t="shared" ca="1" si="0"/>
        <v/>
      </c>
      <c r="C65" s="144" t="str">
        <f ca="1">סיכום!C51</f>
        <v/>
      </c>
      <c r="D65" s="146" t="str">
        <f>'סיכום לועדה- הזנת נתונים'!O65</f>
        <v/>
      </c>
      <c r="E65" s="146" t="str">
        <f ca="1">סיכום!E51</f>
        <v/>
      </c>
      <c r="F65" s="147" t="str">
        <f t="shared" ca="1" si="2"/>
        <v/>
      </c>
      <c r="G65" s="146" t="str">
        <f t="shared" ca="1" si="3"/>
        <v/>
      </c>
      <c r="H65" s="146" t="str">
        <f t="shared" ca="1" si="4"/>
        <v/>
      </c>
      <c r="I65" s="148">
        <f t="shared" ca="1" si="5"/>
        <v>0</v>
      </c>
      <c r="J65" s="149" t="str">
        <f t="shared" ca="1" si="6"/>
        <v/>
      </c>
      <c r="K65" s="149" t="str">
        <f t="shared" ca="1" si="7"/>
        <v/>
      </c>
      <c r="L65" s="148">
        <f t="shared" ca="1" si="8"/>
        <v>0</v>
      </c>
      <c r="M65" s="149" t="str">
        <f t="shared" ca="1" si="9"/>
        <v/>
      </c>
      <c r="N65" s="149" t="str">
        <f t="shared" ca="1" si="10"/>
        <v/>
      </c>
      <c r="O65" s="148">
        <f t="shared" ca="1" si="11"/>
        <v>0</v>
      </c>
      <c r="P65" s="149" t="str">
        <f t="shared" ca="1" si="12"/>
        <v/>
      </c>
      <c r="Q65" s="149" t="str">
        <f t="shared" ca="1" si="13"/>
        <v/>
      </c>
      <c r="R65" s="148">
        <f t="shared" ca="1" si="14"/>
        <v>0</v>
      </c>
      <c r="S65" s="149" t="str">
        <f t="shared" ca="1" si="15"/>
        <v/>
      </c>
      <c r="T65" s="149" t="str">
        <f t="shared" ca="1" si="16"/>
        <v/>
      </c>
      <c r="U65" s="150" t="str">
        <f t="shared" ca="1" si="17"/>
        <v/>
      </c>
      <c r="V65" s="150"/>
      <c r="W65" s="150"/>
      <c r="X65" s="150"/>
      <c r="Y65" s="150"/>
      <c r="Z65" s="151" t="str">
        <f t="shared" ca="1" si="18"/>
        <v/>
      </c>
      <c r="AA65" s="139"/>
      <c r="AB65" s="139"/>
      <c r="AC65" s="152">
        <f t="shared" si="1"/>
        <v>0</v>
      </c>
      <c r="GX65" s="142"/>
      <c r="GY65" s="142"/>
    </row>
    <row r="66" spans="2:207" hidden="1" x14ac:dyDescent="0.25">
      <c r="B66" s="143" t="str">
        <f t="shared" ca="1" si="0"/>
        <v/>
      </c>
      <c r="C66" s="144" t="str">
        <f ca="1">סיכום!C52</f>
        <v/>
      </c>
      <c r="D66" s="146" t="str">
        <f>'סיכום לועדה- הזנת נתונים'!O66</f>
        <v/>
      </c>
      <c r="E66" s="146" t="str">
        <f ca="1">סיכום!E52</f>
        <v/>
      </c>
      <c r="F66" s="147" t="str">
        <f t="shared" ca="1" si="2"/>
        <v/>
      </c>
      <c r="G66" s="146" t="str">
        <f t="shared" ca="1" si="3"/>
        <v/>
      </c>
      <c r="H66" s="146" t="str">
        <f t="shared" ca="1" si="4"/>
        <v/>
      </c>
      <c r="I66" s="148">
        <f t="shared" ca="1" si="5"/>
        <v>0</v>
      </c>
      <c r="J66" s="149" t="str">
        <f t="shared" ca="1" si="6"/>
        <v/>
      </c>
      <c r="K66" s="149" t="str">
        <f t="shared" ca="1" si="7"/>
        <v/>
      </c>
      <c r="L66" s="148">
        <f t="shared" ca="1" si="8"/>
        <v>0</v>
      </c>
      <c r="M66" s="149" t="str">
        <f t="shared" ca="1" si="9"/>
        <v/>
      </c>
      <c r="N66" s="149" t="str">
        <f t="shared" ca="1" si="10"/>
        <v/>
      </c>
      <c r="O66" s="148">
        <f t="shared" ca="1" si="11"/>
        <v>0</v>
      </c>
      <c r="P66" s="149" t="str">
        <f t="shared" ca="1" si="12"/>
        <v/>
      </c>
      <c r="Q66" s="149" t="str">
        <f t="shared" ca="1" si="13"/>
        <v/>
      </c>
      <c r="R66" s="148">
        <f t="shared" ca="1" si="14"/>
        <v>0</v>
      </c>
      <c r="S66" s="149" t="str">
        <f t="shared" ca="1" si="15"/>
        <v/>
      </c>
      <c r="T66" s="149" t="str">
        <f t="shared" ca="1" si="16"/>
        <v/>
      </c>
      <c r="U66" s="150" t="str">
        <f t="shared" ca="1" si="17"/>
        <v/>
      </c>
      <c r="V66" s="150"/>
      <c r="W66" s="150"/>
      <c r="X66" s="150"/>
      <c r="Y66" s="150"/>
      <c r="Z66" s="151" t="str">
        <f t="shared" ca="1" si="18"/>
        <v/>
      </c>
      <c r="AA66" s="139"/>
      <c r="AB66" s="139"/>
      <c r="AC66" s="152">
        <f t="shared" si="1"/>
        <v>0</v>
      </c>
      <c r="GX66" s="142"/>
      <c r="GY66" s="142"/>
    </row>
    <row r="67" spans="2:207" hidden="1" x14ac:dyDescent="0.25">
      <c r="B67" s="143" t="str">
        <f t="shared" ca="1" si="0"/>
        <v/>
      </c>
      <c r="C67" s="144" t="str">
        <f ca="1">סיכום!C53</f>
        <v/>
      </c>
      <c r="D67" s="146" t="str">
        <f>'סיכום לועדה- הזנת נתונים'!O67</f>
        <v/>
      </c>
      <c r="E67" s="146" t="str">
        <f ca="1">סיכום!E53</f>
        <v/>
      </c>
      <c r="F67" s="147" t="str">
        <f t="shared" ca="1" si="2"/>
        <v/>
      </c>
      <c r="G67" s="146" t="str">
        <f t="shared" ca="1" si="3"/>
        <v/>
      </c>
      <c r="H67" s="146" t="str">
        <f t="shared" ca="1" si="4"/>
        <v/>
      </c>
      <c r="I67" s="148">
        <f t="shared" ca="1" si="5"/>
        <v>0</v>
      </c>
      <c r="J67" s="149" t="str">
        <f t="shared" ca="1" si="6"/>
        <v/>
      </c>
      <c r="K67" s="149" t="str">
        <f t="shared" ca="1" si="7"/>
        <v/>
      </c>
      <c r="L67" s="148">
        <f t="shared" ca="1" si="8"/>
        <v>0</v>
      </c>
      <c r="M67" s="149" t="str">
        <f t="shared" ca="1" si="9"/>
        <v/>
      </c>
      <c r="N67" s="149" t="str">
        <f t="shared" ca="1" si="10"/>
        <v/>
      </c>
      <c r="O67" s="148">
        <f t="shared" ca="1" si="11"/>
        <v>0</v>
      </c>
      <c r="P67" s="149" t="str">
        <f t="shared" ca="1" si="12"/>
        <v/>
      </c>
      <c r="Q67" s="149" t="str">
        <f t="shared" ca="1" si="13"/>
        <v/>
      </c>
      <c r="R67" s="148">
        <f t="shared" ca="1" si="14"/>
        <v>0</v>
      </c>
      <c r="S67" s="149" t="str">
        <f t="shared" ca="1" si="15"/>
        <v/>
      </c>
      <c r="T67" s="149" t="str">
        <f t="shared" ca="1" si="16"/>
        <v/>
      </c>
      <c r="U67" s="150" t="str">
        <f t="shared" ca="1" si="17"/>
        <v/>
      </c>
      <c r="V67" s="150"/>
      <c r="W67" s="150"/>
      <c r="X67" s="150"/>
      <c r="Y67" s="150"/>
      <c r="Z67" s="151" t="str">
        <f t="shared" ca="1" si="18"/>
        <v/>
      </c>
      <c r="AA67" s="139"/>
      <c r="AB67" s="139"/>
      <c r="AC67" s="152">
        <f t="shared" si="1"/>
        <v>0</v>
      </c>
      <c r="GX67" s="142"/>
      <c r="GY67" s="142"/>
    </row>
    <row r="68" spans="2:207" hidden="1" x14ac:dyDescent="0.25">
      <c r="B68" s="143" t="str">
        <f t="shared" ca="1" si="0"/>
        <v/>
      </c>
      <c r="C68" s="144" t="str">
        <f ca="1">סיכום!C54</f>
        <v/>
      </c>
      <c r="D68" s="146" t="str">
        <f>'סיכום לועדה- הזנת נתונים'!O68</f>
        <v/>
      </c>
      <c r="E68" s="146" t="str">
        <f ca="1">סיכום!E54</f>
        <v/>
      </c>
      <c r="F68" s="147" t="str">
        <f t="shared" ca="1" si="2"/>
        <v/>
      </c>
      <c r="G68" s="146" t="str">
        <f t="shared" ca="1" si="3"/>
        <v/>
      </c>
      <c r="H68" s="146" t="str">
        <f t="shared" ca="1" si="4"/>
        <v/>
      </c>
      <c r="I68" s="148">
        <f t="shared" ca="1" si="5"/>
        <v>0</v>
      </c>
      <c r="J68" s="149" t="str">
        <f t="shared" ca="1" si="6"/>
        <v/>
      </c>
      <c r="K68" s="149" t="str">
        <f t="shared" ca="1" si="7"/>
        <v/>
      </c>
      <c r="L68" s="148">
        <f t="shared" ca="1" si="8"/>
        <v>0</v>
      </c>
      <c r="M68" s="149" t="str">
        <f t="shared" ca="1" si="9"/>
        <v/>
      </c>
      <c r="N68" s="149" t="str">
        <f t="shared" ca="1" si="10"/>
        <v/>
      </c>
      <c r="O68" s="148">
        <f t="shared" ca="1" si="11"/>
        <v>0</v>
      </c>
      <c r="P68" s="149" t="str">
        <f t="shared" ca="1" si="12"/>
        <v/>
      </c>
      <c r="Q68" s="149" t="str">
        <f t="shared" ca="1" si="13"/>
        <v/>
      </c>
      <c r="R68" s="148">
        <f t="shared" ca="1" si="14"/>
        <v>0</v>
      </c>
      <c r="S68" s="149" t="str">
        <f t="shared" ca="1" si="15"/>
        <v/>
      </c>
      <c r="T68" s="149" t="str">
        <f t="shared" ca="1" si="16"/>
        <v/>
      </c>
      <c r="U68" s="150" t="str">
        <f t="shared" ca="1" si="17"/>
        <v/>
      </c>
      <c r="V68" s="150"/>
      <c r="W68" s="150"/>
      <c r="X68" s="150"/>
      <c r="Y68" s="150"/>
      <c r="Z68" s="151" t="str">
        <f t="shared" ca="1" si="18"/>
        <v/>
      </c>
      <c r="AA68" s="139"/>
      <c r="AB68" s="139"/>
      <c r="AC68" s="152">
        <f t="shared" si="1"/>
        <v>0</v>
      </c>
      <c r="GX68" s="142"/>
      <c r="GY68" s="142"/>
    </row>
    <row r="69" spans="2:207" hidden="1" x14ac:dyDescent="0.25">
      <c r="B69" s="143" t="str">
        <f t="shared" ca="1" si="0"/>
        <v/>
      </c>
      <c r="C69" s="144" t="str">
        <f ca="1">סיכום!C55</f>
        <v/>
      </c>
      <c r="D69" s="146" t="str">
        <f>'סיכום לועדה- הזנת נתונים'!O69</f>
        <v/>
      </c>
      <c r="E69" s="146" t="str">
        <f ca="1">סיכום!E55</f>
        <v/>
      </c>
      <c r="F69" s="147" t="str">
        <f t="shared" ca="1" si="2"/>
        <v/>
      </c>
      <c r="G69" s="146" t="str">
        <f t="shared" ca="1" si="3"/>
        <v/>
      </c>
      <c r="H69" s="146" t="str">
        <f t="shared" ca="1" si="4"/>
        <v/>
      </c>
      <c r="I69" s="148">
        <f t="shared" ca="1" si="5"/>
        <v>0</v>
      </c>
      <c r="J69" s="149" t="str">
        <f t="shared" ca="1" si="6"/>
        <v/>
      </c>
      <c r="K69" s="149" t="str">
        <f t="shared" ca="1" si="7"/>
        <v/>
      </c>
      <c r="L69" s="148">
        <f t="shared" ca="1" si="8"/>
        <v>0</v>
      </c>
      <c r="M69" s="149" t="str">
        <f t="shared" ca="1" si="9"/>
        <v/>
      </c>
      <c r="N69" s="149" t="str">
        <f t="shared" ca="1" si="10"/>
        <v/>
      </c>
      <c r="O69" s="148">
        <f t="shared" ca="1" si="11"/>
        <v>0</v>
      </c>
      <c r="P69" s="149" t="str">
        <f t="shared" ca="1" si="12"/>
        <v/>
      </c>
      <c r="Q69" s="149" t="str">
        <f t="shared" ca="1" si="13"/>
        <v/>
      </c>
      <c r="R69" s="148">
        <f t="shared" ca="1" si="14"/>
        <v>0</v>
      </c>
      <c r="S69" s="149" t="str">
        <f t="shared" ca="1" si="15"/>
        <v/>
      </c>
      <c r="T69" s="149" t="str">
        <f t="shared" ca="1" si="16"/>
        <v/>
      </c>
      <c r="U69" s="150" t="str">
        <f t="shared" ca="1" si="17"/>
        <v/>
      </c>
      <c r="V69" s="150"/>
      <c r="W69" s="150"/>
      <c r="X69" s="150"/>
      <c r="Y69" s="150"/>
      <c r="Z69" s="151" t="str">
        <f t="shared" ca="1" si="18"/>
        <v/>
      </c>
      <c r="AA69" s="139"/>
      <c r="AB69" s="139"/>
      <c r="AC69" s="152">
        <f t="shared" si="1"/>
        <v>0</v>
      </c>
      <c r="GX69" s="142"/>
      <c r="GY69" s="142"/>
    </row>
    <row r="70" spans="2:207" hidden="1" x14ac:dyDescent="0.25">
      <c r="B70" s="143" t="str">
        <f t="shared" ca="1" si="0"/>
        <v/>
      </c>
      <c r="C70" s="144" t="str">
        <f ca="1">סיכום!C56</f>
        <v/>
      </c>
      <c r="D70" s="146" t="str">
        <f>'סיכום לועדה- הזנת נתונים'!O70</f>
        <v/>
      </c>
      <c r="E70" s="146" t="str">
        <f ca="1">סיכום!E56</f>
        <v/>
      </c>
      <c r="F70" s="147" t="str">
        <f t="shared" ca="1" si="2"/>
        <v/>
      </c>
      <c r="G70" s="146" t="str">
        <f t="shared" ca="1" si="3"/>
        <v/>
      </c>
      <c r="H70" s="146" t="str">
        <f t="shared" ca="1" si="4"/>
        <v/>
      </c>
      <c r="I70" s="148">
        <f t="shared" ca="1" si="5"/>
        <v>0</v>
      </c>
      <c r="J70" s="149" t="str">
        <f t="shared" ca="1" si="6"/>
        <v/>
      </c>
      <c r="K70" s="149" t="str">
        <f t="shared" ca="1" si="7"/>
        <v/>
      </c>
      <c r="L70" s="148">
        <f t="shared" ca="1" si="8"/>
        <v>0</v>
      </c>
      <c r="M70" s="149" t="str">
        <f t="shared" ca="1" si="9"/>
        <v/>
      </c>
      <c r="N70" s="149" t="str">
        <f t="shared" ca="1" si="10"/>
        <v/>
      </c>
      <c r="O70" s="148">
        <f t="shared" ca="1" si="11"/>
        <v>0</v>
      </c>
      <c r="P70" s="149" t="str">
        <f t="shared" ca="1" si="12"/>
        <v/>
      </c>
      <c r="Q70" s="149" t="str">
        <f t="shared" ca="1" si="13"/>
        <v/>
      </c>
      <c r="R70" s="148">
        <f t="shared" ca="1" si="14"/>
        <v>0</v>
      </c>
      <c r="S70" s="149" t="str">
        <f t="shared" ca="1" si="15"/>
        <v/>
      </c>
      <c r="T70" s="149" t="str">
        <f t="shared" ca="1" si="16"/>
        <v/>
      </c>
      <c r="U70" s="150" t="str">
        <f t="shared" ca="1" si="17"/>
        <v/>
      </c>
      <c r="V70" s="150"/>
      <c r="W70" s="150"/>
      <c r="X70" s="150"/>
      <c r="Y70" s="150"/>
      <c r="Z70" s="151" t="str">
        <f t="shared" ca="1" si="18"/>
        <v/>
      </c>
      <c r="AA70" s="139"/>
      <c r="AB70" s="139"/>
      <c r="AC70" s="152">
        <f t="shared" si="1"/>
        <v>0</v>
      </c>
      <c r="GX70" s="142"/>
      <c r="GY70" s="142"/>
    </row>
    <row r="71" spans="2:207" hidden="1" x14ac:dyDescent="0.25">
      <c r="B71" s="143" t="str">
        <f t="shared" ca="1" si="0"/>
        <v/>
      </c>
      <c r="C71" s="144" t="str">
        <f ca="1">סיכום!C57</f>
        <v/>
      </c>
      <c r="D71" s="146" t="str">
        <f>'סיכום לועדה- הזנת נתונים'!O71</f>
        <v/>
      </c>
      <c r="E71" s="146" t="str">
        <f ca="1">סיכום!E57</f>
        <v/>
      </c>
      <c r="F71" s="147" t="str">
        <f t="shared" ca="1" si="2"/>
        <v/>
      </c>
      <c r="G71" s="146" t="str">
        <f t="shared" ca="1" si="3"/>
        <v/>
      </c>
      <c r="H71" s="146" t="str">
        <f t="shared" ca="1" si="4"/>
        <v/>
      </c>
      <c r="I71" s="148">
        <f t="shared" ca="1" si="5"/>
        <v>0</v>
      </c>
      <c r="J71" s="149" t="str">
        <f t="shared" ca="1" si="6"/>
        <v/>
      </c>
      <c r="K71" s="149" t="str">
        <f t="shared" ca="1" si="7"/>
        <v/>
      </c>
      <c r="L71" s="148">
        <f t="shared" ca="1" si="8"/>
        <v>0</v>
      </c>
      <c r="M71" s="149" t="str">
        <f t="shared" ca="1" si="9"/>
        <v/>
      </c>
      <c r="N71" s="149" t="str">
        <f t="shared" ca="1" si="10"/>
        <v/>
      </c>
      <c r="O71" s="148">
        <f t="shared" ca="1" si="11"/>
        <v>0</v>
      </c>
      <c r="P71" s="149" t="str">
        <f t="shared" ca="1" si="12"/>
        <v/>
      </c>
      <c r="Q71" s="149" t="str">
        <f t="shared" ca="1" si="13"/>
        <v/>
      </c>
      <c r="R71" s="148">
        <f t="shared" ca="1" si="14"/>
        <v>0</v>
      </c>
      <c r="S71" s="149" t="str">
        <f t="shared" ca="1" si="15"/>
        <v/>
      </c>
      <c r="T71" s="149" t="str">
        <f t="shared" ca="1" si="16"/>
        <v/>
      </c>
      <c r="U71" s="150" t="str">
        <f t="shared" ca="1" si="17"/>
        <v/>
      </c>
      <c r="V71" s="150"/>
      <c r="W71" s="150"/>
      <c r="X71" s="150"/>
      <c r="Y71" s="150"/>
      <c r="Z71" s="151" t="str">
        <f t="shared" ca="1" si="18"/>
        <v/>
      </c>
      <c r="AA71" s="139"/>
      <c r="AB71" s="139"/>
      <c r="AC71" s="152">
        <f t="shared" si="1"/>
        <v>0</v>
      </c>
      <c r="GX71" s="142"/>
      <c r="GY71" s="142"/>
    </row>
    <row r="72" spans="2:207" hidden="1" x14ac:dyDescent="0.25">
      <c r="B72" s="143" t="str">
        <f t="shared" ca="1" si="0"/>
        <v/>
      </c>
      <c r="C72" s="144" t="str">
        <f ca="1">סיכום!C58</f>
        <v/>
      </c>
      <c r="D72" s="146" t="str">
        <f>'סיכום לועדה- הזנת נתונים'!O72</f>
        <v/>
      </c>
      <c r="E72" s="146" t="str">
        <f ca="1">סיכום!E58</f>
        <v/>
      </c>
      <c r="F72" s="147" t="str">
        <f t="shared" ca="1" si="2"/>
        <v/>
      </c>
      <c r="G72" s="146" t="str">
        <f t="shared" ca="1" si="3"/>
        <v/>
      </c>
      <c r="H72" s="146" t="str">
        <f t="shared" ca="1" si="4"/>
        <v/>
      </c>
      <c r="I72" s="148">
        <f t="shared" ca="1" si="5"/>
        <v>0</v>
      </c>
      <c r="J72" s="149" t="str">
        <f t="shared" ca="1" si="6"/>
        <v/>
      </c>
      <c r="K72" s="149" t="str">
        <f t="shared" ca="1" si="7"/>
        <v/>
      </c>
      <c r="L72" s="148">
        <f t="shared" ca="1" si="8"/>
        <v>0</v>
      </c>
      <c r="M72" s="149" t="str">
        <f t="shared" ca="1" si="9"/>
        <v/>
      </c>
      <c r="N72" s="149" t="str">
        <f t="shared" ca="1" si="10"/>
        <v/>
      </c>
      <c r="O72" s="148">
        <f t="shared" ca="1" si="11"/>
        <v>0</v>
      </c>
      <c r="P72" s="149" t="str">
        <f t="shared" ca="1" si="12"/>
        <v/>
      </c>
      <c r="Q72" s="149" t="str">
        <f t="shared" ca="1" si="13"/>
        <v/>
      </c>
      <c r="R72" s="148">
        <f t="shared" ca="1" si="14"/>
        <v>0</v>
      </c>
      <c r="S72" s="149" t="str">
        <f t="shared" ca="1" si="15"/>
        <v/>
      </c>
      <c r="T72" s="149" t="str">
        <f t="shared" ca="1" si="16"/>
        <v/>
      </c>
      <c r="U72" s="150" t="str">
        <f t="shared" ca="1" si="17"/>
        <v/>
      </c>
      <c r="V72" s="150"/>
      <c r="W72" s="150"/>
      <c r="X72" s="150"/>
      <c r="Y72" s="150"/>
      <c r="Z72" s="151" t="str">
        <f t="shared" ca="1" si="18"/>
        <v/>
      </c>
      <c r="AA72" s="139"/>
      <c r="AB72" s="139"/>
      <c r="AC72" s="152">
        <f t="shared" si="1"/>
        <v>0</v>
      </c>
      <c r="GX72" s="142"/>
      <c r="GY72" s="142"/>
    </row>
    <row r="73" spans="2:207" hidden="1" x14ac:dyDescent="0.25">
      <c r="B73" s="143" t="str">
        <f t="shared" ca="1" si="0"/>
        <v/>
      </c>
      <c r="C73" s="144" t="str">
        <f ca="1">סיכום!C59</f>
        <v/>
      </c>
      <c r="D73" s="146" t="str">
        <f>'סיכום לועדה- הזנת נתונים'!O73</f>
        <v/>
      </c>
      <c r="E73" s="146" t="str">
        <f ca="1">סיכום!E59</f>
        <v/>
      </c>
      <c r="F73" s="147" t="str">
        <f t="shared" ca="1" si="2"/>
        <v/>
      </c>
      <c r="G73" s="146" t="str">
        <f t="shared" ca="1" si="3"/>
        <v/>
      </c>
      <c r="H73" s="146" t="str">
        <f t="shared" ca="1" si="4"/>
        <v/>
      </c>
      <c r="I73" s="148">
        <f t="shared" ca="1" si="5"/>
        <v>0</v>
      </c>
      <c r="J73" s="149" t="str">
        <f t="shared" ca="1" si="6"/>
        <v/>
      </c>
      <c r="K73" s="149" t="str">
        <f t="shared" ca="1" si="7"/>
        <v/>
      </c>
      <c r="L73" s="148">
        <f t="shared" ca="1" si="8"/>
        <v>0</v>
      </c>
      <c r="M73" s="149" t="str">
        <f t="shared" ca="1" si="9"/>
        <v/>
      </c>
      <c r="N73" s="149" t="str">
        <f t="shared" ca="1" si="10"/>
        <v/>
      </c>
      <c r="O73" s="148">
        <f t="shared" ca="1" si="11"/>
        <v>0</v>
      </c>
      <c r="P73" s="149" t="str">
        <f t="shared" ca="1" si="12"/>
        <v/>
      </c>
      <c r="Q73" s="149" t="str">
        <f t="shared" ca="1" si="13"/>
        <v/>
      </c>
      <c r="R73" s="148">
        <f t="shared" ca="1" si="14"/>
        <v>0</v>
      </c>
      <c r="S73" s="149" t="str">
        <f t="shared" ca="1" si="15"/>
        <v/>
      </c>
      <c r="T73" s="149" t="str">
        <f t="shared" ca="1" si="16"/>
        <v/>
      </c>
      <c r="U73" s="150" t="str">
        <f t="shared" ca="1" si="17"/>
        <v/>
      </c>
      <c r="V73" s="150"/>
      <c r="W73" s="150"/>
      <c r="X73" s="150"/>
      <c r="Y73" s="150"/>
      <c r="Z73" s="151" t="str">
        <f t="shared" ca="1" si="18"/>
        <v/>
      </c>
      <c r="AA73" s="139"/>
      <c r="AB73" s="139"/>
      <c r="AC73" s="152">
        <f t="shared" si="1"/>
        <v>0</v>
      </c>
      <c r="GX73" s="142"/>
      <c r="GY73" s="142"/>
    </row>
    <row r="74" spans="2:207" hidden="1" x14ac:dyDescent="0.25">
      <c r="B74" s="143" t="str">
        <f t="shared" ca="1" si="0"/>
        <v/>
      </c>
      <c r="C74" s="144" t="str">
        <f ca="1">סיכום!C60</f>
        <v/>
      </c>
      <c r="D74" s="146" t="str">
        <f>'סיכום לועדה- הזנת נתונים'!O74</f>
        <v/>
      </c>
      <c r="E74" s="146" t="str">
        <f ca="1">סיכום!E60</f>
        <v/>
      </c>
      <c r="F74" s="147" t="str">
        <f t="shared" ca="1" si="2"/>
        <v/>
      </c>
      <c r="G74" s="146" t="str">
        <f t="shared" ca="1" si="3"/>
        <v/>
      </c>
      <c r="H74" s="146" t="str">
        <f t="shared" ca="1" si="4"/>
        <v/>
      </c>
      <c r="I74" s="148">
        <f t="shared" ca="1" si="5"/>
        <v>0</v>
      </c>
      <c r="J74" s="149" t="str">
        <f t="shared" ca="1" si="6"/>
        <v/>
      </c>
      <c r="K74" s="149" t="str">
        <f t="shared" ca="1" si="7"/>
        <v/>
      </c>
      <c r="L74" s="148">
        <f t="shared" ca="1" si="8"/>
        <v>0</v>
      </c>
      <c r="M74" s="149" t="str">
        <f t="shared" ca="1" si="9"/>
        <v/>
      </c>
      <c r="N74" s="149" t="str">
        <f t="shared" ca="1" si="10"/>
        <v/>
      </c>
      <c r="O74" s="148">
        <f t="shared" ca="1" si="11"/>
        <v>0</v>
      </c>
      <c r="P74" s="149" t="str">
        <f t="shared" ca="1" si="12"/>
        <v/>
      </c>
      <c r="Q74" s="149" t="str">
        <f t="shared" ca="1" si="13"/>
        <v/>
      </c>
      <c r="R74" s="148">
        <f t="shared" ca="1" si="14"/>
        <v>0</v>
      </c>
      <c r="S74" s="149" t="str">
        <f t="shared" ca="1" si="15"/>
        <v/>
      </c>
      <c r="T74" s="149" t="str">
        <f t="shared" ca="1" si="16"/>
        <v/>
      </c>
      <c r="U74" s="150" t="str">
        <f t="shared" ca="1" si="17"/>
        <v/>
      </c>
      <c r="V74" s="150"/>
      <c r="W74" s="150"/>
      <c r="X74" s="150"/>
      <c r="Y74" s="150"/>
      <c r="Z74" s="151" t="str">
        <f t="shared" ca="1" si="18"/>
        <v/>
      </c>
      <c r="AA74" s="139"/>
      <c r="AB74" s="139"/>
      <c r="AC74" s="152">
        <f t="shared" si="1"/>
        <v>0</v>
      </c>
      <c r="GX74" s="142"/>
      <c r="GY74" s="142"/>
    </row>
    <row r="75" spans="2:207" x14ac:dyDescent="0.25">
      <c r="B75" s="143" t="str">
        <f t="shared" ca="1" si="0"/>
        <v/>
      </c>
      <c r="C75" s="144" t="str">
        <f ca="1">סיכום!C61</f>
        <v/>
      </c>
      <c r="D75" s="146" t="str">
        <f>'סיכום לועדה- הזנת נתונים'!O75</f>
        <v/>
      </c>
      <c r="E75" s="146" t="str">
        <f ca="1">סיכום!E61</f>
        <v/>
      </c>
      <c r="F75" s="147" t="str">
        <f t="shared" ca="1" si="2"/>
        <v/>
      </c>
      <c r="G75" s="146" t="str">
        <f t="shared" ca="1" si="3"/>
        <v/>
      </c>
      <c r="H75" s="146" t="str">
        <f t="shared" ca="1" si="4"/>
        <v/>
      </c>
      <c r="I75" s="148">
        <f t="shared" ca="1" si="5"/>
        <v>0</v>
      </c>
      <c r="J75" s="149" t="str">
        <f t="shared" ca="1" si="6"/>
        <v/>
      </c>
      <c r="K75" s="149" t="str">
        <f t="shared" ca="1" si="7"/>
        <v/>
      </c>
      <c r="L75" s="148">
        <f t="shared" ca="1" si="8"/>
        <v>0</v>
      </c>
      <c r="M75" s="149" t="str">
        <f t="shared" ca="1" si="9"/>
        <v/>
      </c>
      <c r="N75" s="149" t="str">
        <f t="shared" ca="1" si="10"/>
        <v/>
      </c>
      <c r="O75" s="148">
        <f t="shared" ca="1" si="11"/>
        <v>0</v>
      </c>
      <c r="P75" s="149" t="str">
        <f t="shared" ca="1" si="12"/>
        <v/>
      </c>
      <c r="Q75" s="149" t="str">
        <f t="shared" ca="1" si="13"/>
        <v/>
      </c>
      <c r="R75" s="148">
        <f t="shared" ca="1" si="14"/>
        <v>0</v>
      </c>
      <c r="S75" s="149" t="str">
        <f t="shared" ca="1" si="15"/>
        <v/>
      </c>
      <c r="T75" s="149" t="str">
        <f t="shared" ca="1" si="16"/>
        <v/>
      </c>
      <c r="U75" s="150" t="str">
        <f t="shared" ca="1" si="17"/>
        <v/>
      </c>
      <c r="V75" s="150"/>
      <c r="W75" s="150"/>
      <c r="X75" s="150"/>
      <c r="Y75" s="150"/>
      <c r="Z75" s="151" t="str">
        <f t="shared" ca="1" si="18"/>
        <v/>
      </c>
      <c r="AA75" s="139"/>
      <c r="AB75" s="139"/>
      <c r="AC75" s="152">
        <f t="shared" si="1"/>
        <v>0</v>
      </c>
      <c r="GX75" s="142"/>
      <c r="GY75" s="142"/>
    </row>
    <row r="76" spans="2:207" x14ac:dyDescent="0.25">
      <c r="B76" s="143">
        <f t="shared" ca="1" si="0"/>
        <v>46</v>
      </c>
      <c r="C76" s="144" t="str">
        <f ca="1">סיכום!C62</f>
        <v>ענבל מרכז אתני</v>
      </c>
      <c r="D76" s="146">
        <f>'סיכום לועדה- הזנת נתונים'!O76</f>
        <v>1500000</v>
      </c>
      <c r="E76" s="146">
        <f ca="1">סיכום!E62</f>
        <v>694168.96170752961</v>
      </c>
      <c r="F76" s="147">
        <f t="shared" ca="1" si="2"/>
        <v>0</v>
      </c>
      <c r="G76" s="146">
        <f t="shared" ca="1" si="3"/>
        <v>694168.96170752961</v>
      </c>
      <c r="H76" s="146">
        <f t="shared" ca="1" si="4"/>
        <v>725925.12236281205</v>
      </c>
      <c r="I76" s="148">
        <f t="shared" ca="1" si="5"/>
        <v>0</v>
      </c>
      <c r="J76" s="149">
        <f t="shared" ca="1" si="6"/>
        <v>725925.12236281205</v>
      </c>
      <c r="K76" s="149">
        <f t="shared" ca="1" si="7"/>
        <v>728893.37633453181</v>
      </c>
      <c r="L76" s="148">
        <f t="shared" ca="1" si="8"/>
        <v>0</v>
      </c>
      <c r="M76" s="149">
        <f t="shared" ca="1" si="9"/>
        <v>728893.37633453181</v>
      </c>
      <c r="N76" s="149">
        <f t="shared" ca="1" si="10"/>
        <v>728893.37633453181</v>
      </c>
      <c r="O76" s="148">
        <f t="shared" ca="1" si="11"/>
        <v>0</v>
      </c>
      <c r="P76" s="149">
        <f t="shared" ca="1" si="12"/>
        <v>728893.37633453181</v>
      </c>
      <c r="Q76" s="149">
        <f t="shared" ca="1" si="13"/>
        <v>728893.37633453181</v>
      </c>
      <c r="R76" s="148">
        <f t="shared" ca="1" si="14"/>
        <v>0</v>
      </c>
      <c r="S76" s="149">
        <f t="shared" ca="1" si="15"/>
        <v>728893.37633453181</v>
      </c>
      <c r="T76" s="149">
        <f t="shared" ca="1" si="16"/>
        <v>728893.37633453181</v>
      </c>
      <c r="U76" s="150">
        <f t="shared" ca="1" si="17"/>
        <v>728893.37633453181</v>
      </c>
      <c r="V76" s="150"/>
      <c r="W76" s="150"/>
      <c r="X76" s="150"/>
      <c r="Y76" s="150"/>
      <c r="Z76" s="151">
        <f t="shared" ca="1" si="18"/>
        <v>4.8592891755635456E-2</v>
      </c>
      <c r="AA76" s="139"/>
      <c r="AB76" s="139"/>
      <c r="AC76" s="152">
        <f t="shared" si="1"/>
        <v>1</v>
      </c>
      <c r="GX76" s="142"/>
      <c r="GY76" s="142"/>
    </row>
    <row r="77" spans="2:207" ht="17.25" customHeight="1" x14ac:dyDescent="0.25">
      <c r="B77" s="143">
        <f t="shared" ca="1" si="0"/>
        <v>47</v>
      </c>
      <c r="C77" s="144" t="str">
        <f ca="1">סיכום!C63</f>
        <v>א.ב. חדשות השומרונים</v>
      </c>
      <c r="D77" s="146">
        <f>'סיכום לועדה- הזנת נתונים'!O77</f>
        <v>187500</v>
      </c>
      <c r="E77" s="146">
        <f ca="1">סיכום!E63</f>
        <v>228539.43853625385</v>
      </c>
      <c r="F77" s="147">
        <f t="shared" ca="1" si="2"/>
        <v>1</v>
      </c>
      <c r="G77" s="146">
        <f t="shared" ca="1" si="3"/>
        <v>187500</v>
      </c>
      <c r="H77" s="146">
        <f t="shared" ca="1" si="4"/>
        <v>187500</v>
      </c>
      <c r="I77" s="148">
        <f t="shared" ca="1" si="5"/>
        <v>1</v>
      </c>
      <c r="J77" s="149">
        <f t="shared" ca="1" si="6"/>
        <v>187500</v>
      </c>
      <c r="K77" s="149">
        <f t="shared" ca="1" si="7"/>
        <v>187500</v>
      </c>
      <c r="L77" s="148">
        <f t="shared" ca="1" si="8"/>
        <v>1</v>
      </c>
      <c r="M77" s="149">
        <f t="shared" ca="1" si="9"/>
        <v>187500</v>
      </c>
      <c r="N77" s="149">
        <f t="shared" ca="1" si="10"/>
        <v>187500</v>
      </c>
      <c r="O77" s="148">
        <f t="shared" ca="1" si="11"/>
        <v>1</v>
      </c>
      <c r="P77" s="149">
        <f t="shared" ca="1" si="12"/>
        <v>187500</v>
      </c>
      <c r="Q77" s="149">
        <f t="shared" ca="1" si="13"/>
        <v>187500</v>
      </c>
      <c r="R77" s="148">
        <f t="shared" ca="1" si="14"/>
        <v>1</v>
      </c>
      <c r="S77" s="149">
        <f t="shared" ca="1" si="15"/>
        <v>187500</v>
      </c>
      <c r="T77" s="149">
        <f t="shared" ca="1" si="16"/>
        <v>187500</v>
      </c>
      <c r="U77" s="150">
        <f t="shared" ca="1" si="17"/>
        <v>187500</v>
      </c>
      <c r="V77" s="150"/>
      <c r="W77" s="150"/>
      <c r="X77" s="150"/>
      <c r="Y77" s="150"/>
      <c r="Z77" s="151">
        <f t="shared" ca="1" si="18"/>
        <v>1.2500000000000001E-2</v>
      </c>
      <c r="AA77" s="139"/>
      <c r="AB77" s="139"/>
      <c r="AC77" s="152">
        <f t="shared" si="1"/>
        <v>1</v>
      </c>
      <c r="GX77" s="142"/>
      <c r="GY77" s="142"/>
    </row>
    <row r="78" spans="2:207" hidden="1" x14ac:dyDescent="0.25">
      <c r="B78" s="143" t="str">
        <f t="shared" ca="1" si="0"/>
        <v/>
      </c>
      <c r="C78" s="144" t="str">
        <f ca="1">סיכום!C64</f>
        <v/>
      </c>
      <c r="D78" s="146" t="str">
        <f>'סיכום לועדה- הזנת נתונים'!O78</f>
        <v/>
      </c>
      <c r="E78" s="146" t="str">
        <f ca="1">סיכום!E64</f>
        <v/>
      </c>
      <c r="F78" s="147" t="str">
        <f t="shared" ca="1" si="2"/>
        <v/>
      </c>
      <c r="G78" s="146" t="str">
        <f t="shared" ca="1" si="3"/>
        <v/>
      </c>
      <c r="H78" s="146" t="str">
        <f t="shared" ca="1" si="4"/>
        <v/>
      </c>
      <c r="I78" s="148">
        <f t="shared" ca="1" si="5"/>
        <v>0</v>
      </c>
      <c r="J78" s="149" t="str">
        <f t="shared" ca="1" si="6"/>
        <v/>
      </c>
      <c r="K78" s="149" t="str">
        <f t="shared" ca="1" si="7"/>
        <v/>
      </c>
      <c r="L78" s="148">
        <f t="shared" ca="1" si="8"/>
        <v>0</v>
      </c>
      <c r="M78" s="149" t="str">
        <f t="shared" ca="1" si="9"/>
        <v/>
      </c>
      <c r="N78" s="149" t="str">
        <f t="shared" ca="1" si="10"/>
        <v/>
      </c>
      <c r="O78" s="148">
        <f t="shared" ca="1" si="11"/>
        <v>0</v>
      </c>
      <c r="P78" s="149" t="str">
        <f t="shared" ca="1" si="12"/>
        <v/>
      </c>
      <c r="Q78" s="149" t="str">
        <f t="shared" ca="1" si="13"/>
        <v/>
      </c>
      <c r="R78" s="148">
        <f t="shared" ca="1" si="14"/>
        <v>0</v>
      </c>
      <c r="S78" s="149" t="str">
        <f t="shared" ca="1" si="15"/>
        <v/>
      </c>
      <c r="T78" s="149" t="str">
        <f t="shared" ca="1" si="16"/>
        <v/>
      </c>
      <c r="U78" s="150" t="str">
        <f t="shared" ca="1" si="17"/>
        <v/>
      </c>
      <c r="V78" s="150"/>
      <c r="W78" s="150"/>
      <c r="X78" s="150"/>
      <c r="Y78" s="150"/>
      <c r="Z78" s="151" t="str">
        <f t="shared" ca="1" si="18"/>
        <v/>
      </c>
      <c r="AA78" s="139"/>
      <c r="AB78" s="139"/>
      <c r="AC78" s="152">
        <f t="shared" si="1"/>
        <v>0</v>
      </c>
      <c r="GX78" s="142"/>
      <c r="GY78" s="142"/>
    </row>
    <row r="79" spans="2:207" hidden="1" x14ac:dyDescent="0.25">
      <c r="B79" s="143" t="str">
        <f t="shared" ca="1" si="0"/>
        <v/>
      </c>
      <c r="C79" s="144" t="str">
        <f ca="1">סיכום!C65</f>
        <v/>
      </c>
      <c r="D79" s="146" t="str">
        <f>'סיכום לועדה- הזנת נתונים'!O79</f>
        <v/>
      </c>
      <c r="E79" s="146" t="str">
        <f ca="1">סיכום!E65</f>
        <v/>
      </c>
      <c r="F79" s="147" t="str">
        <f t="shared" ca="1" si="2"/>
        <v/>
      </c>
      <c r="G79" s="146" t="str">
        <f t="shared" ca="1" si="3"/>
        <v/>
      </c>
      <c r="H79" s="146" t="str">
        <f t="shared" ca="1" si="4"/>
        <v/>
      </c>
      <c r="I79" s="148">
        <f t="shared" ca="1" si="5"/>
        <v>0</v>
      </c>
      <c r="J79" s="149" t="str">
        <f t="shared" ca="1" si="6"/>
        <v/>
      </c>
      <c r="K79" s="149" t="str">
        <f t="shared" ca="1" si="7"/>
        <v/>
      </c>
      <c r="L79" s="148">
        <f t="shared" ca="1" si="8"/>
        <v>0</v>
      </c>
      <c r="M79" s="149" t="str">
        <f t="shared" ca="1" si="9"/>
        <v/>
      </c>
      <c r="N79" s="149" t="str">
        <f t="shared" ca="1" si="10"/>
        <v/>
      </c>
      <c r="O79" s="148">
        <f t="shared" ca="1" si="11"/>
        <v>0</v>
      </c>
      <c r="P79" s="149" t="str">
        <f t="shared" ca="1" si="12"/>
        <v/>
      </c>
      <c r="Q79" s="149" t="str">
        <f t="shared" ca="1" si="13"/>
        <v/>
      </c>
      <c r="R79" s="148">
        <f t="shared" ca="1" si="14"/>
        <v>0</v>
      </c>
      <c r="S79" s="149" t="str">
        <f t="shared" ca="1" si="15"/>
        <v/>
      </c>
      <c r="T79" s="149" t="str">
        <f t="shared" ca="1" si="16"/>
        <v/>
      </c>
      <c r="U79" s="150" t="str">
        <f t="shared" ca="1" si="17"/>
        <v/>
      </c>
      <c r="V79" s="150"/>
      <c r="W79" s="150"/>
      <c r="X79" s="150"/>
      <c r="Y79" s="150"/>
      <c r="Z79" s="151" t="str">
        <f t="shared" ca="1" si="18"/>
        <v/>
      </c>
      <c r="AA79" s="139"/>
      <c r="AB79" s="139"/>
      <c r="AC79" s="152">
        <f t="shared" si="1"/>
        <v>0</v>
      </c>
      <c r="GX79" s="142"/>
      <c r="GY79" s="142"/>
    </row>
    <row r="80" spans="2:207" hidden="1" x14ac:dyDescent="0.25">
      <c r="B80" s="143" t="str">
        <f t="shared" ca="1" si="0"/>
        <v/>
      </c>
      <c r="C80" s="144" t="str">
        <f ca="1">סיכום!C66</f>
        <v/>
      </c>
      <c r="D80" s="146" t="str">
        <f>'סיכום לועדה- הזנת נתונים'!O80</f>
        <v/>
      </c>
      <c r="E80" s="146" t="str">
        <f ca="1">סיכום!E66</f>
        <v/>
      </c>
      <c r="F80" s="147" t="str">
        <f t="shared" ca="1" si="2"/>
        <v/>
      </c>
      <c r="G80" s="146" t="str">
        <f t="shared" ca="1" si="3"/>
        <v/>
      </c>
      <c r="H80" s="146" t="str">
        <f t="shared" ca="1" si="4"/>
        <v/>
      </c>
      <c r="I80" s="148">
        <f t="shared" ca="1" si="5"/>
        <v>0</v>
      </c>
      <c r="J80" s="149" t="str">
        <f t="shared" ca="1" si="6"/>
        <v/>
      </c>
      <c r="K80" s="149" t="str">
        <f t="shared" ca="1" si="7"/>
        <v/>
      </c>
      <c r="L80" s="148">
        <f t="shared" ca="1" si="8"/>
        <v>0</v>
      </c>
      <c r="M80" s="149" t="str">
        <f t="shared" ca="1" si="9"/>
        <v/>
      </c>
      <c r="N80" s="149" t="str">
        <f t="shared" ca="1" si="10"/>
        <v/>
      </c>
      <c r="O80" s="148">
        <f t="shared" ca="1" si="11"/>
        <v>0</v>
      </c>
      <c r="P80" s="149" t="str">
        <f t="shared" ca="1" si="12"/>
        <v/>
      </c>
      <c r="Q80" s="149" t="str">
        <f t="shared" ca="1" si="13"/>
        <v/>
      </c>
      <c r="R80" s="148">
        <f t="shared" ca="1" si="14"/>
        <v>0</v>
      </c>
      <c r="S80" s="149" t="str">
        <f t="shared" ca="1" si="15"/>
        <v/>
      </c>
      <c r="T80" s="149" t="str">
        <f t="shared" ca="1" si="16"/>
        <v/>
      </c>
      <c r="U80" s="150" t="str">
        <f t="shared" ca="1" si="17"/>
        <v/>
      </c>
      <c r="V80" s="150"/>
      <c r="W80" s="150"/>
      <c r="X80" s="150"/>
      <c r="Y80" s="150"/>
      <c r="Z80" s="151" t="str">
        <f t="shared" ca="1" si="18"/>
        <v/>
      </c>
      <c r="AA80" s="139"/>
      <c r="AB80" s="139"/>
      <c r="AC80" s="152">
        <f t="shared" si="1"/>
        <v>0</v>
      </c>
      <c r="GX80" s="142"/>
      <c r="GY80" s="142"/>
    </row>
    <row r="81" spans="2:207" hidden="1" x14ac:dyDescent="0.25">
      <c r="B81" s="143" t="str">
        <f t="shared" ca="1" si="0"/>
        <v/>
      </c>
      <c r="C81" s="144" t="str">
        <f ca="1">סיכום!C67</f>
        <v/>
      </c>
      <c r="D81" s="146" t="str">
        <f>'סיכום לועדה- הזנת נתונים'!O81</f>
        <v/>
      </c>
      <c r="E81" s="146" t="str">
        <f ca="1">סיכום!E67</f>
        <v/>
      </c>
      <c r="F81" s="147" t="str">
        <f t="shared" ca="1" si="2"/>
        <v/>
      </c>
      <c r="G81" s="146" t="str">
        <f t="shared" ca="1" si="3"/>
        <v/>
      </c>
      <c r="H81" s="146" t="str">
        <f t="shared" ca="1" si="4"/>
        <v/>
      </c>
      <c r="I81" s="148">
        <f t="shared" ca="1" si="5"/>
        <v>0</v>
      </c>
      <c r="J81" s="149" t="str">
        <f t="shared" ca="1" si="6"/>
        <v/>
      </c>
      <c r="K81" s="149" t="str">
        <f t="shared" ca="1" si="7"/>
        <v/>
      </c>
      <c r="L81" s="148">
        <f t="shared" ca="1" si="8"/>
        <v>0</v>
      </c>
      <c r="M81" s="149" t="str">
        <f t="shared" ca="1" si="9"/>
        <v/>
      </c>
      <c r="N81" s="149" t="str">
        <f t="shared" ca="1" si="10"/>
        <v/>
      </c>
      <c r="O81" s="148">
        <f t="shared" ca="1" si="11"/>
        <v>0</v>
      </c>
      <c r="P81" s="149" t="str">
        <f t="shared" ca="1" si="12"/>
        <v/>
      </c>
      <c r="Q81" s="149" t="str">
        <f t="shared" ca="1" si="13"/>
        <v/>
      </c>
      <c r="R81" s="148">
        <f t="shared" ca="1" si="14"/>
        <v>0</v>
      </c>
      <c r="S81" s="149" t="str">
        <f t="shared" ca="1" si="15"/>
        <v/>
      </c>
      <c r="T81" s="149" t="str">
        <f t="shared" ca="1" si="16"/>
        <v/>
      </c>
      <c r="U81" s="150" t="str">
        <f t="shared" ca="1" si="17"/>
        <v/>
      </c>
      <c r="V81" s="150"/>
      <c r="W81" s="150"/>
      <c r="X81" s="150"/>
      <c r="Y81" s="150"/>
      <c r="Z81" s="151" t="str">
        <f t="shared" ca="1" si="18"/>
        <v/>
      </c>
      <c r="AA81" s="139"/>
      <c r="AB81" s="139"/>
      <c r="AC81" s="152">
        <f t="shared" si="1"/>
        <v>0</v>
      </c>
      <c r="GX81" s="142"/>
      <c r="GY81" s="142"/>
    </row>
    <row r="82" spans="2:207" x14ac:dyDescent="0.25">
      <c r="B82" s="143">
        <f t="shared" ca="1" si="0"/>
        <v>52</v>
      </c>
      <c r="C82" s="144" t="str">
        <f ca="1">סיכום!C68</f>
        <v>עמותת הנני</v>
      </c>
      <c r="D82" s="146">
        <f>'סיכום לועדה- הזנת נתונים'!O82</f>
        <v>712500</v>
      </c>
      <c r="E82" s="146">
        <f ca="1">סיכום!E68</f>
        <v>569467.80417588516</v>
      </c>
      <c r="F82" s="147">
        <f t="shared" ca="1" si="2"/>
        <v>0</v>
      </c>
      <c r="G82" s="146">
        <f t="shared" ca="1" si="3"/>
        <v>569467.80417588516</v>
      </c>
      <c r="H82" s="146">
        <f t="shared" ca="1" si="4"/>
        <v>595519.2586127657</v>
      </c>
      <c r="I82" s="148">
        <f t="shared" ca="1" si="5"/>
        <v>0</v>
      </c>
      <c r="J82" s="149">
        <f t="shared" ca="1" si="6"/>
        <v>595519.2586127657</v>
      </c>
      <c r="K82" s="149">
        <f t="shared" ca="1" si="7"/>
        <v>597954.29268192616</v>
      </c>
      <c r="L82" s="148">
        <f t="shared" ca="1" si="8"/>
        <v>0</v>
      </c>
      <c r="M82" s="149">
        <f t="shared" ca="1" si="9"/>
        <v>597954.29268192616</v>
      </c>
      <c r="N82" s="149">
        <f t="shared" ca="1" si="10"/>
        <v>597954.29268192616</v>
      </c>
      <c r="O82" s="148">
        <f t="shared" ca="1" si="11"/>
        <v>0</v>
      </c>
      <c r="P82" s="149">
        <f t="shared" ca="1" si="12"/>
        <v>597954.29268192616</v>
      </c>
      <c r="Q82" s="149">
        <f t="shared" ca="1" si="13"/>
        <v>597954.29268192616</v>
      </c>
      <c r="R82" s="148">
        <f t="shared" ca="1" si="14"/>
        <v>0</v>
      </c>
      <c r="S82" s="149">
        <f t="shared" ca="1" si="15"/>
        <v>597954.29268192616</v>
      </c>
      <c r="T82" s="149">
        <f t="shared" ca="1" si="16"/>
        <v>597954.29268192616</v>
      </c>
      <c r="U82" s="150">
        <f t="shared" ca="1" si="17"/>
        <v>597954.29268192616</v>
      </c>
      <c r="V82" s="150"/>
      <c r="W82" s="150"/>
      <c r="X82" s="150"/>
      <c r="Y82" s="150"/>
      <c r="Z82" s="151">
        <f t="shared" ca="1" si="18"/>
        <v>3.9863619512128412E-2</v>
      </c>
      <c r="AA82" s="139"/>
      <c r="AB82" s="139"/>
      <c r="AC82" s="152">
        <f t="shared" si="1"/>
        <v>1</v>
      </c>
      <c r="GX82" s="142"/>
      <c r="GY82" s="142"/>
    </row>
    <row r="83" spans="2:207" hidden="1" x14ac:dyDescent="0.25">
      <c r="B83" s="143" t="str">
        <f t="shared" ca="1" si="0"/>
        <v/>
      </c>
      <c r="C83" s="144" t="str">
        <f ca="1">סיכום!C69</f>
        <v/>
      </c>
      <c r="D83" s="146" t="str">
        <f>'סיכום לועדה- הזנת נתונים'!O83</f>
        <v/>
      </c>
      <c r="E83" s="146" t="str">
        <f ca="1">סיכום!E69</f>
        <v/>
      </c>
      <c r="F83" s="147" t="str">
        <f t="shared" ca="1" si="2"/>
        <v/>
      </c>
      <c r="G83" s="146" t="str">
        <f t="shared" ca="1" si="3"/>
        <v/>
      </c>
      <c r="H83" s="146" t="str">
        <f t="shared" ca="1" si="4"/>
        <v/>
      </c>
      <c r="I83" s="148">
        <f t="shared" ca="1" si="5"/>
        <v>0</v>
      </c>
      <c r="J83" s="149" t="str">
        <f t="shared" ca="1" si="6"/>
        <v/>
      </c>
      <c r="K83" s="149" t="str">
        <f t="shared" ca="1" si="7"/>
        <v/>
      </c>
      <c r="L83" s="148">
        <f t="shared" ca="1" si="8"/>
        <v>0</v>
      </c>
      <c r="M83" s="149" t="str">
        <f t="shared" ca="1" si="9"/>
        <v/>
      </c>
      <c r="N83" s="149" t="str">
        <f t="shared" ca="1" si="10"/>
        <v/>
      </c>
      <c r="O83" s="148">
        <f t="shared" ca="1" si="11"/>
        <v>0</v>
      </c>
      <c r="P83" s="149" t="str">
        <f t="shared" ca="1" si="12"/>
        <v/>
      </c>
      <c r="Q83" s="149" t="str">
        <f t="shared" ca="1" si="13"/>
        <v/>
      </c>
      <c r="R83" s="148">
        <f t="shared" ca="1" si="14"/>
        <v>0</v>
      </c>
      <c r="S83" s="149" t="str">
        <f t="shared" ca="1" si="15"/>
        <v/>
      </c>
      <c r="T83" s="149" t="str">
        <f t="shared" ca="1" si="16"/>
        <v/>
      </c>
      <c r="U83" s="150" t="str">
        <f t="shared" ca="1" si="17"/>
        <v/>
      </c>
      <c r="V83" s="150"/>
      <c r="W83" s="150"/>
      <c r="X83" s="150"/>
      <c r="Y83" s="150"/>
      <c r="Z83" s="151" t="str">
        <f t="shared" ca="1" si="18"/>
        <v/>
      </c>
      <c r="AA83" s="139"/>
      <c r="AB83" s="139"/>
      <c r="AC83" s="152">
        <f t="shared" si="1"/>
        <v>0</v>
      </c>
      <c r="GX83" s="142"/>
      <c r="GY83" s="142"/>
    </row>
    <row r="84" spans="2:207" hidden="1" x14ac:dyDescent="0.25">
      <c r="B84" s="143" t="str">
        <f t="shared" ca="1" si="0"/>
        <v/>
      </c>
      <c r="C84" s="144" t="str">
        <f ca="1">סיכום!C70</f>
        <v/>
      </c>
      <c r="D84" s="146" t="str">
        <f>'סיכום לועדה- הזנת נתונים'!O84</f>
        <v/>
      </c>
      <c r="E84" s="146" t="str">
        <f ca="1">סיכום!E70</f>
        <v/>
      </c>
      <c r="F84" s="147" t="str">
        <f t="shared" ca="1" si="2"/>
        <v/>
      </c>
      <c r="G84" s="146" t="str">
        <f t="shared" ca="1" si="3"/>
        <v/>
      </c>
      <c r="H84" s="146" t="str">
        <f t="shared" ca="1" si="4"/>
        <v/>
      </c>
      <c r="I84" s="148">
        <f t="shared" ca="1" si="5"/>
        <v>0</v>
      </c>
      <c r="J84" s="149" t="str">
        <f t="shared" ca="1" si="6"/>
        <v/>
      </c>
      <c r="K84" s="149" t="str">
        <f t="shared" ca="1" si="7"/>
        <v/>
      </c>
      <c r="L84" s="148">
        <f t="shared" ca="1" si="8"/>
        <v>0</v>
      </c>
      <c r="M84" s="149" t="str">
        <f t="shared" ca="1" si="9"/>
        <v/>
      </c>
      <c r="N84" s="149" t="str">
        <f t="shared" ca="1" si="10"/>
        <v/>
      </c>
      <c r="O84" s="148">
        <f t="shared" ca="1" si="11"/>
        <v>0</v>
      </c>
      <c r="P84" s="149" t="str">
        <f t="shared" ca="1" si="12"/>
        <v/>
      </c>
      <c r="Q84" s="149" t="str">
        <f t="shared" ca="1" si="13"/>
        <v/>
      </c>
      <c r="R84" s="148">
        <f t="shared" ca="1" si="14"/>
        <v>0</v>
      </c>
      <c r="S84" s="149" t="str">
        <f t="shared" ca="1" si="15"/>
        <v/>
      </c>
      <c r="T84" s="149" t="str">
        <f t="shared" ca="1" si="16"/>
        <v/>
      </c>
      <c r="U84" s="150" t="str">
        <f t="shared" ca="1" si="17"/>
        <v/>
      </c>
      <c r="V84" s="150"/>
      <c r="W84" s="150"/>
      <c r="X84" s="150"/>
      <c r="Y84" s="150"/>
      <c r="Z84" s="151" t="str">
        <f t="shared" ca="1" si="18"/>
        <v/>
      </c>
      <c r="AA84" s="139"/>
      <c r="AB84" s="139"/>
      <c r="AC84" s="152">
        <f t="shared" si="1"/>
        <v>0</v>
      </c>
      <c r="GX84" s="142"/>
      <c r="GY84" s="142"/>
    </row>
    <row r="85" spans="2:207" hidden="1" x14ac:dyDescent="0.25">
      <c r="B85" s="143" t="str">
        <f t="shared" ca="1" si="0"/>
        <v/>
      </c>
      <c r="C85" s="144" t="str">
        <f ca="1">סיכום!C71</f>
        <v/>
      </c>
      <c r="D85" s="146" t="str">
        <f>'סיכום לועדה- הזנת נתונים'!O85</f>
        <v/>
      </c>
      <c r="E85" s="146" t="str">
        <f ca="1">סיכום!E71</f>
        <v/>
      </c>
      <c r="F85" s="147" t="str">
        <f t="shared" ca="1" si="2"/>
        <v/>
      </c>
      <c r="G85" s="146" t="str">
        <f t="shared" ca="1" si="3"/>
        <v/>
      </c>
      <c r="H85" s="146" t="str">
        <f t="shared" ca="1" si="4"/>
        <v/>
      </c>
      <c r="I85" s="148">
        <f t="shared" ca="1" si="5"/>
        <v>0</v>
      </c>
      <c r="J85" s="149" t="str">
        <f t="shared" ca="1" si="6"/>
        <v/>
      </c>
      <c r="K85" s="149" t="str">
        <f t="shared" ca="1" si="7"/>
        <v/>
      </c>
      <c r="L85" s="148">
        <f t="shared" ca="1" si="8"/>
        <v>0</v>
      </c>
      <c r="M85" s="149" t="str">
        <f t="shared" ca="1" si="9"/>
        <v/>
      </c>
      <c r="N85" s="149" t="str">
        <f t="shared" ca="1" si="10"/>
        <v/>
      </c>
      <c r="O85" s="148">
        <f t="shared" ca="1" si="11"/>
        <v>0</v>
      </c>
      <c r="P85" s="149" t="str">
        <f t="shared" ca="1" si="12"/>
        <v/>
      </c>
      <c r="Q85" s="149" t="str">
        <f t="shared" ca="1" si="13"/>
        <v/>
      </c>
      <c r="R85" s="148">
        <f t="shared" ca="1" si="14"/>
        <v>0</v>
      </c>
      <c r="S85" s="149" t="str">
        <f t="shared" ca="1" si="15"/>
        <v/>
      </c>
      <c r="T85" s="149" t="str">
        <f t="shared" ca="1" si="16"/>
        <v/>
      </c>
      <c r="U85" s="150" t="str">
        <f t="shared" ca="1" si="17"/>
        <v/>
      </c>
      <c r="V85" s="150"/>
      <c r="W85" s="150"/>
      <c r="X85" s="150"/>
      <c r="Y85" s="150"/>
      <c r="Z85" s="151" t="str">
        <f t="shared" ca="1" si="18"/>
        <v/>
      </c>
      <c r="AA85" s="139"/>
      <c r="AB85" s="139"/>
      <c r="AC85" s="152">
        <f t="shared" si="1"/>
        <v>0</v>
      </c>
      <c r="GX85" s="142"/>
      <c r="GY85" s="142"/>
    </row>
    <row r="86" spans="2:207" hidden="1" x14ac:dyDescent="0.25">
      <c r="B86" s="143" t="str">
        <f t="shared" ca="1" si="0"/>
        <v/>
      </c>
      <c r="C86" s="144" t="str">
        <f ca="1">סיכום!C72</f>
        <v/>
      </c>
      <c r="D86" s="146" t="str">
        <f>'סיכום לועדה- הזנת נתונים'!O86</f>
        <v/>
      </c>
      <c r="E86" s="146" t="str">
        <f ca="1">סיכום!E72</f>
        <v/>
      </c>
      <c r="F86" s="147" t="str">
        <f t="shared" ca="1" si="2"/>
        <v/>
      </c>
      <c r="G86" s="146" t="str">
        <f t="shared" ca="1" si="3"/>
        <v/>
      </c>
      <c r="H86" s="146" t="str">
        <f t="shared" ca="1" si="4"/>
        <v/>
      </c>
      <c r="I86" s="148">
        <f t="shared" ca="1" si="5"/>
        <v>0</v>
      </c>
      <c r="J86" s="149" t="str">
        <f t="shared" ca="1" si="6"/>
        <v/>
      </c>
      <c r="K86" s="149" t="str">
        <f t="shared" ca="1" si="7"/>
        <v/>
      </c>
      <c r="L86" s="148">
        <f t="shared" ca="1" si="8"/>
        <v>0</v>
      </c>
      <c r="M86" s="149" t="str">
        <f t="shared" ca="1" si="9"/>
        <v/>
      </c>
      <c r="N86" s="149" t="str">
        <f t="shared" ca="1" si="10"/>
        <v/>
      </c>
      <c r="O86" s="148">
        <f t="shared" ca="1" si="11"/>
        <v>0</v>
      </c>
      <c r="P86" s="149" t="str">
        <f t="shared" ca="1" si="12"/>
        <v/>
      </c>
      <c r="Q86" s="149" t="str">
        <f t="shared" ca="1" si="13"/>
        <v/>
      </c>
      <c r="R86" s="148">
        <f t="shared" ca="1" si="14"/>
        <v>0</v>
      </c>
      <c r="S86" s="149" t="str">
        <f t="shared" ca="1" si="15"/>
        <v/>
      </c>
      <c r="T86" s="149" t="str">
        <f t="shared" ca="1" si="16"/>
        <v/>
      </c>
      <c r="U86" s="150" t="str">
        <f t="shared" ca="1" si="17"/>
        <v/>
      </c>
      <c r="V86" s="150"/>
      <c r="W86" s="150"/>
      <c r="X86" s="150"/>
      <c r="Y86" s="150"/>
      <c r="Z86" s="151" t="str">
        <f t="shared" ca="1" si="18"/>
        <v/>
      </c>
      <c r="AA86" s="139"/>
      <c r="AB86" s="139"/>
      <c r="AC86" s="152">
        <f t="shared" si="1"/>
        <v>0</v>
      </c>
      <c r="GX86" s="142"/>
      <c r="GY86" s="142"/>
    </row>
    <row r="87" spans="2:207" hidden="1" x14ac:dyDescent="0.25">
      <c r="B87" s="143" t="str">
        <f t="shared" ca="1" si="0"/>
        <v/>
      </c>
      <c r="C87" s="144" t="str">
        <f ca="1">סיכום!C73</f>
        <v/>
      </c>
      <c r="D87" s="146" t="str">
        <f>'סיכום לועדה- הזנת נתונים'!O87</f>
        <v/>
      </c>
      <c r="E87" s="146" t="str">
        <f ca="1">סיכום!E73</f>
        <v/>
      </c>
      <c r="F87" s="147" t="str">
        <f t="shared" ca="1" si="2"/>
        <v/>
      </c>
      <c r="G87" s="146" t="str">
        <f t="shared" ca="1" si="3"/>
        <v/>
      </c>
      <c r="H87" s="146" t="str">
        <f t="shared" ca="1" si="4"/>
        <v/>
      </c>
      <c r="I87" s="148">
        <f t="shared" ca="1" si="5"/>
        <v>0</v>
      </c>
      <c r="J87" s="149" t="str">
        <f t="shared" ca="1" si="6"/>
        <v/>
      </c>
      <c r="K87" s="149" t="str">
        <f t="shared" ca="1" si="7"/>
        <v/>
      </c>
      <c r="L87" s="148">
        <f t="shared" ca="1" si="8"/>
        <v>0</v>
      </c>
      <c r="M87" s="149" t="str">
        <f t="shared" ca="1" si="9"/>
        <v/>
      </c>
      <c r="N87" s="149" t="str">
        <f t="shared" ca="1" si="10"/>
        <v/>
      </c>
      <c r="O87" s="148">
        <f t="shared" ca="1" si="11"/>
        <v>0</v>
      </c>
      <c r="P87" s="149" t="str">
        <f t="shared" ca="1" si="12"/>
        <v/>
      </c>
      <c r="Q87" s="149" t="str">
        <f t="shared" ca="1" si="13"/>
        <v/>
      </c>
      <c r="R87" s="148">
        <f t="shared" ca="1" si="14"/>
        <v>0</v>
      </c>
      <c r="S87" s="149" t="str">
        <f t="shared" ca="1" si="15"/>
        <v/>
      </c>
      <c r="T87" s="149" t="str">
        <f t="shared" ca="1" si="16"/>
        <v/>
      </c>
      <c r="U87" s="150" t="str">
        <f t="shared" ca="1" si="17"/>
        <v/>
      </c>
      <c r="V87" s="150"/>
      <c r="W87" s="150"/>
      <c r="X87" s="150"/>
      <c r="Y87" s="150"/>
      <c r="Z87" s="151" t="str">
        <f t="shared" ca="1" si="18"/>
        <v/>
      </c>
      <c r="AA87" s="139"/>
      <c r="AB87" s="139"/>
      <c r="AC87" s="152">
        <f t="shared" si="1"/>
        <v>0</v>
      </c>
      <c r="GX87" s="142"/>
      <c r="GY87" s="142"/>
    </row>
    <row r="88" spans="2:207" hidden="1" x14ac:dyDescent="0.25">
      <c r="B88" s="143" t="str">
        <f t="shared" ca="1" si="0"/>
        <v/>
      </c>
      <c r="C88" s="144" t="str">
        <f ca="1">סיכום!C74</f>
        <v/>
      </c>
      <c r="D88" s="146" t="str">
        <f>'סיכום לועדה- הזנת נתונים'!O88</f>
        <v/>
      </c>
      <c r="E88" s="146" t="str">
        <f ca="1">סיכום!E74</f>
        <v/>
      </c>
      <c r="F88" s="147" t="str">
        <f t="shared" ca="1" si="2"/>
        <v/>
      </c>
      <c r="G88" s="146" t="str">
        <f t="shared" ca="1" si="3"/>
        <v/>
      </c>
      <c r="H88" s="146" t="str">
        <f t="shared" ca="1" si="4"/>
        <v/>
      </c>
      <c r="I88" s="148">
        <f t="shared" ca="1" si="5"/>
        <v>0</v>
      </c>
      <c r="J88" s="149" t="str">
        <f t="shared" ca="1" si="6"/>
        <v/>
      </c>
      <c r="K88" s="149" t="str">
        <f t="shared" ca="1" si="7"/>
        <v/>
      </c>
      <c r="L88" s="148">
        <f t="shared" ca="1" si="8"/>
        <v>0</v>
      </c>
      <c r="M88" s="149" t="str">
        <f t="shared" ca="1" si="9"/>
        <v/>
      </c>
      <c r="N88" s="149" t="str">
        <f t="shared" ca="1" si="10"/>
        <v/>
      </c>
      <c r="O88" s="148">
        <f t="shared" ca="1" si="11"/>
        <v>0</v>
      </c>
      <c r="P88" s="149" t="str">
        <f t="shared" ca="1" si="12"/>
        <v/>
      </c>
      <c r="Q88" s="149" t="str">
        <f t="shared" ca="1" si="13"/>
        <v/>
      </c>
      <c r="R88" s="148">
        <f t="shared" ca="1" si="14"/>
        <v>0</v>
      </c>
      <c r="S88" s="149" t="str">
        <f t="shared" ca="1" si="15"/>
        <v/>
      </c>
      <c r="T88" s="149" t="str">
        <f t="shared" ca="1" si="16"/>
        <v/>
      </c>
      <c r="U88" s="150" t="str">
        <f t="shared" ca="1" si="17"/>
        <v/>
      </c>
      <c r="V88" s="150"/>
      <c r="W88" s="150"/>
      <c r="X88" s="150"/>
      <c r="Y88" s="150"/>
      <c r="Z88" s="151" t="str">
        <f t="shared" ca="1" si="18"/>
        <v/>
      </c>
      <c r="AA88" s="139"/>
      <c r="AB88" s="139"/>
      <c r="AC88" s="152">
        <f t="shared" si="1"/>
        <v>0</v>
      </c>
      <c r="GX88" s="142"/>
      <c r="GY88" s="142"/>
    </row>
    <row r="89" spans="2:207" hidden="1" x14ac:dyDescent="0.25">
      <c r="B89" s="143" t="str">
        <f t="shared" ca="1" si="0"/>
        <v/>
      </c>
      <c r="C89" s="144" t="str">
        <f ca="1">סיכום!C75</f>
        <v/>
      </c>
      <c r="D89" s="146" t="str">
        <f>'סיכום לועדה- הזנת נתונים'!O89</f>
        <v/>
      </c>
      <c r="E89" s="146" t="str">
        <f ca="1">סיכום!E75</f>
        <v/>
      </c>
      <c r="F89" s="147" t="str">
        <f t="shared" ca="1" si="2"/>
        <v/>
      </c>
      <c r="G89" s="146" t="str">
        <f t="shared" ca="1" si="3"/>
        <v/>
      </c>
      <c r="H89" s="146" t="str">
        <f t="shared" ca="1" si="4"/>
        <v/>
      </c>
      <c r="I89" s="148">
        <f t="shared" ca="1" si="5"/>
        <v>0</v>
      </c>
      <c r="J89" s="149" t="str">
        <f t="shared" ca="1" si="6"/>
        <v/>
      </c>
      <c r="K89" s="149" t="str">
        <f t="shared" ca="1" si="7"/>
        <v/>
      </c>
      <c r="L89" s="148">
        <f t="shared" ca="1" si="8"/>
        <v>0</v>
      </c>
      <c r="M89" s="149" t="str">
        <f t="shared" ca="1" si="9"/>
        <v/>
      </c>
      <c r="N89" s="149" t="str">
        <f t="shared" ca="1" si="10"/>
        <v/>
      </c>
      <c r="O89" s="148">
        <f t="shared" ca="1" si="11"/>
        <v>0</v>
      </c>
      <c r="P89" s="149" t="str">
        <f t="shared" ca="1" si="12"/>
        <v/>
      </c>
      <c r="Q89" s="149" t="str">
        <f t="shared" ca="1" si="13"/>
        <v/>
      </c>
      <c r="R89" s="148">
        <f t="shared" ca="1" si="14"/>
        <v>0</v>
      </c>
      <c r="S89" s="149" t="str">
        <f t="shared" ca="1" si="15"/>
        <v/>
      </c>
      <c r="T89" s="149" t="str">
        <f t="shared" ca="1" si="16"/>
        <v/>
      </c>
      <c r="U89" s="150" t="str">
        <f t="shared" ca="1" si="17"/>
        <v/>
      </c>
      <c r="V89" s="150"/>
      <c r="W89" s="150"/>
      <c r="X89" s="150"/>
      <c r="Y89" s="150"/>
      <c r="Z89" s="151" t="str">
        <f t="shared" ca="1" si="18"/>
        <v/>
      </c>
      <c r="AA89" s="139"/>
      <c r="AB89" s="139"/>
      <c r="AC89" s="152">
        <f t="shared" si="1"/>
        <v>0</v>
      </c>
      <c r="GX89" s="142"/>
      <c r="GY89" s="142"/>
    </row>
    <row r="90" spans="2:207" x14ac:dyDescent="0.25">
      <c r="B90" s="143">
        <f t="shared" ca="1" si="0"/>
        <v>60</v>
      </c>
      <c r="C90" s="144" t="str">
        <f ca="1">סיכום!C76</f>
        <v>שרשרת הדורות</v>
      </c>
      <c r="D90" s="146">
        <f>'סיכום לועדה- הזנת נתונים'!O90</f>
        <v>500000</v>
      </c>
      <c r="E90" s="146">
        <f ca="1">סיכום!E76</f>
        <v>168455.57383660306</v>
      </c>
      <c r="F90" s="147">
        <f t="shared" ca="1" si="2"/>
        <v>0</v>
      </c>
      <c r="G90" s="146">
        <f t="shared" ca="1" si="3"/>
        <v>168455.57383660306</v>
      </c>
      <c r="H90" s="146">
        <f t="shared" ca="1" si="4"/>
        <v>176161.91416745589</v>
      </c>
      <c r="I90" s="148">
        <f t="shared" ca="1" si="5"/>
        <v>0</v>
      </c>
      <c r="J90" s="149">
        <f t="shared" ca="1" si="6"/>
        <v>176161.91416745589</v>
      </c>
      <c r="K90" s="149">
        <f t="shared" ca="1" si="7"/>
        <v>176882.22716570474</v>
      </c>
      <c r="L90" s="148">
        <f t="shared" ca="1" si="8"/>
        <v>0</v>
      </c>
      <c r="M90" s="149">
        <f t="shared" ca="1" si="9"/>
        <v>176882.22716570474</v>
      </c>
      <c r="N90" s="149">
        <f t="shared" ca="1" si="10"/>
        <v>176882.22716570474</v>
      </c>
      <c r="O90" s="148">
        <f t="shared" ca="1" si="11"/>
        <v>0</v>
      </c>
      <c r="P90" s="149">
        <f t="shared" ca="1" si="12"/>
        <v>176882.22716570474</v>
      </c>
      <c r="Q90" s="149">
        <f t="shared" ca="1" si="13"/>
        <v>176882.22716570474</v>
      </c>
      <c r="R90" s="148">
        <f t="shared" ca="1" si="14"/>
        <v>0</v>
      </c>
      <c r="S90" s="149">
        <f t="shared" ca="1" si="15"/>
        <v>176882.22716570474</v>
      </c>
      <c r="T90" s="149">
        <f t="shared" ca="1" si="16"/>
        <v>176882.22716570474</v>
      </c>
      <c r="U90" s="150">
        <f t="shared" ca="1" si="17"/>
        <v>176882.22716570474</v>
      </c>
      <c r="V90" s="150"/>
      <c r="W90" s="150"/>
      <c r="X90" s="150"/>
      <c r="Y90" s="150"/>
      <c r="Z90" s="151">
        <f t="shared" ca="1" si="18"/>
        <v>1.1792148477713649E-2</v>
      </c>
      <c r="AA90" s="139"/>
      <c r="AB90" s="139"/>
      <c r="AC90" s="152">
        <f t="shared" si="1"/>
        <v>1</v>
      </c>
      <c r="GX90" s="142"/>
      <c r="GY90" s="142"/>
    </row>
    <row r="91" spans="2:207" ht="16.5" thickBot="1" x14ac:dyDescent="0.3">
      <c r="B91" s="143">
        <f t="shared" ref="B91:B92" ca="1" si="19">IF(C91="","",ROW()-30)</f>
        <v>61</v>
      </c>
      <c r="C91" s="144" t="str">
        <f ca="1">סיכום!C77</f>
        <v>חיבה</v>
      </c>
      <c r="D91" s="146">
        <f>'סיכום לועדה- הזנת נתונים'!O91</f>
        <v>1608200</v>
      </c>
      <c r="E91" s="146">
        <f ca="1">סיכום!E77</f>
        <v>322909.46671397873</v>
      </c>
      <c r="F91" s="147">
        <f t="shared" ref="F91:F92" ca="1" si="20">IF(C91="","",IF(E91&gt;$D91,1,0))</f>
        <v>0</v>
      </c>
      <c r="G91" s="146">
        <f t="shared" ref="G91:G92" ca="1" si="21">IF($C91="","",MIN(D91:E91))</f>
        <v>322909.46671397873</v>
      </c>
      <c r="H91" s="146">
        <f t="shared" ref="H91:H92" ca="1" si="22">IF($C91="","",IF(F91=1,G91,G91/SUMIF(F$31:F$130,0,G$31:G$130)*($C$2-SUMIF(F$31:F$130,1,G$31:G$130))))</f>
        <v>337681.61221131822</v>
      </c>
      <c r="I91" s="148">
        <f t="shared" ref="I91:I92" ca="1" si="23">IF(OR(H91&gt;$D91,$F91=1),1,0)</f>
        <v>0</v>
      </c>
      <c r="J91" s="149">
        <f t="shared" ref="J91:J92" ca="1" si="24">IF($C91="","",MIN(H91,$D91))</f>
        <v>337681.61221131822</v>
      </c>
      <c r="K91" s="149">
        <f t="shared" ref="K91:K92" ca="1" si="25">IF($C91="","",IF(I91=1,J91,J91/SUMIF(I$31:I$130,0,J$31:J$130)*($C$2-SUMIF(I$31:I$130,1,J$31:J$130))))</f>
        <v>339062.36727233679</v>
      </c>
      <c r="L91" s="148">
        <f t="shared" ref="L91:L92" ca="1" si="26">IF(OR(K91&gt;$D91,$F91=1,$I91=1),1,0)</f>
        <v>0</v>
      </c>
      <c r="M91" s="149">
        <f t="shared" ref="M91:M92" ca="1" si="27">IF($C91="","",MIN(K91,$D91))</f>
        <v>339062.36727233679</v>
      </c>
      <c r="N91" s="149">
        <f t="shared" ref="N91:N92" ca="1" si="28">IF($C91="","",IF(L91=1,M91,M91/SUMIF(L$31:L$130,0,M$31:M$130)*($C$2-SUMIF(L$31:L$130,1,M$31:M$130))))</f>
        <v>339062.36727233679</v>
      </c>
      <c r="O91" s="148">
        <f t="shared" ref="O91:O92" ca="1" si="29">IF(OR(N91&gt;$D91,$F91=1,$I91=1,$L91=1),1,0)</f>
        <v>0</v>
      </c>
      <c r="P91" s="149">
        <f t="shared" ref="P91:P92" ca="1" si="30">IF($C91="","",MIN(N91,$D91))</f>
        <v>339062.36727233679</v>
      </c>
      <c r="Q91" s="149">
        <f t="shared" ref="Q91:Q92" ca="1" si="31">IF($C91="","",IF(O91=2,P91,IF(O91=1,P91,P91/SUMIF(O$31:O$130,0,P$31:P$130)*($C$2-SUMIF(O$31:O$130,1,P$31:P$130)-SUMIF(O$31:O$130,2,P$31:P$130)))))</f>
        <v>339062.36727233679</v>
      </c>
      <c r="R91" s="148">
        <f t="shared" ref="R91:R92" ca="1" si="32">IF(OR(Q91&gt;$D91,$F91=1,$I91=1,$L91=1,$O91=1),1,0)</f>
        <v>0</v>
      </c>
      <c r="S91" s="149">
        <f t="shared" ref="S91:S92" ca="1" si="33">IF($C91="","",MIN(Q91,$D91))</f>
        <v>339062.36727233679</v>
      </c>
      <c r="T91" s="149">
        <f t="shared" ref="T91:T92" ca="1" si="34">IF($C91="","",IF(R91=2,S91,IF(R91=1,S91,S91/SUMIF(R$31:R$130,0,S$31:S$130)*($C$2-SUMIF(R$31:R$130,1,S$31:S$130)-SUMIF(R$31:R$130,2,S$31:S$130)))))</f>
        <v>339062.36727233679</v>
      </c>
      <c r="U91" s="150">
        <f t="shared" ref="U91:U92" ca="1" si="35">IFERROR(T91,0)</f>
        <v>339062.36727233679</v>
      </c>
      <c r="V91" s="150"/>
      <c r="W91" s="150"/>
      <c r="X91" s="150"/>
      <c r="Y91" s="150"/>
      <c r="Z91" s="151">
        <f t="shared" ref="Z91:Z92" ca="1" si="36">IF(C91="","",IFERROR(U91/SUMIF($U$31:$U$130,"&lt;&gt;#DIV/0!"),0))</f>
        <v>2.2604157818155786E-2</v>
      </c>
      <c r="AA91" s="139"/>
      <c r="AB91" s="139"/>
      <c r="AC91" s="152">
        <f t="shared" si="1"/>
        <v>1</v>
      </c>
      <c r="GX91" s="142"/>
      <c r="GY91" s="142"/>
    </row>
    <row r="92" spans="2:207" ht="16.5" hidden="1" thickBot="1" x14ac:dyDescent="0.3">
      <c r="B92" s="143" t="str">
        <f t="shared" ca="1" si="19"/>
        <v/>
      </c>
      <c r="C92" s="144" t="str">
        <f ca="1">סיכום!C78</f>
        <v/>
      </c>
      <c r="D92" s="189"/>
      <c r="E92" s="146" t="str">
        <f ca="1">סיכום!E78</f>
        <v/>
      </c>
      <c r="F92" s="147" t="str">
        <f t="shared" ca="1" si="20"/>
        <v/>
      </c>
      <c r="G92" s="146" t="str">
        <f t="shared" ca="1" si="21"/>
        <v/>
      </c>
      <c r="H92" s="146" t="str">
        <f t="shared" ca="1" si="22"/>
        <v/>
      </c>
      <c r="I92" s="148">
        <f t="shared" ca="1" si="23"/>
        <v>0</v>
      </c>
      <c r="J92" s="149" t="str">
        <f t="shared" ca="1" si="24"/>
        <v/>
      </c>
      <c r="K92" s="149" t="str">
        <f t="shared" ca="1" si="25"/>
        <v/>
      </c>
      <c r="L92" s="148">
        <f t="shared" ca="1" si="26"/>
        <v>0</v>
      </c>
      <c r="M92" s="149" t="str">
        <f t="shared" ca="1" si="27"/>
        <v/>
      </c>
      <c r="N92" s="149" t="str">
        <f t="shared" ca="1" si="28"/>
        <v/>
      </c>
      <c r="O92" s="148">
        <f t="shared" ca="1" si="29"/>
        <v>0</v>
      </c>
      <c r="P92" s="149" t="str">
        <f t="shared" ca="1" si="30"/>
        <v/>
      </c>
      <c r="Q92" s="149" t="str">
        <f t="shared" ca="1" si="31"/>
        <v/>
      </c>
      <c r="R92" s="148">
        <f t="shared" ca="1" si="32"/>
        <v>0</v>
      </c>
      <c r="S92" s="149" t="str">
        <f t="shared" ca="1" si="33"/>
        <v/>
      </c>
      <c r="T92" s="149" t="str">
        <f t="shared" ca="1" si="34"/>
        <v/>
      </c>
      <c r="U92" s="150" t="str">
        <f t="shared" ca="1" si="35"/>
        <v/>
      </c>
      <c r="V92" s="150"/>
      <c r="W92" s="150"/>
      <c r="X92" s="150"/>
      <c r="Y92" s="150"/>
      <c r="Z92" s="151" t="str">
        <f t="shared" ca="1" si="36"/>
        <v/>
      </c>
      <c r="AA92" s="139"/>
      <c r="AB92" s="139"/>
      <c r="AC92" s="152">
        <f t="shared" si="1"/>
        <v>1</v>
      </c>
    </row>
    <row r="93" spans="2:207" hidden="1" x14ac:dyDescent="0.25">
      <c r="B93" s="143"/>
      <c r="C93" s="144"/>
      <c r="D93" s="145"/>
      <c r="E93" s="146"/>
      <c r="F93" s="147"/>
      <c r="G93" s="146"/>
      <c r="H93" s="146"/>
      <c r="I93" s="148"/>
      <c r="J93" s="149"/>
      <c r="K93" s="149"/>
      <c r="L93" s="148"/>
      <c r="M93" s="149"/>
      <c r="N93" s="149"/>
      <c r="O93" s="148"/>
      <c r="P93" s="149"/>
      <c r="Q93" s="149"/>
      <c r="R93" s="148"/>
      <c r="S93" s="149"/>
      <c r="T93" s="149"/>
      <c r="U93" s="150"/>
      <c r="V93" s="150"/>
      <c r="W93" s="150"/>
      <c r="X93" s="150"/>
      <c r="Y93" s="150"/>
      <c r="Z93" s="151"/>
      <c r="AA93" s="139"/>
      <c r="AB93" s="139"/>
      <c r="AC93" s="152">
        <f t="shared" si="1"/>
        <v>1</v>
      </c>
    </row>
    <row r="94" spans="2:207" hidden="1" x14ac:dyDescent="0.25">
      <c r="B94" s="143"/>
      <c r="C94" s="144"/>
      <c r="D94" s="145"/>
      <c r="E94" s="146"/>
      <c r="F94" s="147"/>
      <c r="G94" s="146"/>
      <c r="H94" s="146"/>
      <c r="I94" s="148"/>
      <c r="J94" s="149"/>
      <c r="K94" s="149"/>
      <c r="L94" s="148"/>
      <c r="M94" s="149"/>
      <c r="N94" s="149"/>
      <c r="O94" s="148"/>
      <c r="P94" s="149"/>
      <c r="Q94" s="149"/>
      <c r="R94" s="148"/>
      <c r="S94" s="149"/>
      <c r="T94" s="149"/>
      <c r="U94" s="150"/>
      <c r="V94" s="150"/>
      <c r="W94" s="150"/>
      <c r="X94" s="150"/>
      <c r="Y94" s="150"/>
      <c r="Z94" s="151"/>
      <c r="AA94" s="139"/>
      <c r="AB94" s="139"/>
      <c r="AC94" s="152">
        <f t="shared" si="1"/>
        <v>1</v>
      </c>
    </row>
    <row r="95" spans="2:207" hidden="1" x14ac:dyDescent="0.25">
      <c r="B95" s="143"/>
      <c r="C95" s="144"/>
      <c r="D95" s="145"/>
      <c r="E95" s="146"/>
      <c r="F95" s="147"/>
      <c r="G95" s="146"/>
      <c r="H95" s="146"/>
      <c r="I95" s="148"/>
      <c r="J95" s="149"/>
      <c r="K95" s="149"/>
      <c r="L95" s="148"/>
      <c r="M95" s="149"/>
      <c r="N95" s="149"/>
      <c r="O95" s="148"/>
      <c r="P95" s="149"/>
      <c r="Q95" s="149"/>
      <c r="R95" s="148"/>
      <c r="S95" s="149"/>
      <c r="T95" s="149"/>
      <c r="U95" s="150"/>
      <c r="V95" s="150"/>
      <c r="W95" s="150"/>
      <c r="X95" s="150"/>
      <c r="Y95" s="150"/>
      <c r="Z95" s="151"/>
      <c r="AA95" s="139"/>
      <c r="AB95" s="139"/>
      <c r="AC95" s="152">
        <f t="shared" si="1"/>
        <v>1</v>
      </c>
    </row>
    <row r="96" spans="2:207" hidden="1" x14ac:dyDescent="0.25">
      <c r="B96" s="143"/>
      <c r="C96" s="144"/>
      <c r="D96" s="145"/>
      <c r="E96" s="146"/>
      <c r="F96" s="147"/>
      <c r="G96" s="146"/>
      <c r="H96" s="146"/>
      <c r="I96" s="148"/>
      <c r="J96" s="149"/>
      <c r="K96" s="149"/>
      <c r="L96" s="148"/>
      <c r="M96" s="149"/>
      <c r="N96" s="149"/>
      <c r="O96" s="148"/>
      <c r="P96" s="149"/>
      <c r="Q96" s="149"/>
      <c r="R96" s="148"/>
      <c r="S96" s="149"/>
      <c r="T96" s="149"/>
      <c r="U96" s="150"/>
      <c r="V96" s="150"/>
      <c r="W96" s="150"/>
      <c r="X96" s="150"/>
      <c r="Y96" s="150"/>
      <c r="Z96" s="151"/>
      <c r="AA96" s="139"/>
      <c r="AB96" s="139"/>
      <c r="AC96" s="152">
        <f t="shared" ref="AC96:AC130" si="37">IFERROR(IF(D96*1&gt;=0,1,0),0)</f>
        <v>1</v>
      </c>
    </row>
    <row r="97" spans="2:29" hidden="1" x14ac:dyDescent="0.25">
      <c r="B97" s="143"/>
      <c r="C97" s="144"/>
      <c r="D97" s="145"/>
      <c r="E97" s="146"/>
      <c r="F97" s="147"/>
      <c r="G97" s="146"/>
      <c r="H97" s="146"/>
      <c r="I97" s="148"/>
      <c r="J97" s="149"/>
      <c r="K97" s="149"/>
      <c r="L97" s="148"/>
      <c r="M97" s="149"/>
      <c r="N97" s="149"/>
      <c r="O97" s="148"/>
      <c r="P97" s="149"/>
      <c r="Q97" s="149"/>
      <c r="R97" s="148"/>
      <c r="S97" s="149"/>
      <c r="T97" s="149"/>
      <c r="U97" s="150"/>
      <c r="V97" s="150"/>
      <c r="W97" s="150"/>
      <c r="X97" s="150"/>
      <c r="Y97" s="150"/>
      <c r="Z97" s="151"/>
      <c r="AA97" s="139"/>
      <c r="AB97" s="139"/>
      <c r="AC97" s="152">
        <f t="shared" si="37"/>
        <v>1</v>
      </c>
    </row>
    <row r="98" spans="2:29" hidden="1" x14ac:dyDescent="0.25">
      <c r="B98" s="143"/>
      <c r="C98" s="144"/>
      <c r="D98" s="145"/>
      <c r="E98" s="146"/>
      <c r="F98" s="147"/>
      <c r="G98" s="146"/>
      <c r="H98" s="146"/>
      <c r="I98" s="148"/>
      <c r="J98" s="149"/>
      <c r="K98" s="149"/>
      <c r="L98" s="148"/>
      <c r="M98" s="149"/>
      <c r="N98" s="149"/>
      <c r="O98" s="148"/>
      <c r="P98" s="149"/>
      <c r="Q98" s="149"/>
      <c r="R98" s="148"/>
      <c r="S98" s="149"/>
      <c r="T98" s="149"/>
      <c r="U98" s="150"/>
      <c r="V98" s="150"/>
      <c r="W98" s="150"/>
      <c r="X98" s="150"/>
      <c r="Y98" s="150"/>
      <c r="Z98" s="151"/>
      <c r="AA98" s="139"/>
      <c r="AB98" s="139"/>
      <c r="AC98" s="152">
        <f t="shared" si="37"/>
        <v>1</v>
      </c>
    </row>
    <row r="99" spans="2:29" hidden="1" x14ac:dyDescent="0.25">
      <c r="B99" s="143"/>
      <c r="C99" s="144"/>
      <c r="D99" s="145"/>
      <c r="E99" s="146"/>
      <c r="F99" s="147"/>
      <c r="G99" s="146"/>
      <c r="H99" s="146"/>
      <c r="I99" s="148"/>
      <c r="J99" s="149"/>
      <c r="K99" s="149"/>
      <c r="L99" s="148"/>
      <c r="M99" s="149"/>
      <c r="N99" s="149"/>
      <c r="O99" s="148"/>
      <c r="P99" s="149"/>
      <c r="Q99" s="149"/>
      <c r="R99" s="148"/>
      <c r="S99" s="149"/>
      <c r="T99" s="149"/>
      <c r="U99" s="150"/>
      <c r="V99" s="150"/>
      <c r="W99" s="150"/>
      <c r="X99" s="150"/>
      <c r="Y99" s="150"/>
      <c r="Z99" s="151"/>
      <c r="AA99" s="139"/>
      <c r="AB99" s="139"/>
      <c r="AC99" s="152">
        <f t="shared" si="37"/>
        <v>1</v>
      </c>
    </row>
    <row r="100" spans="2:29" hidden="1" x14ac:dyDescent="0.25">
      <c r="B100" s="143"/>
      <c r="C100" s="144"/>
      <c r="D100" s="145"/>
      <c r="E100" s="146"/>
      <c r="F100" s="147"/>
      <c r="G100" s="146"/>
      <c r="H100" s="146"/>
      <c r="I100" s="148"/>
      <c r="J100" s="149"/>
      <c r="K100" s="149"/>
      <c r="L100" s="148"/>
      <c r="M100" s="149"/>
      <c r="N100" s="149"/>
      <c r="O100" s="148"/>
      <c r="P100" s="149"/>
      <c r="Q100" s="149"/>
      <c r="R100" s="148"/>
      <c r="S100" s="149"/>
      <c r="T100" s="149"/>
      <c r="U100" s="150"/>
      <c r="V100" s="150"/>
      <c r="W100" s="150"/>
      <c r="X100" s="150"/>
      <c r="Y100" s="150"/>
      <c r="Z100" s="151"/>
      <c r="AA100" s="139"/>
      <c r="AB100" s="139"/>
      <c r="AC100" s="152">
        <f t="shared" si="37"/>
        <v>1</v>
      </c>
    </row>
    <row r="101" spans="2:29" hidden="1" x14ac:dyDescent="0.25">
      <c r="B101" s="143"/>
      <c r="C101" s="144"/>
      <c r="D101" s="145"/>
      <c r="E101" s="146"/>
      <c r="F101" s="147"/>
      <c r="G101" s="146"/>
      <c r="H101" s="146"/>
      <c r="I101" s="148"/>
      <c r="J101" s="149"/>
      <c r="K101" s="149"/>
      <c r="L101" s="148"/>
      <c r="M101" s="149"/>
      <c r="N101" s="149"/>
      <c r="O101" s="148"/>
      <c r="P101" s="149"/>
      <c r="Q101" s="149"/>
      <c r="R101" s="148"/>
      <c r="S101" s="149"/>
      <c r="T101" s="149"/>
      <c r="U101" s="150"/>
      <c r="V101" s="150"/>
      <c r="W101" s="150"/>
      <c r="X101" s="150"/>
      <c r="Y101" s="150"/>
      <c r="Z101" s="151"/>
      <c r="AA101" s="139"/>
      <c r="AB101" s="139"/>
      <c r="AC101" s="152">
        <f t="shared" si="37"/>
        <v>1</v>
      </c>
    </row>
    <row r="102" spans="2:29" hidden="1" x14ac:dyDescent="0.25">
      <c r="B102" s="143"/>
      <c r="C102" s="144"/>
      <c r="D102" s="145"/>
      <c r="E102" s="146"/>
      <c r="F102" s="147"/>
      <c r="G102" s="146"/>
      <c r="H102" s="146"/>
      <c r="I102" s="148"/>
      <c r="J102" s="149"/>
      <c r="K102" s="149"/>
      <c r="L102" s="148"/>
      <c r="M102" s="149"/>
      <c r="N102" s="149"/>
      <c r="O102" s="148"/>
      <c r="P102" s="149"/>
      <c r="Q102" s="149"/>
      <c r="R102" s="148"/>
      <c r="S102" s="149"/>
      <c r="T102" s="149"/>
      <c r="U102" s="150"/>
      <c r="V102" s="150"/>
      <c r="W102" s="150"/>
      <c r="X102" s="150"/>
      <c r="Y102" s="150"/>
      <c r="Z102" s="151"/>
      <c r="AA102" s="139"/>
      <c r="AB102" s="139"/>
      <c r="AC102" s="152">
        <f t="shared" si="37"/>
        <v>1</v>
      </c>
    </row>
    <row r="103" spans="2:29" hidden="1" x14ac:dyDescent="0.25">
      <c r="B103" s="143"/>
      <c r="C103" s="144"/>
      <c r="D103" s="145"/>
      <c r="E103" s="146"/>
      <c r="F103" s="147"/>
      <c r="G103" s="146"/>
      <c r="H103" s="146"/>
      <c r="I103" s="148"/>
      <c r="J103" s="149"/>
      <c r="K103" s="149"/>
      <c r="L103" s="148"/>
      <c r="M103" s="149"/>
      <c r="N103" s="149"/>
      <c r="O103" s="148"/>
      <c r="P103" s="149"/>
      <c r="Q103" s="149"/>
      <c r="R103" s="148"/>
      <c r="S103" s="149"/>
      <c r="T103" s="149"/>
      <c r="U103" s="150"/>
      <c r="V103" s="150"/>
      <c r="W103" s="150"/>
      <c r="X103" s="150"/>
      <c r="Y103" s="150"/>
      <c r="Z103" s="151"/>
      <c r="AA103" s="139"/>
      <c r="AB103" s="139"/>
      <c r="AC103" s="152">
        <f t="shared" si="37"/>
        <v>1</v>
      </c>
    </row>
    <row r="104" spans="2:29" hidden="1" x14ac:dyDescent="0.25">
      <c r="B104" s="143"/>
      <c r="C104" s="144"/>
      <c r="D104" s="145"/>
      <c r="E104" s="146"/>
      <c r="F104" s="147"/>
      <c r="G104" s="146"/>
      <c r="H104" s="146"/>
      <c r="I104" s="148"/>
      <c r="J104" s="149"/>
      <c r="K104" s="149"/>
      <c r="L104" s="148"/>
      <c r="M104" s="149"/>
      <c r="N104" s="149"/>
      <c r="O104" s="148"/>
      <c r="P104" s="149"/>
      <c r="Q104" s="149"/>
      <c r="R104" s="148"/>
      <c r="S104" s="149"/>
      <c r="T104" s="149"/>
      <c r="U104" s="150"/>
      <c r="V104" s="150"/>
      <c r="W104" s="150"/>
      <c r="X104" s="150"/>
      <c r="Y104" s="150"/>
      <c r="Z104" s="151"/>
      <c r="AA104" s="139"/>
      <c r="AB104" s="139"/>
      <c r="AC104" s="152">
        <f t="shared" si="37"/>
        <v>1</v>
      </c>
    </row>
    <row r="105" spans="2:29" hidden="1" x14ac:dyDescent="0.25">
      <c r="B105" s="143"/>
      <c r="C105" s="144"/>
      <c r="D105" s="145"/>
      <c r="E105" s="146"/>
      <c r="F105" s="147"/>
      <c r="G105" s="146"/>
      <c r="H105" s="146"/>
      <c r="I105" s="148"/>
      <c r="J105" s="149"/>
      <c r="K105" s="149"/>
      <c r="L105" s="148"/>
      <c r="M105" s="149"/>
      <c r="N105" s="149"/>
      <c r="O105" s="148"/>
      <c r="P105" s="149"/>
      <c r="Q105" s="149"/>
      <c r="R105" s="148"/>
      <c r="S105" s="149"/>
      <c r="T105" s="149"/>
      <c r="U105" s="150"/>
      <c r="V105" s="150"/>
      <c r="W105" s="150"/>
      <c r="X105" s="150"/>
      <c r="Y105" s="150"/>
      <c r="Z105" s="151"/>
      <c r="AA105" s="139"/>
      <c r="AB105" s="139"/>
      <c r="AC105" s="152">
        <f t="shared" si="37"/>
        <v>1</v>
      </c>
    </row>
    <row r="106" spans="2:29" hidden="1" x14ac:dyDescent="0.25">
      <c r="B106" s="143"/>
      <c r="C106" s="144"/>
      <c r="D106" s="145"/>
      <c r="E106" s="146"/>
      <c r="F106" s="147"/>
      <c r="G106" s="146"/>
      <c r="H106" s="146"/>
      <c r="I106" s="148"/>
      <c r="J106" s="149"/>
      <c r="K106" s="149"/>
      <c r="L106" s="148"/>
      <c r="M106" s="149"/>
      <c r="N106" s="149"/>
      <c r="O106" s="148"/>
      <c r="P106" s="149"/>
      <c r="Q106" s="149"/>
      <c r="R106" s="148"/>
      <c r="S106" s="149"/>
      <c r="T106" s="149"/>
      <c r="U106" s="150"/>
      <c r="V106" s="150"/>
      <c r="W106" s="150"/>
      <c r="X106" s="150"/>
      <c r="Y106" s="150"/>
      <c r="Z106" s="151"/>
      <c r="AA106" s="139"/>
      <c r="AB106" s="139"/>
      <c r="AC106" s="152">
        <f t="shared" si="37"/>
        <v>1</v>
      </c>
    </row>
    <row r="107" spans="2:29" hidden="1" x14ac:dyDescent="0.25">
      <c r="B107" s="143"/>
      <c r="C107" s="144"/>
      <c r="D107" s="145"/>
      <c r="E107" s="146"/>
      <c r="F107" s="147"/>
      <c r="G107" s="146"/>
      <c r="H107" s="146"/>
      <c r="I107" s="148"/>
      <c r="J107" s="149"/>
      <c r="K107" s="149"/>
      <c r="L107" s="148"/>
      <c r="M107" s="149"/>
      <c r="N107" s="149"/>
      <c r="O107" s="148"/>
      <c r="P107" s="149"/>
      <c r="Q107" s="149"/>
      <c r="R107" s="148"/>
      <c r="S107" s="149"/>
      <c r="T107" s="149"/>
      <c r="U107" s="150"/>
      <c r="V107" s="150"/>
      <c r="W107" s="150"/>
      <c r="X107" s="150"/>
      <c r="Y107" s="150"/>
      <c r="Z107" s="151"/>
      <c r="AA107" s="139"/>
      <c r="AB107" s="139"/>
      <c r="AC107" s="152">
        <f t="shared" si="37"/>
        <v>1</v>
      </c>
    </row>
    <row r="108" spans="2:29" hidden="1" x14ac:dyDescent="0.25">
      <c r="B108" s="143"/>
      <c r="C108" s="144"/>
      <c r="D108" s="145"/>
      <c r="E108" s="146"/>
      <c r="F108" s="147"/>
      <c r="G108" s="146"/>
      <c r="H108" s="146"/>
      <c r="I108" s="148"/>
      <c r="J108" s="149"/>
      <c r="K108" s="149"/>
      <c r="L108" s="148"/>
      <c r="M108" s="149"/>
      <c r="N108" s="149"/>
      <c r="O108" s="148"/>
      <c r="P108" s="149"/>
      <c r="Q108" s="149"/>
      <c r="R108" s="148"/>
      <c r="S108" s="149"/>
      <c r="T108" s="149"/>
      <c r="U108" s="150"/>
      <c r="V108" s="150"/>
      <c r="W108" s="150"/>
      <c r="X108" s="150"/>
      <c r="Y108" s="150"/>
      <c r="Z108" s="151"/>
      <c r="AA108" s="139"/>
      <c r="AB108" s="139"/>
      <c r="AC108" s="152">
        <f t="shared" si="37"/>
        <v>1</v>
      </c>
    </row>
    <row r="109" spans="2:29" hidden="1" x14ac:dyDescent="0.25">
      <c r="B109" s="143"/>
      <c r="C109" s="144"/>
      <c r="D109" s="145"/>
      <c r="E109" s="146"/>
      <c r="F109" s="147"/>
      <c r="G109" s="146"/>
      <c r="H109" s="146"/>
      <c r="I109" s="148"/>
      <c r="J109" s="149"/>
      <c r="K109" s="149"/>
      <c r="L109" s="148"/>
      <c r="M109" s="149"/>
      <c r="N109" s="149"/>
      <c r="O109" s="148"/>
      <c r="P109" s="149"/>
      <c r="Q109" s="149"/>
      <c r="R109" s="148"/>
      <c r="S109" s="149"/>
      <c r="T109" s="149"/>
      <c r="U109" s="150"/>
      <c r="V109" s="150"/>
      <c r="W109" s="150"/>
      <c r="X109" s="150"/>
      <c r="Y109" s="150"/>
      <c r="Z109" s="151"/>
      <c r="AA109" s="139"/>
      <c r="AB109" s="139"/>
      <c r="AC109" s="152">
        <f t="shared" si="37"/>
        <v>1</v>
      </c>
    </row>
    <row r="110" spans="2:29" hidden="1" x14ac:dyDescent="0.25">
      <c r="B110" s="143"/>
      <c r="C110" s="144"/>
      <c r="D110" s="145"/>
      <c r="E110" s="146"/>
      <c r="F110" s="147"/>
      <c r="G110" s="146"/>
      <c r="H110" s="146"/>
      <c r="I110" s="148"/>
      <c r="J110" s="149"/>
      <c r="K110" s="149"/>
      <c r="L110" s="148"/>
      <c r="M110" s="149"/>
      <c r="N110" s="149"/>
      <c r="O110" s="148"/>
      <c r="P110" s="149"/>
      <c r="Q110" s="149"/>
      <c r="R110" s="148"/>
      <c r="S110" s="149"/>
      <c r="T110" s="149"/>
      <c r="U110" s="150"/>
      <c r="V110" s="150"/>
      <c r="W110" s="150"/>
      <c r="X110" s="150"/>
      <c r="Y110" s="150"/>
      <c r="Z110" s="151"/>
      <c r="AA110" s="139"/>
      <c r="AB110" s="139"/>
      <c r="AC110" s="152">
        <f t="shared" si="37"/>
        <v>1</v>
      </c>
    </row>
    <row r="111" spans="2:29" hidden="1" x14ac:dyDescent="0.25">
      <c r="B111" s="143"/>
      <c r="C111" s="144"/>
      <c r="D111" s="145"/>
      <c r="E111" s="146"/>
      <c r="F111" s="147"/>
      <c r="G111" s="146"/>
      <c r="H111" s="146"/>
      <c r="I111" s="148"/>
      <c r="J111" s="149"/>
      <c r="K111" s="149"/>
      <c r="L111" s="148"/>
      <c r="M111" s="149"/>
      <c r="N111" s="149"/>
      <c r="O111" s="148"/>
      <c r="P111" s="149"/>
      <c r="Q111" s="149"/>
      <c r="R111" s="148"/>
      <c r="S111" s="149"/>
      <c r="T111" s="149"/>
      <c r="U111" s="150"/>
      <c r="V111" s="150"/>
      <c r="W111" s="150"/>
      <c r="X111" s="150"/>
      <c r="Y111" s="150"/>
      <c r="Z111" s="151"/>
      <c r="AA111" s="139"/>
      <c r="AB111" s="139"/>
      <c r="AC111" s="152">
        <f t="shared" si="37"/>
        <v>1</v>
      </c>
    </row>
    <row r="112" spans="2:29" hidden="1" x14ac:dyDescent="0.25">
      <c r="B112" s="143"/>
      <c r="C112" s="144"/>
      <c r="D112" s="145"/>
      <c r="E112" s="146"/>
      <c r="F112" s="147"/>
      <c r="G112" s="146"/>
      <c r="H112" s="146"/>
      <c r="I112" s="148"/>
      <c r="J112" s="149"/>
      <c r="K112" s="149"/>
      <c r="L112" s="148"/>
      <c r="M112" s="149"/>
      <c r="N112" s="149"/>
      <c r="O112" s="148"/>
      <c r="P112" s="149"/>
      <c r="Q112" s="149"/>
      <c r="R112" s="148"/>
      <c r="S112" s="149"/>
      <c r="T112" s="149"/>
      <c r="U112" s="150"/>
      <c r="V112" s="150"/>
      <c r="W112" s="150"/>
      <c r="X112" s="150"/>
      <c r="Y112" s="150"/>
      <c r="Z112" s="151"/>
      <c r="AA112" s="139"/>
      <c r="AB112" s="139"/>
      <c r="AC112" s="152">
        <f t="shared" si="37"/>
        <v>1</v>
      </c>
    </row>
    <row r="113" spans="2:29" hidden="1" x14ac:dyDescent="0.25">
      <c r="B113" s="143"/>
      <c r="C113" s="144"/>
      <c r="D113" s="145"/>
      <c r="E113" s="146"/>
      <c r="F113" s="147"/>
      <c r="G113" s="146"/>
      <c r="H113" s="146"/>
      <c r="I113" s="148"/>
      <c r="J113" s="149"/>
      <c r="K113" s="149"/>
      <c r="L113" s="148"/>
      <c r="M113" s="149"/>
      <c r="N113" s="149"/>
      <c r="O113" s="148"/>
      <c r="P113" s="149"/>
      <c r="Q113" s="149"/>
      <c r="R113" s="148"/>
      <c r="S113" s="149"/>
      <c r="T113" s="149"/>
      <c r="U113" s="150"/>
      <c r="V113" s="150"/>
      <c r="W113" s="150"/>
      <c r="X113" s="150"/>
      <c r="Y113" s="150"/>
      <c r="Z113" s="151"/>
      <c r="AA113" s="139"/>
      <c r="AB113" s="139"/>
      <c r="AC113" s="152">
        <f t="shared" si="37"/>
        <v>1</v>
      </c>
    </row>
    <row r="114" spans="2:29" hidden="1" x14ac:dyDescent="0.25">
      <c r="B114" s="143"/>
      <c r="C114" s="144"/>
      <c r="D114" s="145"/>
      <c r="E114" s="146"/>
      <c r="F114" s="147"/>
      <c r="G114" s="146"/>
      <c r="H114" s="146"/>
      <c r="I114" s="148"/>
      <c r="J114" s="149"/>
      <c r="K114" s="149"/>
      <c r="L114" s="148"/>
      <c r="M114" s="149"/>
      <c r="N114" s="149"/>
      <c r="O114" s="148"/>
      <c r="P114" s="149"/>
      <c r="Q114" s="149"/>
      <c r="R114" s="148"/>
      <c r="S114" s="149"/>
      <c r="T114" s="149"/>
      <c r="U114" s="150"/>
      <c r="V114" s="150"/>
      <c r="W114" s="150"/>
      <c r="X114" s="150"/>
      <c r="Y114" s="150"/>
      <c r="Z114" s="151"/>
      <c r="AA114" s="139"/>
      <c r="AB114" s="139"/>
      <c r="AC114" s="152">
        <f t="shared" si="37"/>
        <v>1</v>
      </c>
    </row>
    <row r="115" spans="2:29" hidden="1" x14ac:dyDescent="0.25">
      <c r="B115" s="143"/>
      <c r="C115" s="144"/>
      <c r="D115" s="145"/>
      <c r="E115" s="146"/>
      <c r="F115" s="147"/>
      <c r="G115" s="146"/>
      <c r="H115" s="146"/>
      <c r="I115" s="148"/>
      <c r="J115" s="149"/>
      <c r="K115" s="149"/>
      <c r="L115" s="148"/>
      <c r="M115" s="149"/>
      <c r="N115" s="149"/>
      <c r="O115" s="148"/>
      <c r="P115" s="149"/>
      <c r="Q115" s="149"/>
      <c r="R115" s="148"/>
      <c r="S115" s="149"/>
      <c r="T115" s="149"/>
      <c r="U115" s="150"/>
      <c r="V115" s="150"/>
      <c r="W115" s="150"/>
      <c r="X115" s="150"/>
      <c r="Y115" s="150"/>
      <c r="Z115" s="151"/>
      <c r="AA115" s="139"/>
      <c r="AB115" s="139"/>
      <c r="AC115" s="152">
        <f t="shared" si="37"/>
        <v>1</v>
      </c>
    </row>
    <row r="116" spans="2:29" hidden="1" x14ac:dyDescent="0.25">
      <c r="B116" s="143"/>
      <c r="C116" s="144"/>
      <c r="D116" s="145"/>
      <c r="E116" s="146"/>
      <c r="F116" s="147"/>
      <c r="G116" s="146"/>
      <c r="H116" s="146"/>
      <c r="I116" s="148"/>
      <c r="J116" s="149"/>
      <c r="K116" s="149"/>
      <c r="L116" s="148"/>
      <c r="M116" s="149"/>
      <c r="N116" s="149"/>
      <c r="O116" s="148"/>
      <c r="P116" s="149"/>
      <c r="Q116" s="149"/>
      <c r="R116" s="148"/>
      <c r="S116" s="149"/>
      <c r="T116" s="149"/>
      <c r="U116" s="150"/>
      <c r="V116" s="150"/>
      <c r="W116" s="150"/>
      <c r="X116" s="150"/>
      <c r="Y116" s="150"/>
      <c r="Z116" s="151"/>
      <c r="AA116" s="139"/>
      <c r="AB116" s="139"/>
      <c r="AC116" s="152">
        <f t="shared" si="37"/>
        <v>1</v>
      </c>
    </row>
    <row r="117" spans="2:29" hidden="1" x14ac:dyDescent="0.25">
      <c r="B117" s="143"/>
      <c r="C117" s="144"/>
      <c r="D117" s="145"/>
      <c r="E117" s="146"/>
      <c r="F117" s="147"/>
      <c r="G117" s="146"/>
      <c r="H117" s="146"/>
      <c r="I117" s="148"/>
      <c r="J117" s="149"/>
      <c r="K117" s="149"/>
      <c r="L117" s="148"/>
      <c r="M117" s="149"/>
      <c r="N117" s="149"/>
      <c r="O117" s="148"/>
      <c r="P117" s="149"/>
      <c r="Q117" s="149"/>
      <c r="R117" s="148"/>
      <c r="S117" s="149"/>
      <c r="T117" s="149"/>
      <c r="U117" s="150"/>
      <c r="V117" s="150"/>
      <c r="W117" s="150"/>
      <c r="X117" s="150"/>
      <c r="Y117" s="150"/>
      <c r="Z117" s="151"/>
      <c r="AA117" s="139"/>
      <c r="AB117" s="139"/>
      <c r="AC117" s="152">
        <f t="shared" si="37"/>
        <v>1</v>
      </c>
    </row>
    <row r="118" spans="2:29" hidden="1" x14ac:dyDescent="0.25">
      <c r="B118" s="143"/>
      <c r="C118" s="144"/>
      <c r="D118" s="145"/>
      <c r="E118" s="146"/>
      <c r="F118" s="147"/>
      <c r="G118" s="146"/>
      <c r="H118" s="146"/>
      <c r="I118" s="148"/>
      <c r="J118" s="149"/>
      <c r="K118" s="149"/>
      <c r="L118" s="148"/>
      <c r="M118" s="149"/>
      <c r="N118" s="149"/>
      <c r="O118" s="148"/>
      <c r="P118" s="149"/>
      <c r="Q118" s="149"/>
      <c r="R118" s="148"/>
      <c r="S118" s="149"/>
      <c r="T118" s="149"/>
      <c r="U118" s="150"/>
      <c r="V118" s="150"/>
      <c r="W118" s="150"/>
      <c r="X118" s="150"/>
      <c r="Y118" s="150"/>
      <c r="Z118" s="151"/>
      <c r="AA118" s="139"/>
      <c r="AB118" s="139"/>
      <c r="AC118" s="152">
        <f t="shared" si="37"/>
        <v>1</v>
      </c>
    </row>
    <row r="119" spans="2:29" hidden="1" x14ac:dyDescent="0.25">
      <c r="B119" s="143"/>
      <c r="C119" s="144"/>
      <c r="D119" s="145"/>
      <c r="E119" s="146"/>
      <c r="F119" s="147"/>
      <c r="G119" s="146"/>
      <c r="H119" s="146"/>
      <c r="I119" s="148"/>
      <c r="J119" s="149"/>
      <c r="K119" s="149"/>
      <c r="L119" s="148"/>
      <c r="M119" s="149"/>
      <c r="N119" s="149"/>
      <c r="O119" s="148"/>
      <c r="P119" s="149"/>
      <c r="Q119" s="149"/>
      <c r="R119" s="148"/>
      <c r="S119" s="149"/>
      <c r="T119" s="149"/>
      <c r="U119" s="150"/>
      <c r="V119" s="150"/>
      <c r="W119" s="150"/>
      <c r="X119" s="150"/>
      <c r="Y119" s="150"/>
      <c r="Z119" s="151"/>
      <c r="AA119" s="139"/>
      <c r="AB119" s="139"/>
      <c r="AC119" s="152">
        <f t="shared" si="37"/>
        <v>1</v>
      </c>
    </row>
    <row r="120" spans="2:29" hidden="1" x14ac:dyDescent="0.25">
      <c r="B120" s="143"/>
      <c r="C120" s="144"/>
      <c r="D120" s="145"/>
      <c r="E120" s="146"/>
      <c r="F120" s="147"/>
      <c r="G120" s="146"/>
      <c r="H120" s="146"/>
      <c r="I120" s="148"/>
      <c r="J120" s="149"/>
      <c r="K120" s="149"/>
      <c r="L120" s="148"/>
      <c r="M120" s="149"/>
      <c r="N120" s="149"/>
      <c r="O120" s="148"/>
      <c r="P120" s="149"/>
      <c r="Q120" s="149"/>
      <c r="R120" s="148"/>
      <c r="S120" s="149"/>
      <c r="T120" s="149"/>
      <c r="U120" s="150"/>
      <c r="V120" s="150"/>
      <c r="W120" s="150"/>
      <c r="X120" s="150"/>
      <c r="Y120" s="150"/>
      <c r="Z120" s="151"/>
      <c r="AA120" s="139"/>
      <c r="AB120" s="139"/>
      <c r="AC120" s="152">
        <f t="shared" si="37"/>
        <v>1</v>
      </c>
    </row>
    <row r="121" spans="2:29" hidden="1" x14ac:dyDescent="0.25">
      <c r="B121" s="143"/>
      <c r="C121" s="144"/>
      <c r="D121" s="145"/>
      <c r="E121" s="146"/>
      <c r="F121" s="147"/>
      <c r="G121" s="146"/>
      <c r="H121" s="146"/>
      <c r="I121" s="148"/>
      <c r="J121" s="149"/>
      <c r="K121" s="149"/>
      <c r="L121" s="148"/>
      <c r="M121" s="149"/>
      <c r="N121" s="149"/>
      <c r="O121" s="148"/>
      <c r="P121" s="149"/>
      <c r="Q121" s="149"/>
      <c r="R121" s="148"/>
      <c r="S121" s="149"/>
      <c r="T121" s="149"/>
      <c r="U121" s="150"/>
      <c r="V121" s="150"/>
      <c r="W121" s="150"/>
      <c r="X121" s="150"/>
      <c r="Y121" s="150"/>
      <c r="Z121" s="151"/>
      <c r="AA121" s="139"/>
      <c r="AB121" s="139"/>
      <c r="AC121" s="152">
        <f t="shared" si="37"/>
        <v>1</v>
      </c>
    </row>
    <row r="122" spans="2:29" hidden="1" x14ac:dyDescent="0.25">
      <c r="B122" s="143"/>
      <c r="C122" s="144"/>
      <c r="D122" s="145"/>
      <c r="E122" s="146"/>
      <c r="F122" s="147"/>
      <c r="G122" s="146"/>
      <c r="H122" s="146"/>
      <c r="I122" s="148"/>
      <c r="J122" s="149"/>
      <c r="K122" s="149"/>
      <c r="L122" s="148"/>
      <c r="M122" s="149"/>
      <c r="N122" s="149"/>
      <c r="O122" s="148"/>
      <c r="P122" s="149"/>
      <c r="Q122" s="149"/>
      <c r="R122" s="148"/>
      <c r="S122" s="149"/>
      <c r="T122" s="149"/>
      <c r="U122" s="150"/>
      <c r="V122" s="150"/>
      <c r="W122" s="150"/>
      <c r="X122" s="150"/>
      <c r="Y122" s="150"/>
      <c r="Z122" s="151"/>
      <c r="AA122" s="139"/>
      <c r="AB122" s="139"/>
      <c r="AC122" s="152">
        <f t="shared" si="37"/>
        <v>1</v>
      </c>
    </row>
    <row r="123" spans="2:29" hidden="1" x14ac:dyDescent="0.25">
      <c r="B123" s="143"/>
      <c r="C123" s="144"/>
      <c r="D123" s="145"/>
      <c r="E123" s="146"/>
      <c r="F123" s="147"/>
      <c r="G123" s="146"/>
      <c r="H123" s="146"/>
      <c r="I123" s="148"/>
      <c r="J123" s="149"/>
      <c r="K123" s="149"/>
      <c r="L123" s="148"/>
      <c r="M123" s="149"/>
      <c r="N123" s="149"/>
      <c r="O123" s="148"/>
      <c r="P123" s="149"/>
      <c r="Q123" s="149"/>
      <c r="R123" s="148"/>
      <c r="S123" s="149"/>
      <c r="T123" s="149"/>
      <c r="U123" s="150"/>
      <c r="V123" s="150"/>
      <c r="W123" s="150"/>
      <c r="X123" s="150"/>
      <c r="Y123" s="150"/>
      <c r="Z123" s="151"/>
      <c r="AA123" s="139"/>
      <c r="AB123" s="139"/>
      <c r="AC123" s="152">
        <f t="shared" si="37"/>
        <v>1</v>
      </c>
    </row>
    <row r="124" spans="2:29" hidden="1" x14ac:dyDescent="0.25">
      <c r="B124" s="143"/>
      <c r="C124" s="144"/>
      <c r="D124" s="145"/>
      <c r="E124" s="146"/>
      <c r="F124" s="147"/>
      <c r="G124" s="146"/>
      <c r="H124" s="146"/>
      <c r="I124" s="148"/>
      <c r="J124" s="149"/>
      <c r="K124" s="149"/>
      <c r="L124" s="148"/>
      <c r="M124" s="149"/>
      <c r="N124" s="149"/>
      <c r="O124" s="148"/>
      <c r="P124" s="149"/>
      <c r="Q124" s="149"/>
      <c r="R124" s="148"/>
      <c r="S124" s="149"/>
      <c r="T124" s="149"/>
      <c r="U124" s="150"/>
      <c r="V124" s="150"/>
      <c r="W124" s="150"/>
      <c r="X124" s="150"/>
      <c r="Y124" s="150"/>
      <c r="Z124" s="151"/>
      <c r="AA124" s="139"/>
      <c r="AB124" s="139"/>
      <c r="AC124" s="152">
        <f t="shared" si="37"/>
        <v>1</v>
      </c>
    </row>
    <row r="125" spans="2:29" hidden="1" x14ac:dyDescent="0.25">
      <c r="B125" s="143"/>
      <c r="C125" s="144"/>
      <c r="D125" s="145"/>
      <c r="E125" s="146"/>
      <c r="F125" s="147"/>
      <c r="G125" s="146"/>
      <c r="H125" s="146"/>
      <c r="I125" s="148"/>
      <c r="J125" s="149"/>
      <c r="K125" s="149"/>
      <c r="L125" s="148"/>
      <c r="M125" s="149"/>
      <c r="N125" s="149"/>
      <c r="O125" s="148"/>
      <c r="P125" s="149"/>
      <c r="Q125" s="149"/>
      <c r="R125" s="148"/>
      <c r="S125" s="149"/>
      <c r="T125" s="149"/>
      <c r="U125" s="150"/>
      <c r="V125" s="150"/>
      <c r="W125" s="150"/>
      <c r="X125" s="150"/>
      <c r="Y125" s="150"/>
      <c r="Z125" s="151"/>
      <c r="AA125" s="139"/>
      <c r="AB125" s="139"/>
      <c r="AC125" s="152">
        <f t="shared" si="37"/>
        <v>1</v>
      </c>
    </row>
    <row r="126" spans="2:29" hidden="1" x14ac:dyDescent="0.25">
      <c r="B126" s="143"/>
      <c r="C126" s="144"/>
      <c r="D126" s="145"/>
      <c r="E126" s="146"/>
      <c r="F126" s="147"/>
      <c r="G126" s="146"/>
      <c r="H126" s="146"/>
      <c r="I126" s="148"/>
      <c r="J126" s="149"/>
      <c r="K126" s="149"/>
      <c r="L126" s="148"/>
      <c r="M126" s="149"/>
      <c r="N126" s="149"/>
      <c r="O126" s="148"/>
      <c r="P126" s="149"/>
      <c r="Q126" s="149"/>
      <c r="R126" s="148"/>
      <c r="S126" s="149"/>
      <c r="T126" s="149"/>
      <c r="U126" s="150"/>
      <c r="V126" s="150"/>
      <c r="W126" s="150"/>
      <c r="X126" s="150"/>
      <c r="Y126" s="150"/>
      <c r="Z126" s="151"/>
      <c r="AA126" s="139"/>
      <c r="AB126" s="139"/>
      <c r="AC126" s="152">
        <f t="shared" si="37"/>
        <v>1</v>
      </c>
    </row>
    <row r="127" spans="2:29" hidden="1" x14ac:dyDescent="0.25">
      <c r="B127" s="143"/>
      <c r="C127" s="144"/>
      <c r="D127" s="145"/>
      <c r="E127" s="146"/>
      <c r="F127" s="147"/>
      <c r="G127" s="146"/>
      <c r="H127" s="146"/>
      <c r="I127" s="148"/>
      <c r="J127" s="149"/>
      <c r="K127" s="149"/>
      <c r="L127" s="148"/>
      <c r="M127" s="149"/>
      <c r="N127" s="149"/>
      <c r="O127" s="148"/>
      <c r="P127" s="149"/>
      <c r="Q127" s="149"/>
      <c r="R127" s="148"/>
      <c r="S127" s="149"/>
      <c r="T127" s="149"/>
      <c r="U127" s="150"/>
      <c r="V127" s="150"/>
      <c r="W127" s="150"/>
      <c r="X127" s="150"/>
      <c r="Y127" s="150"/>
      <c r="Z127" s="151"/>
      <c r="AA127" s="139"/>
      <c r="AB127" s="139"/>
      <c r="AC127" s="152">
        <f t="shared" si="37"/>
        <v>1</v>
      </c>
    </row>
    <row r="128" spans="2:29" hidden="1" x14ac:dyDescent="0.25">
      <c r="B128" s="143"/>
      <c r="C128" s="144"/>
      <c r="D128" s="145"/>
      <c r="E128" s="146"/>
      <c r="F128" s="147"/>
      <c r="G128" s="146"/>
      <c r="H128" s="146"/>
      <c r="I128" s="148"/>
      <c r="J128" s="149"/>
      <c r="K128" s="149"/>
      <c r="L128" s="148"/>
      <c r="M128" s="149"/>
      <c r="N128" s="149"/>
      <c r="O128" s="148"/>
      <c r="P128" s="149"/>
      <c r="Q128" s="149"/>
      <c r="R128" s="148"/>
      <c r="S128" s="149"/>
      <c r="T128" s="149"/>
      <c r="U128" s="150"/>
      <c r="V128" s="150"/>
      <c r="W128" s="150"/>
      <c r="X128" s="150"/>
      <c r="Y128" s="150"/>
      <c r="Z128" s="151"/>
      <c r="AA128" s="139"/>
      <c r="AB128" s="139"/>
      <c r="AC128" s="152">
        <f t="shared" si="37"/>
        <v>1</v>
      </c>
    </row>
    <row r="129" spans="2:29" hidden="1" x14ac:dyDescent="0.25">
      <c r="B129" s="143"/>
      <c r="C129" s="144"/>
      <c r="D129" s="145"/>
      <c r="E129" s="146"/>
      <c r="F129" s="147"/>
      <c r="G129" s="146"/>
      <c r="H129" s="146"/>
      <c r="I129" s="148"/>
      <c r="J129" s="149"/>
      <c r="K129" s="149"/>
      <c r="L129" s="148"/>
      <c r="M129" s="149"/>
      <c r="N129" s="149"/>
      <c r="O129" s="148"/>
      <c r="P129" s="149"/>
      <c r="Q129" s="149"/>
      <c r="R129" s="148"/>
      <c r="S129" s="149"/>
      <c r="T129" s="149"/>
      <c r="U129" s="150"/>
      <c r="V129" s="150"/>
      <c r="W129" s="150"/>
      <c r="X129" s="150"/>
      <c r="Y129" s="150"/>
      <c r="Z129" s="151"/>
      <c r="AA129" s="139"/>
      <c r="AB129" s="139"/>
      <c r="AC129" s="152">
        <f t="shared" si="37"/>
        <v>1</v>
      </c>
    </row>
    <row r="130" spans="2:29" ht="16.5" hidden="1" thickBot="1" x14ac:dyDescent="0.3">
      <c r="B130" s="143"/>
      <c r="C130" s="144"/>
      <c r="D130" s="145"/>
      <c r="E130" s="146"/>
      <c r="F130" s="147"/>
      <c r="G130" s="146"/>
      <c r="H130" s="146"/>
      <c r="I130" s="148"/>
      <c r="J130" s="149"/>
      <c r="K130" s="149"/>
      <c r="L130" s="148"/>
      <c r="M130" s="149"/>
      <c r="N130" s="149"/>
      <c r="O130" s="148"/>
      <c r="P130" s="149"/>
      <c r="Q130" s="149"/>
      <c r="R130" s="148"/>
      <c r="S130" s="149"/>
      <c r="T130" s="149"/>
      <c r="U130" s="150"/>
      <c r="V130" s="150"/>
      <c r="W130" s="150"/>
      <c r="X130" s="150"/>
      <c r="Y130" s="150"/>
      <c r="Z130" s="151"/>
      <c r="AA130" s="139"/>
      <c r="AB130" s="139"/>
      <c r="AC130" s="152">
        <f t="shared" si="37"/>
        <v>1</v>
      </c>
    </row>
    <row r="131" spans="2:29" ht="19.5" thickBot="1" x14ac:dyDescent="0.35">
      <c r="B131" s="586"/>
      <c r="C131" s="587"/>
      <c r="D131" s="153">
        <f>SUM(D31:D130)</f>
        <v>26113200</v>
      </c>
      <c r="E131" s="153">
        <f ca="1">SUM(E31:E130)</f>
        <v>14999999.999999998</v>
      </c>
      <c r="F131" s="153"/>
      <c r="G131" s="153">
        <f t="shared" ref="G131:Z131" ca="1" si="38">SUM(G31:G130)</f>
        <v>14450443.639512725</v>
      </c>
      <c r="H131" s="153">
        <f t="shared" ca="1" si="38"/>
        <v>15000000</v>
      </c>
      <c r="I131" s="153">
        <f t="shared" ca="1" si="38"/>
        <v>6</v>
      </c>
      <c r="J131" s="153">
        <f t="shared" ca="1" si="38"/>
        <v>14958615.509528574</v>
      </c>
      <c r="K131" s="153">
        <f t="shared" ca="1" si="38"/>
        <v>15000000</v>
      </c>
      <c r="L131" s="153">
        <f t="shared" ca="1" si="38"/>
        <v>6</v>
      </c>
      <c r="M131" s="153">
        <f t="shared" ca="1" si="38"/>
        <v>15000000</v>
      </c>
      <c r="N131" s="153">
        <f t="shared" ca="1" si="38"/>
        <v>15000000</v>
      </c>
      <c r="O131" s="153">
        <f t="shared" ca="1" si="38"/>
        <v>6</v>
      </c>
      <c r="P131" s="153">
        <f t="shared" ca="1" si="38"/>
        <v>15000000</v>
      </c>
      <c r="Q131" s="153">
        <f t="shared" ca="1" si="38"/>
        <v>15000000</v>
      </c>
      <c r="R131" s="153">
        <f t="shared" ca="1" si="38"/>
        <v>6</v>
      </c>
      <c r="S131" s="153">
        <f t="shared" ca="1" si="38"/>
        <v>15000000</v>
      </c>
      <c r="T131" s="153">
        <f t="shared" ca="1" si="38"/>
        <v>15000000</v>
      </c>
      <c r="U131" s="153">
        <f t="shared" ca="1" si="38"/>
        <v>15000000</v>
      </c>
      <c r="V131" s="153"/>
      <c r="W131" s="153"/>
      <c r="X131" s="153"/>
      <c r="Y131" s="153"/>
      <c r="Z131" s="154">
        <f t="shared" ca="1" si="38"/>
        <v>1</v>
      </c>
      <c r="AA131" s="139"/>
      <c r="AB131" s="139"/>
      <c r="AC131" s="139"/>
    </row>
    <row r="132" spans="2:29" x14ac:dyDescent="0.25">
      <c r="B132" s="139"/>
      <c r="C132" s="139"/>
      <c r="D132" s="139"/>
      <c r="E132" s="139"/>
      <c r="F132" s="139"/>
      <c r="G132" s="139"/>
      <c r="H132" s="139"/>
      <c r="I132" s="139"/>
      <c r="J132" s="139"/>
      <c r="K132" s="139"/>
      <c r="L132" s="139"/>
      <c r="M132" s="139"/>
      <c r="N132" s="139"/>
      <c r="O132" s="139"/>
      <c r="P132" s="139"/>
      <c r="Q132" s="139"/>
      <c r="R132" s="139"/>
      <c r="S132" s="139"/>
      <c r="T132" s="139"/>
      <c r="U132" s="139"/>
      <c r="V132" s="139"/>
      <c r="W132" s="139"/>
      <c r="X132" s="139"/>
      <c r="Y132" s="139"/>
      <c r="Z132" s="139"/>
      <c r="AA132" s="139"/>
      <c r="AB132" s="139"/>
      <c r="AC132" s="139"/>
    </row>
  </sheetData>
  <sheetProtection algorithmName="SHA-512" hashValue="F92fTLSolVX56STLoxSU8f8W1EMZTYZjk3AuMi724eRjNNRs2Gl23hdCYY6UsJvcG/g8CSSIxHiCLvkkLcChUw==" saltValue="mLYO/ocoMSYlTlDt1YI+pg==" spinCount="100000" sheet="1" scenarios="1" formatColumns="0" formatRows="0" autoFilter="0"/>
  <mergeCells count="12">
    <mergeCell ref="AC29:AC30"/>
    <mergeCell ref="B131:C131"/>
    <mergeCell ref="F2:U2"/>
    <mergeCell ref="B28:Z28"/>
    <mergeCell ref="B29:B30"/>
    <mergeCell ref="C29:C30"/>
    <mergeCell ref="E29:E30"/>
    <mergeCell ref="F29:F30"/>
    <mergeCell ref="G29:G30"/>
    <mergeCell ref="H29:H30"/>
    <mergeCell ref="U29:U30"/>
    <mergeCell ref="Z29:Z30"/>
  </mergeCells>
  <conditionalFormatting sqref="C1:C2">
    <cfRule type="containsBlanks" dxfId="219" priority="6">
      <formula>LEN(TRIM(C1))=0</formula>
    </cfRule>
  </conditionalFormatting>
  <conditionalFormatting sqref="D31:D91">
    <cfRule type="containsBlanks" dxfId="218" priority="2">
      <formula>LEN(TRIM(D31))=0</formula>
    </cfRule>
  </conditionalFormatting>
  <conditionalFormatting sqref="D92:D130">
    <cfRule type="expression" dxfId="217" priority="3">
      <formula>AND($D92="",D92&lt;&gt;"")</formula>
    </cfRule>
    <cfRule type="expression" dxfId="216" priority="4">
      <formula>$C92&lt;&gt;""</formula>
    </cfRule>
  </conditionalFormatting>
  <conditionalFormatting sqref="E31:H130 B31:C130 U31:Z130">
    <cfRule type="containsBlanks" dxfId="215" priority="10">
      <formula>LEN(TRIM(B31))=0</formula>
    </cfRule>
  </conditionalFormatting>
  <conditionalFormatting sqref="I31:T130">
    <cfRule type="containsText" dxfId="214" priority="11" operator="containsText" text="הזנה שגויה">
      <formula>NOT(ISERROR(SEARCH("הזנה שגויה",I31)))</formula>
    </cfRule>
  </conditionalFormatting>
  <dataValidations count="1">
    <dataValidation type="decimal" operator="greaterThanOrEqual" allowBlank="1" showInputMessage="1" showErrorMessage="1" error="יש להזין מספר שאינו שלילי" sqref="D31:D130" xr:uid="{00000000-0002-0000-1500-000000000000}">
      <formula1>0</formula1>
    </dataValidation>
  </dataValidations>
  <printOptions horizontalCentered="1"/>
  <pageMargins left="0.51181102362204722" right="0.51181102362204722" top="0.74803149606299213" bottom="0.74803149606299213" header="0.31496062992125984" footer="0.31496062992125984"/>
  <pageSetup paperSize="9" scale="64"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1" operator="containsText" id="{6888846D-3C8B-4496-80CB-9211D8D7077B}">
            <xm:f>NOT(ISERROR(SEARCH($AF$1,D31)))</xm:f>
            <xm:f>$AF$1</xm:f>
            <x14:dxf>
              <fill>
                <patternFill>
                  <bgColor rgb="FFFF0000"/>
                </patternFill>
              </fill>
            </x14:dxf>
          </x14:cfRule>
          <xm:sqref>D31:D91</xm:sqref>
        </x14:conditionalFormatting>
        <x14:conditionalFormatting xmlns:xm="http://schemas.microsoft.com/office/excel/2006/main">
          <x14:cfRule type="containsText" priority="5" operator="containsText" id="{E0CC3485-245A-4484-8B48-C3BEB57DDC0C}">
            <xm:f>NOT(ISERROR(SEARCH($AF$1,E31)))</xm:f>
            <xm:f>$AF$1</xm:f>
            <x14:dxf>
              <fill>
                <patternFill>
                  <bgColor rgb="FFFF0000"/>
                </patternFill>
              </fill>
            </x14:dxf>
          </x14:cfRule>
          <xm:sqref>E31:E130</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249977111117893"/>
  </sheetPr>
  <dimension ref="A1:GR131"/>
  <sheetViews>
    <sheetView rightToLeft="1" view="pageBreakPreview" topLeftCell="B1" zoomScaleNormal="80" zoomScaleSheetLayoutView="100" workbookViewId="0">
      <pane ySplit="30" topLeftCell="A31" activePane="bottomLeft" state="frozen"/>
      <selection activeCell="M88" sqref="M88"/>
      <selection pane="bottomLeft" activeCell="B31" sqref="B31"/>
    </sheetView>
  </sheetViews>
  <sheetFormatPr defaultColWidth="8" defaultRowHeight="15.75" x14ac:dyDescent="0.25"/>
  <cols>
    <col min="1" max="1" width="3.85546875" style="155" hidden="1" customWidth="1"/>
    <col min="2" max="2" width="11.42578125" style="155" customWidth="1"/>
    <col min="3" max="3" width="25" style="155" customWidth="1"/>
    <col min="4" max="4" width="15.42578125" style="155" bestFit="1" customWidth="1"/>
    <col min="5" max="5" width="12.140625" style="155" customWidth="1"/>
    <col min="6" max="6" width="12.42578125" style="155" customWidth="1"/>
    <col min="7" max="7" width="17" style="155" bestFit="1" customWidth="1"/>
    <col min="8" max="8" width="15.85546875" style="155" bestFit="1" customWidth="1"/>
    <col min="9" max="10" width="8" style="155" hidden="1" customWidth="1"/>
    <col min="11" max="11" width="18.5703125" style="155" hidden="1" customWidth="1"/>
    <col min="12" max="12" width="16.140625" style="155" hidden="1" customWidth="1"/>
    <col min="13" max="15" width="8" style="155" hidden="1" customWidth="1"/>
    <col min="16" max="16" width="12.140625" style="155" hidden="1" customWidth="1"/>
    <col min="17" max="200" width="8" style="155" hidden="1" customWidth="1"/>
    <col min="201" max="16384" width="8" style="155"/>
  </cols>
  <sheetData>
    <row r="1" spans="2:16" ht="37.5" x14ac:dyDescent="0.25">
      <c r="B1" s="137" t="str">
        <f>פרמטרים!B3</f>
        <v>שנת תקציב</v>
      </c>
      <c r="C1" s="138">
        <f>פרמטרים!C3</f>
        <v>2025</v>
      </c>
      <c r="P1" s="139" t="s">
        <v>188</v>
      </c>
    </row>
    <row r="2" spans="2:16" ht="33.75" customHeight="1" thickBot="1" x14ac:dyDescent="0.3">
      <c r="B2" s="140" t="str">
        <f>פרמטרים!B4</f>
        <v xml:space="preserve">גובה תמיכה </v>
      </c>
      <c r="C2" s="141">
        <f>פרמטרים!C4</f>
        <v>15000000</v>
      </c>
      <c r="K2" s="227" t="s">
        <v>274</v>
      </c>
      <c r="L2" s="227" t="s">
        <v>275</v>
      </c>
    </row>
    <row r="3" spans="2:16" x14ac:dyDescent="0.25">
      <c r="K3" s="228"/>
      <c r="L3" s="228"/>
    </row>
    <row r="4" spans="2:16" hidden="1" x14ac:dyDescent="0.25">
      <c r="K4" s="228"/>
      <c r="L4" s="228"/>
    </row>
    <row r="5" spans="2:16" hidden="1" x14ac:dyDescent="0.25">
      <c r="K5" s="228"/>
      <c r="L5" s="228"/>
    </row>
    <row r="6" spans="2:16" hidden="1" x14ac:dyDescent="0.25">
      <c r="K6" s="228"/>
      <c r="L6" s="228"/>
    </row>
    <row r="7" spans="2:16" hidden="1" x14ac:dyDescent="0.25">
      <c r="K7" s="228"/>
      <c r="L7" s="228"/>
    </row>
    <row r="8" spans="2:16" hidden="1" x14ac:dyDescent="0.25">
      <c r="K8" s="228"/>
      <c r="L8" s="228"/>
    </row>
    <row r="9" spans="2:16" hidden="1" x14ac:dyDescent="0.25">
      <c r="K9" s="228"/>
      <c r="L9" s="228"/>
    </row>
    <row r="10" spans="2:16" hidden="1" x14ac:dyDescent="0.25">
      <c r="K10" s="228"/>
      <c r="L10" s="228"/>
    </row>
    <row r="11" spans="2:16" hidden="1" x14ac:dyDescent="0.25">
      <c r="K11" s="228"/>
      <c r="L11" s="228"/>
    </row>
    <row r="12" spans="2:16" hidden="1" x14ac:dyDescent="0.25">
      <c r="K12" s="228"/>
      <c r="L12" s="228"/>
    </row>
    <row r="13" spans="2:16" hidden="1" x14ac:dyDescent="0.25">
      <c r="K13" s="228"/>
      <c r="L13" s="228"/>
    </row>
    <row r="14" spans="2:16" hidden="1" x14ac:dyDescent="0.25">
      <c r="K14" s="228"/>
      <c r="L14" s="228"/>
    </row>
    <row r="15" spans="2:16" hidden="1" x14ac:dyDescent="0.25">
      <c r="K15" s="228"/>
      <c r="L15" s="228"/>
    </row>
    <row r="16" spans="2:16" hidden="1" x14ac:dyDescent="0.25">
      <c r="K16" s="228"/>
      <c r="L16" s="228"/>
    </row>
    <row r="17" spans="1:13" hidden="1" x14ac:dyDescent="0.25">
      <c r="K17" s="228"/>
      <c r="L17" s="228"/>
    </row>
    <row r="18" spans="1:13" hidden="1" x14ac:dyDescent="0.25">
      <c r="K18" s="228"/>
      <c r="L18" s="228"/>
    </row>
    <row r="19" spans="1:13" hidden="1" x14ac:dyDescent="0.25">
      <c r="K19" s="228"/>
      <c r="L19" s="228"/>
    </row>
    <row r="20" spans="1:13" hidden="1" x14ac:dyDescent="0.25">
      <c r="K20" s="228"/>
      <c r="L20" s="228"/>
    </row>
    <row r="21" spans="1:13" hidden="1" x14ac:dyDescent="0.25">
      <c r="K21" s="228"/>
      <c r="L21" s="228"/>
    </row>
    <row r="22" spans="1:13" hidden="1" x14ac:dyDescent="0.25">
      <c r="K22" s="228"/>
      <c r="L22" s="228"/>
    </row>
    <row r="23" spans="1:13" hidden="1" x14ac:dyDescent="0.25">
      <c r="K23" s="228"/>
      <c r="L23" s="228"/>
    </row>
    <row r="24" spans="1:13" hidden="1" x14ac:dyDescent="0.25">
      <c r="K24" s="228"/>
      <c r="L24" s="228"/>
    </row>
    <row r="25" spans="1:13" hidden="1" x14ac:dyDescent="0.25">
      <c r="K25" s="228"/>
      <c r="L25" s="228"/>
    </row>
    <row r="26" spans="1:13" hidden="1" x14ac:dyDescent="0.25">
      <c r="K26" s="228"/>
      <c r="L26" s="228"/>
    </row>
    <row r="27" spans="1:13" ht="21" thickBot="1" x14ac:dyDescent="0.35">
      <c r="K27" s="229">
        <f ca="1">SUMIF(L31:L130,0,D31:D130)</f>
        <v>15000000</v>
      </c>
      <c r="L27" s="230">
        <f ca="1">SUM(F31:F130)</f>
        <v>0</v>
      </c>
    </row>
    <row r="28" spans="1:13" ht="21" customHeight="1" thickBot="1" x14ac:dyDescent="0.3">
      <c r="B28" s="600" t="str">
        <f ca="1">MID(CELL("filename",B30),FIND("]",CELL("filename",C30),1)+1,99)</f>
        <v>קיזוזים בגין איחורים</v>
      </c>
      <c r="C28" s="601"/>
      <c r="D28" s="601"/>
      <c r="E28" s="601"/>
      <c r="F28" s="601"/>
      <c r="G28" s="601"/>
      <c r="H28" s="602"/>
    </row>
    <row r="29" spans="1:13" ht="42.75" customHeight="1" x14ac:dyDescent="0.25">
      <c r="A29" s="320"/>
      <c r="B29" s="603" t="s">
        <v>145</v>
      </c>
      <c r="C29" s="603" t="s">
        <v>146</v>
      </c>
      <c r="D29" s="603" t="s">
        <v>276</v>
      </c>
      <c r="E29" s="314" t="s">
        <v>277</v>
      </c>
      <c r="F29" s="603" t="s">
        <v>278</v>
      </c>
      <c r="G29" s="603" t="s">
        <v>279</v>
      </c>
      <c r="H29" s="603" t="s">
        <v>280</v>
      </c>
      <c r="J29" s="605" t="s">
        <v>281</v>
      </c>
      <c r="K29" s="605" t="s">
        <v>282</v>
      </c>
      <c r="L29" s="605" t="s">
        <v>283</v>
      </c>
      <c r="M29" s="605" t="s">
        <v>284</v>
      </c>
    </row>
    <row r="30" spans="1:13" ht="31.5" customHeight="1" thickBot="1" x14ac:dyDescent="0.3">
      <c r="A30" s="320"/>
      <c r="B30" s="604"/>
      <c r="C30" s="604"/>
      <c r="D30" s="604"/>
      <c r="E30" s="321" t="s">
        <v>285</v>
      </c>
      <c r="F30" s="604"/>
      <c r="G30" s="604"/>
      <c r="H30" s="604"/>
      <c r="J30" s="606"/>
      <c r="K30" s="606"/>
      <c r="L30" s="606"/>
      <c r="M30" s="606"/>
    </row>
    <row r="31" spans="1:13" ht="20.25" x14ac:dyDescent="0.25">
      <c r="B31" s="156">
        <f ca="1">IF(C31="","",ROW()-30)</f>
        <v>1</v>
      </c>
      <c r="C31" s="157" t="str">
        <f ca="1">'הגבלה לסכום מבוקש (1)'!C31</f>
        <v>מרכז מורשת בבל</v>
      </c>
      <c r="D31" s="158">
        <f ca="1">'הגבלה לסכום מבוקש (1)'!U31</f>
        <v>843151.02176823688</v>
      </c>
      <c r="E31" s="159"/>
      <c r="F31" s="160">
        <f t="shared" ref="F31:F94" ca="1" si="0">IF(C31="","",IFERROR(MIN(D31,E31/365*D31),$P$1))</f>
        <v>0</v>
      </c>
      <c r="G31" s="161">
        <f ca="1">IF($C31="","",D31-F31)</f>
        <v>843151.02176823688</v>
      </c>
      <c r="H31" s="161">
        <f ca="1">IF($C31="","",G31+M31)</f>
        <v>843151.02176823688</v>
      </c>
      <c r="J31" s="229">
        <f ca="1">IF($C31="","",IFERROR(IF('קיזוזים- החלטות ועדה'!E31=0,0,1),0))</f>
        <v>0</v>
      </c>
      <c r="K31" s="229">
        <f ca="1">IF($C31="","",IFERROR(IF(E31=0,0,1),0))</f>
        <v>0</v>
      </c>
      <c r="L31" s="229">
        <f ca="1">IF($C31="","",IF(OR(K31=1,J31=1),1,0))</f>
        <v>0</v>
      </c>
      <c r="M31" s="231">
        <f ca="1">IF($C31="","",IF(L31=1,0,$L$27*$D31/$K$27))</f>
        <v>0</v>
      </c>
    </row>
    <row r="32" spans="1:13" ht="20.25" x14ac:dyDescent="0.25">
      <c r="B32" s="156">
        <f t="shared" ref="B32:B95" ca="1" si="1">IF(C32="","",ROW()-30)</f>
        <v>2</v>
      </c>
      <c r="C32" s="157" t="str">
        <f ca="1">'הגבלה לסכום מבוקש (1)'!C32</f>
        <v>מורשת יהודי צפון  אפריקה</v>
      </c>
      <c r="D32" s="158">
        <f ca="1">'הגבלה לסכום מבוקש (1)'!U32</f>
        <v>300000</v>
      </c>
      <c r="E32" s="159"/>
      <c r="F32" s="160">
        <f t="shared" ca="1" si="0"/>
        <v>0</v>
      </c>
      <c r="G32" s="161">
        <f t="shared" ref="G32:G95" ca="1" si="2">IF($C32="","",D32-F32)</f>
        <v>300000</v>
      </c>
      <c r="H32" s="161">
        <f t="shared" ref="H32:H95" ca="1" si="3">IF($C32="","",G32+M32)</f>
        <v>300000</v>
      </c>
      <c r="J32" s="229">
        <f ca="1">IF($C32="","",IFERROR(IF('קיזוזים- החלטות ועדה'!E32=0,0,1),0))</f>
        <v>0</v>
      </c>
      <c r="K32" s="229">
        <f t="shared" ref="K32:K95" ca="1" si="4">IF($C32="","",IFERROR(IF(E32=0,0,1),0))</f>
        <v>0</v>
      </c>
      <c r="L32" s="229">
        <f t="shared" ref="L32:L95" ca="1" si="5">IF($C32="","",IF(OR(K32=1,J32=1),1,0))</f>
        <v>0</v>
      </c>
      <c r="M32" s="231">
        <f t="shared" ref="M32:M95" ca="1" si="6">IF($C32="","",IF(L32=1,0,$L$27*$D32/$K$27))</f>
        <v>0</v>
      </c>
    </row>
    <row r="33" spans="2:13" ht="20.25" x14ac:dyDescent="0.25">
      <c r="B33" s="156">
        <f t="shared" ca="1" si="1"/>
        <v>3</v>
      </c>
      <c r="C33" s="157" t="str">
        <f ca="1">'הגבלה לסכום מבוקש (1)'!C33</f>
        <v>מורשת יהדות קוצין</v>
      </c>
      <c r="D33" s="158">
        <f ca="1">'הגבלה לסכום מבוקש (1)'!U33</f>
        <v>532899.81577490713</v>
      </c>
      <c r="E33" s="159"/>
      <c r="F33" s="160">
        <f t="shared" ca="1" si="0"/>
        <v>0</v>
      </c>
      <c r="G33" s="161">
        <f t="shared" ca="1" si="2"/>
        <v>532899.81577490713</v>
      </c>
      <c r="H33" s="161">
        <f t="shared" ca="1" si="3"/>
        <v>532899.81577490713</v>
      </c>
      <c r="J33" s="229">
        <f ca="1">IF($C33="","",IFERROR(IF('קיזוזים- החלטות ועדה'!E33=0,0,1),0))</f>
        <v>0</v>
      </c>
      <c r="K33" s="229">
        <f t="shared" ca="1" si="4"/>
        <v>0</v>
      </c>
      <c r="L33" s="229">
        <f t="shared" ca="1" si="5"/>
        <v>0</v>
      </c>
      <c r="M33" s="231">
        <f t="shared" ca="1" si="6"/>
        <v>0</v>
      </c>
    </row>
    <row r="34" spans="2:13" ht="20.25" hidden="1" x14ac:dyDescent="0.25">
      <c r="B34" s="156">
        <f t="shared" ca="1" si="1"/>
        <v>4</v>
      </c>
      <c r="C34" s="157" t="str">
        <f ca="1">'הגבלה לסכום מבוקש (1)'!C34</f>
        <v>הפדרציה העולמית של יהדות תוניס</v>
      </c>
      <c r="D34" s="158">
        <f ca="1">'הגבלה לסכום מבוקש (1)'!U34</f>
        <v>90923.99287883252</v>
      </c>
      <c r="E34" s="159"/>
      <c r="F34" s="160">
        <f t="shared" ca="1" si="0"/>
        <v>0</v>
      </c>
      <c r="G34" s="161">
        <f t="shared" ca="1" si="2"/>
        <v>90923.99287883252</v>
      </c>
      <c r="H34" s="161">
        <f t="shared" ca="1" si="3"/>
        <v>90923.99287883252</v>
      </c>
      <c r="J34" s="229">
        <f ca="1">IF($C34="","",IFERROR(IF('קיזוזים- החלטות ועדה'!E34=0,0,1),0))</f>
        <v>0</v>
      </c>
      <c r="K34" s="229">
        <f t="shared" ca="1" si="4"/>
        <v>0</v>
      </c>
      <c r="L34" s="229">
        <f t="shared" ca="1" si="5"/>
        <v>0</v>
      </c>
      <c r="M34" s="231">
        <f t="shared" ca="1" si="6"/>
        <v>0</v>
      </c>
    </row>
    <row r="35" spans="2:13" ht="20.25" x14ac:dyDescent="0.25">
      <c r="B35" s="156">
        <f t="shared" ca="1" si="1"/>
        <v>5</v>
      </c>
      <c r="C35" s="157" t="str">
        <f ca="1">'הגבלה לסכום מבוקש (1)'!C35</f>
        <v>התאחדות עולי מצרים</v>
      </c>
      <c r="D35" s="158">
        <f ca="1">'הגבלה לסכום מבוקש (1)'!U35</f>
        <v>250000</v>
      </c>
      <c r="E35" s="159"/>
      <c r="F35" s="160">
        <f t="shared" ca="1" si="0"/>
        <v>0</v>
      </c>
      <c r="G35" s="161">
        <f t="shared" ca="1" si="2"/>
        <v>250000</v>
      </c>
      <c r="H35" s="161">
        <f t="shared" ca="1" si="3"/>
        <v>250000</v>
      </c>
      <c r="J35" s="229">
        <f ca="1">IF($C35="","",IFERROR(IF('קיזוזים- החלטות ועדה'!E35=0,0,1),0))</f>
        <v>0</v>
      </c>
      <c r="K35" s="229">
        <f t="shared" ca="1" si="4"/>
        <v>0</v>
      </c>
      <c r="L35" s="229">
        <f t="shared" ca="1" si="5"/>
        <v>0</v>
      </c>
      <c r="M35" s="231">
        <f t="shared" ca="1" si="6"/>
        <v>0</v>
      </c>
    </row>
    <row r="36" spans="2:13" ht="20.25" x14ac:dyDescent="0.25">
      <c r="B36" s="156">
        <f t="shared" ca="1" si="1"/>
        <v>6</v>
      </c>
      <c r="C36" s="157" t="str">
        <f ca="1">'הגבלה לסכום מבוקש (1)'!C36</f>
        <v>יהודים יוצאי לוב</v>
      </c>
      <c r="D36" s="158">
        <f ca="1">'הגבלה לסכום מבוקש (1)'!U36</f>
        <v>513265.8760652481</v>
      </c>
      <c r="E36" s="159"/>
      <c r="F36" s="160">
        <f t="shared" ca="1" si="0"/>
        <v>0</v>
      </c>
      <c r="G36" s="161">
        <f t="shared" ca="1" si="2"/>
        <v>513265.8760652481</v>
      </c>
      <c r="H36" s="161">
        <f t="shared" ca="1" si="3"/>
        <v>513265.8760652481</v>
      </c>
      <c r="J36" s="229">
        <f ca="1">IF($C36="","",IFERROR(IF('קיזוזים- החלטות ועדה'!E36=0,0,1),0))</f>
        <v>0</v>
      </c>
      <c r="K36" s="229">
        <f t="shared" ca="1" si="4"/>
        <v>0</v>
      </c>
      <c r="L36" s="229">
        <f t="shared" ca="1" si="5"/>
        <v>0</v>
      </c>
      <c r="M36" s="231">
        <f t="shared" ca="1" si="6"/>
        <v>0</v>
      </c>
    </row>
    <row r="37" spans="2:13" ht="20.25" x14ac:dyDescent="0.25">
      <c r="B37" s="156">
        <f t="shared" ca="1" si="1"/>
        <v>7</v>
      </c>
      <c r="C37" s="157" t="str">
        <f ca="1">'הגבלה לסכום מבוקש (1)'!C37</f>
        <v>הפדרציה העולמית של יהדות מרוקו</v>
      </c>
      <c r="D37" s="158">
        <f ca="1">'הגבלה לסכום מבוקש (1)'!U37</f>
        <v>318649.72385019995</v>
      </c>
      <c r="E37" s="159"/>
      <c r="F37" s="160">
        <f t="shared" ca="1" si="0"/>
        <v>0</v>
      </c>
      <c r="G37" s="161">
        <f t="shared" ca="1" si="2"/>
        <v>318649.72385019995</v>
      </c>
      <c r="H37" s="161">
        <f t="shared" ca="1" si="3"/>
        <v>318649.72385019995</v>
      </c>
      <c r="J37" s="229">
        <f ca="1">IF($C37="","",IFERROR(IF('קיזוזים- החלטות ועדה'!E37=0,0,1),0))</f>
        <v>0</v>
      </c>
      <c r="K37" s="229">
        <f t="shared" ca="1" si="4"/>
        <v>0</v>
      </c>
      <c r="L37" s="229">
        <f t="shared" ca="1" si="5"/>
        <v>0</v>
      </c>
      <c r="M37" s="231">
        <f t="shared" ca="1" si="6"/>
        <v>0</v>
      </c>
    </row>
    <row r="38" spans="2:13" ht="20.25" x14ac:dyDescent="0.25">
      <c r="B38" s="156">
        <f t="shared" ca="1" si="1"/>
        <v>8</v>
      </c>
      <c r="C38" s="157" t="str">
        <f ca="1">'הגבלה לסכום מבוקש (1)'!C38</f>
        <v>אורות הגליל</v>
      </c>
      <c r="D38" s="158">
        <f ca="1">'הגבלה לסכום מבוקש (1)'!U38</f>
        <v>442153.01026711374</v>
      </c>
      <c r="E38" s="159"/>
      <c r="F38" s="160">
        <f t="shared" ca="1" si="0"/>
        <v>0</v>
      </c>
      <c r="G38" s="161">
        <f t="shared" ca="1" si="2"/>
        <v>442153.01026711374</v>
      </c>
      <c r="H38" s="161">
        <f t="shared" ca="1" si="3"/>
        <v>442153.01026711374</v>
      </c>
      <c r="J38" s="229">
        <f ca="1">IF($C38="","",IFERROR(IF('קיזוזים- החלטות ועדה'!E38=0,0,1),0))</f>
        <v>0</v>
      </c>
      <c r="K38" s="229">
        <f t="shared" ca="1" si="4"/>
        <v>0</v>
      </c>
      <c r="L38" s="229">
        <f t="shared" ca="1" si="5"/>
        <v>0</v>
      </c>
      <c r="M38" s="231">
        <f t="shared" ca="1" si="6"/>
        <v>0</v>
      </c>
    </row>
    <row r="39" spans="2:13" ht="20.25" x14ac:dyDescent="0.25">
      <c r="B39" s="156">
        <f t="shared" ca="1" si="1"/>
        <v>9</v>
      </c>
      <c r="C39" s="157" t="str">
        <f ca="1">'הגבלה לסכום מבוקש (1)'!C39</f>
        <v>אלמז</v>
      </c>
      <c r="D39" s="158">
        <f ca="1">'הגבלה לסכום מבוקש (1)'!U39</f>
        <v>141834.97639121802</v>
      </c>
      <c r="E39" s="159"/>
      <c r="F39" s="160">
        <f t="shared" ca="1" si="0"/>
        <v>0</v>
      </c>
      <c r="G39" s="161">
        <f t="shared" ca="1" si="2"/>
        <v>141834.97639121802</v>
      </c>
      <c r="H39" s="161">
        <f t="shared" ca="1" si="3"/>
        <v>141834.97639121802</v>
      </c>
      <c r="J39" s="229">
        <f ca="1">IF($C39="","",IFERROR(IF('קיזוזים- החלטות ועדה'!E39=0,0,1),0))</f>
        <v>0</v>
      </c>
      <c r="K39" s="229">
        <f t="shared" ca="1" si="4"/>
        <v>0</v>
      </c>
      <c r="L39" s="229">
        <f t="shared" ca="1" si="5"/>
        <v>0</v>
      </c>
      <c r="M39" s="231">
        <f t="shared" ca="1" si="6"/>
        <v>0</v>
      </c>
    </row>
    <row r="40" spans="2:13" ht="20.25" x14ac:dyDescent="0.25">
      <c r="B40" s="156">
        <f t="shared" ca="1" si="1"/>
        <v>10</v>
      </c>
      <c r="C40" s="157" t="str">
        <f ca="1">'הגבלה לסכום מבוקש (1)'!C40</f>
        <v>קונגרס יהודי בוכרה</v>
      </c>
      <c r="D40" s="158">
        <f ca="1">'הגבלה לסכום מבוקש (1)'!U40</f>
        <v>1543809.2280614062</v>
      </c>
      <c r="E40" s="159"/>
      <c r="F40" s="160">
        <f t="shared" ca="1" si="0"/>
        <v>0</v>
      </c>
      <c r="G40" s="161">
        <f t="shared" ca="1" si="2"/>
        <v>1543809.2280614062</v>
      </c>
      <c r="H40" s="161">
        <f t="shared" ca="1" si="3"/>
        <v>1543809.2280614062</v>
      </c>
      <c r="J40" s="229">
        <f ca="1">IF($C40="","",IFERROR(IF('קיזוזים- החלטות ועדה'!E40=0,0,1),0))</f>
        <v>0</v>
      </c>
      <c r="K40" s="229">
        <f t="shared" ca="1" si="4"/>
        <v>0</v>
      </c>
      <c r="L40" s="229">
        <f t="shared" ca="1" si="5"/>
        <v>0</v>
      </c>
      <c r="M40" s="231">
        <f t="shared" ca="1" si="6"/>
        <v>0</v>
      </c>
    </row>
    <row r="41" spans="2:13" ht="20.25" x14ac:dyDescent="0.25">
      <c r="B41" s="156">
        <f t="shared" ca="1" si="1"/>
        <v>11</v>
      </c>
      <c r="C41" s="157" t="str">
        <f ca="1">'הגבלה לסכום מבוקש (1)'!C41</f>
        <v>יהדות שאלוניקי יוון</v>
      </c>
      <c r="D41" s="158">
        <f ca="1">'הגבלה לסכום מבוקש (1)'!U41</f>
        <v>344631.7260775895</v>
      </c>
      <c r="E41" s="159"/>
      <c r="F41" s="160">
        <f t="shared" ca="1" si="0"/>
        <v>0</v>
      </c>
      <c r="G41" s="161">
        <f t="shared" ca="1" si="2"/>
        <v>344631.7260775895</v>
      </c>
      <c r="H41" s="161">
        <f t="shared" ca="1" si="3"/>
        <v>344631.7260775895</v>
      </c>
      <c r="J41" s="229">
        <f ca="1">IF($C41="","",IFERROR(IF('קיזוזים- החלטות ועדה'!E41=0,0,1),0))</f>
        <v>0</v>
      </c>
      <c r="K41" s="229">
        <f t="shared" ca="1" si="4"/>
        <v>0</v>
      </c>
      <c r="L41" s="229">
        <f t="shared" ca="1" si="5"/>
        <v>0</v>
      </c>
      <c r="M41" s="231">
        <f t="shared" ca="1" si="6"/>
        <v>0</v>
      </c>
    </row>
    <row r="42" spans="2:13" ht="20.25" hidden="1" x14ac:dyDescent="0.25">
      <c r="B42" s="156" t="str">
        <f t="shared" ca="1" si="1"/>
        <v/>
      </c>
      <c r="C42" s="157" t="str">
        <f ca="1">'הגבלה לסכום מבוקש (1)'!C42</f>
        <v/>
      </c>
      <c r="D42" s="158" t="str">
        <f ca="1">'הגבלה לסכום מבוקש (1)'!U42</f>
        <v/>
      </c>
      <c r="E42" s="159"/>
      <c r="F42" s="160" t="str">
        <f t="shared" ca="1" si="0"/>
        <v/>
      </c>
      <c r="G42" s="161" t="str">
        <f t="shared" ca="1" si="2"/>
        <v/>
      </c>
      <c r="H42" s="161" t="str">
        <f t="shared" ca="1" si="3"/>
        <v/>
      </c>
      <c r="J42" s="229" t="str">
        <f ca="1">IF($C42="","",IFERROR(IF('קיזוזים- החלטות ועדה'!E42=0,0,1),0))</f>
        <v/>
      </c>
      <c r="K42" s="229" t="str">
        <f t="shared" ca="1" si="4"/>
        <v/>
      </c>
      <c r="L42" s="229" t="str">
        <f t="shared" ca="1" si="5"/>
        <v/>
      </c>
      <c r="M42" s="231" t="str">
        <f t="shared" ca="1" si="6"/>
        <v/>
      </c>
    </row>
    <row r="43" spans="2:13" ht="20.25" hidden="1" x14ac:dyDescent="0.25">
      <c r="B43" s="156" t="str">
        <f t="shared" ca="1" si="1"/>
        <v/>
      </c>
      <c r="C43" s="157" t="str">
        <f ca="1">'הגבלה לסכום מבוקש (1)'!C43</f>
        <v/>
      </c>
      <c r="D43" s="158" t="str">
        <f ca="1">'הגבלה לסכום מבוקש (1)'!U43</f>
        <v/>
      </c>
      <c r="E43" s="159"/>
      <c r="F43" s="160" t="str">
        <f t="shared" ca="1" si="0"/>
        <v/>
      </c>
      <c r="G43" s="161" t="str">
        <f t="shared" ca="1" si="2"/>
        <v/>
      </c>
      <c r="H43" s="161" t="str">
        <f t="shared" ca="1" si="3"/>
        <v/>
      </c>
      <c r="J43" s="229" t="str">
        <f ca="1">IF($C43="","",IFERROR(IF('קיזוזים- החלטות ועדה'!E43=0,0,1),0))</f>
        <v/>
      </c>
      <c r="K43" s="229" t="str">
        <f t="shared" ca="1" si="4"/>
        <v/>
      </c>
      <c r="L43" s="229" t="str">
        <f t="shared" ca="1" si="5"/>
        <v/>
      </c>
      <c r="M43" s="231" t="str">
        <f t="shared" ca="1" si="6"/>
        <v/>
      </c>
    </row>
    <row r="44" spans="2:13" ht="20.25" hidden="1" x14ac:dyDescent="0.25">
      <c r="B44" s="156" t="str">
        <f t="shared" ca="1" si="1"/>
        <v/>
      </c>
      <c r="C44" s="157" t="str">
        <f ca="1">'הגבלה לסכום מבוקש (1)'!C44</f>
        <v/>
      </c>
      <c r="D44" s="158" t="str">
        <f ca="1">'הגבלה לסכום מבוקש (1)'!U44</f>
        <v/>
      </c>
      <c r="E44" s="159"/>
      <c r="F44" s="160" t="str">
        <f t="shared" ca="1" si="0"/>
        <v/>
      </c>
      <c r="G44" s="161" t="str">
        <f t="shared" ca="1" si="2"/>
        <v/>
      </c>
      <c r="H44" s="161" t="str">
        <f t="shared" ca="1" si="3"/>
        <v/>
      </c>
      <c r="J44" s="229" t="str">
        <f ca="1">IF($C44="","",IFERROR(IF('קיזוזים- החלטות ועדה'!E44=0,0,1),0))</f>
        <v/>
      </c>
      <c r="K44" s="229" t="str">
        <f t="shared" ca="1" si="4"/>
        <v/>
      </c>
      <c r="L44" s="229" t="str">
        <f t="shared" ca="1" si="5"/>
        <v/>
      </c>
      <c r="M44" s="231" t="str">
        <f t="shared" ca="1" si="6"/>
        <v/>
      </c>
    </row>
    <row r="45" spans="2:13" ht="20.25" x14ac:dyDescent="0.25">
      <c r="B45" s="156">
        <f t="shared" ca="1" si="1"/>
        <v>15</v>
      </c>
      <c r="C45" s="157" t="str">
        <f ca="1">'הגבלה לסכום מבוקש (1)'!C45</f>
        <v xml:space="preserve">החברה לטיפוח חברה תרבות תיעוד </v>
      </c>
      <c r="D45" s="158">
        <f ca="1">'הגבלה לסכום מבוקש (1)'!U45</f>
        <v>2400000</v>
      </c>
      <c r="E45" s="159"/>
      <c r="F45" s="160">
        <f t="shared" ca="1" si="0"/>
        <v>0</v>
      </c>
      <c r="G45" s="161">
        <f t="shared" ca="1" si="2"/>
        <v>2400000</v>
      </c>
      <c r="H45" s="161">
        <f t="shared" ca="1" si="3"/>
        <v>2400000</v>
      </c>
      <c r="J45" s="229">
        <f ca="1">IF($C45="","",IFERROR(IF('קיזוזים- החלטות ועדה'!E45=0,0,1),0))</f>
        <v>0</v>
      </c>
      <c r="K45" s="229">
        <f t="shared" ca="1" si="4"/>
        <v>0</v>
      </c>
      <c r="L45" s="229">
        <f t="shared" ca="1" si="5"/>
        <v>0</v>
      </c>
      <c r="M45" s="231">
        <f t="shared" ca="1" si="6"/>
        <v>0</v>
      </c>
    </row>
    <row r="46" spans="2:13" ht="20.25" x14ac:dyDescent="0.25">
      <c r="B46" s="156">
        <f t="shared" ca="1" si="1"/>
        <v>16</v>
      </c>
      <c r="C46" s="157" t="str">
        <f ca="1">'הגבלה לסכום מבוקש (1)'!C46</f>
        <v>עמותת אור שלום</v>
      </c>
      <c r="D46" s="158">
        <f ca="1">'הגבלה לסכום מבוקש (1)'!U46</f>
        <v>651881.18156050739</v>
      </c>
      <c r="E46" s="159"/>
      <c r="F46" s="160">
        <f t="shared" ca="1" si="0"/>
        <v>0</v>
      </c>
      <c r="G46" s="161">
        <f t="shared" ca="1" si="2"/>
        <v>651881.18156050739</v>
      </c>
      <c r="H46" s="161">
        <f t="shared" ca="1" si="3"/>
        <v>651881.18156050739</v>
      </c>
      <c r="J46" s="229">
        <f ca="1">IF($C46="","",IFERROR(IF('קיזוזים- החלטות ועדה'!E46=0,0,1),0))</f>
        <v>0</v>
      </c>
      <c r="K46" s="229">
        <f t="shared" ca="1" si="4"/>
        <v>0</v>
      </c>
      <c r="L46" s="229">
        <f t="shared" ca="1" si="5"/>
        <v>0</v>
      </c>
      <c r="M46" s="231">
        <f t="shared" ca="1" si="6"/>
        <v>0</v>
      </c>
    </row>
    <row r="47" spans="2:13" ht="20.25" hidden="1" x14ac:dyDescent="0.25">
      <c r="B47" s="156" t="str">
        <f t="shared" ca="1" si="1"/>
        <v/>
      </c>
      <c r="C47" s="157" t="str">
        <f ca="1">'הגבלה לסכום מבוקש (1)'!C47</f>
        <v/>
      </c>
      <c r="D47" s="158" t="str">
        <f ca="1">'הגבלה לסכום מבוקש (1)'!U47</f>
        <v/>
      </c>
      <c r="E47" s="159"/>
      <c r="F47" s="160" t="str">
        <f t="shared" ca="1" si="0"/>
        <v/>
      </c>
      <c r="G47" s="161" t="str">
        <f t="shared" ca="1" si="2"/>
        <v/>
      </c>
      <c r="H47" s="161" t="str">
        <f t="shared" ca="1" si="3"/>
        <v/>
      </c>
      <c r="J47" s="229" t="str">
        <f ca="1">IF($C47="","",IFERROR(IF('קיזוזים- החלטות ועדה'!E47=0,0,1),0))</f>
        <v/>
      </c>
      <c r="K47" s="229" t="str">
        <f t="shared" ca="1" si="4"/>
        <v/>
      </c>
      <c r="L47" s="229" t="str">
        <f t="shared" ca="1" si="5"/>
        <v/>
      </c>
      <c r="M47" s="231" t="str">
        <f t="shared" ca="1" si="6"/>
        <v/>
      </c>
    </row>
    <row r="48" spans="2:13" ht="20.25" x14ac:dyDescent="0.25">
      <c r="B48" s="156">
        <f t="shared" ca="1" si="1"/>
        <v>18</v>
      </c>
      <c r="C48" s="157" t="str">
        <f ca="1">'הגבלה לסכום מבוקש (1)'!C48</f>
        <v>ישיבת קרלין סטולין</v>
      </c>
      <c r="D48" s="158">
        <f ca="1">'הגבלה לסכום מבוקש (1)'!U48</f>
        <v>412430.85067945189</v>
      </c>
      <c r="E48" s="159"/>
      <c r="F48" s="160">
        <f t="shared" ca="1" si="0"/>
        <v>0</v>
      </c>
      <c r="G48" s="161">
        <f t="shared" ca="1" si="2"/>
        <v>412430.85067945189</v>
      </c>
      <c r="H48" s="161">
        <f t="shared" ca="1" si="3"/>
        <v>412430.85067945189</v>
      </c>
      <c r="J48" s="229">
        <f ca="1">IF($C48="","",IFERROR(IF('קיזוזים- החלטות ועדה'!E48=0,0,1),0))</f>
        <v>0</v>
      </c>
      <c r="K48" s="229">
        <f t="shared" ca="1" si="4"/>
        <v>0</v>
      </c>
      <c r="L48" s="229">
        <f t="shared" ca="1" si="5"/>
        <v>0</v>
      </c>
      <c r="M48" s="231">
        <f t="shared" ca="1" si="6"/>
        <v>0</v>
      </c>
    </row>
    <row r="49" spans="2:13" ht="20.25" hidden="1" x14ac:dyDescent="0.25">
      <c r="B49" s="156" t="str">
        <f t="shared" ca="1" si="1"/>
        <v/>
      </c>
      <c r="C49" s="157" t="str">
        <f ca="1">'הגבלה לסכום מבוקש (1)'!C49</f>
        <v/>
      </c>
      <c r="D49" s="158" t="str">
        <f ca="1">'הגבלה לסכום מבוקש (1)'!U49</f>
        <v/>
      </c>
      <c r="E49" s="159"/>
      <c r="F49" s="160" t="str">
        <f t="shared" ca="1" si="0"/>
        <v/>
      </c>
      <c r="G49" s="161" t="str">
        <f t="shared" ca="1" si="2"/>
        <v/>
      </c>
      <c r="H49" s="161" t="str">
        <f t="shared" ca="1" si="3"/>
        <v/>
      </c>
      <c r="J49" s="229" t="str">
        <f ca="1">IF($C49="","",IFERROR(IF('קיזוזים- החלטות ועדה'!E49=0,0,1),0))</f>
        <v/>
      </c>
      <c r="K49" s="229" t="str">
        <f t="shared" ca="1" si="4"/>
        <v/>
      </c>
      <c r="L49" s="229" t="str">
        <f t="shared" ca="1" si="5"/>
        <v/>
      </c>
      <c r="M49" s="231" t="str">
        <f t="shared" ca="1" si="6"/>
        <v/>
      </c>
    </row>
    <row r="50" spans="2:13" ht="20.25" hidden="1" x14ac:dyDescent="0.25">
      <c r="B50" s="156" t="str">
        <f t="shared" ca="1" si="1"/>
        <v/>
      </c>
      <c r="C50" s="157" t="str">
        <f ca="1">'הגבלה לסכום מבוקש (1)'!C50</f>
        <v/>
      </c>
      <c r="D50" s="158" t="str">
        <f ca="1">'הגבלה לסכום מבוקש (1)'!U50</f>
        <v/>
      </c>
      <c r="E50" s="159"/>
      <c r="F50" s="160" t="str">
        <f t="shared" ca="1" si="0"/>
        <v/>
      </c>
      <c r="G50" s="161" t="str">
        <f t="shared" ca="1" si="2"/>
        <v/>
      </c>
      <c r="H50" s="161" t="str">
        <f t="shared" ca="1" si="3"/>
        <v/>
      </c>
      <c r="J50" s="229" t="str">
        <f ca="1">IF($C50="","",IFERROR(IF('קיזוזים- החלטות ועדה'!E50=0,0,1),0))</f>
        <v/>
      </c>
      <c r="K50" s="229" t="str">
        <f t="shared" ca="1" si="4"/>
        <v/>
      </c>
      <c r="L50" s="229" t="str">
        <f t="shared" ca="1" si="5"/>
        <v/>
      </c>
      <c r="M50" s="231" t="str">
        <f t="shared" ca="1" si="6"/>
        <v/>
      </c>
    </row>
    <row r="51" spans="2:13" ht="20.25" x14ac:dyDescent="0.25">
      <c r="B51" s="156">
        <f t="shared" ca="1" si="1"/>
        <v>21</v>
      </c>
      <c r="C51" s="157" t="str">
        <f ca="1">'הגבלה לסכום מבוקש (1)'!C51</f>
        <v>ברית יוצאי מרוקו</v>
      </c>
      <c r="D51" s="158">
        <f ca="1">'הגבלה לסכום מבוקש (1)'!U51</f>
        <v>200000</v>
      </c>
      <c r="E51" s="159"/>
      <c r="F51" s="160">
        <f t="shared" ca="1" si="0"/>
        <v>0</v>
      </c>
      <c r="G51" s="161">
        <f t="shared" ca="1" si="2"/>
        <v>200000</v>
      </c>
      <c r="H51" s="161">
        <f t="shared" ca="1" si="3"/>
        <v>200000</v>
      </c>
      <c r="J51" s="229">
        <f ca="1">IF($C51="","",IFERROR(IF('קיזוזים- החלטות ועדה'!E51=0,0,1),0))</f>
        <v>0</v>
      </c>
      <c r="K51" s="229">
        <f t="shared" ca="1" si="4"/>
        <v>0</v>
      </c>
      <c r="L51" s="229">
        <f t="shared" ca="1" si="5"/>
        <v>0</v>
      </c>
      <c r="M51" s="231">
        <f t="shared" ca="1" si="6"/>
        <v>0</v>
      </c>
    </row>
    <row r="52" spans="2:13" ht="20.25" x14ac:dyDescent="0.25">
      <c r="B52" s="156">
        <f t="shared" ca="1" si="1"/>
        <v>22</v>
      </c>
      <c r="C52" s="157" t="str">
        <f ca="1">'הגבלה לסכום מבוקש (1)'!C52</f>
        <v>הקם - בית הקונפדרציה</v>
      </c>
      <c r="D52" s="158">
        <f ca="1">'הגבלה לסכום מבוקש (1)'!U52</f>
        <v>632980.21099307202</v>
      </c>
      <c r="E52" s="159"/>
      <c r="F52" s="160">
        <f t="shared" ca="1" si="0"/>
        <v>0</v>
      </c>
      <c r="G52" s="161">
        <f t="shared" ca="1" si="2"/>
        <v>632980.21099307202</v>
      </c>
      <c r="H52" s="161">
        <f t="shared" ca="1" si="3"/>
        <v>632980.21099307202</v>
      </c>
      <c r="J52" s="229">
        <f ca="1">IF($C52="","",IFERROR(IF('קיזוזים- החלטות ועדה'!E52=0,0,1),0))</f>
        <v>0</v>
      </c>
      <c r="K52" s="229">
        <f t="shared" ca="1" si="4"/>
        <v>0</v>
      </c>
      <c r="L52" s="229">
        <f t="shared" ca="1" si="5"/>
        <v>0</v>
      </c>
      <c r="M52" s="231">
        <f t="shared" ca="1" si="6"/>
        <v>0</v>
      </c>
    </row>
    <row r="53" spans="2:13" ht="20.25" x14ac:dyDescent="0.25">
      <c r="B53" s="156">
        <f t="shared" ca="1" si="1"/>
        <v>23</v>
      </c>
      <c r="C53" s="157" t="str">
        <f ca="1">'הגבלה לסכום מבוקש (1)'!C53</f>
        <v>מוסיקה מזרח מערב</v>
      </c>
      <c r="D53" s="158">
        <f ca="1">'הגבלה לסכום מבוקש (1)'!U53</f>
        <v>967272.34908523015</v>
      </c>
      <c r="E53" s="159"/>
      <c r="F53" s="160">
        <f t="shared" ca="1" si="0"/>
        <v>0</v>
      </c>
      <c r="G53" s="161">
        <f t="shared" ca="1" si="2"/>
        <v>967272.34908523015</v>
      </c>
      <c r="H53" s="161">
        <f t="shared" ca="1" si="3"/>
        <v>967272.34908523015</v>
      </c>
      <c r="J53" s="229">
        <f ca="1">IF($C53="","",IFERROR(IF('קיזוזים- החלטות ועדה'!E53=0,0,1),0))</f>
        <v>0</v>
      </c>
      <c r="K53" s="229">
        <f t="shared" ca="1" si="4"/>
        <v>0</v>
      </c>
      <c r="L53" s="229">
        <f t="shared" ca="1" si="5"/>
        <v>0</v>
      </c>
      <c r="M53" s="231">
        <f t="shared" ca="1" si="6"/>
        <v>0</v>
      </c>
    </row>
    <row r="54" spans="2:13" ht="20.25" x14ac:dyDescent="0.25">
      <c r="B54" s="156">
        <f t="shared" ca="1" si="1"/>
        <v>24</v>
      </c>
      <c r="C54" s="157" t="str">
        <f ca="1">'הגבלה לסכום מבוקש (1)'!C54</f>
        <v>אעלה בתמר</v>
      </c>
      <c r="D54" s="158">
        <f ca="1">'הגבלה לסכום מבוקש (1)'!U54</f>
        <v>1500000</v>
      </c>
      <c r="E54" s="159"/>
      <c r="F54" s="160">
        <f t="shared" ca="1" si="0"/>
        <v>0</v>
      </c>
      <c r="G54" s="161">
        <f t="shared" ca="1" si="2"/>
        <v>1500000</v>
      </c>
      <c r="H54" s="161">
        <f t="shared" ca="1" si="3"/>
        <v>1500000</v>
      </c>
      <c r="J54" s="229">
        <f ca="1">IF($C54="","",IFERROR(IF('קיזוזים- החלטות ועדה'!E54=0,0,1),0))</f>
        <v>0</v>
      </c>
      <c r="K54" s="229">
        <f t="shared" ca="1" si="4"/>
        <v>0</v>
      </c>
      <c r="L54" s="229">
        <f t="shared" ca="1" si="5"/>
        <v>0</v>
      </c>
      <c r="M54" s="231">
        <f t="shared" ca="1" si="6"/>
        <v>0</v>
      </c>
    </row>
    <row r="55" spans="2:13" ht="20.25" hidden="1" x14ac:dyDescent="0.25">
      <c r="B55" s="156" t="str">
        <f t="shared" ca="1" si="1"/>
        <v/>
      </c>
      <c r="C55" s="157" t="str">
        <f ca="1">'הגבלה לסכום מבוקש (1)'!C55</f>
        <v/>
      </c>
      <c r="D55" s="158" t="str">
        <f ca="1">'הגבלה לסכום מבוקש (1)'!U55</f>
        <v/>
      </c>
      <c r="E55" s="159"/>
      <c r="F55" s="160" t="str">
        <f t="shared" ca="1" si="0"/>
        <v/>
      </c>
      <c r="G55" s="161" t="str">
        <f t="shared" ca="1" si="2"/>
        <v/>
      </c>
      <c r="H55" s="161" t="str">
        <f t="shared" ca="1" si="3"/>
        <v/>
      </c>
      <c r="J55" s="229" t="str">
        <f ca="1">IF($C55="","",IFERROR(IF('קיזוזים- החלטות ועדה'!E55=0,0,1),0))</f>
        <v/>
      </c>
      <c r="K55" s="229" t="str">
        <f t="shared" ca="1" si="4"/>
        <v/>
      </c>
      <c r="L55" s="229" t="str">
        <f t="shared" ca="1" si="5"/>
        <v/>
      </c>
      <c r="M55" s="231" t="str">
        <f t="shared" ca="1" si="6"/>
        <v/>
      </c>
    </row>
    <row r="56" spans="2:13" ht="20.25" hidden="1" x14ac:dyDescent="0.25">
      <c r="B56" s="156" t="str">
        <f t="shared" ca="1" si="1"/>
        <v/>
      </c>
      <c r="C56" s="157" t="str">
        <f ca="1">'הגבלה לסכום מבוקש (1)'!C56</f>
        <v/>
      </c>
      <c r="D56" s="158" t="str">
        <f ca="1">'הגבלה לסכום מבוקש (1)'!U56</f>
        <v/>
      </c>
      <c r="E56" s="159"/>
      <c r="F56" s="160" t="str">
        <f t="shared" ca="1" si="0"/>
        <v/>
      </c>
      <c r="G56" s="161" t="str">
        <f t="shared" ca="1" si="2"/>
        <v/>
      </c>
      <c r="H56" s="161" t="str">
        <f t="shared" ca="1" si="3"/>
        <v/>
      </c>
      <c r="J56" s="229" t="str">
        <f ca="1">IF($C56="","",IFERROR(IF('קיזוזים- החלטות ועדה'!E56=0,0,1),0))</f>
        <v/>
      </c>
      <c r="K56" s="229" t="str">
        <f t="shared" ca="1" si="4"/>
        <v/>
      </c>
      <c r="L56" s="229" t="str">
        <f t="shared" ca="1" si="5"/>
        <v/>
      </c>
      <c r="M56" s="231" t="str">
        <f t="shared" ca="1" si="6"/>
        <v/>
      </c>
    </row>
    <row r="57" spans="2:13" ht="20.25" x14ac:dyDescent="0.25">
      <c r="B57" s="156">
        <f t="shared" ca="1" si="1"/>
        <v>27</v>
      </c>
      <c r="C57" s="157" t="str">
        <f ca="1">'הגבלה לסכום מבוקש (1)'!C57</f>
        <v>מכון הברמן</v>
      </c>
      <c r="D57" s="158">
        <f ca="1">'הגבלה לסכום מבוקש (1)'!U57</f>
        <v>335774.41578064195</v>
      </c>
      <c r="E57" s="159"/>
      <c r="F57" s="160">
        <f t="shared" ca="1" si="0"/>
        <v>0</v>
      </c>
      <c r="G57" s="161">
        <f t="shared" ca="1" si="2"/>
        <v>335774.41578064195</v>
      </c>
      <c r="H57" s="161">
        <f t="shared" ca="1" si="3"/>
        <v>335774.41578064195</v>
      </c>
      <c r="J57" s="229">
        <f ca="1">IF($C57="","",IFERROR(IF('קיזוזים- החלטות ועדה'!E57=0,0,1),0))</f>
        <v>0</v>
      </c>
      <c r="K57" s="229">
        <f t="shared" ca="1" si="4"/>
        <v>0</v>
      </c>
      <c r="L57" s="229">
        <f t="shared" ca="1" si="5"/>
        <v>0</v>
      </c>
      <c r="M57" s="231">
        <f t="shared" ca="1" si="6"/>
        <v>0</v>
      </c>
    </row>
    <row r="58" spans="2:13" ht="20.25" hidden="1" x14ac:dyDescent="0.25">
      <c r="B58" s="156" t="str">
        <f t="shared" ca="1" si="1"/>
        <v/>
      </c>
      <c r="C58" s="157" t="str">
        <f ca="1">'הגבלה לסכום מבוקש (1)'!C58</f>
        <v/>
      </c>
      <c r="D58" s="158" t="str">
        <f ca="1">'הגבלה לסכום מבוקש (1)'!U58</f>
        <v/>
      </c>
      <c r="E58" s="159"/>
      <c r="F58" s="160" t="str">
        <f t="shared" ca="1" si="0"/>
        <v/>
      </c>
      <c r="G58" s="161" t="str">
        <f t="shared" ca="1" si="2"/>
        <v/>
      </c>
      <c r="H58" s="161" t="str">
        <f t="shared" ca="1" si="3"/>
        <v/>
      </c>
      <c r="J58" s="229" t="str">
        <f ca="1">IF($C58="","",IFERROR(IF('קיזוזים- החלטות ועדה'!E58=0,0,1),0))</f>
        <v/>
      </c>
      <c r="K58" s="229" t="str">
        <f t="shared" ca="1" si="4"/>
        <v/>
      </c>
      <c r="L58" s="229" t="str">
        <f t="shared" ca="1" si="5"/>
        <v/>
      </c>
      <c r="M58" s="231" t="str">
        <f t="shared" ca="1" si="6"/>
        <v/>
      </c>
    </row>
    <row r="59" spans="2:13" ht="20.25" x14ac:dyDescent="0.25">
      <c r="B59" s="156" t="str">
        <f t="shared" ca="1" si="1"/>
        <v/>
      </c>
      <c r="C59" s="157" t="str">
        <f ca="1">'הגבלה לסכום מבוקש (1)'!C59</f>
        <v/>
      </c>
      <c r="D59" s="158" t="str">
        <f ca="1">'הגבלה לסכום מבוקש (1)'!U59</f>
        <v/>
      </c>
      <c r="E59" s="159"/>
      <c r="F59" s="160" t="str">
        <f t="shared" ca="1" si="0"/>
        <v/>
      </c>
      <c r="G59" s="161" t="str">
        <f t="shared" ca="1" si="2"/>
        <v/>
      </c>
      <c r="H59" s="161" t="str">
        <f t="shared" ca="1" si="3"/>
        <v/>
      </c>
      <c r="J59" s="229" t="str">
        <f ca="1">IF($C59="","",IFERROR(IF('קיזוזים- החלטות ועדה'!E59=0,0,1),0))</f>
        <v/>
      </c>
      <c r="K59" s="229" t="str">
        <f t="shared" ca="1" si="4"/>
        <v/>
      </c>
      <c r="L59" s="229" t="str">
        <f t="shared" ca="1" si="5"/>
        <v/>
      </c>
      <c r="M59" s="231" t="str">
        <f t="shared" ca="1" si="6"/>
        <v/>
      </c>
    </row>
    <row r="60" spans="2:13" ht="20.25" hidden="1" x14ac:dyDescent="0.25">
      <c r="B60" s="156" t="str">
        <f t="shared" ca="1" si="1"/>
        <v/>
      </c>
      <c r="C60" s="157" t="str">
        <f ca="1">'הגבלה לסכום מבוקש (1)'!C60</f>
        <v/>
      </c>
      <c r="D60" s="158" t="str">
        <f ca="1">'הגבלה לסכום מבוקש (1)'!U60</f>
        <v/>
      </c>
      <c r="E60" s="159"/>
      <c r="F60" s="160" t="str">
        <f t="shared" ca="1" si="0"/>
        <v/>
      </c>
      <c r="G60" s="161" t="str">
        <f t="shared" ca="1" si="2"/>
        <v/>
      </c>
      <c r="H60" s="161" t="str">
        <f t="shared" ca="1" si="3"/>
        <v/>
      </c>
      <c r="J60" s="229" t="str">
        <f ca="1">IF($C60="","",IFERROR(IF('קיזוזים- החלטות ועדה'!E60=0,0,1),0))</f>
        <v/>
      </c>
      <c r="K60" s="229" t="str">
        <f t="shared" ca="1" si="4"/>
        <v/>
      </c>
      <c r="L60" s="229" t="str">
        <f t="shared" ca="1" si="5"/>
        <v/>
      </c>
      <c r="M60" s="231" t="str">
        <f t="shared" ca="1" si="6"/>
        <v/>
      </c>
    </row>
    <row r="61" spans="2:13" ht="20.25" hidden="1" x14ac:dyDescent="0.25">
      <c r="B61" s="156">
        <f t="shared" ca="1" si="1"/>
        <v>31</v>
      </c>
      <c r="C61" s="157" t="str">
        <f ca="1">'הגבלה לסכום מבוקש (1)'!C61</f>
        <v>כולנא</v>
      </c>
      <c r="D61" s="158">
        <f ca="1">'הגבלה לסכום מבוקש (1)'!U61</f>
        <v>548049.35731184587</v>
      </c>
      <c r="E61" s="159"/>
      <c r="F61" s="160">
        <f t="shared" ca="1" si="0"/>
        <v>0</v>
      </c>
      <c r="G61" s="161">
        <f t="shared" ca="1" si="2"/>
        <v>548049.35731184587</v>
      </c>
      <c r="H61" s="161">
        <f t="shared" ca="1" si="3"/>
        <v>548049.35731184587</v>
      </c>
      <c r="J61" s="229">
        <f ca="1">IF($C61="","",IFERROR(IF('קיזוזים- החלטות ועדה'!E61=0,0,1),0))</f>
        <v>0</v>
      </c>
      <c r="K61" s="229">
        <f t="shared" ca="1" si="4"/>
        <v>0</v>
      </c>
      <c r="L61" s="229">
        <f t="shared" ca="1" si="5"/>
        <v>0</v>
      </c>
      <c r="M61" s="231">
        <f t="shared" ca="1" si="6"/>
        <v>0</v>
      </c>
    </row>
    <row r="62" spans="2:13" ht="20.25" hidden="1" x14ac:dyDescent="0.25">
      <c r="B62" s="156" t="str">
        <f t="shared" ca="1" si="1"/>
        <v/>
      </c>
      <c r="C62" s="157" t="str">
        <f ca="1">'הגבלה לסכום מבוקש (1)'!C62</f>
        <v/>
      </c>
      <c r="D62" s="158" t="str">
        <f ca="1">'הגבלה לסכום מבוקש (1)'!U62</f>
        <v/>
      </c>
      <c r="E62" s="159"/>
      <c r="F62" s="160" t="str">
        <f t="shared" ca="1" si="0"/>
        <v/>
      </c>
      <c r="G62" s="161" t="str">
        <f t="shared" ca="1" si="2"/>
        <v/>
      </c>
      <c r="H62" s="161" t="str">
        <f t="shared" ca="1" si="3"/>
        <v/>
      </c>
      <c r="J62" s="229" t="str">
        <f ca="1">IF($C62="","",IFERROR(IF('קיזוזים- החלטות ועדה'!E62=0,0,1),0))</f>
        <v/>
      </c>
      <c r="K62" s="229" t="str">
        <f t="shared" ca="1" si="4"/>
        <v/>
      </c>
      <c r="L62" s="229" t="str">
        <f t="shared" ca="1" si="5"/>
        <v/>
      </c>
      <c r="M62" s="231" t="str">
        <f t="shared" ca="1" si="6"/>
        <v/>
      </c>
    </row>
    <row r="63" spans="2:13" ht="20.25" hidden="1" x14ac:dyDescent="0.25">
      <c r="B63" s="156" t="str">
        <f t="shared" ca="1" si="1"/>
        <v/>
      </c>
      <c r="C63" s="157" t="str">
        <f ca="1">'הגבלה לסכום מבוקש (1)'!C63</f>
        <v/>
      </c>
      <c r="D63" s="158" t="str">
        <f ca="1">'הגבלה לסכום מבוקש (1)'!U63</f>
        <v/>
      </c>
      <c r="E63" s="159"/>
      <c r="F63" s="160" t="str">
        <f t="shared" ca="1" si="0"/>
        <v/>
      </c>
      <c r="G63" s="161" t="str">
        <f t="shared" ca="1" si="2"/>
        <v/>
      </c>
      <c r="H63" s="161" t="str">
        <f t="shared" ca="1" si="3"/>
        <v/>
      </c>
      <c r="J63" s="229" t="str">
        <f ca="1">IF($C63="","",IFERROR(IF('קיזוזים- החלטות ועדה'!E63=0,0,1),0))</f>
        <v/>
      </c>
      <c r="K63" s="229" t="str">
        <f t="shared" ca="1" si="4"/>
        <v/>
      </c>
      <c r="L63" s="229" t="str">
        <f t="shared" ca="1" si="5"/>
        <v/>
      </c>
      <c r="M63" s="231" t="str">
        <f t="shared" ca="1" si="6"/>
        <v/>
      </c>
    </row>
    <row r="64" spans="2:13" ht="20.25" hidden="1" x14ac:dyDescent="0.25">
      <c r="B64" s="156" t="str">
        <f t="shared" ca="1" si="1"/>
        <v/>
      </c>
      <c r="C64" s="157" t="str">
        <f ca="1">'הגבלה לסכום מבוקש (1)'!C64</f>
        <v/>
      </c>
      <c r="D64" s="158" t="str">
        <f ca="1">'הגבלה לסכום מבוקש (1)'!U64</f>
        <v/>
      </c>
      <c r="E64" s="159"/>
      <c r="F64" s="160" t="str">
        <f t="shared" ca="1" si="0"/>
        <v/>
      </c>
      <c r="G64" s="161" t="str">
        <f t="shared" ca="1" si="2"/>
        <v/>
      </c>
      <c r="H64" s="161" t="str">
        <f t="shared" ca="1" si="3"/>
        <v/>
      </c>
      <c r="J64" s="229" t="str">
        <f ca="1">IF($C64="","",IFERROR(IF('קיזוזים- החלטות ועדה'!E64=0,0,1),0))</f>
        <v/>
      </c>
      <c r="K64" s="229" t="str">
        <f t="shared" ca="1" si="4"/>
        <v/>
      </c>
      <c r="L64" s="229" t="str">
        <f t="shared" ca="1" si="5"/>
        <v/>
      </c>
      <c r="M64" s="231" t="str">
        <f t="shared" ca="1" si="6"/>
        <v/>
      </c>
    </row>
    <row r="65" spans="2:13" ht="20.25" hidden="1" x14ac:dyDescent="0.25">
      <c r="B65" s="156" t="str">
        <f t="shared" ca="1" si="1"/>
        <v/>
      </c>
      <c r="C65" s="157" t="str">
        <f ca="1">'הגבלה לסכום מבוקש (1)'!C65</f>
        <v/>
      </c>
      <c r="D65" s="158" t="str">
        <f ca="1">'הגבלה לסכום מבוקש (1)'!U65</f>
        <v/>
      </c>
      <c r="E65" s="159"/>
      <c r="F65" s="160" t="str">
        <f t="shared" ca="1" si="0"/>
        <v/>
      </c>
      <c r="G65" s="161" t="str">
        <f t="shared" ca="1" si="2"/>
        <v/>
      </c>
      <c r="H65" s="161" t="str">
        <f t="shared" ca="1" si="3"/>
        <v/>
      </c>
      <c r="J65" s="229" t="str">
        <f ca="1">IF($C65="","",IFERROR(IF('קיזוזים- החלטות ועדה'!E65=0,0,1),0))</f>
        <v/>
      </c>
      <c r="K65" s="229" t="str">
        <f t="shared" ca="1" si="4"/>
        <v/>
      </c>
      <c r="L65" s="229" t="str">
        <f t="shared" ca="1" si="5"/>
        <v/>
      </c>
      <c r="M65" s="231" t="str">
        <f t="shared" ca="1" si="6"/>
        <v/>
      </c>
    </row>
    <row r="66" spans="2:13" ht="20.25" hidden="1" x14ac:dyDescent="0.25">
      <c r="B66" s="156" t="str">
        <f t="shared" ca="1" si="1"/>
        <v/>
      </c>
      <c r="C66" s="157" t="str">
        <f ca="1">'הגבלה לסכום מבוקש (1)'!C66</f>
        <v/>
      </c>
      <c r="D66" s="158" t="str">
        <f ca="1">'הגבלה לסכום מבוקש (1)'!U66</f>
        <v/>
      </c>
      <c r="E66" s="159"/>
      <c r="F66" s="160" t="str">
        <f t="shared" ca="1" si="0"/>
        <v/>
      </c>
      <c r="G66" s="161" t="str">
        <f t="shared" ca="1" si="2"/>
        <v/>
      </c>
      <c r="H66" s="161" t="str">
        <f t="shared" ca="1" si="3"/>
        <v/>
      </c>
      <c r="J66" s="229" t="str">
        <f ca="1">IF($C66="","",IFERROR(IF('קיזוזים- החלטות ועדה'!E66=0,0,1),0))</f>
        <v/>
      </c>
      <c r="K66" s="229" t="str">
        <f t="shared" ca="1" si="4"/>
        <v/>
      </c>
      <c r="L66" s="229" t="str">
        <f t="shared" ca="1" si="5"/>
        <v/>
      </c>
      <c r="M66" s="231" t="str">
        <f t="shared" ca="1" si="6"/>
        <v/>
      </c>
    </row>
    <row r="67" spans="2:13" ht="20.25" hidden="1" x14ac:dyDescent="0.25">
      <c r="B67" s="156" t="str">
        <f t="shared" ca="1" si="1"/>
        <v/>
      </c>
      <c r="C67" s="157" t="str">
        <f ca="1">'הגבלה לסכום מבוקש (1)'!C67</f>
        <v/>
      </c>
      <c r="D67" s="158" t="str">
        <f ca="1">'הגבלה לסכום מבוקש (1)'!U67</f>
        <v/>
      </c>
      <c r="E67" s="159"/>
      <c r="F67" s="160" t="str">
        <f t="shared" ca="1" si="0"/>
        <v/>
      </c>
      <c r="G67" s="161" t="str">
        <f t="shared" ca="1" si="2"/>
        <v/>
      </c>
      <c r="H67" s="161" t="str">
        <f t="shared" ca="1" si="3"/>
        <v/>
      </c>
      <c r="J67" s="229" t="str">
        <f ca="1">IF($C67="","",IFERROR(IF('קיזוזים- החלטות ועדה'!E67=0,0,1),0))</f>
        <v/>
      </c>
      <c r="K67" s="229" t="str">
        <f t="shared" ca="1" si="4"/>
        <v/>
      </c>
      <c r="L67" s="229" t="str">
        <f t="shared" ca="1" si="5"/>
        <v/>
      </c>
      <c r="M67" s="231" t="str">
        <f t="shared" ca="1" si="6"/>
        <v/>
      </c>
    </row>
    <row r="68" spans="2:13" ht="20.25" hidden="1" x14ac:dyDescent="0.25">
      <c r="B68" s="156" t="str">
        <f t="shared" ca="1" si="1"/>
        <v/>
      </c>
      <c r="C68" s="157" t="str">
        <f ca="1">'הגבלה לסכום מבוקש (1)'!C68</f>
        <v/>
      </c>
      <c r="D68" s="158" t="str">
        <f ca="1">'הגבלה לסכום מבוקש (1)'!U68</f>
        <v/>
      </c>
      <c r="E68" s="159"/>
      <c r="F68" s="160" t="str">
        <f t="shared" ca="1" si="0"/>
        <v/>
      </c>
      <c r="G68" s="161" t="str">
        <f t="shared" ca="1" si="2"/>
        <v/>
      </c>
      <c r="H68" s="161" t="str">
        <f t="shared" ca="1" si="3"/>
        <v/>
      </c>
      <c r="J68" s="229" t="str">
        <f ca="1">IF($C68="","",IFERROR(IF('קיזוזים- החלטות ועדה'!E68=0,0,1),0))</f>
        <v/>
      </c>
      <c r="K68" s="229" t="str">
        <f t="shared" ca="1" si="4"/>
        <v/>
      </c>
      <c r="L68" s="229" t="str">
        <f t="shared" ca="1" si="5"/>
        <v/>
      </c>
      <c r="M68" s="231" t="str">
        <f t="shared" ca="1" si="6"/>
        <v/>
      </c>
    </row>
    <row r="69" spans="2:13" ht="20.25" hidden="1" x14ac:dyDescent="0.25">
      <c r="B69" s="156" t="str">
        <f t="shared" ca="1" si="1"/>
        <v/>
      </c>
      <c r="C69" s="157" t="str">
        <f ca="1">'הגבלה לסכום מבוקש (1)'!C69</f>
        <v/>
      </c>
      <c r="D69" s="158" t="str">
        <f ca="1">'הגבלה לסכום מבוקש (1)'!U69</f>
        <v/>
      </c>
      <c r="E69" s="159"/>
      <c r="F69" s="160" t="str">
        <f t="shared" ca="1" si="0"/>
        <v/>
      </c>
      <c r="G69" s="161" t="str">
        <f t="shared" ca="1" si="2"/>
        <v/>
      </c>
      <c r="H69" s="161" t="str">
        <f t="shared" ca="1" si="3"/>
        <v/>
      </c>
      <c r="J69" s="229" t="str">
        <f ca="1">IF($C69="","",IFERROR(IF('קיזוזים- החלטות ועדה'!E69=0,0,1),0))</f>
        <v/>
      </c>
      <c r="K69" s="229" t="str">
        <f t="shared" ca="1" si="4"/>
        <v/>
      </c>
      <c r="L69" s="229" t="str">
        <f t="shared" ca="1" si="5"/>
        <v/>
      </c>
      <c r="M69" s="231" t="str">
        <f t="shared" ca="1" si="6"/>
        <v/>
      </c>
    </row>
    <row r="70" spans="2:13" ht="20.25" hidden="1" x14ac:dyDescent="0.25">
      <c r="B70" s="156" t="str">
        <f t="shared" ca="1" si="1"/>
        <v/>
      </c>
      <c r="C70" s="157" t="str">
        <f ca="1">'הגבלה לסכום מבוקש (1)'!C70</f>
        <v/>
      </c>
      <c r="D70" s="158" t="str">
        <f ca="1">'הגבלה לסכום מבוקש (1)'!U70</f>
        <v/>
      </c>
      <c r="E70" s="159"/>
      <c r="F70" s="160" t="str">
        <f t="shared" ca="1" si="0"/>
        <v/>
      </c>
      <c r="G70" s="161" t="str">
        <f t="shared" ca="1" si="2"/>
        <v/>
      </c>
      <c r="H70" s="161" t="str">
        <f t="shared" ca="1" si="3"/>
        <v/>
      </c>
      <c r="J70" s="229" t="str">
        <f ca="1">IF($C70="","",IFERROR(IF('קיזוזים- החלטות ועדה'!E70=0,0,1),0))</f>
        <v/>
      </c>
      <c r="K70" s="229" t="str">
        <f t="shared" ca="1" si="4"/>
        <v/>
      </c>
      <c r="L70" s="229" t="str">
        <f t="shared" ca="1" si="5"/>
        <v/>
      </c>
      <c r="M70" s="231" t="str">
        <f t="shared" ca="1" si="6"/>
        <v/>
      </c>
    </row>
    <row r="71" spans="2:13" ht="20.25" hidden="1" x14ac:dyDescent="0.25">
      <c r="B71" s="156" t="str">
        <f t="shared" ca="1" si="1"/>
        <v/>
      </c>
      <c r="C71" s="157" t="str">
        <f ca="1">'הגבלה לסכום מבוקש (1)'!C71</f>
        <v/>
      </c>
      <c r="D71" s="158" t="str">
        <f ca="1">'הגבלה לסכום מבוקש (1)'!U71</f>
        <v/>
      </c>
      <c r="E71" s="159"/>
      <c r="F71" s="160" t="str">
        <f t="shared" ca="1" si="0"/>
        <v/>
      </c>
      <c r="G71" s="161" t="str">
        <f t="shared" ca="1" si="2"/>
        <v/>
      </c>
      <c r="H71" s="161" t="str">
        <f t="shared" ca="1" si="3"/>
        <v/>
      </c>
      <c r="J71" s="229" t="str">
        <f ca="1">IF($C71="","",IFERROR(IF('קיזוזים- החלטות ועדה'!E71=0,0,1),0))</f>
        <v/>
      </c>
      <c r="K71" s="229" t="str">
        <f t="shared" ca="1" si="4"/>
        <v/>
      </c>
      <c r="L71" s="229" t="str">
        <f t="shared" ca="1" si="5"/>
        <v/>
      </c>
      <c r="M71" s="231" t="str">
        <f t="shared" ca="1" si="6"/>
        <v/>
      </c>
    </row>
    <row r="72" spans="2:13" ht="20.25" hidden="1" x14ac:dyDescent="0.25">
      <c r="B72" s="156" t="str">
        <f t="shared" ca="1" si="1"/>
        <v/>
      </c>
      <c r="C72" s="157" t="str">
        <f ca="1">'הגבלה לסכום מבוקש (1)'!C72</f>
        <v/>
      </c>
      <c r="D72" s="158" t="str">
        <f ca="1">'הגבלה לסכום מבוקש (1)'!U72</f>
        <v/>
      </c>
      <c r="E72" s="159"/>
      <c r="F72" s="160" t="str">
        <f t="shared" ca="1" si="0"/>
        <v/>
      </c>
      <c r="G72" s="161" t="str">
        <f t="shared" ca="1" si="2"/>
        <v/>
      </c>
      <c r="H72" s="161" t="str">
        <f t="shared" ca="1" si="3"/>
        <v/>
      </c>
      <c r="J72" s="229" t="str">
        <f ca="1">IF($C72="","",IFERROR(IF('קיזוזים- החלטות ועדה'!E72=0,0,1),0))</f>
        <v/>
      </c>
      <c r="K72" s="229" t="str">
        <f t="shared" ca="1" si="4"/>
        <v/>
      </c>
      <c r="L72" s="229" t="str">
        <f t="shared" ca="1" si="5"/>
        <v/>
      </c>
      <c r="M72" s="231" t="str">
        <f t="shared" ca="1" si="6"/>
        <v/>
      </c>
    </row>
    <row r="73" spans="2:13" ht="20.25" hidden="1" x14ac:dyDescent="0.25">
      <c r="B73" s="156" t="str">
        <f t="shared" ca="1" si="1"/>
        <v/>
      </c>
      <c r="C73" s="157" t="str">
        <f ca="1">'הגבלה לסכום מבוקש (1)'!C73</f>
        <v/>
      </c>
      <c r="D73" s="158" t="str">
        <f ca="1">'הגבלה לסכום מבוקש (1)'!U73</f>
        <v/>
      </c>
      <c r="E73" s="159"/>
      <c r="F73" s="160" t="str">
        <f t="shared" ca="1" si="0"/>
        <v/>
      </c>
      <c r="G73" s="161" t="str">
        <f t="shared" ca="1" si="2"/>
        <v/>
      </c>
      <c r="H73" s="161" t="str">
        <f t="shared" ca="1" si="3"/>
        <v/>
      </c>
      <c r="J73" s="229" t="str">
        <f ca="1">IF($C73="","",IFERROR(IF('קיזוזים- החלטות ועדה'!E73=0,0,1),0))</f>
        <v/>
      </c>
      <c r="K73" s="229" t="str">
        <f t="shared" ca="1" si="4"/>
        <v/>
      </c>
      <c r="L73" s="229" t="str">
        <f t="shared" ca="1" si="5"/>
        <v/>
      </c>
      <c r="M73" s="231" t="str">
        <f t="shared" ca="1" si="6"/>
        <v/>
      </c>
    </row>
    <row r="74" spans="2:13" ht="20.25" hidden="1" x14ac:dyDescent="0.25">
      <c r="B74" s="156" t="str">
        <f t="shared" ca="1" si="1"/>
        <v/>
      </c>
      <c r="C74" s="157" t="str">
        <f ca="1">'הגבלה לסכום מבוקש (1)'!C74</f>
        <v/>
      </c>
      <c r="D74" s="158" t="str">
        <f ca="1">'הגבלה לסכום מבוקש (1)'!U74</f>
        <v/>
      </c>
      <c r="E74" s="159"/>
      <c r="F74" s="160" t="str">
        <f t="shared" ca="1" si="0"/>
        <v/>
      </c>
      <c r="G74" s="161" t="str">
        <f t="shared" ca="1" si="2"/>
        <v/>
      </c>
      <c r="H74" s="161" t="str">
        <f t="shared" ca="1" si="3"/>
        <v/>
      </c>
      <c r="J74" s="229" t="str">
        <f ca="1">IF($C74="","",IFERROR(IF('קיזוזים- החלטות ועדה'!E74=0,0,1),0))</f>
        <v/>
      </c>
      <c r="K74" s="229" t="str">
        <f t="shared" ca="1" si="4"/>
        <v/>
      </c>
      <c r="L74" s="229" t="str">
        <f t="shared" ca="1" si="5"/>
        <v/>
      </c>
      <c r="M74" s="231" t="str">
        <f t="shared" ca="1" si="6"/>
        <v/>
      </c>
    </row>
    <row r="75" spans="2:13" ht="20.25" x14ac:dyDescent="0.25">
      <c r="B75" s="156" t="str">
        <f t="shared" ca="1" si="1"/>
        <v/>
      </c>
      <c r="C75" s="157" t="str">
        <f ca="1">'הגבלה לסכום מבוקש (1)'!C75</f>
        <v/>
      </c>
      <c r="D75" s="158" t="str">
        <f ca="1">'הגבלה לסכום מבוקש (1)'!U75</f>
        <v/>
      </c>
      <c r="E75" s="159"/>
      <c r="F75" s="160" t="str">
        <f t="shared" ca="1" si="0"/>
        <v/>
      </c>
      <c r="G75" s="161" t="str">
        <f t="shared" ca="1" si="2"/>
        <v/>
      </c>
      <c r="H75" s="161" t="str">
        <f t="shared" ca="1" si="3"/>
        <v/>
      </c>
      <c r="J75" s="229" t="str">
        <f ca="1">IF($C75="","",IFERROR(IF('קיזוזים- החלטות ועדה'!E75=0,0,1),0))</f>
        <v/>
      </c>
      <c r="K75" s="229" t="str">
        <f t="shared" ca="1" si="4"/>
        <v/>
      </c>
      <c r="L75" s="229" t="str">
        <f t="shared" ca="1" si="5"/>
        <v/>
      </c>
      <c r="M75" s="231" t="str">
        <f t="shared" ca="1" si="6"/>
        <v/>
      </c>
    </row>
    <row r="76" spans="2:13" ht="20.25" x14ac:dyDescent="0.25">
      <c r="B76" s="156">
        <f t="shared" ca="1" si="1"/>
        <v>46</v>
      </c>
      <c r="C76" s="157" t="str">
        <f ca="1">'הגבלה לסכום מבוקש (1)'!C76</f>
        <v>ענבל מרכז אתני</v>
      </c>
      <c r="D76" s="158">
        <f ca="1">'הגבלה לסכום מבוקש (1)'!U76</f>
        <v>728893.37633453181</v>
      </c>
      <c r="E76" s="159"/>
      <c r="F76" s="160">
        <f t="shared" ca="1" si="0"/>
        <v>0</v>
      </c>
      <c r="G76" s="161">
        <f t="shared" ca="1" si="2"/>
        <v>728893.37633453181</v>
      </c>
      <c r="H76" s="161">
        <f t="shared" ca="1" si="3"/>
        <v>728893.37633453181</v>
      </c>
      <c r="J76" s="229">
        <f ca="1">IF($C76="","",IFERROR(IF('קיזוזים- החלטות ועדה'!E76=0,0,1),0))</f>
        <v>0</v>
      </c>
      <c r="K76" s="229">
        <f t="shared" ca="1" si="4"/>
        <v>0</v>
      </c>
      <c r="L76" s="229">
        <f t="shared" ca="1" si="5"/>
        <v>0</v>
      </c>
      <c r="M76" s="231">
        <f t="shared" ca="1" si="6"/>
        <v>0</v>
      </c>
    </row>
    <row r="77" spans="2:13" ht="20.25" x14ac:dyDescent="0.25">
      <c r="B77" s="156">
        <f t="shared" ca="1" si="1"/>
        <v>47</v>
      </c>
      <c r="C77" s="157" t="str">
        <f ca="1">'הגבלה לסכום מבוקש (1)'!C77</f>
        <v>א.ב. חדשות השומרונים</v>
      </c>
      <c r="D77" s="158">
        <f ca="1">'הגבלה לסכום מבוקש (1)'!U77</f>
        <v>187500</v>
      </c>
      <c r="E77" s="159"/>
      <c r="F77" s="160">
        <f t="shared" ca="1" si="0"/>
        <v>0</v>
      </c>
      <c r="G77" s="161">
        <f t="shared" ca="1" si="2"/>
        <v>187500</v>
      </c>
      <c r="H77" s="161">
        <f t="shared" ca="1" si="3"/>
        <v>187500</v>
      </c>
      <c r="J77" s="229">
        <f ca="1">IF($C77="","",IFERROR(IF('קיזוזים- החלטות ועדה'!E77=0,0,1),0))</f>
        <v>0</v>
      </c>
      <c r="K77" s="229">
        <f t="shared" ca="1" si="4"/>
        <v>0</v>
      </c>
      <c r="L77" s="229">
        <f t="shared" ca="1" si="5"/>
        <v>0</v>
      </c>
      <c r="M77" s="231">
        <f t="shared" ca="1" si="6"/>
        <v>0</v>
      </c>
    </row>
    <row r="78" spans="2:13" ht="20.25" hidden="1" x14ac:dyDescent="0.25">
      <c r="B78" s="156" t="str">
        <f t="shared" ca="1" si="1"/>
        <v/>
      </c>
      <c r="C78" s="157" t="str">
        <f ca="1">'הגבלה לסכום מבוקש (1)'!C78</f>
        <v/>
      </c>
      <c r="D78" s="158" t="str">
        <f ca="1">'הגבלה לסכום מבוקש (1)'!U78</f>
        <v/>
      </c>
      <c r="E78" s="159"/>
      <c r="F78" s="160" t="str">
        <f t="shared" ca="1" si="0"/>
        <v/>
      </c>
      <c r="G78" s="161" t="str">
        <f t="shared" ca="1" si="2"/>
        <v/>
      </c>
      <c r="H78" s="161" t="str">
        <f t="shared" ca="1" si="3"/>
        <v/>
      </c>
      <c r="J78" s="229" t="str">
        <f ca="1">IF($C78="","",IFERROR(IF('קיזוזים- החלטות ועדה'!E78=0,0,1),0))</f>
        <v/>
      </c>
      <c r="K78" s="229" t="str">
        <f t="shared" ca="1" si="4"/>
        <v/>
      </c>
      <c r="L78" s="229" t="str">
        <f t="shared" ca="1" si="5"/>
        <v/>
      </c>
      <c r="M78" s="231" t="str">
        <f t="shared" ca="1" si="6"/>
        <v/>
      </c>
    </row>
    <row r="79" spans="2:13" ht="20.25" hidden="1" x14ac:dyDescent="0.25">
      <c r="B79" s="156" t="str">
        <f t="shared" ca="1" si="1"/>
        <v/>
      </c>
      <c r="C79" s="157" t="str">
        <f ca="1">'הגבלה לסכום מבוקש (1)'!C79</f>
        <v/>
      </c>
      <c r="D79" s="158" t="str">
        <f ca="1">'הגבלה לסכום מבוקש (1)'!U79</f>
        <v/>
      </c>
      <c r="E79" s="159"/>
      <c r="F79" s="160" t="str">
        <f t="shared" ca="1" si="0"/>
        <v/>
      </c>
      <c r="G79" s="161" t="str">
        <f t="shared" ca="1" si="2"/>
        <v/>
      </c>
      <c r="H79" s="161" t="str">
        <f t="shared" ca="1" si="3"/>
        <v/>
      </c>
      <c r="J79" s="229" t="str">
        <f ca="1">IF($C79="","",IFERROR(IF('קיזוזים- החלטות ועדה'!E79=0,0,1),0))</f>
        <v/>
      </c>
      <c r="K79" s="229" t="str">
        <f t="shared" ca="1" si="4"/>
        <v/>
      </c>
      <c r="L79" s="229" t="str">
        <f t="shared" ca="1" si="5"/>
        <v/>
      </c>
      <c r="M79" s="231" t="str">
        <f t="shared" ca="1" si="6"/>
        <v/>
      </c>
    </row>
    <row r="80" spans="2:13" ht="20.25" hidden="1" x14ac:dyDescent="0.25">
      <c r="B80" s="156" t="str">
        <f t="shared" ca="1" si="1"/>
        <v/>
      </c>
      <c r="C80" s="157" t="str">
        <f ca="1">'הגבלה לסכום מבוקש (1)'!C80</f>
        <v/>
      </c>
      <c r="D80" s="158" t="str">
        <f ca="1">'הגבלה לסכום מבוקש (1)'!U80</f>
        <v/>
      </c>
      <c r="E80" s="159"/>
      <c r="F80" s="160" t="str">
        <f t="shared" ca="1" si="0"/>
        <v/>
      </c>
      <c r="G80" s="161" t="str">
        <f t="shared" ca="1" si="2"/>
        <v/>
      </c>
      <c r="H80" s="161" t="str">
        <f t="shared" ca="1" si="3"/>
        <v/>
      </c>
      <c r="J80" s="229" t="str">
        <f ca="1">IF($C80="","",IFERROR(IF('קיזוזים- החלטות ועדה'!E80=0,0,1),0))</f>
        <v/>
      </c>
      <c r="K80" s="229" t="str">
        <f t="shared" ca="1" si="4"/>
        <v/>
      </c>
      <c r="L80" s="229" t="str">
        <f t="shared" ca="1" si="5"/>
        <v/>
      </c>
      <c r="M80" s="231" t="str">
        <f t="shared" ca="1" si="6"/>
        <v/>
      </c>
    </row>
    <row r="81" spans="2:13" ht="20.25" hidden="1" x14ac:dyDescent="0.25">
      <c r="B81" s="156" t="str">
        <f t="shared" ca="1" si="1"/>
        <v/>
      </c>
      <c r="C81" s="157" t="str">
        <f ca="1">'הגבלה לסכום מבוקש (1)'!C81</f>
        <v/>
      </c>
      <c r="D81" s="158" t="str">
        <f ca="1">'הגבלה לסכום מבוקש (1)'!U81</f>
        <v/>
      </c>
      <c r="E81" s="159"/>
      <c r="F81" s="160" t="str">
        <f t="shared" ca="1" si="0"/>
        <v/>
      </c>
      <c r="G81" s="161" t="str">
        <f t="shared" ca="1" si="2"/>
        <v/>
      </c>
      <c r="H81" s="161" t="str">
        <f t="shared" ca="1" si="3"/>
        <v/>
      </c>
      <c r="J81" s="229" t="str">
        <f ca="1">IF($C81="","",IFERROR(IF('קיזוזים- החלטות ועדה'!E81=0,0,1),0))</f>
        <v/>
      </c>
      <c r="K81" s="229" t="str">
        <f t="shared" ca="1" si="4"/>
        <v/>
      </c>
      <c r="L81" s="229" t="str">
        <f t="shared" ca="1" si="5"/>
        <v/>
      </c>
      <c r="M81" s="231" t="str">
        <f t="shared" ca="1" si="6"/>
        <v/>
      </c>
    </row>
    <row r="82" spans="2:13" ht="20.25" x14ac:dyDescent="0.25">
      <c r="B82" s="156">
        <f t="shared" ca="1" si="1"/>
        <v>52</v>
      </c>
      <c r="C82" s="157" t="str">
        <f ca="1">'הגבלה לסכום מבוקש (1)'!C82</f>
        <v>עמותת הנני</v>
      </c>
      <c r="D82" s="158">
        <f ca="1">'הגבלה לסכום מבוקש (1)'!U82</f>
        <v>597954.29268192616</v>
      </c>
      <c r="E82" s="159"/>
      <c r="F82" s="160">
        <f t="shared" ca="1" si="0"/>
        <v>0</v>
      </c>
      <c r="G82" s="161">
        <f t="shared" ca="1" si="2"/>
        <v>597954.29268192616</v>
      </c>
      <c r="H82" s="161">
        <f t="shared" ca="1" si="3"/>
        <v>597954.29268192616</v>
      </c>
      <c r="J82" s="229">
        <f ca="1">IF($C82="","",IFERROR(IF('קיזוזים- החלטות ועדה'!E82=0,0,1),0))</f>
        <v>0</v>
      </c>
      <c r="K82" s="229">
        <f t="shared" ca="1" si="4"/>
        <v>0</v>
      </c>
      <c r="L82" s="229">
        <f t="shared" ca="1" si="5"/>
        <v>0</v>
      </c>
      <c r="M82" s="231">
        <f t="shared" ca="1" si="6"/>
        <v>0</v>
      </c>
    </row>
    <row r="83" spans="2:13" ht="20.25" hidden="1" x14ac:dyDescent="0.25">
      <c r="B83" s="156" t="str">
        <f t="shared" ca="1" si="1"/>
        <v/>
      </c>
      <c r="C83" s="157" t="str">
        <f ca="1">'הגבלה לסכום מבוקש (1)'!C83</f>
        <v/>
      </c>
      <c r="D83" s="158" t="str">
        <f ca="1">'הגבלה לסכום מבוקש (1)'!U83</f>
        <v/>
      </c>
      <c r="E83" s="159"/>
      <c r="F83" s="160" t="str">
        <f t="shared" ca="1" si="0"/>
        <v/>
      </c>
      <c r="G83" s="161" t="str">
        <f t="shared" ca="1" si="2"/>
        <v/>
      </c>
      <c r="H83" s="161" t="str">
        <f t="shared" ca="1" si="3"/>
        <v/>
      </c>
      <c r="J83" s="229" t="str">
        <f ca="1">IF($C83="","",IFERROR(IF('קיזוזים- החלטות ועדה'!E83=0,0,1),0))</f>
        <v/>
      </c>
      <c r="K83" s="229" t="str">
        <f t="shared" ca="1" si="4"/>
        <v/>
      </c>
      <c r="L83" s="229" t="str">
        <f t="shared" ca="1" si="5"/>
        <v/>
      </c>
      <c r="M83" s="231" t="str">
        <f t="shared" ca="1" si="6"/>
        <v/>
      </c>
    </row>
    <row r="84" spans="2:13" ht="20.25" hidden="1" x14ac:dyDescent="0.25">
      <c r="B84" s="156" t="str">
        <f t="shared" ca="1" si="1"/>
        <v/>
      </c>
      <c r="C84" s="157" t="str">
        <f ca="1">'הגבלה לסכום מבוקש (1)'!C84</f>
        <v/>
      </c>
      <c r="D84" s="158" t="str">
        <f ca="1">'הגבלה לסכום מבוקש (1)'!U84</f>
        <v/>
      </c>
      <c r="E84" s="159"/>
      <c r="F84" s="160" t="str">
        <f t="shared" ca="1" si="0"/>
        <v/>
      </c>
      <c r="G84" s="161" t="str">
        <f t="shared" ca="1" si="2"/>
        <v/>
      </c>
      <c r="H84" s="161" t="str">
        <f t="shared" ca="1" si="3"/>
        <v/>
      </c>
      <c r="J84" s="229" t="str">
        <f ca="1">IF($C84="","",IFERROR(IF('קיזוזים- החלטות ועדה'!E84=0,0,1),0))</f>
        <v/>
      </c>
      <c r="K84" s="229" t="str">
        <f t="shared" ca="1" si="4"/>
        <v/>
      </c>
      <c r="L84" s="229" t="str">
        <f t="shared" ca="1" si="5"/>
        <v/>
      </c>
      <c r="M84" s="231" t="str">
        <f t="shared" ca="1" si="6"/>
        <v/>
      </c>
    </row>
    <row r="85" spans="2:13" ht="20.25" hidden="1" x14ac:dyDescent="0.25">
      <c r="B85" s="156" t="str">
        <f t="shared" ca="1" si="1"/>
        <v/>
      </c>
      <c r="C85" s="157" t="str">
        <f ca="1">'הגבלה לסכום מבוקש (1)'!C85</f>
        <v/>
      </c>
      <c r="D85" s="158" t="str">
        <f ca="1">'הגבלה לסכום מבוקש (1)'!U85</f>
        <v/>
      </c>
      <c r="E85" s="159"/>
      <c r="F85" s="160" t="str">
        <f t="shared" ca="1" si="0"/>
        <v/>
      </c>
      <c r="G85" s="161" t="str">
        <f t="shared" ca="1" si="2"/>
        <v/>
      </c>
      <c r="H85" s="161" t="str">
        <f t="shared" ca="1" si="3"/>
        <v/>
      </c>
      <c r="J85" s="229" t="str">
        <f ca="1">IF($C85="","",IFERROR(IF('קיזוזים- החלטות ועדה'!E85=0,0,1),0))</f>
        <v/>
      </c>
      <c r="K85" s="229" t="str">
        <f t="shared" ca="1" si="4"/>
        <v/>
      </c>
      <c r="L85" s="229" t="str">
        <f t="shared" ca="1" si="5"/>
        <v/>
      </c>
      <c r="M85" s="231" t="str">
        <f t="shared" ca="1" si="6"/>
        <v/>
      </c>
    </row>
    <row r="86" spans="2:13" ht="20.25" hidden="1" x14ac:dyDescent="0.25">
      <c r="B86" s="156" t="str">
        <f t="shared" ca="1" si="1"/>
        <v/>
      </c>
      <c r="C86" s="157" t="str">
        <f ca="1">'הגבלה לסכום מבוקש (1)'!C86</f>
        <v/>
      </c>
      <c r="D86" s="158" t="str">
        <f ca="1">'הגבלה לסכום מבוקש (1)'!U86</f>
        <v/>
      </c>
      <c r="E86" s="159"/>
      <c r="F86" s="160" t="str">
        <f t="shared" ca="1" si="0"/>
        <v/>
      </c>
      <c r="G86" s="161" t="str">
        <f t="shared" ca="1" si="2"/>
        <v/>
      </c>
      <c r="H86" s="161" t="str">
        <f t="shared" ca="1" si="3"/>
        <v/>
      </c>
      <c r="J86" s="229" t="str">
        <f ca="1">IF($C86="","",IFERROR(IF('קיזוזים- החלטות ועדה'!E86=0,0,1),0))</f>
        <v/>
      </c>
      <c r="K86" s="229" t="str">
        <f t="shared" ca="1" si="4"/>
        <v/>
      </c>
      <c r="L86" s="229" t="str">
        <f t="shared" ca="1" si="5"/>
        <v/>
      </c>
      <c r="M86" s="231" t="str">
        <f t="shared" ca="1" si="6"/>
        <v/>
      </c>
    </row>
    <row r="87" spans="2:13" ht="20.25" hidden="1" x14ac:dyDescent="0.25">
      <c r="B87" s="156" t="str">
        <f t="shared" ca="1" si="1"/>
        <v/>
      </c>
      <c r="C87" s="157" t="str">
        <f ca="1">'הגבלה לסכום מבוקש (1)'!C87</f>
        <v/>
      </c>
      <c r="D87" s="158" t="str">
        <f ca="1">'הגבלה לסכום מבוקש (1)'!U87</f>
        <v/>
      </c>
      <c r="E87" s="159"/>
      <c r="F87" s="160" t="str">
        <f t="shared" ca="1" si="0"/>
        <v/>
      </c>
      <c r="G87" s="161" t="str">
        <f t="shared" ca="1" si="2"/>
        <v/>
      </c>
      <c r="H87" s="161" t="str">
        <f t="shared" ca="1" si="3"/>
        <v/>
      </c>
      <c r="J87" s="229" t="str">
        <f ca="1">IF($C87="","",IFERROR(IF('קיזוזים- החלטות ועדה'!E87=0,0,1),0))</f>
        <v/>
      </c>
      <c r="K87" s="229" t="str">
        <f t="shared" ca="1" si="4"/>
        <v/>
      </c>
      <c r="L87" s="229" t="str">
        <f t="shared" ca="1" si="5"/>
        <v/>
      </c>
      <c r="M87" s="231" t="str">
        <f t="shared" ca="1" si="6"/>
        <v/>
      </c>
    </row>
    <row r="88" spans="2:13" ht="20.25" hidden="1" x14ac:dyDescent="0.25">
      <c r="B88" s="156" t="str">
        <f t="shared" ca="1" si="1"/>
        <v/>
      </c>
      <c r="C88" s="157" t="str">
        <f ca="1">'הגבלה לסכום מבוקש (1)'!C88</f>
        <v/>
      </c>
      <c r="D88" s="158" t="str">
        <f ca="1">'הגבלה לסכום מבוקש (1)'!U88</f>
        <v/>
      </c>
      <c r="E88" s="159"/>
      <c r="F88" s="160" t="str">
        <f t="shared" ca="1" si="0"/>
        <v/>
      </c>
      <c r="G88" s="161" t="str">
        <f t="shared" ca="1" si="2"/>
        <v/>
      </c>
      <c r="H88" s="161" t="str">
        <f t="shared" ca="1" si="3"/>
        <v/>
      </c>
      <c r="J88" s="229" t="str">
        <f ca="1">IF($C88="","",IFERROR(IF('קיזוזים- החלטות ועדה'!E88=0,0,1),0))</f>
        <v/>
      </c>
      <c r="K88" s="229" t="str">
        <f t="shared" ca="1" si="4"/>
        <v/>
      </c>
      <c r="L88" s="229" t="str">
        <f t="shared" ca="1" si="5"/>
        <v/>
      </c>
      <c r="M88" s="231" t="str">
        <f t="shared" ca="1" si="6"/>
        <v/>
      </c>
    </row>
    <row r="89" spans="2:13" ht="20.25" hidden="1" x14ac:dyDescent="0.25">
      <c r="B89" s="156" t="str">
        <f t="shared" ca="1" si="1"/>
        <v/>
      </c>
      <c r="C89" s="157" t="str">
        <f ca="1">'הגבלה לסכום מבוקש (1)'!C89</f>
        <v/>
      </c>
      <c r="D89" s="158" t="str">
        <f ca="1">'הגבלה לסכום מבוקש (1)'!U89</f>
        <v/>
      </c>
      <c r="E89" s="159"/>
      <c r="F89" s="160" t="str">
        <f t="shared" ca="1" si="0"/>
        <v/>
      </c>
      <c r="G89" s="161" t="str">
        <f t="shared" ca="1" si="2"/>
        <v/>
      </c>
      <c r="H89" s="161" t="str">
        <f t="shared" ca="1" si="3"/>
        <v/>
      </c>
      <c r="J89" s="229" t="str">
        <f ca="1">IF($C89="","",IFERROR(IF('קיזוזים- החלטות ועדה'!E89=0,0,1),0))</f>
        <v/>
      </c>
      <c r="K89" s="229" t="str">
        <f t="shared" ca="1" si="4"/>
        <v/>
      </c>
      <c r="L89" s="229" t="str">
        <f t="shared" ca="1" si="5"/>
        <v/>
      </c>
      <c r="M89" s="231" t="str">
        <f t="shared" ca="1" si="6"/>
        <v/>
      </c>
    </row>
    <row r="90" spans="2:13" ht="20.25" x14ac:dyDescent="0.25">
      <c r="B90" s="156">
        <f t="shared" ca="1" si="1"/>
        <v>60</v>
      </c>
      <c r="C90" s="157" t="str">
        <f ca="1">'הגבלה לסכום מבוקש (1)'!C90</f>
        <v>שרשרת הדורות</v>
      </c>
      <c r="D90" s="158">
        <f ca="1">'הגבלה לסכום מבוקש (1)'!U90</f>
        <v>176882.22716570474</v>
      </c>
      <c r="E90" s="159"/>
      <c r="F90" s="160">
        <f t="shared" ca="1" si="0"/>
        <v>0</v>
      </c>
      <c r="G90" s="161">
        <f t="shared" ca="1" si="2"/>
        <v>176882.22716570474</v>
      </c>
      <c r="H90" s="161">
        <f t="shared" ca="1" si="3"/>
        <v>176882.22716570474</v>
      </c>
      <c r="J90" s="229">
        <f ca="1">IF($C90="","",IFERROR(IF('קיזוזים- החלטות ועדה'!E90=0,0,1),0))</f>
        <v>0</v>
      </c>
      <c r="K90" s="229">
        <f t="shared" ca="1" si="4"/>
        <v>0</v>
      </c>
      <c r="L90" s="229">
        <f t="shared" ca="1" si="5"/>
        <v>0</v>
      </c>
      <c r="M90" s="231">
        <f t="shared" ca="1" si="6"/>
        <v>0</v>
      </c>
    </row>
    <row r="91" spans="2:13" ht="21" thickBot="1" x14ac:dyDescent="0.3">
      <c r="B91" s="156">
        <f t="shared" ca="1" si="1"/>
        <v>61</v>
      </c>
      <c r="C91" s="157" t="str">
        <f ca="1">'הגבלה לסכום מבוקש (1)'!C91</f>
        <v>חיבה</v>
      </c>
      <c r="D91" s="158">
        <f ca="1">'הגבלה לסכום מבוקש (1)'!U91</f>
        <v>339062.36727233679</v>
      </c>
      <c r="E91" s="159"/>
      <c r="F91" s="160">
        <f t="shared" ca="1" si="0"/>
        <v>0</v>
      </c>
      <c r="G91" s="161">
        <f t="shared" ca="1" si="2"/>
        <v>339062.36727233679</v>
      </c>
      <c r="H91" s="161">
        <f t="shared" ca="1" si="3"/>
        <v>339062.36727233679</v>
      </c>
      <c r="J91" s="229">
        <f ca="1">IF($C91="","",IFERROR(IF('קיזוזים- החלטות ועדה'!E91=0,0,1),0))</f>
        <v>0</v>
      </c>
      <c r="K91" s="229">
        <f t="shared" ca="1" si="4"/>
        <v>0</v>
      </c>
      <c r="L91" s="229">
        <f t="shared" ca="1" si="5"/>
        <v>0</v>
      </c>
      <c r="M91" s="231">
        <f t="shared" ca="1" si="6"/>
        <v>0</v>
      </c>
    </row>
    <row r="92" spans="2:13" ht="21" hidden="1" thickBot="1" x14ac:dyDescent="0.3">
      <c r="B92" s="156" t="str">
        <f t="shared" ca="1" si="1"/>
        <v/>
      </c>
      <c r="C92" s="157" t="str">
        <f ca="1">'הגבלה לסכום מבוקש (1)'!C92</f>
        <v/>
      </c>
      <c r="D92" s="158" t="str">
        <f ca="1">'הגבלה לסכום מבוקש (1)'!U92</f>
        <v/>
      </c>
      <c r="E92" s="159"/>
      <c r="F92" s="160" t="str">
        <f t="shared" ca="1" si="0"/>
        <v/>
      </c>
      <c r="G92" s="161" t="str">
        <f t="shared" ca="1" si="2"/>
        <v/>
      </c>
      <c r="H92" s="161" t="str">
        <f t="shared" ca="1" si="3"/>
        <v/>
      </c>
      <c r="J92" s="229" t="str">
        <f ca="1">IF($C92="","",IFERROR(IF('קיזוזים- החלטות ועדה'!E92=0,0,1),0))</f>
        <v/>
      </c>
      <c r="K92" s="229" t="str">
        <f t="shared" ca="1" si="4"/>
        <v/>
      </c>
      <c r="L92" s="229" t="str">
        <f t="shared" ca="1" si="5"/>
        <v/>
      </c>
      <c r="M92" s="231" t="str">
        <f t="shared" ca="1" si="6"/>
        <v/>
      </c>
    </row>
    <row r="93" spans="2:13" ht="20.25" hidden="1" x14ac:dyDescent="0.25">
      <c r="B93" s="156">
        <f t="shared" si="1"/>
        <v>63</v>
      </c>
      <c r="C93" s="157">
        <f>'הגבלה לסכום מבוקש (1)'!C93</f>
        <v>0</v>
      </c>
      <c r="D93" s="158">
        <f>'הגבלה לסכום מבוקש (1)'!U93</f>
        <v>0</v>
      </c>
      <c r="E93" s="159"/>
      <c r="F93" s="160">
        <f t="shared" si="0"/>
        <v>0</v>
      </c>
      <c r="G93" s="161">
        <f t="shared" si="2"/>
        <v>0</v>
      </c>
      <c r="H93" s="161">
        <f t="shared" ca="1" si="3"/>
        <v>0</v>
      </c>
      <c r="J93" s="229">
        <f>IF($C93="","",IFERROR(IF('קיזוזים- החלטות ועדה'!E93=0,0,1),0))</f>
        <v>0</v>
      </c>
      <c r="K93" s="229">
        <f t="shared" si="4"/>
        <v>0</v>
      </c>
      <c r="L93" s="229">
        <f t="shared" si="5"/>
        <v>0</v>
      </c>
      <c r="M93" s="231">
        <f t="shared" ca="1" si="6"/>
        <v>0</v>
      </c>
    </row>
    <row r="94" spans="2:13" ht="20.25" hidden="1" x14ac:dyDescent="0.25">
      <c r="B94" s="156">
        <f t="shared" si="1"/>
        <v>64</v>
      </c>
      <c r="C94" s="157">
        <f>'הגבלה לסכום מבוקש (1)'!C94</f>
        <v>0</v>
      </c>
      <c r="D94" s="158">
        <f>'הגבלה לסכום מבוקש (1)'!U94</f>
        <v>0</v>
      </c>
      <c r="E94" s="159"/>
      <c r="F94" s="160">
        <f t="shared" si="0"/>
        <v>0</v>
      </c>
      <c r="G94" s="161">
        <f t="shared" si="2"/>
        <v>0</v>
      </c>
      <c r="H94" s="161">
        <f t="shared" ca="1" si="3"/>
        <v>0</v>
      </c>
      <c r="J94" s="229">
        <f>IF($C94="","",IFERROR(IF('קיזוזים- החלטות ועדה'!E94=0,0,1),0))</f>
        <v>0</v>
      </c>
      <c r="K94" s="229">
        <f t="shared" si="4"/>
        <v>0</v>
      </c>
      <c r="L94" s="229">
        <f t="shared" si="5"/>
        <v>0</v>
      </c>
      <c r="M94" s="231">
        <f t="shared" ca="1" si="6"/>
        <v>0</v>
      </c>
    </row>
    <row r="95" spans="2:13" ht="20.25" hidden="1" x14ac:dyDescent="0.25">
      <c r="B95" s="156">
        <f t="shared" si="1"/>
        <v>65</v>
      </c>
      <c r="C95" s="157">
        <f>'הגבלה לסכום מבוקש (1)'!C95</f>
        <v>0</v>
      </c>
      <c r="D95" s="158">
        <f>'הגבלה לסכום מבוקש (1)'!U95</f>
        <v>0</v>
      </c>
      <c r="E95" s="159"/>
      <c r="F95" s="160">
        <f t="shared" ref="F95:F130" si="7">IF(C95="","",IFERROR(MIN(D95,E95/365*D95),$P$1))</f>
        <v>0</v>
      </c>
      <c r="G95" s="161">
        <f t="shared" si="2"/>
        <v>0</v>
      </c>
      <c r="H95" s="161">
        <f t="shared" ca="1" si="3"/>
        <v>0</v>
      </c>
      <c r="J95" s="229">
        <f>IF($C95="","",IFERROR(IF('קיזוזים- החלטות ועדה'!E95=0,0,1),0))</f>
        <v>0</v>
      </c>
      <c r="K95" s="229">
        <f t="shared" si="4"/>
        <v>0</v>
      </c>
      <c r="L95" s="229">
        <f t="shared" si="5"/>
        <v>0</v>
      </c>
      <c r="M95" s="231">
        <f t="shared" ca="1" si="6"/>
        <v>0</v>
      </c>
    </row>
    <row r="96" spans="2:13" ht="20.25" hidden="1" x14ac:dyDescent="0.25">
      <c r="B96" s="156">
        <f t="shared" ref="B96:B130" si="8">IF(C96="","",ROW()-30)</f>
        <v>66</v>
      </c>
      <c r="C96" s="157">
        <f>'הגבלה לסכום מבוקש (1)'!C96</f>
        <v>0</v>
      </c>
      <c r="D96" s="158">
        <f>'הגבלה לסכום מבוקש (1)'!U96</f>
        <v>0</v>
      </c>
      <c r="E96" s="159"/>
      <c r="F96" s="160">
        <f t="shared" si="7"/>
        <v>0</v>
      </c>
      <c r="G96" s="161">
        <f t="shared" ref="G96:G130" si="9">IF($C96="","",D96-F96)</f>
        <v>0</v>
      </c>
      <c r="H96" s="161">
        <f t="shared" ref="H96:H130" ca="1" si="10">IF($C96="","",G96+M96)</f>
        <v>0</v>
      </c>
      <c r="J96" s="229">
        <f>IF($C96="","",IFERROR(IF('קיזוזים- החלטות ועדה'!E96=0,0,1),0))</f>
        <v>0</v>
      </c>
      <c r="K96" s="229">
        <f t="shared" ref="K96:K130" si="11">IF($C96="","",IFERROR(IF(E96=0,0,1),0))</f>
        <v>0</v>
      </c>
      <c r="L96" s="229">
        <f t="shared" ref="L96:L130" si="12">IF($C96="","",IF(OR(K96=1,J96=1),1,0))</f>
        <v>0</v>
      </c>
      <c r="M96" s="231">
        <f t="shared" ref="M96:M130" ca="1" si="13">IF($C96="","",IF(L96=1,0,$L$27*$D96/$K$27))</f>
        <v>0</v>
      </c>
    </row>
    <row r="97" spans="2:13" ht="20.25" hidden="1" x14ac:dyDescent="0.25">
      <c r="B97" s="156">
        <f t="shared" si="8"/>
        <v>67</v>
      </c>
      <c r="C97" s="157">
        <f>'הגבלה לסכום מבוקש (1)'!C97</f>
        <v>0</v>
      </c>
      <c r="D97" s="158">
        <f>'הגבלה לסכום מבוקש (1)'!U97</f>
        <v>0</v>
      </c>
      <c r="E97" s="159"/>
      <c r="F97" s="160">
        <f t="shared" si="7"/>
        <v>0</v>
      </c>
      <c r="G97" s="161">
        <f t="shared" si="9"/>
        <v>0</v>
      </c>
      <c r="H97" s="161">
        <f t="shared" ca="1" si="10"/>
        <v>0</v>
      </c>
      <c r="J97" s="229">
        <f>IF($C97="","",IFERROR(IF('קיזוזים- החלטות ועדה'!E97=0,0,1),0))</f>
        <v>0</v>
      </c>
      <c r="K97" s="229">
        <f t="shared" si="11"/>
        <v>0</v>
      </c>
      <c r="L97" s="229">
        <f t="shared" si="12"/>
        <v>0</v>
      </c>
      <c r="M97" s="231">
        <f t="shared" ca="1" si="13"/>
        <v>0</v>
      </c>
    </row>
    <row r="98" spans="2:13" ht="20.25" hidden="1" x14ac:dyDescent="0.25">
      <c r="B98" s="156">
        <f t="shared" si="8"/>
        <v>68</v>
      </c>
      <c r="C98" s="157">
        <f>'הגבלה לסכום מבוקש (1)'!C98</f>
        <v>0</v>
      </c>
      <c r="D98" s="158">
        <f>'הגבלה לסכום מבוקש (1)'!U98</f>
        <v>0</v>
      </c>
      <c r="E98" s="159"/>
      <c r="F98" s="160">
        <f t="shared" si="7"/>
        <v>0</v>
      </c>
      <c r="G98" s="161">
        <f t="shared" si="9"/>
        <v>0</v>
      </c>
      <c r="H98" s="161">
        <f t="shared" ca="1" si="10"/>
        <v>0</v>
      </c>
      <c r="J98" s="229">
        <f>IF($C98="","",IFERROR(IF('קיזוזים- החלטות ועדה'!E98=0,0,1),0))</f>
        <v>0</v>
      </c>
      <c r="K98" s="229">
        <f t="shared" si="11"/>
        <v>0</v>
      </c>
      <c r="L98" s="229">
        <f t="shared" si="12"/>
        <v>0</v>
      </c>
      <c r="M98" s="231">
        <f t="shared" ca="1" si="13"/>
        <v>0</v>
      </c>
    </row>
    <row r="99" spans="2:13" ht="20.25" hidden="1" x14ac:dyDescent="0.25">
      <c r="B99" s="156">
        <f t="shared" si="8"/>
        <v>69</v>
      </c>
      <c r="C99" s="157">
        <f>'הגבלה לסכום מבוקש (1)'!C99</f>
        <v>0</v>
      </c>
      <c r="D99" s="158">
        <f>'הגבלה לסכום מבוקש (1)'!U99</f>
        <v>0</v>
      </c>
      <c r="E99" s="159"/>
      <c r="F99" s="160">
        <f t="shared" si="7"/>
        <v>0</v>
      </c>
      <c r="G99" s="161">
        <f t="shared" si="9"/>
        <v>0</v>
      </c>
      <c r="H99" s="161">
        <f t="shared" ca="1" si="10"/>
        <v>0</v>
      </c>
      <c r="J99" s="229">
        <f>IF($C99="","",IFERROR(IF('קיזוזים- החלטות ועדה'!E99=0,0,1),0))</f>
        <v>0</v>
      </c>
      <c r="K99" s="229">
        <f t="shared" si="11"/>
        <v>0</v>
      </c>
      <c r="L99" s="229">
        <f t="shared" si="12"/>
        <v>0</v>
      </c>
      <c r="M99" s="231">
        <f t="shared" ca="1" si="13"/>
        <v>0</v>
      </c>
    </row>
    <row r="100" spans="2:13" ht="20.25" hidden="1" x14ac:dyDescent="0.25">
      <c r="B100" s="156">
        <f t="shared" si="8"/>
        <v>70</v>
      </c>
      <c r="C100" s="157">
        <f>'הגבלה לסכום מבוקש (1)'!C100</f>
        <v>0</v>
      </c>
      <c r="D100" s="158">
        <f>'הגבלה לסכום מבוקש (1)'!U100</f>
        <v>0</v>
      </c>
      <c r="E100" s="159"/>
      <c r="F100" s="160">
        <f t="shared" si="7"/>
        <v>0</v>
      </c>
      <c r="G100" s="161">
        <f t="shared" si="9"/>
        <v>0</v>
      </c>
      <c r="H100" s="161">
        <f t="shared" ca="1" si="10"/>
        <v>0</v>
      </c>
      <c r="J100" s="229">
        <f>IF($C100="","",IFERROR(IF('קיזוזים- החלטות ועדה'!E100=0,0,1),0))</f>
        <v>0</v>
      </c>
      <c r="K100" s="229">
        <f t="shared" si="11"/>
        <v>0</v>
      </c>
      <c r="L100" s="229">
        <f t="shared" si="12"/>
        <v>0</v>
      </c>
      <c r="M100" s="231">
        <f t="shared" ca="1" si="13"/>
        <v>0</v>
      </c>
    </row>
    <row r="101" spans="2:13" ht="20.25" hidden="1" x14ac:dyDescent="0.25">
      <c r="B101" s="156">
        <f t="shared" si="8"/>
        <v>71</v>
      </c>
      <c r="C101" s="157">
        <f>'הגבלה לסכום מבוקש (1)'!C101</f>
        <v>0</v>
      </c>
      <c r="D101" s="158">
        <f>'הגבלה לסכום מבוקש (1)'!U101</f>
        <v>0</v>
      </c>
      <c r="E101" s="159"/>
      <c r="F101" s="160">
        <f t="shared" si="7"/>
        <v>0</v>
      </c>
      <c r="G101" s="161">
        <f t="shared" si="9"/>
        <v>0</v>
      </c>
      <c r="H101" s="161">
        <f t="shared" ca="1" si="10"/>
        <v>0</v>
      </c>
      <c r="J101" s="229">
        <f>IF($C101="","",IFERROR(IF('קיזוזים- החלטות ועדה'!E101=0,0,1),0))</f>
        <v>0</v>
      </c>
      <c r="K101" s="229">
        <f t="shared" si="11"/>
        <v>0</v>
      </c>
      <c r="L101" s="229">
        <f t="shared" si="12"/>
        <v>0</v>
      </c>
      <c r="M101" s="231">
        <f t="shared" ca="1" si="13"/>
        <v>0</v>
      </c>
    </row>
    <row r="102" spans="2:13" ht="20.25" hidden="1" x14ac:dyDescent="0.25">
      <c r="B102" s="156">
        <f t="shared" si="8"/>
        <v>72</v>
      </c>
      <c r="C102" s="157">
        <f>'הגבלה לסכום מבוקש (1)'!C102</f>
        <v>0</v>
      </c>
      <c r="D102" s="158">
        <f>'הגבלה לסכום מבוקש (1)'!U102</f>
        <v>0</v>
      </c>
      <c r="E102" s="159"/>
      <c r="F102" s="160">
        <f t="shared" si="7"/>
        <v>0</v>
      </c>
      <c r="G102" s="161">
        <f t="shared" si="9"/>
        <v>0</v>
      </c>
      <c r="H102" s="161">
        <f t="shared" ca="1" si="10"/>
        <v>0</v>
      </c>
      <c r="J102" s="229">
        <f>IF($C102="","",IFERROR(IF('קיזוזים- החלטות ועדה'!E102=0,0,1),0))</f>
        <v>0</v>
      </c>
      <c r="K102" s="229">
        <f t="shared" si="11"/>
        <v>0</v>
      </c>
      <c r="L102" s="229">
        <f t="shared" si="12"/>
        <v>0</v>
      </c>
      <c r="M102" s="231">
        <f t="shared" ca="1" si="13"/>
        <v>0</v>
      </c>
    </row>
    <row r="103" spans="2:13" ht="20.25" hidden="1" x14ac:dyDescent="0.25">
      <c r="B103" s="156">
        <f t="shared" si="8"/>
        <v>73</v>
      </c>
      <c r="C103" s="157">
        <f>'הגבלה לסכום מבוקש (1)'!C103</f>
        <v>0</v>
      </c>
      <c r="D103" s="158">
        <f>'הגבלה לסכום מבוקש (1)'!U103</f>
        <v>0</v>
      </c>
      <c r="E103" s="159"/>
      <c r="F103" s="160">
        <f t="shared" si="7"/>
        <v>0</v>
      </c>
      <c r="G103" s="161">
        <f t="shared" si="9"/>
        <v>0</v>
      </c>
      <c r="H103" s="161">
        <f t="shared" ca="1" si="10"/>
        <v>0</v>
      </c>
      <c r="J103" s="229">
        <f>IF($C103="","",IFERROR(IF('קיזוזים- החלטות ועדה'!E103=0,0,1),0))</f>
        <v>0</v>
      </c>
      <c r="K103" s="229">
        <f t="shared" si="11"/>
        <v>0</v>
      </c>
      <c r="L103" s="229">
        <f t="shared" si="12"/>
        <v>0</v>
      </c>
      <c r="M103" s="231">
        <f t="shared" ca="1" si="13"/>
        <v>0</v>
      </c>
    </row>
    <row r="104" spans="2:13" ht="20.25" hidden="1" x14ac:dyDescent="0.25">
      <c r="B104" s="156">
        <f t="shared" si="8"/>
        <v>74</v>
      </c>
      <c r="C104" s="157">
        <f>'הגבלה לסכום מבוקש (1)'!C104</f>
        <v>0</v>
      </c>
      <c r="D104" s="158">
        <f>'הגבלה לסכום מבוקש (1)'!U104</f>
        <v>0</v>
      </c>
      <c r="E104" s="159"/>
      <c r="F104" s="160">
        <f t="shared" si="7"/>
        <v>0</v>
      </c>
      <c r="G104" s="161">
        <f t="shared" si="9"/>
        <v>0</v>
      </c>
      <c r="H104" s="161">
        <f t="shared" ca="1" si="10"/>
        <v>0</v>
      </c>
      <c r="J104" s="229">
        <f>IF($C104="","",IFERROR(IF('קיזוזים- החלטות ועדה'!E104=0,0,1),0))</f>
        <v>0</v>
      </c>
      <c r="K104" s="229">
        <f t="shared" si="11"/>
        <v>0</v>
      </c>
      <c r="L104" s="229">
        <f t="shared" si="12"/>
        <v>0</v>
      </c>
      <c r="M104" s="231">
        <f t="shared" ca="1" si="13"/>
        <v>0</v>
      </c>
    </row>
    <row r="105" spans="2:13" ht="20.25" hidden="1" x14ac:dyDescent="0.25">
      <c r="B105" s="156">
        <f t="shared" si="8"/>
        <v>75</v>
      </c>
      <c r="C105" s="157">
        <f>'הגבלה לסכום מבוקש (1)'!C105</f>
        <v>0</v>
      </c>
      <c r="D105" s="158">
        <f>'הגבלה לסכום מבוקש (1)'!U105</f>
        <v>0</v>
      </c>
      <c r="E105" s="159"/>
      <c r="F105" s="160">
        <f t="shared" si="7"/>
        <v>0</v>
      </c>
      <c r="G105" s="161">
        <f t="shared" si="9"/>
        <v>0</v>
      </c>
      <c r="H105" s="161">
        <f t="shared" ca="1" si="10"/>
        <v>0</v>
      </c>
      <c r="J105" s="229">
        <f>IF($C105="","",IFERROR(IF('קיזוזים- החלטות ועדה'!E105=0,0,1),0))</f>
        <v>0</v>
      </c>
      <c r="K105" s="229">
        <f t="shared" si="11"/>
        <v>0</v>
      </c>
      <c r="L105" s="229">
        <f t="shared" si="12"/>
        <v>0</v>
      </c>
      <c r="M105" s="231">
        <f t="shared" ca="1" si="13"/>
        <v>0</v>
      </c>
    </row>
    <row r="106" spans="2:13" ht="20.25" hidden="1" x14ac:dyDescent="0.25">
      <c r="B106" s="156">
        <f t="shared" si="8"/>
        <v>76</v>
      </c>
      <c r="C106" s="157">
        <f>'הגבלה לסכום מבוקש (1)'!C106</f>
        <v>0</v>
      </c>
      <c r="D106" s="158">
        <f>'הגבלה לסכום מבוקש (1)'!U106</f>
        <v>0</v>
      </c>
      <c r="E106" s="159"/>
      <c r="F106" s="160">
        <f t="shared" si="7"/>
        <v>0</v>
      </c>
      <c r="G106" s="161">
        <f t="shared" si="9"/>
        <v>0</v>
      </c>
      <c r="H106" s="161">
        <f t="shared" ca="1" si="10"/>
        <v>0</v>
      </c>
      <c r="J106" s="229">
        <f>IF($C106="","",IFERROR(IF('קיזוזים- החלטות ועדה'!E106=0,0,1),0))</f>
        <v>0</v>
      </c>
      <c r="K106" s="229">
        <f t="shared" si="11"/>
        <v>0</v>
      </c>
      <c r="L106" s="229">
        <f t="shared" si="12"/>
        <v>0</v>
      </c>
      <c r="M106" s="231">
        <f t="shared" ca="1" si="13"/>
        <v>0</v>
      </c>
    </row>
    <row r="107" spans="2:13" ht="20.25" hidden="1" x14ac:dyDescent="0.25">
      <c r="B107" s="156">
        <f t="shared" si="8"/>
        <v>77</v>
      </c>
      <c r="C107" s="157">
        <f>'הגבלה לסכום מבוקש (1)'!C107</f>
        <v>0</v>
      </c>
      <c r="D107" s="158">
        <f>'הגבלה לסכום מבוקש (1)'!U107</f>
        <v>0</v>
      </c>
      <c r="E107" s="159"/>
      <c r="F107" s="160">
        <f t="shared" si="7"/>
        <v>0</v>
      </c>
      <c r="G107" s="161">
        <f t="shared" si="9"/>
        <v>0</v>
      </c>
      <c r="H107" s="161">
        <f t="shared" ca="1" si="10"/>
        <v>0</v>
      </c>
      <c r="J107" s="229">
        <f>IF($C107="","",IFERROR(IF('קיזוזים- החלטות ועדה'!E107=0,0,1),0))</f>
        <v>0</v>
      </c>
      <c r="K107" s="229">
        <f t="shared" si="11"/>
        <v>0</v>
      </c>
      <c r="L107" s="229">
        <f t="shared" si="12"/>
        <v>0</v>
      </c>
      <c r="M107" s="231">
        <f t="shared" ca="1" si="13"/>
        <v>0</v>
      </c>
    </row>
    <row r="108" spans="2:13" ht="20.25" hidden="1" x14ac:dyDescent="0.25">
      <c r="B108" s="156">
        <f t="shared" si="8"/>
        <v>78</v>
      </c>
      <c r="C108" s="157">
        <f>'הגבלה לסכום מבוקש (1)'!C108</f>
        <v>0</v>
      </c>
      <c r="D108" s="158">
        <f>'הגבלה לסכום מבוקש (1)'!U108</f>
        <v>0</v>
      </c>
      <c r="E108" s="159"/>
      <c r="F108" s="160">
        <f t="shared" si="7"/>
        <v>0</v>
      </c>
      <c r="G108" s="161">
        <f t="shared" si="9"/>
        <v>0</v>
      </c>
      <c r="H108" s="161">
        <f t="shared" ca="1" si="10"/>
        <v>0</v>
      </c>
      <c r="J108" s="229">
        <f>IF($C108="","",IFERROR(IF('קיזוזים- החלטות ועדה'!E108=0,0,1),0))</f>
        <v>0</v>
      </c>
      <c r="K108" s="229">
        <f t="shared" si="11"/>
        <v>0</v>
      </c>
      <c r="L108" s="229">
        <f t="shared" si="12"/>
        <v>0</v>
      </c>
      <c r="M108" s="231">
        <f t="shared" ca="1" si="13"/>
        <v>0</v>
      </c>
    </row>
    <row r="109" spans="2:13" ht="20.25" hidden="1" x14ac:dyDescent="0.25">
      <c r="B109" s="156">
        <f t="shared" si="8"/>
        <v>79</v>
      </c>
      <c r="C109" s="157">
        <f>'הגבלה לסכום מבוקש (1)'!C109</f>
        <v>0</v>
      </c>
      <c r="D109" s="158">
        <f>'הגבלה לסכום מבוקש (1)'!U109</f>
        <v>0</v>
      </c>
      <c r="E109" s="159"/>
      <c r="F109" s="160">
        <f t="shared" si="7"/>
        <v>0</v>
      </c>
      <c r="G109" s="161">
        <f t="shared" si="9"/>
        <v>0</v>
      </c>
      <c r="H109" s="161">
        <f t="shared" ca="1" si="10"/>
        <v>0</v>
      </c>
      <c r="J109" s="229">
        <f>IF($C109="","",IFERROR(IF('קיזוזים- החלטות ועדה'!E109=0,0,1),0))</f>
        <v>0</v>
      </c>
      <c r="K109" s="229">
        <f t="shared" si="11"/>
        <v>0</v>
      </c>
      <c r="L109" s="229">
        <f t="shared" si="12"/>
        <v>0</v>
      </c>
      <c r="M109" s="231">
        <f t="shared" ca="1" si="13"/>
        <v>0</v>
      </c>
    </row>
    <row r="110" spans="2:13" ht="20.25" hidden="1" x14ac:dyDescent="0.25">
      <c r="B110" s="156">
        <f t="shared" si="8"/>
        <v>80</v>
      </c>
      <c r="C110" s="157">
        <f>'הגבלה לסכום מבוקש (1)'!C110</f>
        <v>0</v>
      </c>
      <c r="D110" s="158">
        <f>'הגבלה לסכום מבוקש (1)'!U110</f>
        <v>0</v>
      </c>
      <c r="E110" s="159"/>
      <c r="F110" s="160">
        <f t="shared" si="7"/>
        <v>0</v>
      </c>
      <c r="G110" s="161">
        <f t="shared" si="9"/>
        <v>0</v>
      </c>
      <c r="H110" s="161">
        <f t="shared" ca="1" si="10"/>
        <v>0</v>
      </c>
      <c r="J110" s="229">
        <f>IF($C110="","",IFERROR(IF('קיזוזים- החלטות ועדה'!E110=0,0,1),0))</f>
        <v>0</v>
      </c>
      <c r="K110" s="229">
        <f t="shared" si="11"/>
        <v>0</v>
      </c>
      <c r="L110" s="229">
        <f t="shared" si="12"/>
        <v>0</v>
      </c>
      <c r="M110" s="231">
        <f t="shared" ca="1" si="13"/>
        <v>0</v>
      </c>
    </row>
    <row r="111" spans="2:13" ht="20.25" hidden="1" x14ac:dyDescent="0.25">
      <c r="B111" s="156">
        <f t="shared" si="8"/>
        <v>81</v>
      </c>
      <c r="C111" s="157">
        <f>'הגבלה לסכום מבוקש (1)'!C111</f>
        <v>0</v>
      </c>
      <c r="D111" s="158">
        <f>'הגבלה לסכום מבוקש (1)'!U111</f>
        <v>0</v>
      </c>
      <c r="E111" s="159"/>
      <c r="F111" s="160">
        <f t="shared" si="7"/>
        <v>0</v>
      </c>
      <c r="G111" s="161">
        <f t="shared" si="9"/>
        <v>0</v>
      </c>
      <c r="H111" s="161">
        <f t="shared" ca="1" si="10"/>
        <v>0</v>
      </c>
      <c r="J111" s="229">
        <f>IF($C111="","",IFERROR(IF('קיזוזים- החלטות ועדה'!E111=0,0,1),0))</f>
        <v>0</v>
      </c>
      <c r="K111" s="229">
        <f t="shared" si="11"/>
        <v>0</v>
      </c>
      <c r="L111" s="229">
        <f t="shared" si="12"/>
        <v>0</v>
      </c>
      <c r="M111" s="231">
        <f t="shared" ca="1" si="13"/>
        <v>0</v>
      </c>
    </row>
    <row r="112" spans="2:13" ht="20.25" hidden="1" x14ac:dyDescent="0.25">
      <c r="B112" s="156">
        <f t="shared" si="8"/>
        <v>82</v>
      </c>
      <c r="C112" s="157">
        <f>'הגבלה לסכום מבוקש (1)'!C112</f>
        <v>0</v>
      </c>
      <c r="D112" s="158">
        <f>'הגבלה לסכום מבוקש (1)'!U112</f>
        <v>0</v>
      </c>
      <c r="E112" s="159"/>
      <c r="F112" s="160">
        <f t="shared" si="7"/>
        <v>0</v>
      </c>
      <c r="G112" s="161">
        <f t="shared" si="9"/>
        <v>0</v>
      </c>
      <c r="H112" s="161">
        <f t="shared" ca="1" si="10"/>
        <v>0</v>
      </c>
      <c r="J112" s="229">
        <f>IF($C112="","",IFERROR(IF('קיזוזים- החלטות ועדה'!E112=0,0,1),0))</f>
        <v>0</v>
      </c>
      <c r="K112" s="229">
        <f t="shared" si="11"/>
        <v>0</v>
      </c>
      <c r="L112" s="229">
        <f t="shared" si="12"/>
        <v>0</v>
      </c>
      <c r="M112" s="231">
        <f t="shared" ca="1" si="13"/>
        <v>0</v>
      </c>
    </row>
    <row r="113" spans="2:13" ht="20.25" hidden="1" x14ac:dyDescent="0.25">
      <c r="B113" s="156">
        <f t="shared" si="8"/>
        <v>83</v>
      </c>
      <c r="C113" s="157">
        <f>'הגבלה לסכום מבוקש (1)'!C113</f>
        <v>0</v>
      </c>
      <c r="D113" s="158">
        <f>'הגבלה לסכום מבוקש (1)'!U113</f>
        <v>0</v>
      </c>
      <c r="E113" s="159"/>
      <c r="F113" s="160">
        <f t="shared" si="7"/>
        <v>0</v>
      </c>
      <c r="G113" s="161">
        <f t="shared" si="9"/>
        <v>0</v>
      </c>
      <c r="H113" s="161">
        <f t="shared" ca="1" si="10"/>
        <v>0</v>
      </c>
      <c r="J113" s="229">
        <f>IF($C113="","",IFERROR(IF('קיזוזים- החלטות ועדה'!E113=0,0,1),0))</f>
        <v>0</v>
      </c>
      <c r="K113" s="229">
        <f t="shared" si="11"/>
        <v>0</v>
      </c>
      <c r="L113" s="229">
        <f t="shared" si="12"/>
        <v>0</v>
      </c>
      <c r="M113" s="231">
        <f t="shared" ca="1" si="13"/>
        <v>0</v>
      </c>
    </row>
    <row r="114" spans="2:13" ht="20.25" hidden="1" x14ac:dyDescent="0.25">
      <c r="B114" s="156">
        <f t="shared" si="8"/>
        <v>84</v>
      </c>
      <c r="C114" s="157">
        <f>'הגבלה לסכום מבוקש (1)'!C114</f>
        <v>0</v>
      </c>
      <c r="D114" s="158">
        <f>'הגבלה לסכום מבוקש (1)'!U114</f>
        <v>0</v>
      </c>
      <c r="E114" s="159"/>
      <c r="F114" s="160">
        <f t="shared" si="7"/>
        <v>0</v>
      </c>
      <c r="G114" s="161">
        <f t="shared" si="9"/>
        <v>0</v>
      </c>
      <c r="H114" s="161">
        <f t="shared" ca="1" si="10"/>
        <v>0</v>
      </c>
      <c r="J114" s="229">
        <f>IF($C114="","",IFERROR(IF('קיזוזים- החלטות ועדה'!E114=0,0,1),0))</f>
        <v>0</v>
      </c>
      <c r="K114" s="229">
        <f t="shared" si="11"/>
        <v>0</v>
      </c>
      <c r="L114" s="229">
        <f t="shared" si="12"/>
        <v>0</v>
      </c>
      <c r="M114" s="231">
        <f t="shared" ca="1" si="13"/>
        <v>0</v>
      </c>
    </row>
    <row r="115" spans="2:13" ht="20.25" hidden="1" x14ac:dyDescent="0.25">
      <c r="B115" s="156">
        <f t="shared" si="8"/>
        <v>85</v>
      </c>
      <c r="C115" s="157">
        <f>'הגבלה לסכום מבוקש (1)'!C115</f>
        <v>0</v>
      </c>
      <c r="D115" s="158">
        <f>'הגבלה לסכום מבוקש (1)'!U115</f>
        <v>0</v>
      </c>
      <c r="E115" s="159"/>
      <c r="F115" s="160">
        <f t="shared" si="7"/>
        <v>0</v>
      </c>
      <c r="G115" s="161">
        <f t="shared" si="9"/>
        <v>0</v>
      </c>
      <c r="H115" s="161">
        <f t="shared" ca="1" si="10"/>
        <v>0</v>
      </c>
      <c r="J115" s="229">
        <f>IF($C115="","",IFERROR(IF('קיזוזים- החלטות ועדה'!E115=0,0,1),0))</f>
        <v>0</v>
      </c>
      <c r="K115" s="229">
        <f t="shared" si="11"/>
        <v>0</v>
      </c>
      <c r="L115" s="229">
        <f t="shared" si="12"/>
        <v>0</v>
      </c>
      <c r="M115" s="231">
        <f t="shared" ca="1" si="13"/>
        <v>0</v>
      </c>
    </row>
    <row r="116" spans="2:13" ht="20.25" hidden="1" x14ac:dyDescent="0.25">
      <c r="B116" s="156">
        <f t="shared" si="8"/>
        <v>86</v>
      </c>
      <c r="C116" s="157">
        <f>'הגבלה לסכום מבוקש (1)'!C116</f>
        <v>0</v>
      </c>
      <c r="D116" s="158">
        <f>'הגבלה לסכום מבוקש (1)'!U116</f>
        <v>0</v>
      </c>
      <c r="E116" s="159"/>
      <c r="F116" s="160">
        <f t="shared" si="7"/>
        <v>0</v>
      </c>
      <c r="G116" s="161">
        <f t="shared" si="9"/>
        <v>0</v>
      </c>
      <c r="H116" s="161">
        <f t="shared" ca="1" si="10"/>
        <v>0</v>
      </c>
      <c r="J116" s="229">
        <f>IF($C116="","",IFERROR(IF('קיזוזים- החלטות ועדה'!E116=0,0,1),0))</f>
        <v>0</v>
      </c>
      <c r="K116" s="229">
        <f t="shared" si="11"/>
        <v>0</v>
      </c>
      <c r="L116" s="229">
        <f t="shared" si="12"/>
        <v>0</v>
      </c>
      <c r="M116" s="231">
        <f t="shared" ca="1" si="13"/>
        <v>0</v>
      </c>
    </row>
    <row r="117" spans="2:13" ht="20.25" hidden="1" x14ac:dyDescent="0.25">
      <c r="B117" s="156">
        <f t="shared" si="8"/>
        <v>87</v>
      </c>
      <c r="C117" s="157">
        <f>'הגבלה לסכום מבוקש (1)'!C117</f>
        <v>0</v>
      </c>
      <c r="D117" s="158">
        <f>'הגבלה לסכום מבוקש (1)'!U117</f>
        <v>0</v>
      </c>
      <c r="E117" s="159"/>
      <c r="F117" s="160">
        <f t="shared" si="7"/>
        <v>0</v>
      </c>
      <c r="G117" s="161">
        <f t="shared" si="9"/>
        <v>0</v>
      </c>
      <c r="H117" s="161">
        <f t="shared" ca="1" si="10"/>
        <v>0</v>
      </c>
      <c r="J117" s="229">
        <f>IF($C117="","",IFERROR(IF('קיזוזים- החלטות ועדה'!E117=0,0,1),0))</f>
        <v>0</v>
      </c>
      <c r="K117" s="229">
        <f t="shared" si="11"/>
        <v>0</v>
      </c>
      <c r="L117" s="229">
        <f t="shared" si="12"/>
        <v>0</v>
      </c>
      <c r="M117" s="231">
        <f t="shared" ca="1" si="13"/>
        <v>0</v>
      </c>
    </row>
    <row r="118" spans="2:13" ht="20.25" hidden="1" x14ac:dyDescent="0.25">
      <c r="B118" s="156">
        <f t="shared" si="8"/>
        <v>88</v>
      </c>
      <c r="C118" s="157">
        <f>'הגבלה לסכום מבוקש (1)'!C118</f>
        <v>0</v>
      </c>
      <c r="D118" s="158">
        <f>'הגבלה לסכום מבוקש (1)'!U118</f>
        <v>0</v>
      </c>
      <c r="E118" s="159"/>
      <c r="F118" s="160">
        <f t="shared" si="7"/>
        <v>0</v>
      </c>
      <c r="G118" s="161">
        <f t="shared" si="9"/>
        <v>0</v>
      </c>
      <c r="H118" s="161">
        <f t="shared" ca="1" si="10"/>
        <v>0</v>
      </c>
      <c r="J118" s="229">
        <f>IF($C118="","",IFERROR(IF('קיזוזים- החלטות ועדה'!E118=0,0,1),0))</f>
        <v>0</v>
      </c>
      <c r="K118" s="229">
        <f t="shared" si="11"/>
        <v>0</v>
      </c>
      <c r="L118" s="229">
        <f t="shared" si="12"/>
        <v>0</v>
      </c>
      <c r="M118" s="231">
        <f t="shared" ca="1" si="13"/>
        <v>0</v>
      </c>
    </row>
    <row r="119" spans="2:13" ht="20.25" hidden="1" x14ac:dyDescent="0.25">
      <c r="B119" s="156">
        <f t="shared" si="8"/>
        <v>89</v>
      </c>
      <c r="C119" s="157">
        <f>'הגבלה לסכום מבוקש (1)'!C119</f>
        <v>0</v>
      </c>
      <c r="D119" s="158">
        <f>'הגבלה לסכום מבוקש (1)'!U119</f>
        <v>0</v>
      </c>
      <c r="E119" s="159"/>
      <c r="F119" s="160">
        <f t="shared" si="7"/>
        <v>0</v>
      </c>
      <c r="G119" s="161">
        <f t="shared" si="9"/>
        <v>0</v>
      </c>
      <c r="H119" s="161">
        <f t="shared" ca="1" si="10"/>
        <v>0</v>
      </c>
      <c r="J119" s="229">
        <f>IF($C119="","",IFERROR(IF('קיזוזים- החלטות ועדה'!E119=0,0,1),0))</f>
        <v>0</v>
      </c>
      <c r="K119" s="229">
        <f t="shared" si="11"/>
        <v>0</v>
      </c>
      <c r="L119" s="229">
        <f t="shared" si="12"/>
        <v>0</v>
      </c>
      <c r="M119" s="231">
        <f t="shared" ca="1" si="13"/>
        <v>0</v>
      </c>
    </row>
    <row r="120" spans="2:13" ht="20.25" hidden="1" x14ac:dyDescent="0.25">
      <c r="B120" s="156">
        <f t="shared" si="8"/>
        <v>90</v>
      </c>
      <c r="C120" s="157">
        <f>'הגבלה לסכום מבוקש (1)'!C120</f>
        <v>0</v>
      </c>
      <c r="D120" s="158">
        <f>'הגבלה לסכום מבוקש (1)'!U120</f>
        <v>0</v>
      </c>
      <c r="E120" s="159"/>
      <c r="F120" s="160">
        <f t="shared" si="7"/>
        <v>0</v>
      </c>
      <c r="G120" s="161">
        <f t="shared" si="9"/>
        <v>0</v>
      </c>
      <c r="H120" s="161">
        <f t="shared" ca="1" si="10"/>
        <v>0</v>
      </c>
      <c r="J120" s="229">
        <f>IF($C120="","",IFERROR(IF('קיזוזים- החלטות ועדה'!E120=0,0,1),0))</f>
        <v>0</v>
      </c>
      <c r="K120" s="229">
        <f t="shared" si="11"/>
        <v>0</v>
      </c>
      <c r="L120" s="229">
        <f t="shared" si="12"/>
        <v>0</v>
      </c>
      <c r="M120" s="231">
        <f t="shared" ca="1" si="13"/>
        <v>0</v>
      </c>
    </row>
    <row r="121" spans="2:13" ht="20.25" hidden="1" x14ac:dyDescent="0.25">
      <c r="B121" s="156">
        <f t="shared" si="8"/>
        <v>91</v>
      </c>
      <c r="C121" s="157">
        <f>'הגבלה לסכום מבוקש (1)'!C121</f>
        <v>0</v>
      </c>
      <c r="D121" s="158">
        <f>'הגבלה לסכום מבוקש (1)'!U121</f>
        <v>0</v>
      </c>
      <c r="E121" s="159"/>
      <c r="F121" s="160">
        <f t="shared" si="7"/>
        <v>0</v>
      </c>
      <c r="G121" s="161">
        <f t="shared" si="9"/>
        <v>0</v>
      </c>
      <c r="H121" s="161">
        <f t="shared" ca="1" si="10"/>
        <v>0</v>
      </c>
      <c r="J121" s="229">
        <f>IF($C121="","",IFERROR(IF('קיזוזים- החלטות ועדה'!E121=0,0,1),0))</f>
        <v>0</v>
      </c>
      <c r="K121" s="229">
        <f t="shared" si="11"/>
        <v>0</v>
      </c>
      <c r="L121" s="229">
        <f t="shared" si="12"/>
        <v>0</v>
      </c>
      <c r="M121" s="231">
        <f t="shared" ca="1" si="13"/>
        <v>0</v>
      </c>
    </row>
    <row r="122" spans="2:13" ht="20.25" hidden="1" x14ac:dyDescent="0.25">
      <c r="B122" s="156">
        <f t="shared" si="8"/>
        <v>92</v>
      </c>
      <c r="C122" s="157">
        <f>'הגבלה לסכום מבוקש (1)'!C122</f>
        <v>0</v>
      </c>
      <c r="D122" s="158">
        <f>'הגבלה לסכום מבוקש (1)'!U122</f>
        <v>0</v>
      </c>
      <c r="E122" s="159"/>
      <c r="F122" s="160">
        <f t="shared" si="7"/>
        <v>0</v>
      </c>
      <c r="G122" s="161">
        <f t="shared" si="9"/>
        <v>0</v>
      </c>
      <c r="H122" s="161">
        <f t="shared" ca="1" si="10"/>
        <v>0</v>
      </c>
      <c r="J122" s="229">
        <f>IF($C122="","",IFERROR(IF('קיזוזים- החלטות ועדה'!E122=0,0,1),0))</f>
        <v>0</v>
      </c>
      <c r="K122" s="229">
        <f t="shared" si="11"/>
        <v>0</v>
      </c>
      <c r="L122" s="229">
        <f t="shared" si="12"/>
        <v>0</v>
      </c>
      <c r="M122" s="231">
        <f t="shared" ca="1" si="13"/>
        <v>0</v>
      </c>
    </row>
    <row r="123" spans="2:13" ht="20.25" hidden="1" x14ac:dyDescent="0.25">
      <c r="B123" s="156">
        <f t="shared" si="8"/>
        <v>93</v>
      </c>
      <c r="C123" s="157">
        <f>'הגבלה לסכום מבוקש (1)'!C123</f>
        <v>0</v>
      </c>
      <c r="D123" s="158">
        <f>'הגבלה לסכום מבוקש (1)'!U123</f>
        <v>0</v>
      </c>
      <c r="E123" s="159"/>
      <c r="F123" s="160">
        <f t="shared" si="7"/>
        <v>0</v>
      </c>
      <c r="G123" s="161">
        <f t="shared" si="9"/>
        <v>0</v>
      </c>
      <c r="H123" s="161">
        <f t="shared" ca="1" si="10"/>
        <v>0</v>
      </c>
      <c r="J123" s="229">
        <f>IF($C123="","",IFERROR(IF('קיזוזים- החלטות ועדה'!E123=0,0,1),0))</f>
        <v>0</v>
      </c>
      <c r="K123" s="229">
        <f t="shared" si="11"/>
        <v>0</v>
      </c>
      <c r="L123" s="229">
        <f t="shared" si="12"/>
        <v>0</v>
      </c>
      <c r="M123" s="231">
        <f t="shared" ca="1" si="13"/>
        <v>0</v>
      </c>
    </row>
    <row r="124" spans="2:13" ht="20.25" hidden="1" x14ac:dyDescent="0.25">
      <c r="B124" s="156">
        <f t="shared" si="8"/>
        <v>94</v>
      </c>
      <c r="C124" s="157">
        <f>'הגבלה לסכום מבוקש (1)'!C124</f>
        <v>0</v>
      </c>
      <c r="D124" s="158">
        <f>'הגבלה לסכום מבוקש (1)'!U124</f>
        <v>0</v>
      </c>
      <c r="E124" s="159"/>
      <c r="F124" s="160">
        <f t="shared" si="7"/>
        <v>0</v>
      </c>
      <c r="G124" s="161">
        <f t="shared" si="9"/>
        <v>0</v>
      </c>
      <c r="H124" s="161">
        <f t="shared" ca="1" si="10"/>
        <v>0</v>
      </c>
      <c r="J124" s="229">
        <f>IF($C124="","",IFERROR(IF('קיזוזים- החלטות ועדה'!E124=0,0,1),0))</f>
        <v>0</v>
      </c>
      <c r="K124" s="229">
        <f t="shared" si="11"/>
        <v>0</v>
      </c>
      <c r="L124" s="229">
        <f t="shared" si="12"/>
        <v>0</v>
      </c>
      <c r="M124" s="231">
        <f t="shared" ca="1" si="13"/>
        <v>0</v>
      </c>
    </row>
    <row r="125" spans="2:13" ht="20.25" hidden="1" x14ac:dyDescent="0.25">
      <c r="B125" s="156">
        <f t="shared" si="8"/>
        <v>95</v>
      </c>
      <c r="C125" s="157">
        <f>'הגבלה לסכום מבוקש (1)'!C125</f>
        <v>0</v>
      </c>
      <c r="D125" s="158">
        <f>'הגבלה לסכום מבוקש (1)'!U125</f>
        <v>0</v>
      </c>
      <c r="E125" s="159"/>
      <c r="F125" s="160">
        <f t="shared" si="7"/>
        <v>0</v>
      </c>
      <c r="G125" s="161">
        <f t="shared" si="9"/>
        <v>0</v>
      </c>
      <c r="H125" s="161">
        <f t="shared" ca="1" si="10"/>
        <v>0</v>
      </c>
      <c r="J125" s="229">
        <f>IF($C125="","",IFERROR(IF('קיזוזים- החלטות ועדה'!E125=0,0,1),0))</f>
        <v>0</v>
      </c>
      <c r="K125" s="229">
        <f t="shared" si="11"/>
        <v>0</v>
      </c>
      <c r="L125" s="229">
        <f t="shared" si="12"/>
        <v>0</v>
      </c>
      <c r="M125" s="231">
        <f t="shared" ca="1" si="13"/>
        <v>0</v>
      </c>
    </row>
    <row r="126" spans="2:13" ht="20.25" hidden="1" x14ac:dyDescent="0.25">
      <c r="B126" s="156">
        <f t="shared" si="8"/>
        <v>96</v>
      </c>
      <c r="C126" s="157">
        <f>'הגבלה לסכום מבוקש (1)'!C126</f>
        <v>0</v>
      </c>
      <c r="D126" s="158">
        <f>'הגבלה לסכום מבוקש (1)'!U126</f>
        <v>0</v>
      </c>
      <c r="E126" s="159"/>
      <c r="F126" s="160">
        <f t="shared" si="7"/>
        <v>0</v>
      </c>
      <c r="G126" s="161">
        <f t="shared" si="9"/>
        <v>0</v>
      </c>
      <c r="H126" s="161">
        <f t="shared" ca="1" si="10"/>
        <v>0</v>
      </c>
      <c r="J126" s="229">
        <f>IF($C126="","",IFERROR(IF('קיזוזים- החלטות ועדה'!E126=0,0,1),0))</f>
        <v>0</v>
      </c>
      <c r="K126" s="229">
        <f t="shared" si="11"/>
        <v>0</v>
      </c>
      <c r="L126" s="229">
        <f t="shared" si="12"/>
        <v>0</v>
      </c>
      <c r="M126" s="231">
        <f t="shared" ca="1" si="13"/>
        <v>0</v>
      </c>
    </row>
    <row r="127" spans="2:13" ht="20.25" hidden="1" x14ac:dyDescent="0.25">
      <c r="B127" s="156">
        <f t="shared" si="8"/>
        <v>97</v>
      </c>
      <c r="C127" s="157">
        <f>'הגבלה לסכום מבוקש (1)'!C127</f>
        <v>0</v>
      </c>
      <c r="D127" s="158">
        <f>'הגבלה לסכום מבוקש (1)'!U127</f>
        <v>0</v>
      </c>
      <c r="E127" s="159"/>
      <c r="F127" s="160">
        <f t="shared" si="7"/>
        <v>0</v>
      </c>
      <c r="G127" s="161">
        <f t="shared" si="9"/>
        <v>0</v>
      </c>
      <c r="H127" s="161">
        <f t="shared" ca="1" si="10"/>
        <v>0</v>
      </c>
      <c r="J127" s="229">
        <f>IF($C127="","",IFERROR(IF('קיזוזים- החלטות ועדה'!E127=0,0,1),0))</f>
        <v>0</v>
      </c>
      <c r="K127" s="229">
        <f t="shared" si="11"/>
        <v>0</v>
      </c>
      <c r="L127" s="229">
        <f t="shared" si="12"/>
        <v>0</v>
      </c>
      <c r="M127" s="231">
        <f t="shared" ca="1" si="13"/>
        <v>0</v>
      </c>
    </row>
    <row r="128" spans="2:13" ht="20.25" hidden="1" x14ac:dyDescent="0.25">
      <c r="B128" s="156">
        <f t="shared" si="8"/>
        <v>98</v>
      </c>
      <c r="C128" s="157">
        <f>'הגבלה לסכום מבוקש (1)'!C128</f>
        <v>0</v>
      </c>
      <c r="D128" s="158">
        <f>'הגבלה לסכום מבוקש (1)'!U128</f>
        <v>0</v>
      </c>
      <c r="E128" s="159"/>
      <c r="F128" s="160">
        <f t="shared" si="7"/>
        <v>0</v>
      </c>
      <c r="G128" s="161">
        <f t="shared" si="9"/>
        <v>0</v>
      </c>
      <c r="H128" s="161">
        <f t="shared" ca="1" si="10"/>
        <v>0</v>
      </c>
      <c r="J128" s="229">
        <f>IF($C128="","",IFERROR(IF('קיזוזים- החלטות ועדה'!E128=0,0,1),0))</f>
        <v>0</v>
      </c>
      <c r="K128" s="229">
        <f t="shared" si="11"/>
        <v>0</v>
      </c>
      <c r="L128" s="229">
        <f t="shared" si="12"/>
        <v>0</v>
      </c>
      <c r="M128" s="231">
        <f t="shared" ca="1" si="13"/>
        <v>0</v>
      </c>
    </row>
    <row r="129" spans="2:13" ht="20.25" hidden="1" x14ac:dyDescent="0.25">
      <c r="B129" s="156">
        <f t="shared" si="8"/>
        <v>99</v>
      </c>
      <c r="C129" s="157">
        <f>'הגבלה לסכום מבוקש (1)'!C129</f>
        <v>0</v>
      </c>
      <c r="D129" s="158">
        <f>'הגבלה לסכום מבוקש (1)'!U129</f>
        <v>0</v>
      </c>
      <c r="E129" s="159"/>
      <c r="F129" s="160">
        <f t="shared" si="7"/>
        <v>0</v>
      </c>
      <c r="G129" s="161">
        <f t="shared" si="9"/>
        <v>0</v>
      </c>
      <c r="H129" s="161">
        <f t="shared" ca="1" si="10"/>
        <v>0</v>
      </c>
      <c r="J129" s="229">
        <f>IF($C129="","",IFERROR(IF('קיזוזים- החלטות ועדה'!E129=0,0,1),0))</f>
        <v>0</v>
      </c>
      <c r="K129" s="229">
        <f t="shared" si="11"/>
        <v>0</v>
      </c>
      <c r="L129" s="229">
        <f t="shared" si="12"/>
        <v>0</v>
      </c>
      <c r="M129" s="231">
        <f t="shared" ca="1" si="13"/>
        <v>0</v>
      </c>
    </row>
    <row r="130" spans="2:13" ht="21" hidden="1" thickBot="1" x14ac:dyDescent="0.3">
      <c r="B130" s="156">
        <f t="shared" si="8"/>
        <v>100</v>
      </c>
      <c r="C130" s="157">
        <f>'הגבלה לסכום מבוקש (1)'!C130</f>
        <v>0</v>
      </c>
      <c r="D130" s="158">
        <f>'הגבלה לסכום מבוקש (1)'!U130</f>
        <v>0</v>
      </c>
      <c r="E130" s="159"/>
      <c r="F130" s="160">
        <f t="shared" si="7"/>
        <v>0</v>
      </c>
      <c r="G130" s="161">
        <f t="shared" si="9"/>
        <v>0</v>
      </c>
      <c r="H130" s="161">
        <f t="shared" ca="1" si="10"/>
        <v>0</v>
      </c>
      <c r="J130" s="229">
        <f>IF($C130="","",IFERROR(IF('קיזוזים- החלטות ועדה'!E130=0,0,1),0))</f>
        <v>0</v>
      </c>
      <c r="K130" s="229">
        <f t="shared" si="11"/>
        <v>0</v>
      </c>
      <c r="L130" s="229">
        <f t="shared" si="12"/>
        <v>0</v>
      </c>
      <c r="M130" s="231">
        <f t="shared" ca="1" si="13"/>
        <v>0</v>
      </c>
    </row>
    <row r="131" spans="2:13" ht="19.5" thickBot="1" x14ac:dyDescent="0.35">
      <c r="B131" s="607" t="s">
        <v>187</v>
      </c>
      <c r="C131" s="608"/>
      <c r="D131" s="153">
        <f ca="1">SUM(D31:D130)</f>
        <v>15000000</v>
      </c>
      <c r="E131" s="153">
        <f>SUM(E31:E130)</f>
        <v>0</v>
      </c>
      <c r="F131" s="153">
        <f ca="1">SUM(F31:F130)</f>
        <v>0</v>
      </c>
      <c r="G131" s="153">
        <f ca="1">SUM(G31:G130)</f>
        <v>15000000</v>
      </c>
      <c r="H131" s="153">
        <f ca="1">SUM(H31:H130)</f>
        <v>15000000</v>
      </c>
    </row>
  </sheetData>
  <sheetProtection algorithmName="SHA-512" hashValue="0/tKRwoe0mtIOI/LxraAoDNohWsi6MnYLIAJbZRm8uvFvMWc7vzNSADCnhU2Fv59fWbRDqCCVCnMhQ85/YbA7w==" saltValue="vqhNh1ruCMS9Uu4kiZ/xlQ==" spinCount="100000" sheet="1" scenarios="1" formatColumns="0" formatRows="0" autoFilter="0"/>
  <mergeCells count="12">
    <mergeCell ref="J29:J30"/>
    <mergeCell ref="K29:K30"/>
    <mergeCell ref="L29:L30"/>
    <mergeCell ref="M29:M30"/>
    <mergeCell ref="B131:C131"/>
    <mergeCell ref="B28:H28"/>
    <mergeCell ref="B29:B30"/>
    <mergeCell ref="C29:C30"/>
    <mergeCell ref="D29:D30"/>
    <mergeCell ref="F29:F30"/>
    <mergeCell ref="G29:G30"/>
    <mergeCell ref="H29:H30"/>
  </mergeCells>
  <conditionalFormatting sqref="B31:D130">
    <cfRule type="containsBlanks" dxfId="211" priority="8">
      <formula>LEN(TRIM(B31))=0</formula>
    </cfRule>
  </conditionalFormatting>
  <conditionalFormatting sqref="C1:C2">
    <cfRule type="containsBlanks" dxfId="210" priority="1">
      <formula>LEN(TRIM(C1))=0</formula>
    </cfRule>
  </conditionalFormatting>
  <conditionalFormatting sqref="E31:E130">
    <cfRule type="expression" dxfId="209" priority="4">
      <formula>AND($D31="",E31&lt;&gt;"")</formula>
    </cfRule>
    <cfRule type="expression" dxfId="208" priority="5">
      <formula>$C31&lt;&gt;""</formula>
    </cfRule>
  </conditionalFormatting>
  <conditionalFormatting sqref="F31:H130">
    <cfRule type="containsBlanks" dxfId="207" priority="3">
      <formula>LEN(TRIM(F31))=0</formula>
    </cfRule>
  </conditionalFormatting>
  <dataValidations count="1">
    <dataValidation type="whole" operator="greaterThanOrEqual" allowBlank="1" showInputMessage="1" showErrorMessage="1" error="יש להזין מספר שאינו שלילי" sqref="E31:E130" xr:uid="{00000000-0002-0000-1600-000000000000}">
      <formula1>0</formula1>
    </dataValidation>
  </dataValidations>
  <printOptions horizontalCentered="1"/>
  <pageMargins left="0.51181102362204722" right="0.51181102362204722" top="0.74803149606299213" bottom="0.74803149606299213" header="0.31496062992125984" footer="0.31496062992125984"/>
  <pageSetup paperSize="9" scale="85" fitToHeight="0" orientation="portrait" horizontalDpi="1200" verticalDpi="1200" r:id="rId1"/>
  <headerFooter>
    <oddHeader>&amp;C&amp;"-,מודגש"&amp;Uמבחנים לתמיכה של משרד התרבות והספורט</oddHeader>
    <oddFooter>&amp;Lא. חפץ ושות'
יעוץ כלכלי&amp;C&amp;P</oddFooter>
  </headerFooter>
  <rowBreaks count="1" manualBreakCount="1">
    <brk id="123" min="1"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tint="-0.249977111117893"/>
  </sheetPr>
  <dimension ref="A1:N131"/>
  <sheetViews>
    <sheetView rightToLeft="1" view="pageBreakPreview" zoomScale="85" zoomScaleNormal="80" zoomScaleSheetLayoutView="85" workbookViewId="0">
      <pane xSplit="1" ySplit="30" topLeftCell="B31" activePane="bottomRight" state="frozen"/>
      <selection pane="topRight" activeCell="M88" sqref="M88"/>
      <selection pane="bottomLeft" activeCell="M88" sqref="M88"/>
      <selection pane="bottomRight" activeCell="B31" sqref="B31"/>
    </sheetView>
  </sheetViews>
  <sheetFormatPr defaultColWidth="8" defaultRowHeight="21" x14ac:dyDescent="0.35"/>
  <cols>
    <col min="1" max="1" width="8" style="162" hidden="1" customWidth="1"/>
    <col min="2" max="2" width="11.140625" style="162" customWidth="1"/>
    <col min="3" max="3" width="37.42578125" style="162" bestFit="1" customWidth="1"/>
    <col min="4" max="4" width="15.42578125" style="162" customWidth="1"/>
    <col min="5" max="5" width="10.140625" style="162" customWidth="1"/>
    <col min="6" max="6" width="14.85546875" style="162" customWidth="1"/>
    <col min="7" max="7" width="15.140625" style="162" customWidth="1"/>
    <col min="8" max="9" width="0" style="162" hidden="1" customWidth="1"/>
    <col min="10" max="10" width="19.42578125" style="162" hidden="1" customWidth="1"/>
    <col min="11" max="11" width="18.85546875" style="162" hidden="1" customWidth="1"/>
    <col min="12" max="200" width="0" style="162" hidden="1" customWidth="1"/>
    <col min="201" max="16384" width="8" style="162"/>
  </cols>
  <sheetData>
    <row r="1" spans="2:14" ht="37.5" x14ac:dyDescent="0.35">
      <c r="B1" s="137" t="str">
        <f>פרמטרים!B3</f>
        <v>שנת תקציב</v>
      </c>
      <c r="C1" s="138">
        <f>פרמטרים!C3</f>
        <v>2025</v>
      </c>
      <c r="N1" s="139" t="s">
        <v>188</v>
      </c>
    </row>
    <row r="2" spans="2:14" ht="38.25" thickBot="1" x14ac:dyDescent="0.4">
      <c r="B2" s="140" t="str">
        <f>פרמטרים!B4</f>
        <v xml:space="preserve">גובה תמיכה </v>
      </c>
      <c r="C2" s="141">
        <f>פרמטרים!C4</f>
        <v>15000000</v>
      </c>
      <c r="J2" s="227" t="s">
        <v>274</v>
      </c>
      <c r="K2" s="227" t="s">
        <v>275</v>
      </c>
    </row>
    <row r="3" spans="2:14" x14ac:dyDescent="0.35">
      <c r="C3" s="163"/>
      <c r="D3" s="163"/>
      <c r="E3" s="163"/>
      <c r="F3" s="163"/>
      <c r="G3" s="163"/>
      <c r="I3" s="163"/>
      <c r="J3" s="232"/>
      <c r="K3" s="232"/>
      <c r="L3" s="163"/>
    </row>
    <row r="4" spans="2:14" hidden="1" x14ac:dyDescent="0.35">
      <c r="J4" s="228"/>
      <c r="K4" s="228"/>
    </row>
    <row r="5" spans="2:14" hidden="1" x14ac:dyDescent="0.35">
      <c r="C5" s="163"/>
      <c r="J5" s="228"/>
      <c r="K5" s="228"/>
    </row>
    <row r="6" spans="2:14" hidden="1" x14ac:dyDescent="0.35">
      <c r="J6" s="228"/>
      <c r="K6" s="228"/>
    </row>
    <row r="7" spans="2:14" hidden="1" x14ac:dyDescent="0.35">
      <c r="J7" s="228"/>
      <c r="K7" s="228"/>
    </row>
    <row r="8" spans="2:14" hidden="1" x14ac:dyDescent="0.35">
      <c r="J8" s="228"/>
      <c r="K8" s="228"/>
    </row>
    <row r="9" spans="2:14" ht="21" hidden="1" customHeight="1" x14ac:dyDescent="0.35">
      <c r="J9" s="228"/>
      <c r="K9" s="228"/>
    </row>
    <row r="10" spans="2:14" hidden="1" x14ac:dyDescent="0.35">
      <c r="J10" s="228"/>
      <c r="K10" s="228"/>
    </row>
    <row r="11" spans="2:14" hidden="1" x14ac:dyDescent="0.35">
      <c r="J11" s="228"/>
      <c r="K11" s="228"/>
    </row>
    <row r="12" spans="2:14" hidden="1" x14ac:dyDescent="0.35">
      <c r="J12" s="228"/>
      <c r="K12" s="228"/>
    </row>
    <row r="13" spans="2:14" hidden="1" x14ac:dyDescent="0.35">
      <c r="J13" s="228"/>
      <c r="K13" s="228"/>
    </row>
    <row r="14" spans="2:14" hidden="1" x14ac:dyDescent="0.35">
      <c r="J14" s="228"/>
      <c r="K14" s="228"/>
    </row>
    <row r="15" spans="2:14" hidden="1" x14ac:dyDescent="0.35">
      <c r="J15" s="228"/>
      <c r="K15" s="228"/>
    </row>
    <row r="16" spans="2:14" hidden="1" x14ac:dyDescent="0.35">
      <c r="J16" s="228"/>
      <c r="K16" s="228"/>
    </row>
    <row r="17" spans="1:12" hidden="1" x14ac:dyDescent="0.35">
      <c r="J17" s="228"/>
      <c r="K17" s="228"/>
    </row>
    <row r="18" spans="1:12" hidden="1" x14ac:dyDescent="0.35">
      <c r="J18" s="228"/>
      <c r="K18" s="228"/>
    </row>
    <row r="19" spans="1:12" hidden="1" x14ac:dyDescent="0.35">
      <c r="J19" s="228"/>
      <c r="K19" s="228"/>
    </row>
    <row r="20" spans="1:12" hidden="1" x14ac:dyDescent="0.35">
      <c r="J20" s="228"/>
      <c r="K20" s="228"/>
    </row>
    <row r="21" spans="1:12" hidden="1" x14ac:dyDescent="0.35">
      <c r="J21" s="228"/>
      <c r="K21" s="228"/>
    </row>
    <row r="22" spans="1:12" hidden="1" x14ac:dyDescent="0.35">
      <c r="J22" s="228"/>
      <c r="K22" s="228"/>
    </row>
    <row r="23" spans="1:12" hidden="1" x14ac:dyDescent="0.35">
      <c r="J23" s="228"/>
      <c r="K23" s="228"/>
    </row>
    <row r="24" spans="1:12" hidden="1" x14ac:dyDescent="0.35">
      <c r="J24" s="228"/>
      <c r="K24" s="228"/>
    </row>
    <row r="25" spans="1:12" hidden="1" x14ac:dyDescent="0.35">
      <c r="J25" s="228"/>
      <c r="K25" s="228"/>
    </row>
    <row r="26" spans="1:12" hidden="1" x14ac:dyDescent="0.35">
      <c r="J26" s="228"/>
      <c r="K26" s="228"/>
    </row>
    <row r="27" spans="1:12" ht="21.75" thickBot="1" x14ac:dyDescent="0.4">
      <c r="J27" s="229">
        <f ca="1">SUMIF(K31:K130,0,D31:D130)</f>
        <v>15000000</v>
      </c>
      <c r="K27" s="230">
        <f>SUM(E31:E130)</f>
        <v>0</v>
      </c>
    </row>
    <row r="28" spans="1:12" ht="21" customHeight="1" thickBot="1" x14ac:dyDescent="0.4">
      <c r="B28" s="600" t="str">
        <f ca="1">MID(CELL("filename",B30),FIND("]",CELL("filename",C30),1)+1,99)</f>
        <v>קיזוזים- החלטות ועדה</v>
      </c>
      <c r="C28" s="601"/>
      <c r="D28" s="601"/>
      <c r="E28" s="601"/>
      <c r="F28" s="601"/>
      <c r="G28" s="602"/>
    </row>
    <row r="29" spans="1:12" ht="21" customHeight="1" x14ac:dyDescent="0.35">
      <c r="A29" s="322"/>
      <c r="B29" s="603" t="s">
        <v>145</v>
      </c>
      <c r="C29" s="609" t="s">
        <v>146</v>
      </c>
      <c r="D29" s="603" t="s">
        <v>286</v>
      </c>
      <c r="E29" s="603" t="s">
        <v>278</v>
      </c>
      <c r="F29" s="603" t="s">
        <v>279</v>
      </c>
      <c r="G29" s="611" t="s">
        <v>280</v>
      </c>
      <c r="I29" s="605" t="s">
        <v>281</v>
      </c>
      <c r="J29" s="605" t="s">
        <v>282</v>
      </c>
      <c r="K29" s="605" t="s">
        <v>283</v>
      </c>
      <c r="L29" s="605" t="s">
        <v>284</v>
      </c>
    </row>
    <row r="30" spans="1:12" ht="42.75" customHeight="1" thickBot="1" x14ac:dyDescent="0.4">
      <c r="A30" s="322"/>
      <c r="B30" s="604"/>
      <c r="C30" s="610"/>
      <c r="D30" s="604"/>
      <c r="E30" s="604"/>
      <c r="F30" s="604"/>
      <c r="G30" s="612"/>
      <c r="I30" s="606"/>
      <c r="J30" s="606"/>
      <c r="K30" s="606"/>
      <c r="L30" s="606"/>
    </row>
    <row r="31" spans="1:12" x14ac:dyDescent="0.35">
      <c r="B31" s="164">
        <f ca="1">IF(C31="","",ROW()-30)</f>
        <v>1</v>
      </c>
      <c r="C31" s="157" t="str">
        <f ca="1">'קיזוזים בגין איחורים'!C31</f>
        <v>מרכז מורשת בבל</v>
      </c>
      <c r="D31" s="158">
        <f ca="1">'קיזוזים בגין איחורים'!H31</f>
        <v>843151.02176823688</v>
      </c>
      <c r="E31" s="159"/>
      <c r="F31" s="161">
        <f ca="1">IF($C31="","",IF(E31&gt;D31,$N$1,D31-E31))</f>
        <v>843151.02176823688</v>
      </c>
      <c r="G31" s="161">
        <f ca="1">IF($C31="","",F31+L31)</f>
        <v>843151.02176823688</v>
      </c>
      <c r="I31" s="229">
        <f ca="1">IF($C31="","",IFERROR(IF(E31=0,0,1),0))</f>
        <v>0</v>
      </c>
      <c r="J31" s="229">
        <f ca="1">IF($C31="","",IFERROR(IF('קיזוזים בגין איחורים'!E31=0,0,1),0))</f>
        <v>0</v>
      </c>
      <c r="K31" s="229">
        <f ca="1">IF($C31="","",IF(OR(J31=1,I31=1),1,0))</f>
        <v>0</v>
      </c>
      <c r="L31" s="229">
        <f t="shared" ref="L31:L94" ca="1" si="0">IF($C31="","",IF(K31=1,0,$K$27*$D31/$J$27))</f>
        <v>0</v>
      </c>
    </row>
    <row r="32" spans="1:12" x14ac:dyDescent="0.35">
      <c r="B32" s="164">
        <f t="shared" ref="B32:B95" ca="1" si="1">IF(C32="","",ROW()-30)</f>
        <v>2</v>
      </c>
      <c r="C32" s="157" t="str">
        <f ca="1">'קיזוזים בגין איחורים'!C32</f>
        <v>מורשת יהודי צפון  אפריקה</v>
      </c>
      <c r="D32" s="158">
        <f ca="1">'קיזוזים בגין איחורים'!H32</f>
        <v>300000</v>
      </c>
      <c r="E32" s="159"/>
      <c r="F32" s="161">
        <f t="shared" ref="F32:F95" ca="1" si="2">IF($C32="","",IF(E32&gt;D32,$N$1,D32-E32))</f>
        <v>300000</v>
      </c>
      <c r="G32" s="161">
        <f t="shared" ref="G32:G95" ca="1" si="3">IF($C32="","",F32+L32)</f>
        <v>300000</v>
      </c>
      <c r="I32" s="229">
        <f t="shared" ref="I32:I95" ca="1" si="4">IF($C32="","",IFERROR(IF(E32=0,0,1),0))</f>
        <v>0</v>
      </c>
      <c r="J32" s="229">
        <f ca="1">IF($C32="","",IFERROR(IF('קיזוזים בגין איחורים'!E32=0,0,1),0))</f>
        <v>0</v>
      </c>
      <c r="K32" s="229">
        <f t="shared" ref="K32:K95" ca="1" si="5">IF($C32="","",IF(OR(J32=1,I32=1),1,0))</f>
        <v>0</v>
      </c>
      <c r="L32" s="229">
        <f t="shared" ca="1" si="0"/>
        <v>0</v>
      </c>
    </row>
    <row r="33" spans="2:12" x14ac:dyDescent="0.35">
      <c r="B33" s="164">
        <f t="shared" ca="1" si="1"/>
        <v>3</v>
      </c>
      <c r="C33" s="157" t="str">
        <f ca="1">'קיזוזים בגין איחורים'!C33</f>
        <v>מורשת יהדות קוצין</v>
      </c>
      <c r="D33" s="158">
        <f ca="1">'קיזוזים בגין איחורים'!H33</f>
        <v>532899.81577490713</v>
      </c>
      <c r="E33" s="159"/>
      <c r="F33" s="161">
        <f t="shared" ca="1" si="2"/>
        <v>532899.81577490713</v>
      </c>
      <c r="G33" s="161">
        <f t="shared" ca="1" si="3"/>
        <v>532899.81577490713</v>
      </c>
      <c r="I33" s="229">
        <f t="shared" ca="1" si="4"/>
        <v>0</v>
      </c>
      <c r="J33" s="229">
        <f ca="1">IF($C33="","",IFERROR(IF('קיזוזים בגין איחורים'!E33=0,0,1),0))</f>
        <v>0</v>
      </c>
      <c r="K33" s="229">
        <f t="shared" ca="1" si="5"/>
        <v>0</v>
      </c>
      <c r="L33" s="229">
        <f t="shared" ca="1" si="0"/>
        <v>0</v>
      </c>
    </row>
    <row r="34" spans="2:12" hidden="1" x14ac:dyDescent="0.35">
      <c r="B34" s="164">
        <f t="shared" ca="1" si="1"/>
        <v>4</v>
      </c>
      <c r="C34" s="157" t="str">
        <f ca="1">'קיזוזים בגין איחורים'!C34</f>
        <v>הפדרציה העולמית של יהדות תוניס</v>
      </c>
      <c r="D34" s="158">
        <f ca="1">'קיזוזים בגין איחורים'!H34</f>
        <v>90923.99287883252</v>
      </c>
      <c r="E34" s="159"/>
      <c r="F34" s="161">
        <f t="shared" ca="1" si="2"/>
        <v>90923.99287883252</v>
      </c>
      <c r="G34" s="161">
        <f t="shared" ca="1" si="3"/>
        <v>90923.99287883252</v>
      </c>
      <c r="I34" s="229">
        <f t="shared" ca="1" si="4"/>
        <v>0</v>
      </c>
      <c r="J34" s="229">
        <f ca="1">IF($C34="","",IFERROR(IF('קיזוזים בגין איחורים'!E34=0,0,1),0))</f>
        <v>0</v>
      </c>
      <c r="K34" s="229">
        <f t="shared" ca="1" si="5"/>
        <v>0</v>
      </c>
      <c r="L34" s="229">
        <f t="shared" ca="1" si="0"/>
        <v>0</v>
      </c>
    </row>
    <row r="35" spans="2:12" x14ac:dyDescent="0.35">
      <c r="B35" s="164">
        <f t="shared" ca="1" si="1"/>
        <v>5</v>
      </c>
      <c r="C35" s="157" t="str">
        <f ca="1">'קיזוזים בגין איחורים'!C35</f>
        <v>התאחדות עולי מצרים</v>
      </c>
      <c r="D35" s="158">
        <f ca="1">'קיזוזים בגין איחורים'!H35</f>
        <v>250000</v>
      </c>
      <c r="E35" s="159"/>
      <c r="F35" s="161">
        <f t="shared" ca="1" si="2"/>
        <v>250000</v>
      </c>
      <c r="G35" s="161">
        <f t="shared" ca="1" si="3"/>
        <v>250000</v>
      </c>
      <c r="I35" s="229">
        <f t="shared" ca="1" si="4"/>
        <v>0</v>
      </c>
      <c r="J35" s="229">
        <f ca="1">IF($C35="","",IFERROR(IF('קיזוזים בגין איחורים'!E35=0,0,1),0))</f>
        <v>0</v>
      </c>
      <c r="K35" s="229">
        <f t="shared" ca="1" si="5"/>
        <v>0</v>
      </c>
      <c r="L35" s="229">
        <f t="shared" ca="1" si="0"/>
        <v>0</v>
      </c>
    </row>
    <row r="36" spans="2:12" x14ac:dyDescent="0.35">
      <c r="B36" s="164">
        <f t="shared" ca="1" si="1"/>
        <v>6</v>
      </c>
      <c r="C36" s="157" t="str">
        <f ca="1">'קיזוזים בגין איחורים'!C36</f>
        <v>יהודים יוצאי לוב</v>
      </c>
      <c r="D36" s="158">
        <f ca="1">'קיזוזים בגין איחורים'!H36</f>
        <v>513265.8760652481</v>
      </c>
      <c r="E36" s="159"/>
      <c r="F36" s="161">
        <f t="shared" ca="1" si="2"/>
        <v>513265.8760652481</v>
      </c>
      <c r="G36" s="161">
        <f t="shared" ca="1" si="3"/>
        <v>513265.8760652481</v>
      </c>
      <c r="I36" s="229">
        <f t="shared" ca="1" si="4"/>
        <v>0</v>
      </c>
      <c r="J36" s="229">
        <f ca="1">IF($C36="","",IFERROR(IF('קיזוזים בגין איחורים'!E36=0,0,1),0))</f>
        <v>0</v>
      </c>
      <c r="K36" s="229">
        <f t="shared" ca="1" si="5"/>
        <v>0</v>
      </c>
      <c r="L36" s="229">
        <f t="shared" ca="1" si="0"/>
        <v>0</v>
      </c>
    </row>
    <row r="37" spans="2:12" x14ac:dyDescent="0.35">
      <c r="B37" s="164">
        <f t="shared" ca="1" si="1"/>
        <v>7</v>
      </c>
      <c r="C37" s="157" t="str">
        <f ca="1">'קיזוזים בגין איחורים'!C37</f>
        <v>הפדרציה העולמית של יהדות מרוקו</v>
      </c>
      <c r="D37" s="158">
        <f ca="1">'קיזוזים בגין איחורים'!H37</f>
        <v>318649.72385019995</v>
      </c>
      <c r="E37" s="159"/>
      <c r="F37" s="161">
        <f t="shared" ca="1" si="2"/>
        <v>318649.72385019995</v>
      </c>
      <c r="G37" s="161">
        <f t="shared" ca="1" si="3"/>
        <v>318649.72385019995</v>
      </c>
      <c r="I37" s="229">
        <f t="shared" ca="1" si="4"/>
        <v>0</v>
      </c>
      <c r="J37" s="229">
        <f ca="1">IF($C37="","",IFERROR(IF('קיזוזים בגין איחורים'!E37=0,0,1),0))</f>
        <v>0</v>
      </c>
      <c r="K37" s="229">
        <f t="shared" ca="1" si="5"/>
        <v>0</v>
      </c>
      <c r="L37" s="229">
        <f t="shared" ca="1" si="0"/>
        <v>0</v>
      </c>
    </row>
    <row r="38" spans="2:12" x14ac:dyDescent="0.35">
      <c r="B38" s="164">
        <f t="shared" ca="1" si="1"/>
        <v>8</v>
      </c>
      <c r="C38" s="157" t="str">
        <f ca="1">'קיזוזים בגין איחורים'!C38</f>
        <v>אורות הגליל</v>
      </c>
      <c r="D38" s="158">
        <f ca="1">'קיזוזים בגין איחורים'!H38</f>
        <v>442153.01026711374</v>
      </c>
      <c r="E38" s="159"/>
      <c r="F38" s="161">
        <f t="shared" ca="1" si="2"/>
        <v>442153.01026711374</v>
      </c>
      <c r="G38" s="161">
        <f t="shared" ca="1" si="3"/>
        <v>442153.01026711374</v>
      </c>
      <c r="I38" s="229">
        <f t="shared" ca="1" si="4"/>
        <v>0</v>
      </c>
      <c r="J38" s="229">
        <f ca="1">IF($C38="","",IFERROR(IF('קיזוזים בגין איחורים'!E38=0,0,1),0))</f>
        <v>0</v>
      </c>
      <c r="K38" s="229">
        <f t="shared" ca="1" si="5"/>
        <v>0</v>
      </c>
      <c r="L38" s="229">
        <f t="shared" ca="1" si="0"/>
        <v>0</v>
      </c>
    </row>
    <row r="39" spans="2:12" x14ac:dyDescent="0.35">
      <c r="B39" s="164">
        <f t="shared" ca="1" si="1"/>
        <v>9</v>
      </c>
      <c r="C39" s="157" t="str">
        <f ca="1">'קיזוזים בגין איחורים'!C39</f>
        <v>אלמז</v>
      </c>
      <c r="D39" s="158">
        <f ca="1">'קיזוזים בגין איחורים'!H39</f>
        <v>141834.97639121802</v>
      </c>
      <c r="E39" s="159"/>
      <c r="F39" s="161">
        <f t="shared" ca="1" si="2"/>
        <v>141834.97639121802</v>
      </c>
      <c r="G39" s="161">
        <f t="shared" ca="1" si="3"/>
        <v>141834.97639121802</v>
      </c>
      <c r="I39" s="229">
        <f t="shared" ca="1" si="4"/>
        <v>0</v>
      </c>
      <c r="J39" s="229">
        <f ca="1">IF($C39="","",IFERROR(IF('קיזוזים בגין איחורים'!E39=0,0,1),0))</f>
        <v>0</v>
      </c>
      <c r="K39" s="229">
        <f t="shared" ca="1" si="5"/>
        <v>0</v>
      </c>
      <c r="L39" s="229">
        <f t="shared" ca="1" si="0"/>
        <v>0</v>
      </c>
    </row>
    <row r="40" spans="2:12" x14ac:dyDescent="0.35">
      <c r="B40" s="164">
        <f t="shared" ca="1" si="1"/>
        <v>10</v>
      </c>
      <c r="C40" s="157" t="str">
        <f ca="1">'קיזוזים בגין איחורים'!C40</f>
        <v>קונגרס יהודי בוכרה</v>
      </c>
      <c r="D40" s="158">
        <f ca="1">'קיזוזים בגין איחורים'!H40</f>
        <v>1543809.2280614062</v>
      </c>
      <c r="E40" s="159"/>
      <c r="F40" s="161">
        <f t="shared" ca="1" si="2"/>
        <v>1543809.2280614062</v>
      </c>
      <c r="G40" s="161">
        <f t="shared" ca="1" si="3"/>
        <v>1543809.2280614062</v>
      </c>
      <c r="I40" s="229">
        <f t="shared" ca="1" si="4"/>
        <v>0</v>
      </c>
      <c r="J40" s="229">
        <f ca="1">IF($C40="","",IFERROR(IF('קיזוזים בגין איחורים'!E40=0,0,1),0))</f>
        <v>0</v>
      </c>
      <c r="K40" s="229">
        <f t="shared" ca="1" si="5"/>
        <v>0</v>
      </c>
      <c r="L40" s="229">
        <f t="shared" ca="1" si="0"/>
        <v>0</v>
      </c>
    </row>
    <row r="41" spans="2:12" x14ac:dyDescent="0.35">
      <c r="B41" s="164">
        <f t="shared" ca="1" si="1"/>
        <v>11</v>
      </c>
      <c r="C41" s="157" t="str">
        <f ca="1">'קיזוזים בגין איחורים'!C41</f>
        <v>יהדות שאלוניקי יוון</v>
      </c>
      <c r="D41" s="158">
        <f ca="1">'קיזוזים בגין איחורים'!H41</f>
        <v>344631.7260775895</v>
      </c>
      <c r="E41" s="159"/>
      <c r="F41" s="161">
        <f t="shared" ca="1" si="2"/>
        <v>344631.7260775895</v>
      </c>
      <c r="G41" s="161">
        <f t="shared" ca="1" si="3"/>
        <v>344631.7260775895</v>
      </c>
      <c r="I41" s="229">
        <f t="shared" ca="1" si="4"/>
        <v>0</v>
      </c>
      <c r="J41" s="229">
        <f ca="1">IF($C41="","",IFERROR(IF('קיזוזים בגין איחורים'!E41=0,0,1),0))</f>
        <v>0</v>
      </c>
      <c r="K41" s="229">
        <f t="shared" ca="1" si="5"/>
        <v>0</v>
      </c>
      <c r="L41" s="229">
        <f t="shared" ca="1" si="0"/>
        <v>0</v>
      </c>
    </row>
    <row r="42" spans="2:12" hidden="1" x14ac:dyDescent="0.35">
      <c r="B42" s="164" t="str">
        <f t="shared" ca="1" si="1"/>
        <v/>
      </c>
      <c r="C42" s="157" t="str">
        <f ca="1">'קיזוזים בגין איחורים'!C42</f>
        <v/>
      </c>
      <c r="D42" s="158" t="str">
        <f ca="1">'קיזוזים בגין איחורים'!H42</f>
        <v/>
      </c>
      <c r="E42" s="159"/>
      <c r="F42" s="161" t="str">
        <f t="shared" ca="1" si="2"/>
        <v/>
      </c>
      <c r="G42" s="161" t="str">
        <f t="shared" ca="1" si="3"/>
        <v/>
      </c>
      <c r="I42" s="229" t="str">
        <f t="shared" ca="1" si="4"/>
        <v/>
      </c>
      <c r="J42" s="229" t="str">
        <f ca="1">IF($C42="","",IFERROR(IF('קיזוזים בגין איחורים'!E42=0,0,1),0))</f>
        <v/>
      </c>
      <c r="K42" s="229" t="str">
        <f t="shared" ca="1" si="5"/>
        <v/>
      </c>
      <c r="L42" s="229" t="str">
        <f t="shared" ca="1" si="0"/>
        <v/>
      </c>
    </row>
    <row r="43" spans="2:12" hidden="1" x14ac:dyDescent="0.35">
      <c r="B43" s="164" t="str">
        <f t="shared" ca="1" si="1"/>
        <v/>
      </c>
      <c r="C43" s="157" t="str">
        <f ca="1">'קיזוזים בגין איחורים'!C43</f>
        <v/>
      </c>
      <c r="D43" s="158" t="str">
        <f ca="1">'קיזוזים בגין איחורים'!H43</f>
        <v/>
      </c>
      <c r="E43" s="159"/>
      <c r="F43" s="161" t="str">
        <f t="shared" ca="1" si="2"/>
        <v/>
      </c>
      <c r="G43" s="161" t="str">
        <f t="shared" ca="1" si="3"/>
        <v/>
      </c>
      <c r="I43" s="229" t="str">
        <f t="shared" ca="1" si="4"/>
        <v/>
      </c>
      <c r="J43" s="229" t="str">
        <f ca="1">IF($C43="","",IFERROR(IF('קיזוזים בגין איחורים'!E43=0,0,1),0))</f>
        <v/>
      </c>
      <c r="K43" s="229" t="str">
        <f t="shared" ca="1" si="5"/>
        <v/>
      </c>
      <c r="L43" s="229" t="str">
        <f t="shared" ca="1" si="0"/>
        <v/>
      </c>
    </row>
    <row r="44" spans="2:12" hidden="1" x14ac:dyDescent="0.35">
      <c r="B44" s="164" t="str">
        <f t="shared" ca="1" si="1"/>
        <v/>
      </c>
      <c r="C44" s="157" t="str">
        <f ca="1">'קיזוזים בגין איחורים'!C44</f>
        <v/>
      </c>
      <c r="D44" s="158" t="str">
        <f ca="1">'קיזוזים בגין איחורים'!H44</f>
        <v/>
      </c>
      <c r="E44" s="159"/>
      <c r="F44" s="161" t="str">
        <f t="shared" ca="1" si="2"/>
        <v/>
      </c>
      <c r="G44" s="161" t="str">
        <f t="shared" ca="1" si="3"/>
        <v/>
      </c>
      <c r="I44" s="229" t="str">
        <f t="shared" ca="1" si="4"/>
        <v/>
      </c>
      <c r="J44" s="229" t="str">
        <f ca="1">IF($C44="","",IFERROR(IF('קיזוזים בגין איחורים'!E44=0,0,1),0))</f>
        <v/>
      </c>
      <c r="K44" s="229" t="str">
        <f t="shared" ca="1" si="5"/>
        <v/>
      </c>
      <c r="L44" s="229" t="str">
        <f t="shared" ca="1" si="0"/>
        <v/>
      </c>
    </row>
    <row r="45" spans="2:12" x14ac:dyDescent="0.35">
      <c r="B45" s="164">
        <f t="shared" ca="1" si="1"/>
        <v>15</v>
      </c>
      <c r="C45" s="157" t="str">
        <f ca="1">'קיזוזים בגין איחורים'!C45</f>
        <v xml:space="preserve">החברה לטיפוח חברה תרבות תיעוד </v>
      </c>
      <c r="D45" s="158">
        <f ca="1">'קיזוזים בגין איחורים'!H45</f>
        <v>2400000</v>
      </c>
      <c r="E45" s="159"/>
      <c r="F45" s="161">
        <f t="shared" ca="1" si="2"/>
        <v>2400000</v>
      </c>
      <c r="G45" s="161">
        <f t="shared" ca="1" si="3"/>
        <v>2400000</v>
      </c>
      <c r="I45" s="229">
        <f t="shared" ca="1" si="4"/>
        <v>0</v>
      </c>
      <c r="J45" s="229">
        <f ca="1">IF($C45="","",IFERROR(IF('קיזוזים בגין איחורים'!E45=0,0,1),0))</f>
        <v>0</v>
      </c>
      <c r="K45" s="229">
        <f t="shared" ca="1" si="5"/>
        <v>0</v>
      </c>
      <c r="L45" s="229">
        <f t="shared" ca="1" si="0"/>
        <v>0</v>
      </c>
    </row>
    <row r="46" spans="2:12" x14ac:dyDescent="0.35">
      <c r="B46" s="164">
        <f t="shared" ca="1" si="1"/>
        <v>16</v>
      </c>
      <c r="C46" s="157" t="str">
        <f ca="1">'קיזוזים בגין איחורים'!C46</f>
        <v>עמותת אור שלום</v>
      </c>
      <c r="D46" s="158">
        <f ca="1">'קיזוזים בגין איחורים'!H46</f>
        <v>651881.18156050739</v>
      </c>
      <c r="E46" s="159"/>
      <c r="F46" s="161">
        <f t="shared" ca="1" si="2"/>
        <v>651881.18156050739</v>
      </c>
      <c r="G46" s="161">
        <f t="shared" ca="1" si="3"/>
        <v>651881.18156050739</v>
      </c>
      <c r="I46" s="229">
        <f t="shared" ca="1" si="4"/>
        <v>0</v>
      </c>
      <c r="J46" s="229">
        <f ca="1">IF($C46="","",IFERROR(IF('קיזוזים בגין איחורים'!E46=0,0,1),0))</f>
        <v>0</v>
      </c>
      <c r="K46" s="229">
        <f t="shared" ca="1" si="5"/>
        <v>0</v>
      </c>
      <c r="L46" s="229">
        <f t="shared" ca="1" si="0"/>
        <v>0</v>
      </c>
    </row>
    <row r="47" spans="2:12" hidden="1" x14ac:dyDescent="0.35">
      <c r="B47" s="164" t="str">
        <f t="shared" ca="1" si="1"/>
        <v/>
      </c>
      <c r="C47" s="157" t="str">
        <f ca="1">'קיזוזים בגין איחורים'!C47</f>
        <v/>
      </c>
      <c r="D47" s="158" t="str">
        <f ca="1">'קיזוזים בגין איחורים'!H47</f>
        <v/>
      </c>
      <c r="E47" s="159"/>
      <c r="F47" s="161" t="str">
        <f t="shared" ca="1" si="2"/>
        <v/>
      </c>
      <c r="G47" s="161" t="str">
        <f t="shared" ca="1" si="3"/>
        <v/>
      </c>
      <c r="I47" s="229" t="str">
        <f t="shared" ca="1" si="4"/>
        <v/>
      </c>
      <c r="J47" s="229" t="str">
        <f ca="1">IF($C47="","",IFERROR(IF('קיזוזים בגין איחורים'!E47=0,0,1),0))</f>
        <v/>
      </c>
      <c r="K47" s="229" t="str">
        <f t="shared" ca="1" si="5"/>
        <v/>
      </c>
      <c r="L47" s="229" t="str">
        <f t="shared" ca="1" si="0"/>
        <v/>
      </c>
    </row>
    <row r="48" spans="2:12" x14ac:dyDescent="0.35">
      <c r="B48" s="164">
        <f t="shared" ca="1" si="1"/>
        <v>18</v>
      </c>
      <c r="C48" s="157" t="str">
        <f ca="1">'קיזוזים בגין איחורים'!C48</f>
        <v>ישיבת קרלין סטולין</v>
      </c>
      <c r="D48" s="158">
        <f ca="1">'קיזוזים בגין איחורים'!H48</f>
        <v>412430.85067945189</v>
      </c>
      <c r="E48" s="159"/>
      <c r="F48" s="161">
        <f t="shared" ca="1" si="2"/>
        <v>412430.85067945189</v>
      </c>
      <c r="G48" s="161">
        <f t="shared" ca="1" si="3"/>
        <v>412430.85067945189</v>
      </c>
      <c r="I48" s="229">
        <f t="shared" ca="1" si="4"/>
        <v>0</v>
      </c>
      <c r="J48" s="229">
        <f ca="1">IF($C48="","",IFERROR(IF('קיזוזים בגין איחורים'!E48=0,0,1),0))</f>
        <v>0</v>
      </c>
      <c r="K48" s="229">
        <f t="shared" ca="1" si="5"/>
        <v>0</v>
      </c>
      <c r="L48" s="229">
        <f t="shared" ca="1" si="0"/>
        <v>0</v>
      </c>
    </row>
    <row r="49" spans="2:12" hidden="1" x14ac:dyDescent="0.35">
      <c r="B49" s="164" t="str">
        <f t="shared" ca="1" si="1"/>
        <v/>
      </c>
      <c r="C49" s="157" t="str">
        <f ca="1">'קיזוזים בגין איחורים'!C49</f>
        <v/>
      </c>
      <c r="D49" s="158" t="str">
        <f ca="1">'קיזוזים בגין איחורים'!H49</f>
        <v/>
      </c>
      <c r="E49" s="159"/>
      <c r="F49" s="161" t="str">
        <f t="shared" ca="1" si="2"/>
        <v/>
      </c>
      <c r="G49" s="161" t="str">
        <f t="shared" ca="1" si="3"/>
        <v/>
      </c>
      <c r="I49" s="229" t="str">
        <f t="shared" ca="1" si="4"/>
        <v/>
      </c>
      <c r="J49" s="229" t="str">
        <f ca="1">IF($C49="","",IFERROR(IF('קיזוזים בגין איחורים'!E49=0,0,1),0))</f>
        <v/>
      </c>
      <c r="K49" s="229" t="str">
        <f t="shared" ca="1" si="5"/>
        <v/>
      </c>
      <c r="L49" s="229" t="str">
        <f t="shared" ca="1" si="0"/>
        <v/>
      </c>
    </row>
    <row r="50" spans="2:12" hidden="1" x14ac:dyDescent="0.35">
      <c r="B50" s="164" t="str">
        <f t="shared" ca="1" si="1"/>
        <v/>
      </c>
      <c r="C50" s="157" t="str">
        <f ca="1">'קיזוזים בגין איחורים'!C50</f>
        <v/>
      </c>
      <c r="D50" s="158" t="str">
        <f ca="1">'קיזוזים בגין איחורים'!H50</f>
        <v/>
      </c>
      <c r="E50" s="159"/>
      <c r="F50" s="161" t="str">
        <f t="shared" ca="1" si="2"/>
        <v/>
      </c>
      <c r="G50" s="161" t="str">
        <f t="shared" ca="1" si="3"/>
        <v/>
      </c>
      <c r="I50" s="229" t="str">
        <f t="shared" ca="1" si="4"/>
        <v/>
      </c>
      <c r="J50" s="229" t="str">
        <f ca="1">IF($C50="","",IFERROR(IF('קיזוזים בגין איחורים'!E50=0,0,1),0))</f>
        <v/>
      </c>
      <c r="K50" s="229" t="str">
        <f t="shared" ca="1" si="5"/>
        <v/>
      </c>
      <c r="L50" s="229" t="str">
        <f t="shared" ca="1" si="0"/>
        <v/>
      </c>
    </row>
    <row r="51" spans="2:12" x14ac:dyDescent="0.35">
      <c r="B51" s="164">
        <f t="shared" ca="1" si="1"/>
        <v>21</v>
      </c>
      <c r="C51" s="157" t="str">
        <f ca="1">'קיזוזים בגין איחורים'!C51</f>
        <v>ברית יוצאי מרוקו</v>
      </c>
      <c r="D51" s="158">
        <f ca="1">'קיזוזים בגין איחורים'!H51</f>
        <v>200000</v>
      </c>
      <c r="E51" s="159"/>
      <c r="F51" s="161">
        <f t="shared" ca="1" si="2"/>
        <v>200000</v>
      </c>
      <c r="G51" s="161">
        <f t="shared" ca="1" si="3"/>
        <v>200000</v>
      </c>
      <c r="I51" s="229">
        <f t="shared" ca="1" si="4"/>
        <v>0</v>
      </c>
      <c r="J51" s="229">
        <f ca="1">IF($C51="","",IFERROR(IF('קיזוזים בגין איחורים'!E51=0,0,1),0))</f>
        <v>0</v>
      </c>
      <c r="K51" s="229">
        <f t="shared" ca="1" si="5"/>
        <v>0</v>
      </c>
      <c r="L51" s="229">
        <f t="shared" ca="1" si="0"/>
        <v>0</v>
      </c>
    </row>
    <row r="52" spans="2:12" x14ac:dyDescent="0.35">
      <c r="B52" s="164">
        <f t="shared" ca="1" si="1"/>
        <v>22</v>
      </c>
      <c r="C52" s="157" t="str">
        <f ca="1">'קיזוזים בגין איחורים'!C52</f>
        <v>הקם - בית הקונפדרציה</v>
      </c>
      <c r="D52" s="158">
        <f ca="1">'קיזוזים בגין איחורים'!H52</f>
        <v>632980.21099307202</v>
      </c>
      <c r="E52" s="159"/>
      <c r="F52" s="161">
        <f t="shared" ca="1" si="2"/>
        <v>632980.21099307202</v>
      </c>
      <c r="G52" s="161">
        <f t="shared" ca="1" si="3"/>
        <v>632980.21099307202</v>
      </c>
      <c r="I52" s="229">
        <f t="shared" ca="1" si="4"/>
        <v>0</v>
      </c>
      <c r="J52" s="229">
        <f ca="1">IF($C52="","",IFERROR(IF('קיזוזים בגין איחורים'!E52=0,0,1),0))</f>
        <v>0</v>
      </c>
      <c r="K52" s="229">
        <f t="shared" ca="1" si="5"/>
        <v>0</v>
      </c>
      <c r="L52" s="229">
        <f t="shared" ca="1" si="0"/>
        <v>0</v>
      </c>
    </row>
    <row r="53" spans="2:12" x14ac:dyDescent="0.35">
      <c r="B53" s="164">
        <f t="shared" ca="1" si="1"/>
        <v>23</v>
      </c>
      <c r="C53" s="157" t="str">
        <f ca="1">'קיזוזים בגין איחורים'!C53</f>
        <v>מוסיקה מזרח מערב</v>
      </c>
      <c r="D53" s="158">
        <f ca="1">'קיזוזים בגין איחורים'!H53</f>
        <v>967272.34908523015</v>
      </c>
      <c r="E53" s="159"/>
      <c r="F53" s="161">
        <f t="shared" ca="1" si="2"/>
        <v>967272.34908523015</v>
      </c>
      <c r="G53" s="161">
        <f t="shared" ca="1" si="3"/>
        <v>967272.34908523015</v>
      </c>
      <c r="I53" s="229">
        <f t="shared" ca="1" si="4"/>
        <v>0</v>
      </c>
      <c r="J53" s="229">
        <f ca="1">IF($C53="","",IFERROR(IF('קיזוזים בגין איחורים'!E53=0,0,1),0))</f>
        <v>0</v>
      </c>
      <c r="K53" s="229">
        <f t="shared" ca="1" si="5"/>
        <v>0</v>
      </c>
      <c r="L53" s="229">
        <f t="shared" ca="1" si="0"/>
        <v>0</v>
      </c>
    </row>
    <row r="54" spans="2:12" x14ac:dyDescent="0.35">
      <c r="B54" s="164">
        <f t="shared" ca="1" si="1"/>
        <v>24</v>
      </c>
      <c r="C54" s="157" t="str">
        <f ca="1">'קיזוזים בגין איחורים'!C54</f>
        <v>אעלה בתמר</v>
      </c>
      <c r="D54" s="158">
        <f ca="1">'קיזוזים בגין איחורים'!H54</f>
        <v>1500000</v>
      </c>
      <c r="E54" s="159"/>
      <c r="F54" s="161">
        <f t="shared" ca="1" si="2"/>
        <v>1500000</v>
      </c>
      <c r="G54" s="161">
        <f t="shared" ca="1" si="3"/>
        <v>1500000</v>
      </c>
      <c r="I54" s="229">
        <f t="shared" ca="1" si="4"/>
        <v>0</v>
      </c>
      <c r="J54" s="229">
        <f ca="1">IF($C54="","",IFERROR(IF('קיזוזים בגין איחורים'!E54=0,0,1),0))</f>
        <v>0</v>
      </c>
      <c r="K54" s="229">
        <f t="shared" ca="1" si="5"/>
        <v>0</v>
      </c>
      <c r="L54" s="229">
        <f t="shared" ca="1" si="0"/>
        <v>0</v>
      </c>
    </row>
    <row r="55" spans="2:12" hidden="1" x14ac:dyDescent="0.35">
      <c r="B55" s="164" t="str">
        <f t="shared" ca="1" si="1"/>
        <v/>
      </c>
      <c r="C55" s="157" t="str">
        <f ca="1">'קיזוזים בגין איחורים'!C55</f>
        <v/>
      </c>
      <c r="D55" s="158" t="str">
        <f ca="1">'קיזוזים בגין איחורים'!H55</f>
        <v/>
      </c>
      <c r="E55" s="159"/>
      <c r="F55" s="161" t="str">
        <f t="shared" ca="1" si="2"/>
        <v/>
      </c>
      <c r="G55" s="161" t="str">
        <f t="shared" ca="1" si="3"/>
        <v/>
      </c>
      <c r="I55" s="229" t="str">
        <f t="shared" ca="1" si="4"/>
        <v/>
      </c>
      <c r="J55" s="229" t="str">
        <f ca="1">IF($C55="","",IFERROR(IF('קיזוזים בגין איחורים'!E55=0,0,1),0))</f>
        <v/>
      </c>
      <c r="K55" s="229" t="str">
        <f t="shared" ca="1" si="5"/>
        <v/>
      </c>
      <c r="L55" s="229" t="str">
        <f t="shared" ca="1" si="0"/>
        <v/>
      </c>
    </row>
    <row r="56" spans="2:12" hidden="1" x14ac:dyDescent="0.35">
      <c r="B56" s="164" t="str">
        <f t="shared" ca="1" si="1"/>
        <v/>
      </c>
      <c r="C56" s="157" t="str">
        <f ca="1">'קיזוזים בגין איחורים'!C56</f>
        <v/>
      </c>
      <c r="D56" s="158" t="str">
        <f ca="1">'קיזוזים בגין איחורים'!H56</f>
        <v/>
      </c>
      <c r="E56" s="159"/>
      <c r="F56" s="161" t="str">
        <f t="shared" ca="1" si="2"/>
        <v/>
      </c>
      <c r="G56" s="161" t="str">
        <f t="shared" ca="1" si="3"/>
        <v/>
      </c>
      <c r="I56" s="229" t="str">
        <f t="shared" ca="1" si="4"/>
        <v/>
      </c>
      <c r="J56" s="229" t="str">
        <f ca="1">IF($C56="","",IFERROR(IF('קיזוזים בגין איחורים'!E56=0,0,1),0))</f>
        <v/>
      </c>
      <c r="K56" s="229" t="str">
        <f t="shared" ca="1" si="5"/>
        <v/>
      </c>
      <c r="L56" s="229" t="str">
        <f t="shared" ca="1" si="0"/>
        <v/>
      </c>
    </row>
    <row r="57" spans="2:12" x14ac:dyDescent="0.35">
      <c r="B57" s="164">
        <f t="shared" ca="1" si="1"/>
        <v>27</v>
      </c>
      <c r="C57" s="157" t="str">
        <f ca="1">'קיזוזים בגין איחורים'!C57</f>
        <v>מכון הברמן</v>
      </c>
      <c r="D57" s="158">
        <f ca="1">'קיזוזים בגין איחורים'!H57</f>
        <v>335774.41578064195</v>
      </c>
      <c r="E57" s="159"/>
      <c r="F57" s="161">
        <f t="shared" ca="1" si="2"/>
        <v>335774.41578064195</v>
      </c>
      <c r="G57" s="161">
        <f t="shared" ca="1" si="3"/>
        <v>335774.41578064195</v>
      </c>
      <c r="I57" s="229">
        <f t="shared" ca="1" si="4"/>
        <v>0</v>
      </c>
      <c r="J57" s="229">
        <f ca="1">IF($C57="","",IFERROR(IF('קיזוזים בגין איחורים'!E57=0,0,1),0))</f>
        <v>0</v>
      </c>
      <c r="K57" s="229">
        <f t="shared" ca="1" si="5"/>
        <v>0</v>
      </c>
      <c r="L57" s="229">
        <f t="shared" ca="1" si="0"/>
        <v>0</v>
      </c>
    </row>
    <row r="58" spans="2:12" hidden="1" x14ac:dyDescent="0.35">
      <c r="B58" s="164" t="str">
        <f t="shared" ca="1" si="1"/>
        <v/>
      </c>
      <c r="C58" s="157" t="str">
        <f ca="1">'קיזוזים בגין איחורים'!C58</f>
        <v/>
      </c>
      <c r="D58" s="158" t="str">
        <f ca="1">'קיזוזים בגין איחורים'!H58</f>
        <v/>
      </c>
      <c r="E58" s="159"/>
      <c r="F58" s="161" t="str">
        <f t="shared" ca="1" si="2"/>
        <v/>
      </c>
      <c r="G58" s="161" t="str">
        <f t="shared" ca="1" si="3"/>
        <v/>
      </c>
      <c r="I58" s="229" t="str">
        <f t="shared" ca="1" si="4"/>
        <v/>
      </c>
      <c r="J58" s="229" t="str">
        <f ca="1">IF($C58="","",IFERROR(IF('קיזוזים בגין איחורים'!E58=0,0,1),0))</f>
        <v/>
      </c>
      <c r="K58" s="229" t="str">
        <f t="shared" ca="1" si="5"/>
        <v/>
      </c>
      <c r="L58" s="229" t="str">
        <f t="shared" ca="1" si="0"/>
        <v/>
      </c>
    </row>
    <row r="59" spans="2:12" x14ac:dyDescent="0.35">
      <c r="B59" s="164" t="str">
        <f t="shared" ca="1" si="1"/>
        <v/>
      </c>
      <c r="C59" s="157" t="str">
        <f ca="1">'קיזוזים בגין איחורים'!C59</f>
        <v/>
      </c>
      <c r="D59" s="158" t="str">
        <f ca="1">'קיזוזים בגין איחורים'!H59</f>
        <v/>
      </c>
      <c r="E59" s="159"/>
      <c r="F59" s="161" t="str">
        <f t="shared" ca="1" si="2"/>
        <v/>
      </c>
      <c r="G59" s="161" t="str">
        <f t="shared" ca="1" si="3"/>
        <v/>
      </c>
      <c r="I59" s="229" t="str">
        <f t="shared" ca="1" si="4"/>
        <v/>
      </c>
      <c r="J59" s="229" t="str">
        <f ca="1">IF($C59="","",IFERROR(IF('קיזוזים בגין איחורים'!E59=0,0,1),0))</f>
        <v/>
      </c>
      <c r="K59" s="229" t="str">
        <f t="shared" ca="1" si="5"/>
        <v/>
      </c>
      <c r="L59" s="229" t="str">
        <f t="shared" ca="1" si="0"/>
        <v/>
      </c>
    </row>
    <row r="60" spans="2:12" hidden="1" x14ac:dyDescent="0.35">
      <c r="B60" s="164" t="str">
        <f t="shared" ca="1" si="1"/>
        <v/>
      </c>
      <c r="C60" s="157" t="str">
        <f ca="1">'קיזוזים בגין איחורים'!C60</f>
        <v/>
      </c>
      <c r="D60" s="158" t="str">
        <f ca="1">'קיזוזים בגין איחורים'!H60</f>
        <v/>
      </c>
      <c r="E60" s="159"/>
      <c r="F60" s="161" t="str">
        <f t="shared" ca="1" si="2"/>
        <v/>
      </c>
      <c r="G60" s="161" t="str">
        <f t="shared" ca="1" si="3"/>
        <v/>
      </c>
      <c r="I60" s="229" t="str">
        <f t="shared" ca="1" si="4"/>
        <v/>
      </c>
      <c r="J60" s="229" t="str">
        <f ca="1">IF($C60="","",IFERROR(IF('קיזוזים בגין איחורים'!E60=0,0,1),0))</f>
        <v/>
      </c>
      <c r="K60" s="229" t="str">
        <f t="shared" ca="1" si="5"/>
        <v/>
      </c>
      <c r="L60" s="229" t="str">
        <f t="shared" ca="1" si="0"/>
        <v/>
      </c>
    </row>
    <row r="61" spans="2:12" hidden="1" x14ac:dyDescent="0.35">
      <c r="B61" s="164">
        <f t="shared" ca="1" si="1"/>
        <v>31</v>
      </c>
      <c r="C61" s="157" t="str">
        <f ca="1">'קיזוזים בגין איחורים'!C61</f>
        <v>כולנא</v>
      </c>
      <c r="D61" s="158">
        <f ca="1">'קיזוזים בגין איחורים'!H61</f>
        <v>548049.35731184587</v>
      </c>
      <c r="E61" s="159"/>
      <c r="F61" s="161">
        <f t="shared" ca="1" si="2"/>
        <v>548049.35731184587</v>
      </c>
      <c r="G61" s="161">
        <f t="shared" ca="1" si="3"/>
        <v>548049.35731184587</v>
      </c>
      <c r="I61" s="229">
        <f t="shared" ca="1" si="4"/>
        <v>0</v>
      </c>
      <c r="J61" s="229">
        <f ca="1">IF($C61="","",IFERROR(IF('קיזוזים בגין איחורים'!E61=0,0,1),0))</f>
        <v>0</v>
      </c>
      <c r="K61" s="229">
        <f t="shared" ca="1" si="5"/>
        <v>0</v>
      </c>
      <c r="L61" s="229">
        <f t="shared" ca="1" si="0"/>
        <v>0</v>
      </c>
    </row>
    <row r="62" spans="2:12" hidden="1" x14ac:dyDescent="0.35">
      <c r="B62" s="164" t="str">
        <f t="shared" ca="1" si="1"/>
        <v/>
      </c>
      <c r="C62" s="157" t="str">
        <f ca="1">'קיזוזים בגין איחורים'!C62</f>
        <v/>
      </c>
      <c r="D62" s="158" t="str">
        <f ca="1">'קיזוזים בגין איחורים'!H62</f>
        <v/>
      </c>
      <c r="E62" s="159"/>
      <c r="F62" s="161" t="str">
        <f t="shared" ca="1" si="2"/>
        <v/>
      </c>
      <c r="G62" s="161" t="str">
        <f t="shared" ca="1" si="3"/>
        <v/>
      </c>
      <c r="I62" s="229" t="str">
        <f t="shared" ca="1" si="4"/>
        <v/>
      </c>
      <c r="J62" s="229" t="str">
        <f ca="1">IF($C62="","",IFERROR(IF('קיזוזים בגין איחורים'!E62=0,0,1),0))</f>
        <v/>
      </c>
      <c r="K62" s="229" t="str">
        <f t="shared" ca="1" si="5"/>
        <v/>
      </c>
      <c r="L62" s="229" t="str">
        <f t="shared" ca="1" si="0"/>
        <v/>
      </c>
    </row>
    <row r="63" spans="2:12" hidden="1" x14ac:dyDescent="0.35">
      <c r="B63" s="164" t="str">
        <f t="shared" ca="1" si="1"/>
        <v/>
      </c>
      <c r="C63" s="157" t="str">
        <f ca="1">'קיזוזים בגין איחורים'!C63</f>
        <v/>
      </c>
      <c r="D63" s="158" t="str">
        <f ca="1">'קיזוזים בגין איחורים'!H63</f>
        <v/>
      </c>
      <c r="E63" s="159"/>
      <c r="F63" s="161" t="str">
        <f t="shared" ca="1" si="2"/>
        <v/>
      </c>
      <c r="G63" s="161" t="str">
        <f t="shared" ca="1" si="3"/>
        <v/>
      </c>
      <c r="I63" s="229" t="str">
        <f t="shared" ca="1" si="4"/>
        <v/>
      </c>
      <c r="J63" s="229" t="str">
        <f ca="1">IF($C63="","",IFERROR(IF('קיזוזים בגין איחורים'!E63=0,0,1),0))</f>
        <v/>
      </c>
      <c r="K63" s="229" t="str">
        <f t="shared" ca="1" si="5"/>
        <v/>
      </c>
      <c r="L63" s="229" t="str">
        <f t="shared" ca="1" si="0"/>
        <v/>
      </c>
    </row>
    <row r="64" spans="2:12" hidden="1" x14ac:dyDescent="0.35">
      <c r="B64" s="164" t="str">
        <f t="shared" ca="1" si="1"/>
        <v/>
      </c>
      <c r="C64" s="157" t="str">
        <f ca="1">'קיזוזים בגין איחורים'!C64</f>
        <v/>
      </c>
      <c r="D64" s="158" t="str">
        <f ca="1">'קיזוזים בגין איחורים'!H64</f>
        <v/>
      </c>
      <c r="E64" s="159"/>
      <c r="F64" s="161" t="str">
        <f t="shared" ca="1" si="2"/>
        <v/>
      </c>
      <c r="G64" s="161" t="str">
        <f t="shared" ca="1" si="3"/>
        <v/>
      </c>
      <c r="I64" s="229" t="str">
        <f t="shared" ca="1" si="4"/>
        <v/>
      </c>
      <c r="J64" s="229" t="str">
        <f ca="1">IF($C64="","",IFERROR(IF('קיזוזים בגין איחורים'!E64=0,0,1),0))</f>
        <v/>
      </c>
      <c r="K64" s="229" t="str">
        <f t="shared" ca="1" si="5"/>
        <v/>
      </c>
      <c r="L64" s="229" t="str">
        <f t="shared" ca="1" si="0"/>
        <v/>
      </c>
    </row>
    <row r="65" spans="2:12" hidden="1" x14ac:dyDescent="0.35">
      <c r="B65" s="164" t="str">
        <f t="shared" ca="1" si="1"/>
        <v/>
      </c>
      <c r="C65" s="157" t="str">
        <f ca="1">'קיזוזים בגין איחורים'!C65</f>
        <v/>
      </c>
      <c r="D65" s="158" t="str">
        <f ca="1">'קיזוזים בגין איחורים'!H65</f>
        <v/>
      </c>
      <c r="E65" s="159"/>
      <c r="F65" s="161" t="str">
        <f t="shared" ca="1" si="2"/>
        <v/>
      </c>
      <c r="G65" s="161" t="str">
        <f t="shared" ca="1" si="3"/>
        <v/>
      </c>
      <c r="I65" s="229" t="str">
        <f t="shared" ca="1" si="4"/>
        <v/>
      </c>
      <c r="J65" s="229" t="str">
        <f ca="1">IF($C65="","",IFERROR(IF('קיזוזים בגין איחורים'!E65=0,0,1),0))</f>
        <v/>
      </c>
      <c r="K65" s="229" t="str">
        <f t="shared" ca="1" si="5"/>
        <v/>
      </c>
      <c r="L65" s="229" t="str">
        <f t="shared" ca="1" si="0"/>
        <v/>
      </c>
    </row>
    <row r="66" spans="2:12" hidden="1" x14ac:dyDescent="0.35">
      <c r="B66" s="164" t="str">
        <f t="shared" ca="1" si="1"/>
        <v/>
      </c>
      <c r="C66" s="157" t="str">
        <f ca="1">'קיזוזים בגין איחורים'!C66</f>
        <v/>
      </c>
      <c r="D66" s="158" t="str">
        <f ca="1">'קיזוזים בגין איחורים'!H66</f>
        <v/>
      </c>
      <c r="E66" s="159"/>
      <c r="F66" s="161" t="str">
        <f t="shared" ca="1" si="2"/>
        <v/>
      </c>
      <c r="G66" s="161" t="str">
        <f t="shared" ca="1" si="3"/>
        <v/>
      </c>
      <c r="I66" s="229" t="str">
        <f t="shared" ca="1" si="4"/>
        <v/>
      </c>
      <c r="J66" s="229" t="str">
        <f ca="1">IF($C66="","",IFERROR(IF('קיזוזים בגין איחורים'!E66=0,0,1),0))</f>
        <v/>
      </c>
      <c r="K66" s="229" t="str">
        <f t="shared" ca="1" si="5"/>
        <v/>
      </c>
      <c r="L66" s="229" t="str">
        <f t="shared" ca="1" si="0"/>
        <v/>
      </c>
    </row>
    <row r="67" spans="2:12" hidden="1" x14ac:dyDescent="0.35">
      <c r="B67" s="164" t="str">
        <f t="shared" ca="1" si="1"/>
        <v/>
      </c>
      <c r="C67" s="157" t="str">
        <f ca="1">'קיזוזים בגין איחורים'!C67</f>
        <v/>
      </c>
      <c r="D67" s="158" t="str">
        <f ca="1">'קיזוזים בגין איחורים'!H67</f>
        <v/>
      </c>
      <c r="E67" s="159"/>
      <c r="F67" s="161" t="str">
        <f t="shared" ca="1" si="2"/>
        <v/>
      </c>
      <c r="G67" s="161" t="str">
        <f t="shared" ca="1" si="3"/>
        <v/>
      </c>
      <c r="I67" s="229" t="str">
        <f t="shared" ca="1" si="4"/>
        <v/>
      </c>
      <c r="J67" s="229" t="str">
        <f ca="1">IF($C67="","",IFERROR(IF('קיזוזים בגין איחורים'!E67=0,0,1),0))</f>
        <v/>
      </c>
      <c r="K67" s="229" t="str">
        <f t="shared" ca="1" si="5"/>
        <v/>
      </c>
      <c r="L67" s="229" t="str">
        <f t="shared" ca="1" si="0"/>
        <v/>
      </c>
    </row>
    <row r="68" spans="2:12" hidden="1" x14ac:dyDescent="0.35">
      <c r="B68" s="164" t="str">
        <f t="shared" ca="1" si="1"/>
        <v/>
      </c>
      <c r="C68" s="157" t="str">
        <f ca="1">'קיזוזים בגין איחורים'!C68</f>
        <v/>
      </c>
      <c r="D68" s="158" t="str">
        <f ca="1">'קיזוזים בגין איחורים'!H68</f>
        <v/>
      </c>
      <c r="E68" s="159"/>
      <c r="F68" s="161" t="str">
        <f t="shared" ca="1" si="2"/>
        <v/>
      </c>
      <c r="G68" s="161" t="str">
        <f t="shared" ca="1" si="3"/>
        <v/>
      </c>
      <c r="I68" s="229" t="str">
        <f t="shared" ca="1" si="4"/>
        <v/>
      </c>
      <c r="J68" s="229" t="str">
        <f ca="1">IF($C68="","",IFERROR(IF('קיזוזים בגין איחורים'!E68=0,0,1),0))</f>
        <v/>
      </c>
      <c r="K68" s="229" t="str">
        <f t="shared" ca="1" si="5"/>
        <v/>
      </c>
      <c r="L68" s="229" t="str">
        <f t="shared" ca="1" si="0"/>
        <v/>
      </c>
    </row>
    <row r="69" spans="2:12" hidden="1" x14ac:dyDescent="0.35">
      <c r="B69" s="164" t="str">
        <f t="shared" ca="1" si="1"/>
        <v/>
      </c>
      <c r="C69" s="157" t="str">
        <f ca="1">'קיזוזים בגין איחורים'!C69</f>
        <v/>
      </c>
      <c r="D69" s="158" t="str">
        <f ca="1">'קיזוזים בגין איחורים'!H69</f>
        <v/>
      </c>
      <c r="E69" s="159"/>
      <c r="F69" s="161" t="str">
        <f t="shared" ca="1" si="2"/>
        <v/>
      </c>
      <c r="G69" s="161" t="str">
        <f t="shared" ca="1" si="3"/>
        <v/>
      </c>
      <c r="I69" s="229" t="str">
        <f t="shared" ca="1" si="4"/>
        <v/>
      </c>
      <c r="J69" s="229" t="str">
        <f ca="1">IF($C69="","",IFERROR(IF('קיזוזים בגין איחורים'!E69=0,0,1),0))</f>
        <v/>
      </c>
      <c r="K69" s="229" t="str">
        <f t="shared" ca="1" si="5"/>
        <v/>
      </c>
      <c r="L69" s="229" t="str">
        <f t="shared" ca="1" si="0"/>
        <v/>
      </c>
    </row>
    <row r="70" spans="2:12" hidden="1" x14ac:dyDescent="0.35">
      <c r="B70" s="164" t="str">
        <f t="shared" ca="1" si="1"/>
        <v/>
      </c>
      <c r="C70" s="157" t="str">
        <f ca="1">'קיזוזים בגין איחורים'!C70</f>
        <v/>
      </c>
      <c r="D70" s="158" t="str">
        <f ca="1">'קיזוזים בגין איחורים'!H70</f>
        <v/>
      </c>
      <c r="E70" s="159"/>
      <c r="F70" s="161" t="str">
        <f t="shared" ca="1" si="2"/>
        <v/>
      </c>
      <c r="G70" s="161" t="str">
        <f t="shared" ca="1" si="3"/>
        <v/>
      </c>
      <c r="I70" s="229" t="str">
        <f t="shared" ca="1" si="4"/>
        <v/>
      </c>
      <c r="J70" s="229" t="str">
        <f ca="1">IF($C70="","",IFERROR(IF('קיזוזים בגין איחורים'!E70=0,0,1),0))</f>
        <v/>
      </c>
      <c r="K70" s="229" t="str">
        <f t="shared" ca="1" si="5"/>
        <v/>
      </c>
      <c r="L70" s="229" t="str">
        <f t="shared" ca="1" si="0"/>
        <v/>
      </c>
    </row>
    <row r="71" spans="2:12" hidden="1" x14ac:dyDescent="0.35">
      <c r="B71" s="164" t="str">
        <f t="shared" ca="1" si="1"/>
        <v/>
      </c>
      <c r="C71" s="157" t="str">
        <f ca="1">'קיזוזים בגין איחורים'!C71</f>
        <v/>
      </c>
      <c r="D71" s="158" t="str">
        <f ca="1">'קיזוזים בגין איחורים'!H71</f>
        <v/>
      </c>
      <c r="E71" s="159"/>
      <c r="F71" s="161" t="str">
        <f t="shared" ca="1" si="2"/>
        <v/>
      </c>
      <c r="G71" s="161" t="str">
        <f t="shared" ca="1" si="3"/>
        <v/>
      </c>
      <c r="I71" s="229" t="str">
        <f t="shared" ca="1" si="4"/>
        <v/>
      </c>
      <c r="J71" s="229" t="str">
        <f ca="1">IF($C71="","",IFERROR(IF('קיזוזים בגין איחורים'!E71=0,0,1),0))</f>
        <v/>
      </c>
      <c r="K71" s="229" t="str">
        <f t="shared" ca="1" si="5"/>
        <v/>
      </c>
      <c r="L71" s="229" t="str">
        <f t="shared" ca="1" si="0"/>
        <v/>
      </c>
    </row>
    <row r="72" spans="2:12" hidden="1" x14ac:dyDescent="0.35">
      <c r="B72" s="164" t="str">
        <f t="shared" ca="1" si="1"/>
        <v/>
      </c>
      <c r="C72" s="157" t="str">
        <f ca="1">'קיזוזים בגין איחורים'!C72</f>
        <v/>
      </c>
      <c r="D72" s="158" t="str">
        <f ca="1">'קיזוזים בגין איחורים'!H72</f>
        <v/>
      </c>
      <c r="E72" s="159"/>
      <c r="F72" s="161" t="str">
        <f t="shared" ca="1" si="2"/>
        <v/>
      </c>
      <c r="G72" s="161" t="str">
        <f t="shared" ca="1" si="3"/>
        <v/>
      </c>
      <c r="I72" s="229" t="str">
        <f t="shared" ca="1" si="4"/>
        <v/>
      </c>
      <c r="J72" s="229" t="str">
        <f ca="1">IF($C72="","",IFERROR(IF('קיזוזים בגין איחורים'!E72=0,0,1),0))</f>
        <v/>
      </c>
      <c r="K72" s="229" t="str">
        <f t="shared" ca="1" si="5"/>
        <v/>
      </c>
      <c r="L72" s="229" t="str">
        <f t="shared" ca="1" si="0"/>
        <v/>
      </c>
    </row>
    <row r="73" spans="2:12" hidden="1" x14ac:dyDescent="0.35">
      <c r="B73" s="164" t="str">
        <f t="shared" ca="1" si="1"/>
        <v/>
      </c>
      <c r="C73" s="157" t="str">
        <f ca="1">'קיזוזים בגין איחורים'!C73</f>
        <v/>
      </c>
      <c r="D73" s="158" t="str">
        <f ca="1">'קיזוזים בגין איחורים'!H73</f>
        <v/>
      </c>
      <c r="E73" s="159"/>
      <c r="F73" s="161" t="str">
        <f t="shared" ca="1" si="2"/>
        <v/>
      </c>
      <c r="G73" s="161" t="str">
        <f t="shared" ca="1" si="3"/>
        <v/>
      </c>
      <c r="I73" s="229" t="str">
        <f t="shared" ca="1" si="4"/>
        <v/>
      </c>
      <c r="J73" s="229" t="str">
        <f ca="1">IF($C73="","",IFERROR(IF('קיזוזים בגין איחורים'!E73=0,0,1),0))</f>
        <v/>
      </c>
      <c r="K73" s="229" t="str">
        <f t="shared" ca="1" si="5"/>
        <v/>
      </c>
      <c r="L73" s="229" t="str">
        <f t="shared" ca="1" si="0"/>
        <v/>
      </c>
    </row>
    <row r="74" spans="2:12" hidden="1" x14ac:dyDescent="0.35">
      <c r="B74" s="164" t="str">
        <f t="shared" ca="1" si="1"/>
        <v/>
      </c>
      <c r="C74" s="157" t="str">
        <f ca="1">'קיזוזים בגין איחורים'!C74</f>
        <v/>
      </c>
      <c r="D74" s="158" t="str">
        <f ca="1">'קיזוזים בגין איחורים'!H74</f>
        <v/>
      </c>
      <c r="E74" s="159"/>
      <c r="F74" s="161" t="str">
        <f t="shared" ca="1" si="2"/>
        <v/>
      </c>
      <c r="G74" s="161" t="str">
        <f t="shared" ca="1" si="3"/>
        <v/>
      </c>
      <c r="I74" s="229" t="str">
        <f t="shared" ca="1" si="4"/>
        <v/>
      </c>
      <c r="J74" s="229" t="str">
        <f ca="1">IF($C74="","",IFERROR(IF('קיזוזים בגין איחורים'!E74=0,0,1),0))</f>
        <v/>
      </c>
      <c r="K74" s="229" t="str">
        <f t="shared" ca="1" si="5"/>
        <v/>
      </c>
      <c r="L74" s="229" t="str">
        <f t="shared" ca="1" si="0"/>
        <v/>
      </c>
    </row>
    <row r="75" spans="2:12" x14ac:dyDescent="0.35">
      <c r="B75" s="164" t="str">
        <f t="shared" ca="1" si="1"/>
        <v/>
      </c>
      <c r="C75" s="157" t="str">
        <f ca="1">'קיזוזים בגין איחורים'!C75</f>
        <v/>
      </c>
      <c r="D75" s="158" t="str">
        <f ca="1">'קיזוזים בגין איחורים'!H75</f>
        <v/>
      </c>
      <c r="E75" s="159"/>
      <c r="F75" s="161" t="str">
        <f t="shared" ca="1" si="2"/>
        <v/>
      </c>
      <c r="G75" s="161" t="str">
        <f t="shared" ca="1" si="3"/>
        <v/>
      </c>
      <c r="I75" s="229" t="str">
        <f t="shared" ca="1" si="4"/>
        <v/>
      </c>
      <c r="J75" s="229" t="str">
        <f ca="1">IF($C75="","",IFERROR(IF('קיזוזים בגין איחורים'!E75=0,0,1),0))</f>
        <v/>
      </c>
      <c r="K75" s="229" t="str">
        <f t="shared" ca="1" si="5"/>
        <v/>
      </c>
      <c r="L75" s="229" t="str">
        <f t="shared" ca="1" si="0"/>
        <v/>
      </c>
    </row>
    <row r="76" spans="2:12" x14ac:dyDescent="0.35">
      <c r="B76" s="164">
        <f t="shared" ca="1" si="1"/>
        <v>46</v>
      </c>
      <c r="C76" s="157" t="str">
        <f ca="1">'קיזוזים בגין איחורים'!C76</f>
        <v>ענבל מרכז אתני</v>
      </c>
      <c r="D76" s="158">
        <f ca="1">'קיזוזים בגין איחורים'!H76</f>
        <v>728893.37633453181</v>
      </c>
      <c r="E76" s="159"/>
      <c r="F76" s="161">
        <f t="shared" ca="1" si="2"/>
        <v>728893.37633453181</v>
      </c>
      <c r="G76" s="161">
        <f t="shared" ca="1" si="3"/>
        <v>728893.37633453181</v>
      </c>
      <c r="I76" s="229">
        <f t="shared" ca="1" si="4"/>
        <v>0</v>
      </c>
      <c r="J76" s="229">
        <f ca="1">IF($C76="","",IFERROR(IF('קיזוזים בגין איחורים'!E76=0,0,1),0))</f>
        <v>0</v>
      </c>
      <c r="K76" s="229">
        <f t="shared" ca="1" si="5"/>
        <v>0</v>
      </c>
      <c r="L76" s="229">
        <f t="shared" ca="1" si="0"/>
        <v>0</v>
      </c>
    </row>
    <row r="77" spans="2:12" x14ac:dyDescent="0.35">
      <c r="B77" s="164">
        <f t="shared" ca="1" si="1"/>
        <v>47</v>
      </c>
      <c r="C77" s="157" t="str">
        <f ca="1">'קיזוזים בגין איחורים'!C77</f>
        <v>א.ב. חדשות השומרונים</v>
      </c>
      <c r="D77" s="158">
        <f ca="1">'קיזוזים בגין איחורים'!H77</f>
        <v>187500</v>
      </c>
      <c r="E77" s="159"/>
      <c r="F77" s="161">
        <f t="shared" ca="1" si="2"/>
        <v>187500</v>
      </c>
      <c r="G77" s="161">
        <f t="shared" ca="1" si="3"/>
        <v>187500</v>
      </c>
      <c r="I77" s="229">
        <f t="shared" ca="1" si="4"/>
        <v>0</v>
      </c>
      <c r="J77" s="229">
        <f ca="1">IF($C77="","",IFERROR(IF('קיזוזים בגין איחורים'!E77=0,0,1),0))</f>
        <v>0</v>
      </c>
      <c r="K77" s="229">
        <f t="shared" ca="1" si="5"/>
        <v>0</v>
      </c>
      <c r="L77" s="229">
        <f t="shared" ca="1" si="0"/>
        <v>0</v>
      </c>
    </row>
    <row r="78" spans="2:12" hidden="1" x14ac:dyDescent="0.35">
      <c r="B78" s="164" t="str">
        <f t="shared" ca="1" si="1"/>
        <v/>
      </c>
      <c r="C78" s="157" t="str">
        <f ca="1">'קיזוזים בגין איחורים'!C78</f>
        <v/>
      </c>
      <c r="D78" s="158" t="str">
        <f ca="1">'קיזוזים בגין איחורים'!H78</f>
        <v/>
      </c>
      <c r="E78" s="159"/>
      <c r="F78" s="161" t="str">
        <f t="shared" ca="1" si="2"/>
        <v/>
      </c>
      <c r="G78" s="161" t="str">
        <f t="shared" ca="1" si="3"/>
        <v/>
      </c>
      <c r="I78" s="229" t="str">
        <f t="shared" ca="1" si="4"/>
        <v/>
      </c>
      <c r="J78" s="229" t="str">
        <f ca="1">IF($C78="","",IFERROR(IF('קיזוזים בגין איחורים'!E78=0,0,1),0))</f>
        <v/>
      </c>
      <c r="K78" s="229" t="str">
        <f t="shared" ca="1" si="5"/>
        <v/>
      </c>
      <c r="L78" s="229" t="str">
        <f t="shared" ca="1" si="0"/>
        <v/>
      </c>
    </row>
    <row r="79" spans="2:12" hidden="1" x14ac:dyDescent="0.35">
      <c r="B79" s="164" t="str">
        <f t="shared" ca="1" si="1"/>
        <v/>
      </c>
      <c r="C79" s="157" t="str">
        <f ca="1">'קיזוזים בגין איחורים'!C79</f>
        <v/>
      </c>
      <c r="D79" s="158" t="str">
        <f ca="1">'קיזוזים בגין איחורים'!H79</f>
        <v/>
      </c>
      <c r="E79" s="159"/>
      <c r="F79" s="161" t="str">
        <f t="shared" ca="1" si="2"/>
        <v/>
      </c>
      <c r="G79" s="161" t="str">
        <f t="shared" ca="1" si="3"/>
        <v/>
      </c>
      <c r="I79" s="229" t="str">
        <f t="shared" ca="1" si="4"/>
        <v/>
      </c>
      <c r="J79" s="229" t="str">
        <f ca="1">IF($C79="","",IFERROR(IF('קיזוזים בגין איחורים'!E79=0,0,1),0))</f>
        <v/>
      </c>
      <c r="K79" s="229" t="str">
        <f t="shared" ca="1" si="5"/>
        <v/>
      </c>
      <c r="L79" s="229" t="str">
        <f t="shared" ca="1" si="0"/>
        <v/>
      </c>
    </row>
    <row r="80" spans="2:12" hidden="1" x14ac:dyDescent="0.35">
      <c r="B80" s="164" t="str">
        <f t="shared" ca="1" si="1"/>
        <v/>
      </c>
      <c r="C80" s="157" t="str">
        <f ca="1">'קיזוזים בגין איחורים'!C80</f>
        <v/>
      </c>
      <c r="D80" s="158" t="str">
        <f ca="1">'קיזוזים בגין איחורים'!H80</f>
        <v/>
      </c>
      <c r="E80" s="159"/>
      <c r="F80" s="161" t="str">
        <f t="shared" ca="1" si="2"/>
        <v/>
      </c>
      <c r="G80" s="161" t="str">
        <f t="shared" ca="1" si="3"/>
        <v/>
      </c>
      <c r="I80" s="229" t="str">
        <f t="shared" ca="1" si="4"/>
        <v/>
      </c>
      <c r="J80" s="229" t="str">
        <f ca="1">IF($C80="","",IFERROR(IF('קיזוזים בגין איחורים'!E80=0,0,1),0))</f>
        <v/>
      </c>
      <c r="K80" s="229" t="str">
        <f t="shared" ca="1" si="5"/>
        <v/>
      </c>
      <c r="L80" s="229" t="str">
        <f t="shared" ca="1" si="0"/>
        <v/>
      </c>
    </row>
    <row r="81" spans="2:12" hidden="1" x14ac:dyDescent="0.35">
      <c r="B81" s="164" t="str">
        <f t="shared" ca="1" si="1"/>
        <v/>
      </c>
      <c r="C81" s="157" t="str">
        <f ca="1">'קיזוזים בגין איחורים'!C81</f>
        <v/>
      </c>
      <c r="D81" s="158" t="str">
        <f ca="1">'קיזוזים בגין איחורים'!H81</f>
        <v/>
      </c>
      <c r="E81" s="159"/>
      <c r="F81" s="161" t="str">
        <f t="shared" ca="1" si="2"/>
        <v/>
      </c>
      <c r="G81" s="161" t="str">
        <f t="shared" ca="1" si="3"/>
        <v/>
      </c>
      <c r="I81" s="229" t="str">
        <f t="shared" ca="1" si="4"/>
        <v/>
      </c>
      <c r="J81" s="229" t="str">
        <f ca="1">IF($C81="","",IFERROR(IF('קיזוזים בגין איחורים'!E81=0,0,1),0))</f>
        <v/>
      </c>
      <c r="K81" s="229" t="str">
        <f t="shared" ca="1" si="5"/>
        <v/>
      </c>
      <c r="L81" s="229" t="str">
        <f t="shared" ca="1" si="0"/>
        <v/>
      </c>
    </row>
    <row r="82" spans="2:12" x14ac:dyDescent="0.35">
      <c r="B82" s="164">
        <f t="shared" ca="1" si="1"/>
        <v>52</v>
      </c>
      <c r="C82" s="157" t="str">
        <f ca="1">'קיזוזים בגין איחורים'!C82</f>
        <v>עמותת הנני</v>
      </c>
      <c r="D82" s="158">
        <f ca="1">'קיזוזים בגין איחורים'!H82</f>
        <v>597954.29268192616</v>
      </c>
      <c r="E82" s="159"/>
      <c r="F82" s="161">
        <f t="shared" ca="1" si="2"/>
        <v>597954.29268192616</v>
      </c>
      <c r="G82" s="161">
        <f t="shared" ca="1" si="3"/>
        <v>597954.29268192616</v>
      </c>
      <c r="I82" s="229">
        <f t="shared" ca="1" si="4"/>
        <v>0</v>
      </c>
      <c r="J82" s="229">
        <f ca="1">IF($C82="","",IFERROR(IF('קיזוזים בגין איחורים'!E82=0,0,1),0))</f>
        <v>0</v>
      </c>
      <c r="K82" s="229">
        <f t="shared" ca="1" si="5"/>
        <v>0</v>
      </c>
      <c r="L82" s="229">
        <f t="shared" ca="1" si="0"/>
        <v>0</v>
      </c>
    </row>
    <row r="83" spans="2:12" hidden="1" x14ac:dyDescent="0.35">
      <c r="B83" s="164" t="str">
        <f t="shared" ca="1" si="1"/>
        <v/>
      </c>
      <c r="C83" s="157" t="str">
        <f ca="1">'קיזוזים בגין איחורים'!C83</f>
        <v/>
      </c>
      <c r="D83" s="158" t="str">
        <f ca="1">'קיזוזים בגין איחורים'!H83</f>
        <v/>
      </c>
      <c r="E83" s="159"/>
      <c r="F83" s="161" t="str">
        <f t="shared" ca="1" si="2"/>
        <v/>
      </c>
      <c r="G83" s="161" t="str">
        <f t="shared" ca="1" si="3"/>
        <v/>
      </c>
      <c r="I83" s="229" t="str">
        <f t="shared" ca="1" si="4"/>
        <v/>
      </c>
      <c r="J83" s="229" t="str">
        <f ca="1">IF($C83="","",IFERROR(IF('קיזוזים בגין איחורים'!E83=0,0,1),0))</f>
        <v/>
      </c>
      <c r="K83" s="229" t="str">
        <f t="shared" ca="1" si="5"/>
        <v/>
      </c>
      <c r="L83" s="229" t="str">
        <f t="shared" ca="1" si="0"/>
        <v/>
      </c>
    </row>
    <row r="84" spans="2:12" hidden="1" x14ac:dyDescent="0.35">
      <c r="B84" s="164" t="str">
        <f t="shared" ca="1" si="1"/>
        <v/>
      </c>
      <c r="C84" s="157" t="str">
        <f ca="1">'קיזוזים בגין איחורים'!C84</f>
        <v/>
      </c>
      <c r="D84" s="158" t="str">
        <f ca="1">'קיזוזים בגין איחורים'!H84</f>
        <v/>
      </c>
      <c r="E84" s="159"/>
      <c r="F84" s="161" t="str">
        <f t="shared" ca="1" si="2"/>
        <v/>
      </c>
      <c r="G84" s="161" t="str">
        <f t="shared" ca="1" si="3"/>
        <v/>
      </c>
      <c r="I84" s="229" t="str">
        <f t="shared" ca="1" si="4"/>
        <v/>
      </c>
      <c r="J84" s="229" t="str">
        <f ca="1">IF($C84="","",IFERROR(IF('קיזוזים בגין איחורים'!E84=0,0,1),0))</f>
        <v/>
      </c>
      <c r="K84" s="229" t="str">
        <f t="shared" ca="1" si="5"/>
        <v/>
      </c>
      <c r="L84" s="229" t="str">
        <f t="shared" ca="1" si="0"/>
        <v/>
      </c>
    </row>
    <row r="85" spans="2:12" hidden="1" x14ac:dyDescent="0.35">
      <c r="B85" s="164" t="str">
        <f t="shared" ca="1" si="1"/>
        <v/>
      </c>
      <c r="C85" s="157" t="str">
        <f ca="1">'קיזוזים בגין איחורים'!C85</f>
        <v/>
      </c>
      <c r="D85" s="158" t="str">
        <f ca="1">'קיזוזים בגין איחורים'!H85</f>
        <v/>
      </c>
      <c r="E85" s="159"/>
      <c r="F85" s="161" t="str">
        <f t="shared" ca="1" si="2"/>
        <v/>
      </c>
      <c r="G85" s="161" t="str">
        <f t="shared" ca="1" si="3"/>
        <v/>
      </c>
      <c r="I85" s="229" t="str">
        <f t="shared" ca="1" si="4"/>
        <v/>
      </c>
      <c r="J85" s="229" t="str">
        <f ca="1">IF($C85="","",IFERROR(IF('קיזוזים בגין איחורים'!E85=0,0,1),0))</f>
        <v/>
      </c>
      <c r="K85" s="229" t="str">
        <f t="shared" ca="1" si="5"/>
        <v/>
      </c>
      <c r="L85" s="229" t="str">
        <f t="shared" ca="1" si="0"/>
        <v/>
      </c>
    </row>
    <row r="86" spans="2:12" hidden="1" x14ac:dyDescent="0.35">
      <c r="B86" s="164" t="str">
        <f t="shared" ca="1" si="1"/>
        <v/>
      </c>
      <c r="C86" s="157" t="str">
        <f ca="1">'קיזוזים בגין איחורים'!C86</f>
        <v/>
      </c>
      <c r="D86" s="158" t="str">
        <f ca="1">'קיזוזים בגין איחורים'!H86</f>
        <v/>
      </c>
      <c r="E86" s="159"/>
      <c r="F86" s="161" t="str">
        <f t="shared" ca="1" si="2"/>
        <v/>
      </c>
      <c r="G86" s="161" t="str">
        <f t="shared" ca="1" si="3"/>
        <v/>
      </c>
      <c r="I86" s="229" t="str">
        <f t="shared" ca="1" si="4"/>
        <v/>
      </c>
      <c r="J86" s="229" t="str">
        <f ca="1">IF($C86="","",IFERROR(IF('קיזוזים בגין איחורים'!E86=0,0,1),0))</f>
        <v/>
      </c>
      <c r="K86" s="229" t="str">
        <f t="shared" ca="1" si="5"/>
        <v/>
      </c>
      <c r="L86" s="229" t="str">
        <f t="shared" ca="1" si="0"/>
        <v/>
      </c>
    </row>
    <row r="87" spans="2:12" hidden="1" x14ac:dyDescent="0.35">
      <c r="B87" s="164" t="str">
        <f t="shared" ca="1" si="1"/>
        <v/>
      </c>
      <c r="C87" s="157" t="str">
        <f ca="1">'קיזוזים בגין איחורים'!C87</f>
        <v/>
      </c>
      <c r="D87" s="158" t="str">
        <f ca="1">'קיזוזים בגין איחורים'!H87</f>
        <v/>
      </c>
      <c r="E87" s="159"/>
      <c r="F87" s="161" t="str">
        <f t="shared" ca="1" si="2"/>
        <v/>
      </c>
      <c r="G87" s="161" t="str">
        <f t="shared" ca="1" si="3"/>
        <v/>
      </c>
      <c r="I87" s="229" t="str">
        <f t="shared" ca="1" si="4"/>
        <v/>
      </c>
      <c r="J87" s="229" t="str">
        <f ca="1">IF($C87="","",IFERROR(IF('קיזוזים בגין איחורים'!E87=0,0,1),0))</f>
        <v/>
      </c>
      <c r="K87" s="229" t="str">
        <f t="shared" ca="1" si="5"/>
        <v/>
      </c>
      <c r="L87" s="229" t="str">
        <f t="shared" ca="1" si="0"/>
        <v/>
      </c>
    </row>
    <row r="88" spans="2:12" hidden="1" x14ac:dyDescent="0.35">
      <c r="B88" s="164" t="str">
        <f t="shared" ca="1" si="1"/>
        <v/>
      </c>
      <c r="C88" s="157" t="str">
        <f ca="1">'קיזוזים בגין איחורים'!C88</f>
        <v/>
      </c>
      <c r="D88" s="158" t="str">
        <f ca="1">'קיזוזים בגין איחורים'!H88</f>
        <v/>
      </c>
      <c r="E88" s="159"/>
      <c r="F88" s="161" t="str">
        <f t="shared" ca="1" si="2"/>
        <v/>
      </c>
      <c r="G88" s="161" t="str">
        <f t="shared" ca="1" si="3"/>
        <v/>
      </c>
      <c r="I88" s="229" t="str">
        <f t="shared" ca="1" si="4"/>
        <v/>
      </c>
      <c r="J88" s="229" t="str">
        <f ca="1">IF($C88="","",IFERROR(IF('קיזוזים בגין איחורים'!E88=0,0,1),0))</f>
        <v/>
      </c>
      <c r="K88" s="229" t="str">
        <f t="shared" ca="1" si="5"/>
        <v/>
      </c>
      <c r="L88" s="229" t="str">
        <f t="shared" ca="1" si="0"/>
        <v/>
      </c>
    </row>
    <row r="89" spans="2:12" hidden="1" x14ac:dyDescent="0.35">
      <c r="B89" s="164" t="str">
        <f t="shared" ca="1" si="1"/>
        <v/>
      </c>
      <c r="C89" s="157" t="str">
        <f ca="1">'קיזוזים בגין איחורים'!C89</f>
        <v/>
      </c>
      <c r="D89" s="158" t="str">
        <f ca="1">'קיזוזים בגין איחורים'!H89</f>
        <v/>
      </c>
      <c r="E89" s="159"/>
      <c r="F89" s="161" t="str">
        <f t="shared" ca="1" si="2"/>
        <v/>
      </c>
      <c r="G89" s="161" t="str">
        <f t="shared" ca="1" si="3"/>
        <v/>
      </c>
      <c r="I89" s="229" t="str">
        <f t="shared" ca="1" si="4"/>
        <v/>
      </c>
      <c r="J89" s="229" t="str">
        <f ca="1">IF($C89="","",IFERROR(IF('קיזוזים בגין איחורים'!E89=0,0,1),0))</f>
        <v/>
      </c>
      <c r="K89" s="229" t="str">
        <f t="shared" ca="1" si="5"/>
        <v/>
      </c>
      <c r="L89" s="229" t="str">
        <f t="shared" ca="1" si="0"/>
        <v/>
      </c>
    </row>
    <row r="90" spans="2:12" x14ac:dyDescent="0.35">
      <c r="B90" s="164">
        <f t="shared" ca="1" si="1"/>
        <v>60</v>
      </c>
      <c r="C90" s="157" t="str">
        <f ca="1">'קיזוזים בגין איחורים'!C90</f>
        <v>שרשרת הדורות</v>
      </c>
      <c r="D90" s="158">
        <f ca="1">'קיזוזים בגין איחורים'!H90</f>
        <v>176882.22716570474</v>
      </c>
      <c r="E90" s="159"/>
      <c r="F90" s="161">
        <f t="shared" ca="1" si="2"/>
        <v>176882.22716570474</v>
      </c>
      <c r="G90" s="161">
        <f t="shared" ca="1" si="3"/>
        <v>176882.22716570474</v>
      </c>
      <c r="I90" s="229">
        <f t="shared" ca="1" si="4"/>
        <v>0</v>
      </c>
      <c r="J90" s="229">
        <f ca="1">IF($C90="","",IFERROR(IF('קיזוזים בגין איחורים'!E90=0,0,1),0))</f>
        <v>0</v>
      </c>
      <c r="K90" s="229">
        <f t="shared" ca="1" si="5"/>
        <v>0</v>
      </c>
      <c r="L90" s="229">
        <f t="shared" ca="1" si="0"/>
        <v>0</v>
      </c>
    </row>
    <row r="91" spans="2:12" ht="21.75" thickBot="1" x14ac:dyDescent="0.4">
      <c r="B91" s="164">
        <f t="shared" ca="1" si="1"/>
        <v>61</v>
      </c>
      <c r="C91" s="157" t="str">
        <f ca="1">'קיזוזים בגין איחורים'!C91</f>
        <v>חיבה</v>
      </c>
      <c r="D91" s="158">
        <f ca="1">'קיזוזים בגין איחורים'!H91</f>
        <v>339062.36727233679</v>
      </c>
      <c r="E91" s="159"/>
      <c r="F91" s="161">
        <f t="shared" ca="1" si="2"/>
        <v>339062.36727233679</v>
      </c>
      <c r="G91" s="161">
        <f t="shared" ca="1" si="3"/>
        <v>339062.36727233679</v>
      </c>
      <c r="I91" s="229">
        <f t="shared" ca="1" si="4"/>
        <v>0</v>
      </c>
      <c r="J91" s="229">
        <f ca="1">IF($C91="","",IFERROR(IF('קיזוזים בגין איחורים'!E91=0,0,1),0))</f>
        <v>0</v>
      </c>
      <c r="K91" s="229">
        <f t="shared" ca="1" si="5"/>
        <v>0</v>
      </c>
      <c r="L91" s="229">
        <f t="shared" ca="1" si="0"/>
        <v>0</v>
      </c>
    </row>
    <row r="92" spans="2:12" ht="21.75" hidden="1" thickBot="1" x14ac:dyDescent="0.4">
      <c r="B92" s="164" t="str">
        <f t="shared" ca="1" si="1"/>
        <v/>
      </c>
      <c r="C92" s="157" t="str">
        <f ca="1">'קיזוזים בגין איחורים'!C92</f>
        <v/>
      </c>
      <c r="D92" s="158" t="str">
        <f ca="1">'קיזוזים בגין איחורים'!H92</f>
        <v/>
      </c>
      <c r="E92" s="159"/>
      <c r="F92" s="161" t="str">
        <f t="shared" ca="1" si="2"/>
        <v/>
      </c>
      <c r="G92" s="161" t="str">
        <f t="shared" ca="1" si="3"/>
        <v/>
      </c>
      <c r="I92" s="229" t="str">
        <f t="shared" ca="1" si="4"/>
        <v/>
      </c>
      <c r="J92" s="229" t="str">
        <f ca="1">IF($C92="","",IFERROR(IF('קיזוזים בגין איחורים'!E92=0,0,1),0))</f>
        <v/>
      </c>
      <c r="K92" s="229" t="str">
        <f t="shared" ca="1" si="5"/>
        <v/>
      </c>
      <c r="L92" s="229" t="str">
        <f t="shared" ca="1" si="0"/>
        <v/>
      </c>
    </row>
    <row r="93" spans="2:12" hidden="1" x14ac:dyDescent="0.35">
      <c r="B93" s="164">
        <f t="shared" si="1"/>
        <v>63</v>
      </c>
      <c r="C93" s="157">
        <f>'קיזוזים בגין איחורים'!C93</f>
        <v>0</v>
      </c>
      <c r="D93" s="158">
        <f ca="1">'קיזוזים בגין איחורים'!H93</f>
        <v>0</v>
      </c>
      <c r="E93" s="159"/>
      <c r="F93" s="161">
        <f t="shared" ca="1" si="2"/>
        <v>0</v>
      </c>
      <c r="G93" s="161">
        <f t="shared" ca="1" si="3"/>
        <v>0</v>
      </c>
      <c r="I93" s="229">
        <f t="shared" si="4"/>
        <v>0</v>
      </c>
      <c r="J93" s="229">
        <f>IF($C93="","",IFERROR(IF('קיזוזים בגין איחורים'!E93=0,0,1),0))</f>
        <v>0</v>
      </c>
      <c r="K93" s="229">
        <f t="shared" si="5"/>
        <v>0</v>
      </c>
      <c r="L93" s="229">
        <f t="shared" ca="1" si="0"/>
        <v>0</v>
      </c>
    </row>
    <row r="94" spans="2:12" hidden="1" x14ac:dyDescent="0.35">
      <c r="B94" s="164">
        <f t="shared" si="1"/>
        <v>64</v>
      </c>
      <c r="C94" s="157">
        <f>'קיזוזים בגין איחורים'!C94</f>
        <v>0</v>
      </c>
      <c r="D94" s="158">
        <f ca="1">'קיזוזים בגין איחורים'!H94</f>
        <v>0</v>
      </c>
      <c r="E94" s="159"/>
      <c r="F94" s="161">
        <f t="shared" ca="1" si="2"/>
        <v>0</v>
      </c>
      <c r="G94" s="161">
        <f t="shared" ca="1" si="3"/>
        <v>0</v>
      </c>
      <c r="I94" s="229">
        <f t="shared" si="4"/>
        <v>0</v>
      </c>
      <c r="J94" s="229">
        <f>IF($C94="","",IFERROR(IF('קיזוזים בגין איחורים'!E94=0,0,1),0))</f>
        <v>0</v>
      </c>
      <c r="K94" s="229">
        <f t="shared" si="5"/>
        <v>0</v>
      </c>
      <c r="L94" s="229">
        <f t="shared" ca="1" si="0"/>
        <v>0</v>
      </c>
    </row>
    <row r="95" spans="2:12" hidden="1" x14ac:dyDescent="0.35">
      <c r="B95" s="164">
        <f t="shared" si="1"/>
        <v>65</v>
      </c>
      <c r="C95" s="157">
        <f>'קיזוזים בגין איחורים'!C95</f>
        <v>0</v>
      </c>
      <c r="D95" s="158">
        <f ca="1">'קיזוזים בגין איחורים'!H95</f>
        <v>0</v>
      </c>
      <c r="E95" s="159"/>
      <c r="F95" s="161">
        <f t="shared" ca="1" si="2"/>
        <v>0</v>
      </c>
      <c r="G95" s="161">
        <f t="shared" ca="1" si="3"/>
        <v>0</v>
      </c>
      <c r="I95" s="229">
        <f t="shared" si="4"/>
        <v>0</v>
      </c>
      <c r="J95" s="229">
        <f>IF($C95="","",IFERROR(IF('קיזוזים בגין איחורים'!E95=0,0,1),0))</f>
        <v>0</v>
      </c>
      <c r="K95" s="229">
        <f t="shared" si="5"/>
        <v>0</v>
      </c>
      <c r="L95" s="229">
        <f t="shared" ref="L95:L130" ca="1" si="6">IF($C95="","",IF(K95=1,0,$K$27*$D95/$J$27))</f>
        <v>0</v>
      </c>
    </row>
    <row r="96" spans="2:12" hidden="1" x14ac:dyDescent="0.35">
      <c r="B96" s="164">
        <f t="shared" ref="B96:B130" si="7">IF(C96="","",ROW()-30)</f>
        <v>66</v>
      </c>
      <c r="C96" s="157">
        <f>'קיזוזים בגין איחורים'!C96</f>
        <v>0</v>
      </c>
      <c r="D96" s="158">
        <f ca="1">'קיזוזים בגין איחורים'!H96</f>
        <v>0</v>
      </c>
      <c r="E96" s="159"/>
      <c r="F96" s="161">
        <f t="shared" ref="F96:F130" ca="1" si="8">IF($C96="","",IF(E96&gt;D96,$N$1,D96-E96))</f>
        <v>0</v>
      </c>
      <c r="G96" s="161">
        <f t="shared" ref="G96:G130" ca="1" si="9">IF($C96="","",F96+L96)</f>
        <v>0</v>
      </c>
      <c r="I96" s="229">
        <f t="shared" ref="I96:I130" si="10">IF($C96="","",IFERROR(IF(E96=0,0,1),0))</f>
        <v>0</v>
      </c>
      <c r="J96" s="229">
        <f>IF($C96="","",IFERROR(IF('קיזוזים בגין איחורים'!E96=0,0,1),0))</f>
        <v>0</v>
      </c>
      <c r="K96" s="229">
        <f t="shared" ref="K96:K130" si="11">IF($C96="","",IF(OR(J96=1,I96=1),1,0))</f>
        <v>0</v>
      </c>
      <c r="L96" s="229">
        <f t="shared" ca="1" si="6"/>
        <v>0</v>
      </c>
    </row>
    <row r="97" spans="2:12" hidden="1" x14ac:dyDescent="0.35">
      <c r="B97" s="164">
        <f t="shared" si="7"/>
        <v>67</v>
      </c>
      <c r="C97" s="157">
        <f>'קיזוזים בגין איחורים'!C97</f>
        <v>0</v>
      </c>
      <c r="D97" s="158">
        <f ca="1">'קיזוזים בגין איחורים'!H97</f>
        <v>0</v>
      </c>
      <c r="E97" s="159"/>
      <c r="F97" s="161">
        <f t="shared" ca="1" si="8"/>
        <v>0</v>
      </c>
      <c r="G97" s="161">
        <f t="shared" ca="1" si="9"/>
        <v>0</v>
      </c>
      <c r="I97" s="229">
        <f t="shared" si="10"/>
        <v>0</v>
      </c>
      <c r="J97" s="229">
        <f>IF($C97="","",IFERROR(IF('קיזוזים בגין איחורים'!E97=0,0,1),0))</f>
        <v>0</v>
      </c>
      <c r="K97" s="229">
        <f t="shared" si="11"/>
        <v>0</v>
      </c>
      <c r="L97" s="229">
        <f t="shared" ca="1" si="6"/>
        <v>0</v>
      </c>
    </row>
    <row r="98" spans="2:12" hidden="1" x14ac:dyDescent="0.35">
      <c r="B98" s="164">
        <f t="shared" si="7"/>
        <v>68</v>
      </c>
      <c r="C98" s="157">
        <f>'קיזוזים בגין איחורים'!C98</f>
        <v>0</v>
      </c>
      <c r="D98" s="158">
        <f ca="1">'קיזוזים בגין איחורים'!H98</f>
        <v>0</v>
      </c>
      <c r="E98" s="159"/>
      <c r="F98" s="161">
        <f t="shared" ca="1" si="8"/>
        <v>0</v>
      </c>
      <c r="G98" s="161">
        <f t="shared" ca="1" si="9"/>
        <v>0</v>
      </c>
      <c r="I98" s="229">
        <f t="shared" si="10"/>
        <v>0</v>
      </c>
      <c r="J98" s="229">
        <f>IF($C98="","",IFERROR(IF('קיזוזים בגין איחורים'!E98=0,0,1),0))</f>
        <v>0</v>
      </c>
      <c r="K98" s="229">
        <f t="shared" si="11"/>
        <v>0</v>
      </c>
      <c r="L98" s="229">
        <f t="shared" ca="1" si="6"/>
        <v>0</v>
      </c>
    </row>
    <row r="99" spans="2:12" hidden="1" x14ac:dyDescent="0.35">
      <c r="B99" s="164">
        <f t="shared" si="7"/>
        <v>69</v>
      </c>
      <c r="C99" s="157">
        <f>'קיזוזים בגין איחורים'!C99</f>
        <v>0</v>
      </c>
      <c r="D99" s="158">
        <f ca="1">'קיזוזים בגין איחורים'!H99</f>
        <v>0</v>
      </c>
      <c r="E99" s="159"/>
      <c r="F99" s="161">
        <f t="shared" ca="1" si="8"/>
        <v>0</v>
      </c>
      <c r="G99" s="161">
        <f t="shared" ca="1" si="9"/>
        <v>0</v>
      </c>
      <c r="I99" s="229">
        <f t="shared" si="10"/>
        <v>0</v>
      </c>
      <c r="J99" s="229">
        <f>IF($C99="","",IFERROR(IF('קיזוזים בגין איחורים'!E99=0,0,1),0))</f>
        <v>0</v>
      </c>
      <c r="K99" s="229">
        <f t="shared" si="11"/>
        <v>0</v>
      </c>
      <c r="L99" s="229">
        <f t="shared" ca="1" si="6"/>
        <v>0</v>
      </c>
    </row>
    <row r="100" spans="2:12" hidden="1" x14ac:dyDescent="0.35">
      <c r="B100" s="164">
        <f t="shared" si="7"/>
        <v>70</v>
      </c>
      <c r="C100" s="157">
        <f>'קיזוזים בגין איחורים'!C100</f>
        <v>0</v>
      </c>
      <c r="D100" s="158">
        <f ca="1">'קיזוזים בגין איחורים'!H100</f>
        <v>0</v>
      </c>
      <c r="E100" s="159"/>
      <c r="F100" s="161">
        <f t="shared" ca="1" si="8"/>
        <v>0</v>
      </c>
      <c r="G100" s="161">
        <f t="shared" ca="1" si="9"/>
        <v>0</v>
      </c>
      <c r="I100" s="229">
        <f t="shared" si="10"/>
        <v>0</v>
      </c>
      <c r="J100" s="229">
        <f>IF($C100="","",IFERROR(IF('קיזוזים בגין איחורים'!E100=0,0,1),0))</f>
        <v>0</v>
      </c>
      <c r="K100" s="229">
        <f t="shared" si="11"/>
        <v>0</v>
      </c>
      <c r="L100" s="229">
        <f t="shared" ca="1" si="6"/>
        <v>0</v>
      </c>
    </row>
    <row r="101" spans="2:12" hidden="1" x14ac:dyDescent="0.35">
      <c r="B101" s="164">
        <f t="shared" si="7"/>
        <v>71</v>
      </c>
      <c r="C101" s="157">
        <f>'קיזוזים בגין איחורים'!C101</f>
        <v>0</v>
      </c>
      <c r="D101" s="158">
        <f ca="1">'קיזוזים בגין איחורים'!H101</f>
        <v>0</v>
      </c>
      <c r="E101" s="159"/>
      <c r="F101" s="161">
        <f t="shared" ca="1" si="8"/>
        <v>0</v>
      </c>
      <c r="G101" s="161">
        <f t="shared" ca="1" si="9"/>
        <v>0</v>
      </c>
      <c r="I101" s="229">
        <f t="shared" si="10"/>
        <v>0</v>
      </c>
      <c r="J101" s="229">
        <f>IF($C101="","",IFERROR(IF('קיזוזים בגין איחורים'!E101=0,0,1),0))</f>
        <v>0</v>
      </c>
      <c r="K101" s="229">
        <f t="shared" si="11"/>
        <v>0</v>
      </c>
      <c r="L101" s="229">
        <f t="shared" ca="1" si="6"/>
        <v>0</v>
      </c>
    </row>
    <row r="102" spans="2:12" hidden="1" x14ac:dyDescent="0.35">
      <c r="B102" s="164">
        <f t="shared" si="7"/>
        <v>72</v>
      </c>
      <c r="C102" s="157">
        <f>'קיזוזים בגין איחורים'!C102</f>
        <v>0</v>
      </c>
      <c r="D102" s="158">
        <f ca="1">'קיזוזים בגין איחורים'!H102</f>
        <v>0</v>
      </c>
      <c r="E102" s="159"/>
      <c r="F102" s="161">
        <f t="shared" ca="1" si="8"/>
        <v>0</v>
      </c>
      <c r="G102" s="161">
        <f t="shared" ca="1" si="9"/>
        <v>0</v>
      </c>
      <c r="I102" s="229">
        <f t="shared" si="10"/>
        <v>0</v>
      </c>
      <c r="J102" s="229">
        <f>IF($C102="","",IFERROR(IF('קיזוזים בגין איחורים'!E102=0,0,1),0))</f>
        <v>0</v>
      </c>
      <c r="K102" s="229">
        <f t="shared" si="11"/>
        <v>0</v>
      </c>
      <c r="L102" s="229">
        <f t="shared" ca="1" si="6"/>
        <v>0</v>
      </c>
    </row>
    <row r="103" spans="2:12" hidden="1" x14ac:dyDescent="0.35">
      <c r="B103" s="164">
        <f t="shared" si="7"/>
        <v>73</v>
      </c>
      <c r="C103" s="157">
        <f>'קיזוזים בגין איחורים'!C103</f>
        <v>0</v>
      </c>
      <c r="D103" s="158">
        <f ca="1">'קיזוזים בגין איחורים'!H103</f>
        <v>0</v>
      </c>
      <c r="E103" s="159"/>
      <c r="F103" s="161">
        <f t="shared" ca="1" si="8"/>
        <v>0</v>
      </c>
      <c r="G103" s="161">
        <f t="shared" ca="1" si="9"/>
        <v>0</v>
      </c>
      <c r="I103" s="229">
        <f t="shared" si="10"/>
        <v>0</v>
      </c>
      <c r="J103" s="229">
        <f>IF($C103="","",IFERROR(IF('קיזוזים בגין איחורים'!E103=0,0,1),0))</f>
        <v>0</v>
      </c>
      <c r="K103" s="229">
        <f t="shared" si="11"/>
        <v>0</v>
      </c>
      <c r="L103" s="229">
        <f t="shared" ca="1" si="6"/>
        <v>0</v>
      </c>
    </row>
    <row r="104" spans="2:12" hidden="1" x14ac:dyDescent="0.35">
      <c r="B104" s="164">
        <f t="shared" si="7"/>
        <v>74</v>
      </c>
      <c r="C104" s="157">
        <f>'קיזוזים בגין איחורים'!C104</f>
        <v>0</v>
      </c>
      <c r="D104" s="158">
        <f ca="1">'קיזוזים בגין איחורים'!H104</f>
        <v>0</v>
      </c>
      <c r="E104" s="159"/>
      <c r="F104" s="161">
        <f t="shared" ca="1" si="8"/>
        <v>0</v>
      </c>
      <c r="G104" s="161">
        <f t="shared" ca="1" si="9"/>
        <v>0</v>
      </c>
      <c r="I104" s="229">
        <f t="shared" si="10"/>
        <v>0</v>
      </c>
      <c r="J104" s="229">
        <f>IF($C104="","",IFERROR(IF('קיזוזים בגין איחורים'!E104=0,0,1),0))</f>
        <v>0</v>
      </c>
      <c r="K104" s="229">
        <f t="shared" si="11"/>
        <v>0</v>
      </c>
      <c r="L104" s="229">
        <f t="shared" ca="1" si="6"/>
        <v>0</v>
      </c>
    </row>
    <row r="105" spans="2:12" hidden="1" x14ac:dyDescent="0.35">
      <c r="B105" s="164">
        <f t="shared" si="7"/>
        <v>75</v>
      </c>
      <c r="C105" s="157">
        <f>'קיזוזים בגין איחורים'!C105</f>
        <v>0</v>
      </c>
      <c r="D105" s="158">
        <f ca="1">'קיזוזים בגין איחורים'!H105</f>
        <v>0</v>
      </c>
      <c r="E105" s="159"/>
      <c r="F105" s="161">
        <f t="shared" ca="1" si="8"/>
        <v>0</v>
      </c>
      <c r="G105" s="161">
        <f t="shared" ca="1" si="9"/>
        <v>0</v>
      </c>
      <c r="I105" s="229">
        <f t="shared" si="10"/>
        <v>0</v>
      </c>
      <c r="J105" s="229">
        <f>IF($C105="","",IFERROR(IF('קיזוזים בגין איחורים'!E105=0,0,1),0))</f>
        <v>0</v>
      </c>
      <c r="K105" s="229">
        <f t="shared" si="11"/>
        <v>0</v>
      </c>
      <c r="L105" s="229">
        <f t="shared" ca="1" si="6"/>
        <v>0</v>
      </c>
    </row>
    <row r="106" spans="2:12" ht="21" hidden="1" customHeight="1" x14ac:dyDescent="0.35">
      <c r="B106" s="164">
        <f t="shared" si="7"/>
        <v>76</v>
      </c>
      <c r="C106" s="157">
        <f>'קיזוזים בגין איחורים'!C106</f>
        <v>0</v>
      </c>
      <c r="D106" s="158">
        <f ca="1">'קיזוזים בגין איחורים'!H106</f>
        <v>0</v>
      </c>
      <c r="E106" s="159"/>
      <c r="F106" s="161">
        <f t="shared" ca="1" si="8"/>
        <v>0</v>
      </c>
      <c r="G106" s="161">
        <f t="shared" ca="1" si="9"/>
        <v>0</v>
      </c>
      <c r="I106" s="229">
        <f t="shared" si="10"/>
        <v>0</v>
      </c>
      <c r="J106" s="229">
        <f>IF($C106="","",IFERROR(IF('קיזוזים בגין איחורים'!E106=0,0,1),0))</f>
        <v>0</v>
      </c>
      <c r="K106" s="229">
        <f t="shared" si="11"/>
        <v>0</v>
      </c>
      <c r="L106" s="229">
        <f t="shared" ca="1" si="6"/>
        <v>0</v>
      </c>
    </row>
    <row r="107" spans="2:12" hidden="1" x14ac:dyDescent="0.35">
      <c r="B107" s="164">
        <f t="shared" si="7"/>
        <v>77</v>
      </c>
      <c r="C107" s="157">
        <f>'קיזוזים בגין איחורים'!C107</f>
        <v>0</v>
      </c>
      <c r="D107" s="158">
        <f ca="1">'קיזוזים בגין איחורים'!H107</f>
        <v>0</v>
      </c>
      <c r="E107" s="159"/>
      <c r="F107" s="161">
        <f t="shared" ca="1" si="8"/>
        <v>0</v>
      </c>
      <c r="G107" s="161">
        <f t="shared" ca="1" si="9"/>
        <v>0</v>
      </c>
      <c r="I107" s="229">
        <f t="shared" si="10"/>
        <v>0</v>
      </c>
      <c r="J107" s="229">
        <f>IF($C107="","",IFERROR(IF('קיזוזים בגין איחורים'!E107=0,0,1),0))</f>
        <v>0</v>
      </c>
      <c r="K107" s="229">
        <f t="shared" si="11"/>
        <v>0</v>
      </c>
      <c r="L107" s="229">
        <f t="shared" ca="1" si="6"/>
        <v>0</v>
      </c>
    </row>
    <row r="108" spans="2:12" hidden="1" x14ac:dyDescent="0.35">
      <c r="B108" s="164">
        <f t="shared" si="7"/>
        <v>78</v>
      </c>
      <c r="C108" s="157">
        <f>'קיזוזים בגין איחורים'!C108</f>
        <v>0</v>
      </c>
      <c r="D108" s="158">
        <f ca="1">'קיזוזים בגין איחורים'!H108</f>
        <v>0</v>
      </c>
      <c r="E108" s="159"/>
      <c r="F108" s="161">
        <f t="shared" ca="1" si="8"/>
        <v>0</v>
      </c>
      <c r="G108" s="161">
        <f t="shared" ca="1" si="9"/>
        <v>0</v>
      </c>
      <c r="I108" s="229">
        <f t="shared" si="10"/>
        <v>0</v>
      </c>
      <c r="J108" s="229">
        <f>IF($C108="","",IFERROR(IF('קיזוזים בגין איחורים'!E108=0,0,1),0))</f>
        <v>0</v>
      </c>
      <c r="K108" s="229">
        <f t="shared" si="11"/>
        <v>0</v>
      </c>
      <c r="L108" s="229">
        <f t="shared" ca="1" si="6"/>
        <v>0</v>
      </c>
    </row>
    <row r="109" spans="2:12" hidden="1" x14ac:dyDescent="0.35">
      <c r="B109" s="164">
        <f t="shared" si="7"/>
        <v>79</v>
      </c>
      <c r="C109" s="157">
        <f>'קיזוזים בגין איחורים'!C109</f>
        <v>0</v>
      </c>
      <c r="D109" s="158">
        <f ca="1">'קיזוזים בגין איחורים'!H109</f>
        <v>0</v>
      </c>
      <c r="E109" s="159"/>
      <c r="F109" s="161">
        <f t="shared" ca="1" si="8"/>
        <v>0</v>
      </c>
      <c r="G109" s="161">
        <f t="shared" ca="1" si="9"/>
        <v>0</v>
      </c>
      <c r="I109" s="229">
        <f t="shared" si="10"/>
        <v>0</v>
      </c>
      <c r="J109" s="229">
        <f>IF($C109="","",IFERROR(IF('קיזוזים בגין איחורים'!E109=0,0,1),0))</f>
        <v>0</v>
      </c>
      <c r="K109" s="229">
        <f t="shared" si="11"/>
        <v>0</v>
      </c>
      <c r="L109" s="229">
        <f t="shared" ca="1" si="6"/>
        <v>0</v>
      </c>
    </row>
    <row r="110" spans="2:12" hidden="1" x14ac:dyDescent="0.35">
      <c r="B110" s="164">
        <f t="shared" si="7"/>
        <v>80</v>
      </c>
      <c r="C110" s="157">
        <f>'קיזוזים בגין איחורים'!C110</f>
        <v>0</v>
      </c>
      <c r="D110" s="158">
        <f ca="1">'קיזוזים בגין איחורים'!H110</f>
        <v>0</v>
      </c>
      <c r="E110" s="159"/>
      <c r="F110" s="161">
        <f t="shared" ca="1" si="8"/>
        <v>0</v>
      </c>
      <c r="G110" s="161">
        <f t="shared" ca="1" si="9"/>
        <v>0</v>
      </c>
      <c r="I110" s="229">
        <f t="shared" si="10"/>
        <v>0</v>
      </c>
      <c r="J110" s="229">
        <f>IF($C110="","",IFERROR(IF('קיזוזים בגין איחורים'!E110=0,0,1),0))</f>
        <v>0</v>
      </c>
      <c r="K110" s="229">
        <f t="shared" si="11"/>
        <v>0</v>
      </c>
      <c r="L110" s="229">
        <f t="shared" ca="1" si="6"/>
        <v>0</v>
      </c>
    </row>
    <row r="111" spans="2:12" hidden="1" x14ac:dyDescent="0.35">
      <c r="B111" s="164">
        <f t="shared" si="7"/>
        <v>81</v>
      </c>
      <c r="C111" s="157">
        <f>'קיזוזים בגין איחורים'!C111</f>
        <v>0</v>
      </c>
      <c r="D111" s="158">
        <f ca="1">'קיזוזים בגין איחורים'!H111</f>
        <v>0</v>
      </c>
      <c r="E111" s="159"/>
      <c r="F111" s="161">
        <f t="shared" ca="1" si="8"/>
        <v>0</v>
      </c>
      <c r="G111" s="161">
        <f t="shared" ca="1" si="9"/>
        <v>0</v>
      </c>
      <c r="I111" s="229">
        <f t="shared" si="10"/>
        <v>0</v>
      </c>
      <c r="J111" s="229">
        <f>IF($C111="","",IFERROR(IF('קיזוזים בגין איחורים'!E111=0,0,1),0))</f>
        <v>0</v>
      </c>
      <c r="K111" s="229">
        <f t="shared" si="11"/>
        <v>0</v>
      </c>
      <c r="L111" s="229">
        <f t="shared" ca="1" si="6"/>
        <v>0</v>
      </c>
    </row>
    <row r="112" spans="2:12" hidden="1" x14ac:dyDescent="0.35">
      <c r="B112" s="164">
        <f t="shared" si="7"/>
        <v>82</v>
      </c>
      <c r="C112" s="157">
        <f>'קיזוזים בגין איחורים'!C112</f>
        <v>0</v>
      </c>
      <c r="D112" s="158">
        <f ca="1">'קיזוזים בגין איחורים'!H112</f>
        <v>0</v>
      </c>
      <c r="E112" s="159"/>
      <c r="F112" s="161">
        <f t="shared" ca="1" si="8"/>
        <v>0</v>
      </c>
      <c r="G112" s="161">
        <f t="shared" ca="1" si="9"/>
        <v>0</v>
      </c>
      <c r="I112" s="229">
        <f t="shared" si="10"/>
        <v>0</v>
      </c>
      <c r="J112" s="229">
        <f>IF($C112="","",IFERROR(IF('קיזוזים בגין איחורים'!E112=0,0,1),0))</f>
        <v>0</v>
      </c>
      <c r="K112" s="229">
        <f t="shared" si="11"/>
        <v>0</v>
      </c>
      <c r="L112" s="229">
        <f t="shared" ca="1" si="6"/>
        <v>0</v>
      </c>
    </row>
    <row r="113" spans="2:12" hidden="1" x14ac:dyDescent="0.35">
      <c r="B113" s="164">
        <f t="shared" si="7"/>
        <v>83</v>
      </c>
      <c r="C113" s="157">
        <f>'קיזוזים בגין איחורים'!C113</f>
        <v>0</v>
      </c>
      <c r="D113" s="158">
        <f ca="1">'קיזוזים בגין איחורים'!H113</f>
        <v>0</v>
      </c>
      <c r="E113" s="159"/>
      <c r="F113" s="161">
        <f t="shared" ca="1" si="8"/>
        <v>0</v>
      </c>
      <c r="G113" s="161">
        <f t="shared" ca="1" si="9"/>
        <v>0</v>
      </c>
      <c r="I113" s="229">
        <f t="shared" si="10"/>
        <v>0</v>
      </c>
      <c r="J113" s="229">
        <f>IF($C113="","",IFERROR(IF('קיזוזים בגין איחורים'!E113=0,0,1),0))</f>
        <v>0</v>
      </c>
      <c r="K113" s="229">
        <f t="shared" si="11"/>
        <v>0</v>
      </c>
      <c r="L113" s="229">
        <f t="shared" ca="1" si="6"/>
        <v>0</v>
      </c>
    </row>
    <row r="114" spans="2:12" hidden="1" x14ac:dyDescent="0.35">
      <c r="B114" s="164">
        <f t="shared" si="7"/>
        <v>84</v>
      </c>
      <c r="C114" s="157">
        <f>'קיזוזים בגין איחורים'!C114</f>
        <v>0</v>
      </c>
      <c r="D114" s="158">
        <f ca="1">'קיזוזים בגין איחורים'!H114</f>
        <v>0</v>
      </c>
      <c r="E114" s="159"/>
      <c r="F114" s="161">
        <f t="shared" ca="1" si="8"/>
        <v>0</v>
      </c>
      <c r="G114" s="161">
        <f t="shared" ca="1" si="9"/>
        <v>0</v>
      </c>
      <c r="I114" s="229">
        <f t="shared" si="10"/>
        <v>0</v>
      </c>
      <c r="J114" s="229">
        <f>IF($C114="","",IFERROR(IF('קיזוזים בגין איחורים'!E114=0,0,1),0))</f>
        <v>0</v>
      </c>
      <c r="K114" s="229">
        <f t="shared" si="11"/>
        <v>0</v>
      </c>
      <c r="L114" s="229">
        <f t="shared" ca="1" si="6"/>
        <v>0</v>
      </c>
    </row>
    <row r="115" spans="2:12" hidden="1" x14ac:dyDescent="0.35">
      <c r="B115" s="164">
        <f t="shared" si="7"/>
        <v>85</v>
      </c>
      <c r="C115" s="157">
        <f>'קיזוזים בגין איחורים'!C115</f>
        <v>0</v>
      </c>
      <c r="D115" s="158">
        <f ca="1">'קיזוזים בגין איחורים'!H115</f>
        <v>0</v>
      </c>
      <c r="E115" s="159"/>
      <c r="F115" s="161">
        <f t="shared" ca="1" si="8"/>
        <v>0</v>
      </c>
      <c r="G115" s="161">
        <f t="shared" ca="1" si="9"/>
        <v>0</v>
      </c>
      <c r="I115" s="229">
        <f t="shared" si="10"/>
        <v>0</v>
      </c>
      <c r="J115" s="229">
        <f>IF($C115="","",IFERROR(IF('קיזוזים בגין איחורים'!E115=0,0,1),0))</f>
        <v>0</v>
      </c>
      <c r="K115" s="229">
        <f t="shared" si="11"/>
        <v>0</v>
      </c>
      <c r="L115" s="229">
        <f t="shared" ca="1" si="6"/>
        <v>0</v>
      </c>
    </row>
    <row r="116" spans="2:12" hidden="1" x14ac:dyDescent="0.35">
      <c r="B116" s="164">
        <f t="shared" si="7"/>
        <v>86</v>
      </c>
      <c r="C116" s="157">
        <f>'קיזוזים בגין איחורים'!C116</f>
        <v>0</v>
      </c>
      <c r="D116" s="158">
        <f ca="1">'קיזוזים בגין איחורים'!H116</f>
        <v>0</v>
      </c>
      <c r="E116" s="159"/>
      <c r="F116" s="161">
        <f t="shared" ca="1" si="8"/>
        <v>0</v>
      </c>
      <c r="G116" s="161">
        <f t="shared" ca="1" si="9"/>
        <v>0</v>
      </c>
      <c r="I116" s="229">
        <f t="shared" si="10"/>
        <v>0</v>
      </c>
      <c r="J116" s="229">
        <f>IF($C116="","",IFERROR(IF('קיזוזים בגין איחורים'!E116=0,0,1),0))</f>
        <v>0</v>
      </c>
      <c r="K116" s="229">
        <f t="shared" si="11"/>
        <v>0</v>
      </c>
      <c r="L116" s="229">
        <f t="shared" ca="1" si="6"/>
        <v>0</v>
      </c>
    </row>
    <row r="117" spans="2:12" hidden="1" x14ac:dyDescent="0.35">
      <c r="B117" s="164">
        <f t="shared" si="7"/>
        <v>87</v>
      </c>
      <c r="C117" s="157">
        <f>'קיזוזים בגין איחורים'!C117</f>
        <v>0</v>
      </c>
      <c r="D117" s="158">
        <f ca="1">'קיזוזים בגין איחורים'!H117</f>
        <v>0</v>
      </c>
      <c r="E117" s="159"/>
      <c r="F117" s="161">
        <f t="shared" ca="1" si="8"/>
        <v>0</v>
      </c>
      <c r="G117" s="161">
        <f t="shared" ca="1" si="9"/>
        <v>0</v>
      </c>
      <c r="I117" s="229">
        <f t="shared" si="10"/>
        <v>0</v>
      </c>
      <c r="J117" s="229">
        <f>IF($C117="","",IFERROR(IF('קיזוזים בגין איחורים'!E117=0,0,1),0))</f>
        <v>0</v>
      </c>
      <c r="K117" s="229">
        <f t="shared" si="11"/>
        <v>0</v>
      </c>
      <c r="L117" s="229">
        <f t="shared" ca="1" si="6"/>
        <v>0</v>
      </c>
    </row>
    <row r="118" spans="2:12" hidden="1" x14ac:dyDescent="0.35">
      <c r="B118" s="164">
        <f t="shared" si="7"/>
        <v>88</v>
      </c>
      <c r="C118" s="157">
        <f>'קיזוזים בגין איחורים'!C118</f>
        <v>0</v>
      </c>
      <c r="D118" s="158">
        <f ca="1">'קיזוזים בגין איחורים'!H118</f>
        <v>0</v>
      </c>
      <c r="E118" s="159"/>
      <c r="F118" s="161">
        <f t="shared" ca="1" si="8"/>
        <v>0</v>
      </c>
      <c r="G118" s="161">
        <f t="shared" ca="1" si="9"/>
        <v>0</v>
      </c>
      <c r="I118" s="229">
        <f t="shared" si="10"/>
        <v>0</v>
      </c>
      <c r="J118" s="229">
        <f>IF($C118="","",IFERROR(IF('קיזוזים בגין איחורים'!E118=0,0,1),0))</f>
        <v>0</v>
      </c>
      <c r="K118" s="229">
        <f t="shared" si="11"/>
        <v>0</v>
      </c>
      <c r="L118" s="229">
        <f t="shared" ca="1" si="6"/>
        <v>0</v>
      </c>
    </row>
    <row r="119" spans="2:12" hidden="1" x14ac:dyDescent="0.35">
      <c r="B119" s="164">
        <f t="shared" si="7"/>
        <v>89</v>
      </c>
      <c r="C119" s="157">
        <f>'קיזוזים בגין איחורים'!C119</f>
        <v>0</v>
      </c>
      <c r="D119" s="158">
        <f ca="1">'קיזוזים בגין איחורים'!H119</f>
        <v>0</v>
      </c>
      <c r="E119" s="159"/>
      <c r="F119" s="161">
        <f t="shared" ca="1" si="8"/>
        <v>0</v>
      </c>
      <c r="G119" s="161">
        <f t="shared" ca="1" si="9"/>
        <v>0</v>
      </c>
      <c r="I119" s="229">
        <f t="shared" si="10"/>
        <v>0</v>
      </c>
      <c r="J119" s="229">
        <f>IF($C119="","",IFERROR(IF('קיזוזים בגין איחורים'!E119=0,0,1),0))</f>
        <v>0</v>
      </c>
      <c r="K119" s="229">
        <f t="shared" si="11"/>
        <v>0</v>
      </c>
      <c r="L119" s="229">
        <f t="shared" ca="1" si="6"/>
        <v>0</v>
      </c>
    </row>
    <row r="120" spans="2:12" hidden="1" x14ac:dyDescent="0.35">
      <c r="B120" s="164">
        <f t="shared" si="7"/>
        <v>90</v>
      </c>
      <c r="C120" s="157">
        <f>'קיזוזים בגין איחורים'!C120</f>
        <v>0</v>
      </c>
      <c r="D120" s="158">
        <f ca="1">'קיזוזים בגין איחורים'!H120</f>
        <v>0</v>
      </c>
      <c r="E120" s="159"/>
      <c r="F120" s="161">
        <f t="shared" ca="1" si="8"/>
        <v>0</v>
      </c>
      <c r="G120" s="161">
        <f t="shared" ca="1" si="9"/>
        <v>0</v>
      </c>
      <c r="I120" s="229">
        <f t="shared" si="10"/>
        <v>0</v>
      </c>
      <c r="J120" s="229">
        <f>IF($C120="","",IFERROR(IF('קיזוזים בגין איחורים'!E120=0,0,1),0))</f>
        <v>0</v>
      </c>
      <c r="K120" s="229">
        <f t="shared" si="11"/>
        <v>0</v>
      </c>
      <c r="L120" s="229">
        <f t="shared" ca="1" si="6"/>
        <v>0</v>
      </c>
    </row>
    <row r="121" spans="2:12" hidden="1" x14ac:dyDescent="0.35">
      <c r="B121" s="164">
        <f t="shared" si="7"/>
        <v>91</v>
      </c>
      <c r="C121" s="157">
        <f>'קיזוזים בגין איחורים'!C121</f>
        <v>0</v>
      </c>
      <c r="D121" s="158">
        <f ca="1">'קיזוזים בגין איחורים'!H121</f>
        <v>0</v>
      </c>
      <c r="E121" s="159"/>
      <c r="F121" s="161">
        <f t="shared" ca="1" si="8"/>
        <v>0</v>
      </c>
      <c r="G121" s="161">
        <f t="shared" ca="1" si="9"/>
        <v>0</v>
      </c>
      <c r="I121" s="229">
        <f t="shared" si="10"/>
        <v>0</v>
      </c>
      <c r="J121" s="229">
        <f>IF($C121="","",IFERROR(IF('קיזוזים בגין איחורים'!E121=0,0,1),0))</f>
        <v>0</v>
      </c>
      <c r="K121" s="229">
        <f t="shared" si="11"/>
        <v>0</v>
      </c>
      <c r="L121" s="229">
        <f t="shared" ca="1" si="6"/>
        <v>0</v>
      </c>
    </row>
    <row r="122" spans="2:12" hidden="1" x14ac:dyDescent="0.35">
      <c r="B122" s="164">
        <f t="shared" si="7"/>
        <v>92</v>
      </c>
      <c r="C122" s="157">
        <f>'קיזוזים בגין איחורים'!C122</f>
        <v>0</v>
      </c>
      <c r="D122" s="158">
        <f ca="1">'קיזוזים בגין איחורים'!H122</f>
        <v>0</v>
      </c>
      <c r="E122" s="159"/>
      <c r="F122" s="161">
        <f t="shared" ca="1" si="8"/>
        <v>0</v>
      </c>
      <c r="G122" s="161">
        <f t="shared" ca="1" si="9"/>
        <v>0</v>
      </c>
      <c r="I122" s="229">
        <f t="shared" si="10"/>
        <v>0</v>
      </c>
      <c r="J122" s="229">
        <f>IF($C122="","",IFERROR(IF('קיזוזים בגין איחורים'!E122=0,0,1),0))</f>
        <v>0</v>
      </c>
      <c r="K122" s="229">
        <f t="shared" si="11"/>
        <v>0</v>
      </c>
      <c r="L122" s="229">
        <f t="shared" ca="1" si="6"/>
        <v>0</v>
      </c>
    </row>
    <row r="123" spans="2:12" hidden="1" x14ac:dyDescent="0.35">
      <c r="B123" s="164">
        <f t="shared" si="7"/>
        <v>93</v>
      </c>
      <c r="C123" s="157">
        <f>'קיזוזים בגין איחורים'!C123</f>
        <v>0</v>
      </c>
      <c r="D123" s="158">
        <f ca="1">'קיזוזים בגין איחורים'!H123</f>
        <v>0</v>
      </c>
      <c r="E123" s="159"/>
      <c r="F123" s="161">
        <f t="shared" ca="1" si="8"/>
        <v>0</v>
      </c>
      <c r="G123" s="161">
        <f t="shared" ca="1" si="9"/>
        <v>0</v>
      </c>
      <c r="I123" s="229">
        <f t="shared" si="10"/>
        <v>0</v>
      </c>
      <c r="J123" s="229">
        <f>IF($C123="","",IFERROR(IF('קיזוזים בגין איחורים'!E123=0,0,1),0))</f>
        <v>0</v>
      </c>
      <c r="K123" s="229">
        <f t="shared" si="11"/>
        <v>0</v>
      </c>
      <c r="L123" s="229">
        <f t="shared" ca="1" si="6"/>
        <v>0</v>
      </c>
    </row>
    <row r="124" spans="2:12" hidden="1" x14ac:dyDescent="0.35">
      <c r="B124" s="164">
        <f t="shared" si="7"/>
        <v>94</v>
      </c>
      <c r="C124" s="157">
        <f>'קיזוזים בגין איחורים'!C124</f>
        <v>0</v>
      </c>
      <c r="D124" s="158">
        <f ca="1">'קיזוזים בגין איחורים'!H124</f>
        <v>0</v>
      </c>
      <c r="E124" s="159"/>
      <c r="F124" s="161">
        <f t="shared" ca="1" si="8"/>
        <v>0</v>
      </c>
      <c r="G124" s="161">
        <f t="shared" ca="1" si="9"/>
        <v>0</v>
      </c>
      <c r="I124" s="229">
        <f t="shared" si="10"/>
        <v>0</v>
      </c>
      <c r="J124" s="229">
        <f>IF($C124="","",IFERROR(IF('קיזוזים בגין איחורים'!E124=0,0,1),0))</f>
        <v>0</v>
      </c>
      <c r="K124" s="229">
        <f t="shared" si="11"/>
        <v>0</v>
      </c>
      <c r="L124" s="229">
        <f t="shared" ca="1" si="6"/>
        <v>0</v>
      </c>
    </row>
    <row r="125" spans="2:12" hidden="1" x14ac:dyDescent="0.35">
      <c r="B125" s="164">
        <f t="shared" si="7"/>
        <v>95</v>
      </c>
      <c r="C125" s="157">
        <f>'קיזוזים בגין איחורים'!C125</f>
        <v>0</v>
      </c>
      <c r="D125" s="158">
        <f ca="1">'קיזוזים בגין איחורים'!H125</f>
        <v>0</v>
      </c>
      <c r="E125" s="159"/>
      <c r="F125" s="161">
        <f t="shared" ca="1" si="8"/>
        <v>0</v>
      </c>
      <c r="G125" s="161">
        <f t="shared" ca="1" si="9"/>
        <v>0</v>
      </c>
      <c r="I125" s="229">
        <f t="shared" si="10"/>
        <v>0</v>
      </c>
      <c r="J125" s="229">
        <f>IF($C125="","",IFERROR(IF('קיזוזים בגין איחורים'!E125=0,0,1),0))</f>
        <v>0</v>
      </c>
      <c r="K125" s="229">
        <f t="shared" si="11"/>
        <v>0</v>
      </c>
      <c r="L125" s="229">
        <f t="shared" ca="1" si="6"/>
        <v>0</v>
      </c>
    </row>
    <row r="126" spans="2:12" hidden="1" x14ac:dyDescent="0.35">
      <c r="B126" s="164">
        <f t="shared" si="7"/>
        <v>96</v>
      </c>
      <c r="C126" s="157">
        <f>'קיזוזים בגין איחורים'!C126</f>
        <v>0</v>
      </c>
      <c r="D126" s="158">
        <f ca="1">'קיזוזים בגין איחורים'!H126</f>
        <v>0</v>
      </c>
      <c r="E126" s="159"/>
      <c r="F126" s="161">
        <f t="shared" ca="1" si="8"/>
        <v>0</v>
      </c>
      <c r="G126" s="161">
        <f t="shared" ca="1" si="9"/>
        <v>0</v>
      </c>
      <c r="I126" s="229">
        <f t="shared" si="10"/>
        <v>0</v>
      </c>
      <c r="J126" s="229">
        <f>IF($C126="","",IFERROR(IF('קיזוזים בגין איחורים'!E126=0,0,1),0))</f>
        <v>0</v>
      </c>
      <c r="K126" s="229">
        <f t="shared" si="11"/>
        <v>0</v>
      </c>
      <c r="L126" s="229">
        <f t="shared" ca="1" si="6"/>
        <v>0</v>
      </c>
    </row>
    <row r="127" spans="2:12" hidden="1" x14ac:dyDescent="0.35">
      <c r="B127" s="164">
        <f t="shared" si="7"/>
        <v>97</v>
      </c>
      <c r="C127" s="157">
        <f>'קיזוזים בגין איחורים'!C127</f>
        <v>0</v>
      </c>
      <c r="D127" s="158">
        <f ca="1">'קיזוזים בגין איחורים'!H127</f>
        <v>0</v>
      </c>
      <c r="E127" s="159"/>
      <c r="F127" s="161">
        <f t="shared" ca="1" si="8"/>
        <v>0</v>
      </c>
      <c r="G127" s="161">
        <f t="shared" ca="1" si="9"/>
        <v>0</v>
      </c>
      <c r="I127" s="229">
        <f t="shared" si="10"/>
        <v>0</v>
      </c>
      <c r="J127" s="229">
        <f>IF($C127="","",IFERROR(IF('קיזוזים בגין איחורים'!E127=0,0,1),0))</f>
        <v>0</v>
      </c>
      <c r="K127" s="229">
        <f t="shared" si="11"/>
        <v>0</v>
      </c>
      <c r="L127" s="229">
        <f t="shared" ca="1" si="6"/>
        <v>0</v>
      </c>
    </row>
    <row r="128" spans="2:12" hidden="1" x14ac:dyDescent="0.35">
      <c r="B128" s="164">
        <f t="shared" si="7"/>
        <v>98</v>
      </c>
      <c r="C128" s="157">
        <f>'קיזוזים בגין איחורים'!C128</f>
        <v>0</v>
      </c>
      <c r="D128" s="158">
        <f ca="1">'קיזוזים בגין איחורים'!H128</f>
        <v>0</v>
      </c>
      <c r="E128" s="159"/>
      <c r="F128" s="161">
        <f t="shared" ca="1" si="8"/>
        <v>0</v>
      </c>
      <c r="G128" s="161">
        <f t="shared" ca="1" si="9"/>
        <v>0</v>
      </c>
      <c r="I128" s="229">
        <f t="shared" si="10"/>
        <v>0</v>
      </c>
      <c r="J128" s="229">
        <f>IF($C128="","",IFERROR(IF('קיזוזים בגין איחורים'!E128=0,0,1),0))</f>
        <v>0</v>
      </c>
      <c r="K128" s="229">
        <f t="shared" si="11"/>
        <v>0</v>
      </c>
      <c r="L128" s="229">
        <f t="shared" ca="1" si="6"/>
        <v>0</v>
      </c>
    </row>
    <row r="129" spans="2:12" hidden="1" x14ac:dyDescent="0.35">
      <c r="B129" s="164">
        <f t="shared" si="7"/>
        <v>99</v>
      </c>
      <c r="C129" s="157">
        <f>'קיזוזים בגין איחורים'!C129</f>
        <v>0</v>
      </c>
      <c r="D129" s="158">
        <f ca="1">'קיזוזים בגין איחורים'!H129</f>
        <v>0</v>
      </c>
      <c r="E129" s="159"/>
      <c r="F129" s="161">
        <f t="shared" ca="1" si="8"/>
        <v>0</v>
      </c>
      <c r="G129" s="161">
        <f t="shared" ca="1" si="9"/>
        <v>0</v>
      </c>
      <c r="I129" s="229">
        <f t="shared" si="10"/>
        <v>0</v>
      </c>
      <c r="J129" s="229">
        <f>IF($C129="","",IFERROR(IF('קיזוזים בגין איחורים'!E129=0,0,1),0))</f>
        <v>0</v>
      </c>
      <c r="K129" s="229">
        <f t="shared" si="11"/>
        <v>0</v>
      </c>
      <c r="L129" s="229">
        <f t="shared" ca="1" si="6"/>
        <v>0</v>
      </c>
    </row>
    <row r="130" spans="2:12" ht="21.75" hidden="1" thickBot="1" x14ac:dyDescent="0.4">
      <c r="B130" s="164">
        <f t="shared" si="7"/>
        <v>100</v>
      </c>
      <c r="C130" s="157">
        <f>'קיזוזים בגין איחורים'!C130</f>
        <v>0</v>
      </c>
      <c r="D130" s="158">
        <f ca="1">'קיזוזים בגין איחורים'!H130</f>
        <v>0</v>
      </c>
      <c r="E130" s="159"/>
      <c r="F130" s="161">
        <f t="shared" ca="1" si="8"/>
        <v>0</v>
      </c>
      <c r="G130" s="161">
        <f t="shared" ca="1" si="9"/>
        <v>0</v>
      </c>
      <c r="I130" s="229">
        <f t="shared" si="10"/>
        <v>0</v>
      </c>
      <c r="J130" s="229">
        <f>IF($C130="","",IFERROR(IF('קיזוזים בגין איחורים'!E130=0,0,1),0))</f>
        <v>0</v>
      </c>
      <c r="K130" s="229">
        <f t="shared" si="11"/>
        <v>0</v>
      </c>
      <c r="L130" s="229">
        <f t="shared" ca="1" si="6"/>
        <v>0</v>
      </c>
    </row>
    <row r="131" spans="2:12" ht="21.75" thickBot="1" x14ac:dyDescent="0.4">
      <c r="B131" s="607" t="s">
        <v>187</v>
      </c>
      <c r="C131" s="608"/>
      <c r="D131" s="153">
        <f ca="1">SUM(D31:D130)</f>
        <v>15000000</v>
      </c>
      <c r="E131" s="153">
        <f>SUM(E31:E130)</f>
        <v>0</v>
      </c>
      <c r="F131" s="153">
        <f ca="1">SUM(F31:F130)</f>
        <v>15000000</v>
      </c>
      <c r="G131" s="153">
        <f ca="1">SUM(G31:G130)</f>
        <v>15000000</v>
      </c>
    </row>
  </sheetData>
  <sheetProtection algorithmName="SHA-512" hashValue="LNo07/K3QFg7on7ZCmL2JUXUiCr3gzgOoAIJdwemVK/DanOfNJtLEi8Nzw6H5HjpRks88wMtLUkXKUK49cLwZw==" saltValue="c/79Ktf253oHGgaJpuejuQ==" spinCount="100000" sheet="1" scenarios="1" formatColumns="0" formatRows="0" autoFilter="0"/>
  <mergeCells count="12">
    <mergeCell ref="I29:I30"/>
    <mergeCell ref="J29:J30"/>
    <mergeCell ref="K29:K30"/>
    <mergeCell ref="L29:L30"/>
    <mergeCell ref="B131:C131"/>
    <mergeCell ref="B28:G28"/>
    <mergeCell ref="B29:B30"/>
    <mergeCell ref="C29:C30"/>
    <mergeCell ref="D29:D30"/>
    <mergeCell ref="E29:E30"/>
    <mergeCell ref="F29:F30"/>
    <mergeCell ref="G29:G30"/>
  </mergeCells>
  <conditionalFormatting sqref="B31:D130">
    <cfRule type="containsBlanks" dxfId="206" priority="8">
      <formula>LEN(TRIM(B31))=0</formula>
    </cfRule>
  </conditionalFormatting>
  <conditionalFormatting sqref="C1:C2">
    <cfRule type="containsBlanks" dxfId="205" priority="1">
      <formula>LEN(TRIM(C1))=0</formula>
    </cfRule>
  </conditionalFormatting>
  <conditionalFormatting sqref="E31:E130">
    <cfRule type="expression" dxfId="204" priority="6">
      <formula>AND($C31="",E31&lt;&gt;"")</formula>
    </cfRule>
    <cfRule type="expression" dxfId="203" priority="7">
      <formula>$C31&lt;&gt;""</formula>
    </cfRule>
  </conditionalFormatting>
  <conditionalFormatting sqref="F31:G130">
    <cfRule type="containsBlanks" dxfId="202" priority="3">
      <formula>LEN(TRIM(F31))=0</formula>
    </cfRule>
  </conditionalFormatting>
  <printOptions horizontalCentered="1"/>
  <pageMargins left="0.51181102362204722" right="0.51181102362204722" top="0.74803149606299213" bottom="0.74803149606299213" header="0.31496062992125984" footer="0.31496062992125984"/>
  <pageSetup paperSize="9" scale="85" fitToHeight="0" orientation="portrait" horizontalDpi="1200" verticalDpi="1200" r:id="rId1"/>
  <headerFooter>
    <oddHeader>&amp;C&amp;"-,מודגש"&amp;Uמבחנים לתמיכה של משרד התרבות והספורט</oddHeader>
    <oddFooter>&amp;Lא. חפץ ושות'
יעוץ כלכלי&amp;C&amp;P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
    <tabColor theme="8" tint="-0.249977111117893"/>
    <pageSetUpPr fitToPage="1"/>
  </sheetPr>
  <dimension ref="B1:X132"/>
  <sheetViews>
    <sheetView rightToLeft="1" view="pageBreakPreview" zoomScale="85" zoomScaleNormal="100" zoomScaleSheetLayoutView="85" workbookViewId="0">
      <pane xSplit="3" ySplit="30" topLeftCell="D31" activePane="bottomRight" state="frozen"/>
      <selection pane="topRight" activeCell="M88" sqref="M88"/>
      <selection pane="bottomLeft" activeCell="M88" sqref="M88"/>
      <selection pane="bottomRight" activeCell="D31" sqref="D31"/>
    </sheetView>
  </sheetViews>
  <sheetFormatPr defaultColWidth="8" defaultRowHeight="15.75" x14ac:dyDescent="0.25"/>
  <cols>
    <col min="1" max="1" width="0" hidden="1" customWidth="1"/>
    <col min="2" max="2" width="10.140625" customWidth="1"/>
    <col min="3" max="3" width="36.85546875" bestFit="1" customWidth="1"/>
    <col min="4" max="5" width="31.140625" customWidth="1"/>
    <col min="6" max="10" width="24" customWidth="1"/>
    <col min="11" max="22" width="24" hidden="1" customWidth="1"/>
    <col min="23" max="23" width="24.85546875" customWidth="1"/>
    <col min="24" max="24" width="14.140625" customWidth="1"/>
  </cols>
  <sheetData>
    <row r="1" spans="2:5" ht="37.5" x14ac:dyDescent="0.25">
      <c r="B1" s="137" t="str">
        <f>פרמטרים!B3</f>
        <v>שנת תקציב</v>
      </c>
      <c r="C1" s="138">
        <f>פרמטרים!C3</f>
        <v>2025</v>
      </c>
      <c r="D1" s="165"/>
      <c r="E1" s="165"/>
    </row>
    <row r="2" spans="2:5" ht="38.25" thickBot="1" x14ac:dyDescent="0.3">
      <c r="B2" s="140" t="str">
        <f>פרמטרים!B4</f>
        <v xml:space="preserve">גובה תמיכה </v>
      </c>
      <c r="C2" s="141">
        <f>פרמטרים!C4</f>
        <v>15000000</v>
      </c>
      <c r="D2" s="166"/>
      <c r="E2" s="166"/>
    </row>
    <row r="3" spans="2:5" x14ac:dyDescent="0.25">
      <c r="B3" s="166"/>
      <c r="C3" s="166"/>
      <c r="D3" s="166"/>
      <c r="E3" s="166"/>
    </row>
    <row r="4" spans="2:5" hidden="1" x14ac:dyDescent="0.25">
      <c r="B4" s="166"/>
      <c r="C4" s="166"/>
      <c r="D4" s="166"/>
      <c r="E4" s="166"/>
    </row>
    <row r="5" spans="2:5" hidden="1" x14ac:dyDescent="0.25">
      <c r="B5" s="166"/>
      <c r="C5" s="166"/>
      <c r="D5" s="166"/>
      <c r="E5" s="166"/>
    </row>
    <row r="6" spans="2:5" hidden="1" x14ac:dyDescent="0.25">
      <c r="B6" s="166"/>
      <c r="C6" s="166"/>
      <c r="D6" s="166"/>
      <c r="E6" s="166"/>
    </row>
    <row r="7" spans="2:5" hidden="1" x14ac:dyDescent="0.25">
      <c r="B7" s="166"/>
      <c r="C7" s="166"/>
      <c r="D7" s="166"/>
      <c r="E7" s="166"/>
    </row>
    <row r="8" spans="2:5" hidden="1" x14ac:dyDescent="0.25">
      <c r="B8" s="166"/>
      <c r="C8" s="166"/>
      <c r="D8" s="166"/>
      <c r="E8" s="166"/>
    </row>
    <row r="9" spans="2:5" hidden="1" x14ac:dyDescent="0.25">
      <c r="B9" s="166"/>
      <c r="C9" s="166"/>
      <c r="D9" s="166"/>
      <c r="E9" s="166"/>
    </row>
    <row r="10" spans="2:5" hidden="1" x14ac:dyDescent="0.25">
      <c r="B10" s="166"/>
      <c r="C10" s="166"/>
      <c r="D10" s="166"/>
      <c r="E10" s="166"/>
    </row>
    <row r="11" spans="2:5" hidden="1" x14ac:dyDescent="0.25">
      <c r="B11" s="166"/>
      <c r="C11" s="166"/>
      <c r="D11" s="166"/>
      <c r="E11" s="166"/>
    </row>
    <row r="12" spans="2:5" hidden="1" x14ac:dyDescent="0.25">
      <c r="B12" s="166"/>
      <c r="C12" s="166"/>
      <c r="D12" s="166"/>
      <c r="E12" s="166"/>
    </row>
    <row r="13" spans="2:5" hidden="1" x14ac:dyDescent="0.25">
      <c r="B13" s="166"/>
      <c r="C13" s="166"/>
      <c r="D13" s="166"/>
      <c r="E13" s="166"/>
    </row>
    <row r="14" spans="2:5" hidden="1" x14ac:dyDescent="0.25">
      <c r="B14" s="166"/>
      <c r="C14" s="166"/>
      <c r="D14" s="166"/>
      <c r="E14" s="166"/>
    </row>
    <row r="15" spans="2:5" hidden="1" x14ac:dyDescent="0.25">
      <c r="B15" s="166"/>
      <c r="C15" s="166"/>
      <c r="D15" s="166"/>
      <c r="E15" s="166"/>
    </row>
    <row r="16" spans="2:5" hidden="1" x14ac:dyDescent="0.25">
      <c r="B16" s="166"/>
      <c r="C16" s="166"/>
      <c r="D16" s="166"/>
      <c r="E16" s="166"/>
    </row>
    <row r="17" spans="2:24" hidden="1" x14ac:dyDescent="0.25">
      <c r="B17" s="166"/>
      <c r="C17" s="166"/>
      <c r="D17" s="166"/>
      <c r="E17" s="166"/>
      <c r="F17" s="139"/>
      <c r="G17" s="139"/>
      <c r="H17" s="139"/>
      <c r="I17" s="139"/>
      <c r="J17" s="139"/>
      <c r="K17" s="139"/>
      <c r="L17" s="139"/>
      <c r="M17" s="139"/>
      <c r="N17" s="139"/>
      <c r="O17" s="139"/>
      <c r="P17" s="139"/>
      <c r="Q17" s="139"/>
      <c r="R17" s="139"/>
      <c r="S17" s="139"/>
      <c r="T17" s="139"/>
      <c r="U17" s="139"/>
      <c r="V17" s="139"/>
      <c r="W17" s="139"/>
      <c r="X17" s="139"/>
    </row>
    <row r="18" spans="2:24" hidden="1" x14ac:dyDescent="0.25">
      <c r="B18" s="166"/>
      <c r="C18" s="166"/>
      <c r="D18" s="166"/>
      <c r="E18" s="166"/>
      <c r="F18" s="139"/>
      <c r="G18" s="139"/>
      <c r="H18" s="139"/>
      <c r="I18" s="139"/>
      <c r="J18" s="139"/>
      <c r="K18" s="139"/>
      <c r="L18" s="139"/>
      <c r="M18" s="139"/>
      <c r="N18" s="139"/>
      <c r="O18" s="139"/>
      <c r="P18" s="139"/>
      <c r="Q18" s="139"/>
      <c r="R18" s="139"/>
      <c r="S18" s="139"/>
      <c r="T18" s="139"/>
      <c r="U18" s="139"/>
      <c r="V18" s="139"/>
      <c r="W18" s="139"/>
      <c r="X18" s="139"/>
    </row>
    <row r="19" spans="2:24" hidden="1" x14ac:dyDescent="0.25">
      <c r="B19" s="166"/>
      <c r="C19" s="166"/>
      <c r="D19" s="166"/>
      <c r="E19" s="166"/>
      <c r="F19" s="139"/>
      <c r="G19" s="139"/>
      <c r="H19" s="139"/>
      <c r="I19" s="139"/>
      <c r="J19" s="139"/>
      <c r="K19" s="139"/>
      <c r="L19" s="139"/>
      <c r="M19" s="139"/>
      <c r="N19" s="139"/>
      <c r="O19" s="139"/>
      <c r="P19" s="139"/>
      <c r="Q19" s="139"/>
      <c r="R19" s="139"/>
      <c r="S19" s="139"/>
      <c r="T19" s="139"/>
      <c r="U19" s="139"/>
      <c r="V19" s="139"/>
      <c r="W19" s="139"/>
      <c r="X19" s="139"/>
    </row>
    <row r="20" spans="2:24" hidden="1" x14ac:dyDescent="0.25">
      <c r="B20" s="166"/>
      <c r="C20" s="166"/>
      <c r="D20" s="166"/>
      <c r="E20" s="166"/>
      <c r="F20" s="139"/>
      <c r="G20" s="139"/>
      <c r="H20" s="139"/>
      <c r="I20" s="139"/>
      <c r="J20" s="139"/>
      <c r="K20" s="139"/>
      <c r="L20" s="139"/>
      <c r="M20" s="139"/>
      <c r="N20" s="139"/>
      <c r="O20" s="139"/>
      <c r="P20" s="139"/>
      <c r="Q20" s="139"/>
      <c r="R20" s="139"/>
      <c r="S20" s="139"/>
      <c r="T20" s="139"/>
      <c r="U20" s="139"/>
      <c r="V20" s="139"/>
      <c r="W20" s="139"/>
      <c r="X20" s="139"/>
    </row>
    <row r="21" spans="2:24" hidden="1" x14ac:dyDescent="0.25">
      <c r="B21" s="166"/>
      <c r="C21" s="166"/>
      <c r="D21" s="166"/>
      <c r="E21" s="166"/>
      <c r="F21" s="139"/>
      <c r="G21" s="139"/>
      <c r="H21" s="139"/>
      <c r="I21" s="139"/>
      <c r="J21" s="139"/>
      <c r="K21" s="139"/>
      <c r="L21" s="139"/>
      <c r="M21" s="139"/>
      <c r="N21" s="139"/>
      <c r="O21" s="139"/>
      <c r="P21" s="139"/>
      <c r="Q21" s="139"/>
      <c r="R21" s="139"/>
      <c r="S21" s="139"/>
      <c r="T21" s="139"/>
      <c r="U21" s="139"/>
      <c r="V21" s="139"/>
      <c r="W21" s="139"/>
      <c r="X21" s="139"/>
    </row>
    <row r="22" spans="2:24" hidden="1" x14ac:dyDescent="0.25">
      <c r="B22" s="166"/>
      <c r="C22" s="166"/>
      <c r="D22" s="166"/>
      <c r="E22" s="166"/>
      <c r="F22" s="139"/>
      <c r="G22" s="139"/>
      <c r="H22" s="139"/>
      <c r="I22" s="139"/>
      <c r="J22" s="139"/>
      <c r="K22" s="139"/>
      <c r="L22" s="139"/>
      <c r="M22" s="139"/>
      <c r="N22" s="139"/>
      <c r="O22" s="139"/>
      <c r="P22" s="139"/>
      <c r="Q22" s="139"/>
      <c r="R22" s="139"/>
      <c r="S22" s="139"/>
      <c r="T22" s="139"/>
      <c r="U22" s="139"/>
      <c r="V22" s="139"/>
      <c r="W22" s="139"/>
      <c r="X22" s="139"/>
    </row>
    <row r="23" spans="2:24" hidden="1" x14ac:dyDescent="0.25">
      <c r="B23" s="166"/>
      <c r="C23" s="166"/>
      <c r="D23" s="166"/>
      <c r="E23" s="166"/>
      <c r="F23" s="139"/>
      <c r="G23" s="139"/>
      <c r="H23" s="139"/>
      <c r="I23" s="139"/>
      <c r="J23" s="139"/>
      <c r="K23" s="139"/>
      <c r="L23" s="139"/>
      <c r="M23" s="139"/>
      <c r="N23" s="139"/>
      <c r="O23" s="139"/>
      <c r="P23" s="139"/>
      <c r="Q23" s="139"/>
      <c r="R23" s="139"/>
      <c r="S23" s="139"/>
      <c r="T23" s="139"/>
      <c r="U23" s="139"/>
      <c r="V23" s="139"/>
      <c r="W23" s="139"/>
      <c r="X23" s="139"/>
    </row>
    <row r="24" spans="2:24" hidden="1" x14ac:dyDescent="0.25">
      <c r="B24" s="166"/>
      <c r="C24" s="166"/>
      <c r="D24" s="166"/>
      <c r="E24" s="166"/>
      <c r="F24" s="139"/>
      <c r="G24" s="139"/>
      <c r="H24" s="139"/>
      <c r="I24" s="139"/>
      <c r="J24" s="139"/>
      <c r="K24" s="139"/>
      <c r="L24" s="139"/>
      <c r="M24" s="139"/>
      <c r="N24" s="139"/>
      <c r="O24" s="139"/>
      <c r="P24" s="139"/>
      <c r="Q24" s="139"/>
      <c r="R24" s="139"/>
      <c r="S24" s="139"/>
      <c r="T24" s="139"/>
      <c r="U24" s="139"/>
      <c r="V24" s="139"/>
      <c r="W24" s="139"/>
      <c r="X24" s="139"/>
    </row>
    <row r="25" spans="2:24" hidden="1" x14ac:dyDescent="0.25">
      <c r="B25" s="166"/>
      <c r="C25" s="166"/>
      <c r="D25" s="166"/>
      <c r="E25" s="166"/>
      <c r="F25" s="139"/>
      <c r="G25" s="139"/>
      <c r="H25" s="139"/>
      <c r="I25" s="139"/>
      <c r="J25" s="139"/>
      <c r="K25" s="139"/>
      <c r="L25" s="139"/>
      <c r="M25" s="139"/>
      <c r="N25" s="139"/>
      <c r="O25" s="139"/>
      <c r="P25" s="139"/>
      <c r="Q25" s="139"/>
      <c r="R25" s="139"/>
      <c r="S25" s="139"/>
      <c r="T25" s="139"/>
      <c r="U25" s="139"/>
      <c r="V25" s="139"/>
      <c r="W25" s="139"/>
      <c r="X25" s="139"/>
    </row>
    <row r="26" spans="2:24" hidden="1" x14ac:dyDescent="0.25">
      <c r="B26" s="166"/>
      <c r="C26" s="166"/>
      <c r="D26" s="166"/>
      <c r="E26" s="166"/>
      <c r="F26" s="139"/>
      <c r="G26" s="139"/>
      <c r="H26" s="139"/>
      <c r="I26" s="139"/>
      <c r="J26" s="139"/>
      <c r="K26" s="139"/>
      <c r="L26" s="139"/>
      <c r="M26" s="139"/>
      <c r="N26" s="139"/>
      <c r="O26" s="139"/>
      <c r="P26" s="139"/>
      <c r="Q26" s="139"/>
      <c r="R26" s="139"/>
      <c r="S26" s="139"/>
      <c r="T26" s="139"/>
      <c r="U26" s="139"/>
      <c r="V26" s="139"/>
      <c r="W26" s="139"/>
      <c r="X26" s="139"/>
    </row>
    <row r="27" spans="2:24" ht="16.5" thickBot="1" x14ac:dyDescent="0.3">
      <c r="B27" s="166"/>
      <c r="C27" s="166"/>
      <c r="D27" s="166"/>
      <c r="E27" s="166"/>
      <c r="F27" s="139"/>
      <c r="G27" s="139"/>
      <c r="H27" s="139"/>
      <c r="I27" s="139"/>
      <c r="J27" s="139"/>
      <c r="K27" s="139"/>
      <c r="L27" s="139"/>
      <c r="M27" s="139"/>
      <c r="N27" s="139"/>
      <c r="O27" s="139"/>
      <c r="P27" s="139"/>
      <c r="Q27" s="139"/>
      <c r="R27" s="139"/>
      <c r="S27" s="139"/>
      <c r="T27" s="139"/>
      <c r="U27" s="139"/>
      <c r="V27" s="139"/>
      <c r="W27" s="139"/>
      <c r="X27" s="139"/>
    </row>
    <row r="28" spans="2:24" ht="19.5" thickBot="1" x14ac:dyDescent="0.3">
      <c r="B28" s="589" t="str">
        <f ca="1">MID(CELL("filename",B30),FIND("]",CELL("filename",C29),1)+1,99)</f>
        <v>הגבלה לסכום מבוקש (2)</v>
      </c>
      <c r="C28" s="590"/>
      <c r="D28" s="590"/>
      <c r="E28" s="590"/>
      <c r="F28" s="590"/>
      <c r="G28" s="590"/>
      <c r="H28" s="590"/>
      <c r="I28" s="590"/>
      <c r="J28" s="590"/>
      <c r="K28" s="590"/>
      <c r="L28" s="590"/>
      <c r="M28" s="590"/>
      <c r="N28" s="590"/>
      <c r="O28" s="590"/>
      <c r="P28" s="590"/>
      <c r="Q28" s="590"/>
      <c r="R28" s="590"/>
      <c r="S28" s="590"/>
      <c r="T28" s="590"/>
      <c r="U28" s="590"/>
      <c r="V28" s="590"/>
      <c r="W28" s="590"/>
      <c r="X28" s="591"/>
    </row>
    <row r="29" spans="2:24" s="142" customFormat="1" ht="19.5" customHeight="1" x14ac:dyDescent="0.25">
      <c r="B29" s="592" t="s">
        <v>145</v>
      </c>
      <c r="C29" s="596" t="s">
        <v>146</v>
      </c>
      <c r="D29" s="596" t="s">
        <v>254</v>
      </c>
      <c r="E29" s="596" t="s">
        <v>287</v>
      </c>
      <c r="F29" s="596" t="s">
        <v>288</v>
      </c>
      <c r="G29" s="596" t="s">
        <v>255</v>
      </c>
      <c r="H29" s="596" t="s">
        <v>256</v>
      </c>
      <c r="I29" s="596" t="s">
        <v>257</v>
      </c>
      <c r="J29" s="596" t="s">
        <v>289</v>
      </c>
      <c r="K29" s="315"/>
      <c r="L29" s="315"/>
      <c r="M29" s="315"/>
      <c r="N29" s="315"/>
      <c r="O29" s="315"/>
      <c r="P29" s="315"/>
      <c r="Q29" s="315"/>
      <c r="R29" s="315"/>
      <c r="S29" s="315"/>
      <c r="T29" s="315"/>
      <c r="U29" s="315"/>
      <c r="V29" s="315"/>
      <c r="W29" s="596" t="s">
        <v>290</v>
      </c>
      <c r="X29" s="598" t="s">
        <v>250</v>
      </c>
    </row>
    <row r="30" spans="2:24" s="142" customFormat="1" ht="54" customHeight="1" thickBot="1" x14ac:dyDescent="0.3">
      <c r="B30" s="593"/>
      <c r="C30" s="597"/>
      <c r="D30" s="597"/>
      <c r="E30" s="597"/>
      <c r="F30" s="597"/>
      <c r="G30" s="597"/>
      <c r="H30" s="597"/>
      <c r="I30" s="597"/>
      <c r="J30" s="597"/>
      <c r="K30" s="317" t="s">
        <v>262</v>
      </c>
      <c r="L30" s="317" t="s">
        <v>263</v>
      </c>
      <c r="M30" s="317" t="s">
        <v>264</v>
      </c>
      <c r="N30" s="317" t="s">
        <v>265</v>
      </c>
      <c r="O30" s="317" t="s">
        <v>266</v>
      </c>
      <c r="P30" s="317" t="s">
        <v>267</v>
      </c>
      <c r="Q30" s="317" t="s">
        <v>268</v>
      </c>
      <c r="R30" s="317" t="s">
        <v>269</v>
      </c>
      <c r="S30" s="317" t="s">
        <v>270</v>
      </c>
      <c r="T30" s="317" t="s">
        <v>271</v>
      </c>
      <c r="U30" s="317" t="s">
        <v>272</v>
      </c>
      <c r="V30" s="317" t="s">
        <v>273</v>
      </c>
      <c r="W30" s="597"/>
      <c r="X30" s="599"/>
    </row>
    <row r="31" spans="2:24" s="142" customFormat="1" x14ac:dyDescent="0.25">
      <c r="B31" s="143">
        <f ca="1">IF(C31="","",ROW()-30)</f>
        <v>1</v>
      </c>
      <c r="C31" s="144" t="str">
        <f ca="1">'קיזוזים- החלטות ועדה'!C31</f>
        <v>מרכז מורשת בבל</v>
      </c>
      <c r="D31" s="146">
        <f ca="1">IF($C31="","",'הגבלה לסכום מבוקש (1)'!D31)</f>
        <v>1500000</v>
      </c>
      <c r="E31" s="146">
        <f ca="1">IF($C31="","",'קיזוזים בגין איחורים'!F31+'קיזוזים- החלטות ועדה'!E31)</f>
        <v>0</v>
      </c>
      <c r="F31" s="146">
        <f ca="1">IF($C31="","",D31-E31)</f>
        <v>1500000</v>
      </c>
      <c r="G31" s="146">
        <f ca="1">'קיזוזים- החלטות ועדה'!G31</f>
        <v>843151.02176823688</v>
      </c>
      <c r="H31" s="167">
        <f ca="1">IF(C31="","",IF(G31&gt;$F31,1,0))</f>
        <v>0</v>
      </c>
      <c r="I31" s="146">
        <f ca="1">IF($C31="","",MIN(F31:G31))</f>
        <v>843151.02176823688</v>
      </c>
      <c r="J31" s="146">
        <f ca="1">IF($C31="","",IF(H31=1,I31,I31/SUMIF(H$31:H$130,0,I$31:I$130)*($C$2-SUMIF(H$31:H$130,1,I$31:I$130))))</f>
        <v>843151.02176823688</v>
      </c>
      <c r="K31" s="148">
        <f ca="1">IF(OR(J31&gt;$F31,$H31=1),1,0)</f>
        <v>0</v>
      </c>
      <c r="L31" s="149">
        <f ca="1">IF($C31="","",MIN(J31,$F31))</f>
        <v>843151.02176823688</v>
      </c>
      <c r="M31" s="149">
        <f ca="1">IF($C31="","",IF(K31=1,L31,L31/SUMIF(K$31:K$130,0,L$31:L$130)*($C$2-SUMIF(K$31:K$130,1,L$31:L$130))))</f>
        <v>843151.02176823688</v>
      </c>
      <c r="N31" s="148">
        <f ca="1">IF(OR(M31&gt;$F31,$H31=1,$K31=1),1,0)</f>
        <v>0</v>
      </c>
      <c r="O31" s="149">
        <f ca="1">IF($C31="","",MIN(M31,$F31))</f>
        <v>843151.02176823688</v>
      </c>
      <c r="P31" s="149">
        <f ca="1">IF($C31="","",IF(N31=1,O31,O31/SUMIF(N$31:N$130,0,O$31:O$130)*($C$2-SUMIF(N$31:N$130,1,O$31:O$130))))</f>
        <v>843151.02176823688</v>
      </c>
      <c r="Q31" s="148">
        <f ca="1">IF(OR(P31&gt;$F31,$H31=1,$K31=1,$N31=1),1,0)</f>
        <v>0</v>
      </c>
      <c r="R31" s="149">
        <f ca="1">IF($C31="","",MIN(P31,$F31))</f>
        <v>843151.02176823688</v>
      </c>
      <c r="S31" s="149">
        <f ca="1">IF($C31="","",IF(Q31=2,R31,IF(Q31=1,R31,R31/SUMIF(Q$31:Q$130,0,R$31:R$130)*($C$2-SUMIF(Q$31:Q$130,1,R$31:R$130)-SUMIF(Q$31:Q$130,2,R$31:R$130)))))</f>
        <v>843151.02176823688</v>
      </c>
      <c r="T31" s="148">
        <f ca="1">IF(OR(S31&gt;$F31,$H31=1,$K31=1,$N31=1,$Q31=1),1,0)</f>
        <v>0</v>
      </c>
      <c r="U31" s="149">
        <f ca="1">IF($C31="","",MIN(S31,$F31))</f>
        <v>843151.02176823688</v>
      </c>
      <c r="V31" s="149">
        <f ca="1">IF($C31="","",IF(T31=2,U31,IF(T31=1,U31,U31/SUMIF(T$31:T$130,0,U$31:U$130)*($C$2-SUMIF(T$31:T$130,1,U$31:U$130)-SUMIF(T$31:T$130,2,U$31:U$130)))))</f>
        <v>843151.02176823688</v>
      </c>
      <c r="W31" s="146">
        <f ca="1">IFERROR(V31,0)</f>
        <v>843151.02176823688</v>
      </c>
      <c r="X31" s="168">
        <f ca="1">IF(F31="","",IFERROR(W31/SUMIF($W$31:$W$130,"&lt;&gt;#DIV/0!"),0))</f>
        <v>5.6210068117882456E-2</v>
      </c>
    </row>
    <row r="32" spans="2:24" s="142" customFormat="1" x14ac:dyDescent="0.25">
      <c r="B32" s="143">
        <f t="shared" ref="B32:B90" ca="1" si="0">IF(C32="","",ROW()-30)</f>
        <v>2</v>
      </c>
      <c r="C32" s="144" t="str">
        <f ca="1">'קיזוזים- החלטות ועדה'!C32</f>
        <v>מורשת יהודי צפון  אפריקה</v>
      </c>
      <c r="D32" s="158">
        <f ca="1">IF($C32="","",'הגבלה לסכום מבוקש (1)'!D32)</f>
        <v>300000</v>
      </c>
      <c r="E32" s="158">
        <f ca="1">IF($C32="","",'קיזוזים בגין איחורים'!F32+'קיזוזים- החלטות ועדה'!E32)</f>
        <v>0</v>
      </c>
      <c r="F32" s="158">
        <f t="shared" ref="F32:F90" ca="1" si="1">IF($C32="","",D32-E32)</f>
        <v>300000</v>
      </c>
      <c r="G32" s="158">
        <f ca="1">'קיזוזים- החלטות ועדה'!G32</f>
        <v>300000</v>
      </c>
      <c r="H32" s="169">
        <f t="shared" ref="H32:H90" ca="1" si="2">IF(C32="","",IF(G32&gt;$F32,1,0))</f>
        <v>0</v>
      </c>
      <c r="I32" s="158">
        <f t="shared" ref="I32:I90" ca="1" si="3">IF($C32="","",MIN(F32:G32))</f>
        <v>300000</v>
      </c>
      <c r="J32" s="158">
        <f t="shared" ref="J32:J90" ca="1" si="4">IF($C32="","",IF(H32=1,I32,I32/SUMIF(H$31:H$130,0,I$31:I$130)*($C$2-SUMIF(H$31:H$130,1,I$31:I$130))))</f>
        <v>300000</v>
      </c>
      <c r="K32" s="170">
        <f t="shared" ref="K32:K90" ca="1" si="5">IF(OR(J32&gt;$F32,$H32=1),1,0)</f>
        <v>0</v>
      </c>
      <c r="L32" s="171">
        <f t="shared" ref="L32:L90" ca="1" si="6">IF($C32="","",MIN(J32,$F32))</f>
        <v>300000</v>
      </c>
      <c r="M32" s="171">
        <f t="shared" ref="M32:M90" ca="1" si="7">IF($C32="","",IF(K32=1,L32,L32/SUMIF(K$31:K$130,0,L$31:L$130)*($C$2-SUMIF(K$31:K$130,1,L$31:L$130))))</f>
        <v>300000</v>
      </c>
      <c r="N32" s="170">
        <f t="shared" ref="N32:N90" ca="1" si="8">IF(OR(M32&gt;$F32,$H32=1,$K32=1),1,0)</f>
        <v>0</v>
      </c>
      <c r="O32" s="171">
        <f t="shared" ref="O32:O90" ca="1" si="9">IF($C32="","",MIN(M32,$F32))</f>
        <v>300000</v>
      </c>
      <c r="P32" s="171">
        <f t="shared" ref="P32:P90" ca="1" si="10">IF($C32="","",IF(N32=1,O32,O32/SUMIF(N$31:N$130,0,O$31:O$130)*($C$2-SUMIF(N$31:N$130,1,O$31:O$130))))</f>
        <v>300000</v>
      </c>
      <c r="Q32" s="170">
        <f t="shared" ref="Q32:Q90" ca="1" si="11">IF(OR(P32&gt;$F32,$H32=1,$K32=1,$N32=1),1,0)</f>
        <v>0</v>
      </c>
      <c r="R32" s="171">
        <f t="shared" ref="R32:R90" ca="1" si="12">IF($C32="","",MIN(P32,$F32))</f>
        <v>300000</v>
      </c>
      <c r="S32" s="171">
        <f t="shared" ref="S32:S90" ca="1" si="13">IF($C32="","",IF(Q32=2,R32,IF(Q32=1,R32,R32/SUMIF(Q$31:Q$130,0,R$31:R$130)*($C$2-SUMIF(Q$31:Q$130,1,R$31:R$130)-SUMIF(Q$31:Q$130,2,R$31:R$130)))))</f>
        <v>300000</v>
      </c>
      <c r="T32" s="170">
        <f t="shared" ref="T32:T90" ca="1" si="14">IF(OR(S32&gt;$F32,$H32=1,$K32=1,$N32=1,$Q32=1),1,0)</f>
        <v>0</v>
      </c>
      <c r="U32" s="171">
        <f t="shared" ref="U32:U90" ca="1" si="15">IF($C32="","",MIN(S32,$F32))</f>
        <v>300000</v>
      </c>
      <c r="V32" s="171">
        <f t="shared" ref="V32:V90" ca="1" si="16">IF($C32="","",IF(T32=2,U32,IF(T32=1,U32,U32/SUMIF(T$31:T$130,0,U$31:U$130)*($C$2-SUMIF(T$31:T$130,1,U$31:U$130)-SUMIF(T$31:T$130,2,U$31:U$130)))))</f>
        <v>300000</v>
      </c>
      <c r="W32" s="158">
        <f t="shared" ref="W32:W90" ca="1" si="17">IFERROR(V32,0)</f>
        <v>300000</v>
      </c>
      <c r="X32" s="172">
        <f t="shared" ref="X32:X90" ca="1" si="18">IF(F32="","",IFERROR(W32/SUMIF($W$31:$W$130,"&lt;&gt;#DIV/0!"),0))</f>
        <v>0.02</v>
      </c>
    </row>
    <row r="33" spans="2:24" s="142" customFormat="1" x14ac:dyDescent="0.25">
      <c r="B33" s="143">
        <f t="shared" ca="1" si="0"/>
        <v>3</v>
      </c>
      <c r="C33" s="144" t="str">
        <f ca="1">'קיזוזים- החלטות ועדה'!C33</f>
        <v>מורשת יהדות קוצין</v>
      </c>
      <c r="D33" s="158">
        <f ca="1">IF($C33="","",'הגבלה לסכום מבוקש (1)'!D33)</f>
        <v>700000</v>
      </c>
      <c r="E33" s="158">
        <f ca="1">IF($C33="","",'קיזוזים בגין איחורים'!F33+'קיזוזים- החלטות ועדה'!E33)</f>
        <v>0</v>
      </c>
      <c r="F33" s="158">
        <f t="shared" ca="1" si="1"/>
        <v>700000</v>
      </c>
      <c r="G33" s="158">
        <f ca="1">'קיזוזים- החלטות ועדה'!G33</f>
        <v>532899.81577490713</v>
      </c>
      <c r="H33" s="169">
        <f t="shared" ca="1" si="2"/>
        <v>0</v>
      </c>
      <c r="I33" s="158">
        <f t="shared" ca="1" si="3"/>
        <v>532899.81577490713</v>
      </c>
      <c r="J33" s="158">
        <f t="shared" ca="1" si="4"/>
        <v>532899.81577490713</v>
      </c>
      <c r="K33" s="170">
        <f t="shared" ca="1" si="5"/>
        <v>0</v>
      </c>
      <c r="L33" s="171">
        <f t="shared" ca="1" si="6"/>
        <v>532899.81577490713</v>
      </c>
      <c r="M33" s="171">
        <f t="shared" ca="1" si="7"/>
        <v>532899.81577490713</v>
      </c>
      <c r="N33" s="170">
        <f t="shared" ca="1" si="8"/>
        <v>0</v>
      </c>
      <c r="O33" s="171">
        <f t="shared" ca="1" si="9"/>
        <v>532899.81577490713</v>
      </c>
      <c r="P33" s="171">
        <f t="shared" ca="1" si="10"/>
        <v>532899.81577490713</v>
      </c>
      <c r="Q33" s="170">
        <f t="shared" ca="1" si="11"/>
        <v>0</v>
      </c>
      <c r="R33" s="171">
        <f t="shared" ca="1" si="12"/>
        <v>532899.81577490713</v>
      </c>
      <c r="S33" s="171">
        <f t="shared" ca="1" si="13"/>
        <v>532899.81577490713</v>
      </c>
      <c r="T33" s="170">
        <f t="shared" ca="1" si="14"/>
        <v>0</v>
      </c>
      <c r="U33" s="171">
        <f t="shared" ca="1" si="15"/>
        <v>532899.81577490713</v>
      </c>
      <c r="V33" s="171">
        <f t="shared" ca="1" si="16"/>
        <v>532899.81577490713</v>
      </c>
      <c r="W33" s="158">
        <f t="shared" ca="1" si="17"/>
        <v>532899.81577490713</v>
      </c>
      <c r="X33" s="172">
        <f t="shared" ca="1" si="18"/>
        <v>3.5526654384993805E-2</v>
      </c>
    </row>
    <row r="34" spans="2:24" s="142" customFormat="1" x14ac:dyDescent="0.25">
      <c r="B34" s="143">
        <f t="shared" ca="1" si="0"/>
        <v>4</v>
      </c>
      <c r="C34" s="144" t="str">
        <f ca="1">'קיזוזים- החלטות ועדה'!C34</f>
        <v>הפדרציה העולמית של יהדות תוניס</v>
      </c>
      <c r="D34" s="158">
        <f ca="1">IF($C34="","",'הגבלה לסכום מבוקש (1)'!D34)</f>
        <v>200000</v>
      </c>
      <c r="E34" s="158">
        <f ca="1">IF($C34="","",'קיזוזים בגין איחורים'!F34+'קיזוזים- החלטות ועדה'!E34)</f>
        <v>0</v>
      </c>
      <c r="F34" s="158">
        <f t="shared" ca="1" si="1"/>
        <v>200000</v>
      </c>
      <c r="G34" s="158">
        <f ca="1">'קיזוזים- החלטות ועדה'!G34</f>
        <v>90923.99287883252</v>
      </c>
      <c r="H34" s="169">
        <f t="shared" ca="1" si="2"/>
        <v>0</v>
      </c>
      <c r="I34" s="158">
        <f t="shared" ca="1" si="3"/>
        <v>90923.99287883252</v>
      </c>
      <c r="J34" s="158">
        <f t="shared" ca="1" si="4"/>
        <v>90923.99287883252</v>
      </c>
      <c r="K34" s="170">
        <f t="shared" ca="1" si="5"/>
        <v>0</v>
      </c>
      <c r="L34" s="171">
        <f t="shared" ca="1" si="6"/>
        <v>90923.99287883252</v>
      </c>
      <c r="M34" s="171">
        <f t="shared" ca="1" si="7"/>
        <v>90923.99287883252</v>
      </c>
      <c r="N34" s="170">
        <f t="shared" ca="1" si="8"/>
        <v>0</v>
      </c>
      <c r="O34" s="171">
        <f t="shared" ca="1" si="9"/>
        <v>90923.99287883252</v>
      </c>
      <c r="P34" s="171">
        <f t="shared" ca="1" si="10"/>
        <v>90923.99287883252</v>
      </c>
      <c r="Q34" s="170">
        <f t="shared" ca="1" si="11"/>
        <v>0</v>
      </c>
      <c r="R34" s="171">
        <f t="shared" ca="1" si="12"/>
        <v>90923.99287883252</v>
      </c>
      <c r="S34" s="171">
        <f t="shared" ca="1" si="13"/>
        <v>90923.99287883252</v>
      </c>
      <c r="T34" s="170">
        <f t="shared" ca="1" si="14"/>
        <v>0</v>
      </c>
      <c r="U34" s="171">
        <f t="shared" ca="1" si="15"/>
        <v>90923.99287883252</v>
      </c>
      <c r="V34" s="171">
        <f t="shared" ca="1" si="16"/>
        <v>90923.99287883252</v>
      </c>
      <c r="W34" s="158">
        <f t="shared" ca="1" si="17"/>
        <v>90923.99287883252</v>
      </c>
      <c r="X34" s="172">
        <f t="shared" ca="1" si="18"/>
        <v>6.0615995252555014E-3</v>
      </c>
    </row>
    <row r="35" spans="2:24" s="142" customFormat="1" x14ac:dyDescent="0.25">
      <c r="B35" s="143">
        <f t="shared" ca="1" si="0"/>
        <v>5</v>
      </c>
      <c r="C35" s="144" t="str">
        <f ca="1">'קיזוזים- החלטות ועדה'!C35</f>
        <v>התאחדות עולי מצרים</v>
      </c>
      <c r="D35" s="158">
        <f ca="1">IF($C35="","",'הגבלה לסכום מבוקש (1)'!D35)</f>
        <v>250000</v>
      </c>
      <c r="E35" s="158">
        <f ca="1">IF($C35="","",'קיזוזים בגין איחורים'!F35+'קיזוזים- החלטות ועדה'!E35)</f>
        <v>0</v>
      </c>
      <c r="F35" s="158">
        <f t="shared" ca="1" si="1"/>
        <v>250000</v>
      </c>
      <c r="G35" s="158">
        <f ca="1">'קיזוזים- החלטות ועדה'!G35</f>
        <v>250000</v>
      </c>
      <c r="H35" s="169">
        <f t="shared" ca="1" si="2"/>
        <v>0</v>
      </c>
      <c r="I35" s="158">
        <f t="shared" ca="1" si="3"/>
        <v>250000</v>
      </c>
      <c r="J35" s="158">
        <f t="shared" ca="1" si="4"/>
        <v>250000</v>
      </c>
      <c r="K35" s="170">
        <f t="shared" ca="1" si="5"/>
        <v>0</v>
      </c>
      <c r="L35" s="171">
        <f t="shared" ca="1" si="6"/>
        <v>250000</v>
      </c>
      <c r="M35" s="171">
        <f t="shared" ca="1" si="7"/>
        <v>250000</v>
      </c>
      <c r="N35" s="170">
        <f t="shared" ca="1" si="8"/>
        <v>0</v>
      </c>
      <c r="O35" s="171">
        <f t="shared" ca="1" si="9"/>
        <v>250000</v>
      </c>
      <c r="P35" s="171">
        <f t="shared" ca="1" si="10"/>
        <v>250000</v>
      </c>
      <c r="Q35" s="170">
        <f t="shared" ca="1" si="11"/>
        <v>0</v>
      </c>
      <c r="R35" s="171">
        <f t="shared" ca="1" si="12"/>
        <v>250000</v>
      </c>
      <c r="S35" s="171">
        <f t="shared" ca="1" si="13"/>
        <v>250000</v>
      </c>
      <c r="T35" s="170">
        <f t="shared" ca="1" si="14"/>
        <v>0</v>
      </c>
      <c r="U35" s="171">
        <f t="shared" ca="1" si="15"/>
        <v>250000</v>
      </c>
      <c r="V35" s="171">
        <f t="shared" ca="1" si="16"/>
        <v>250000</v>
      </c>
      <c r="W35" s="158">
        <f t="shared" ca="1" si="17"/>
        <v>250000</v>
      </c>
      <c r="X35" s="172">
        <f t="shared" ca="1" si="18"/>
        <v>1.6666666666666666E-2</v>
      </c>
    </row>
    <row r="36" spans="2:24" s="142" customFormat="1" x14ac:dyDescent="0.25">
      <c r="B36" s="143">
        <f t="shared" ca="1" si="0"/>
        <v>6</v>
      </c>
      <c r="C36" s="144" t="str">
        <f ca="1">'קיזוזים- החלטות ועדה'!C36</f>
        <v>יהודים יוצאי לוב</v>
      </c>
      <c r="D36" s="158">
        <f ca="1">IF($C36="","",'הגבלה לסכום מבוקש (1)'!D36)</f>
        <v>1200000</v>
      </c>
      <c r="E36" s="158">
        <f ca="1">IF($C36="","",'קיזוזים בגין איחורים'!F36+'קיזוזים- החלטות ועדה'!E36)</f>
        <v>0</v>
      </c>
      <c r="F36" s="158">
        <f t="shared" ca="1" si="1"/>
        <v>1200000</v>
      </c>
      <c r="G36" s="158">
        <f ca="1">'קיזוזים- החלטות ועדה'!G36</f>
        <v>513265.8760652481</v>
      </c>
      <c r="H36" s="169">
        <f t="shared" ca="1" si="2"/>
        <v>0</v>
      </c>
      <c r="I36" s="158">
        <f t="shared" ca="1" si="3"/>
        <v>513265.8760652481</v>
      </c>
      <c r="J36" s="158">
        <f t="shared" ca="1" si="4"/>
        <v>513265.87606524804</v>
      </c>
      <c r="K36" s="170">
        <f t="shared" ca="1" si="5"/>
        <v>0</v>
      </c>
      <c r="L36" s="171">
        <f t="shared" ca="1" si="6"/>
        <v>513265.87606524804</v>
      </c>
      <c r="M36" s="171">
        <f t="shared" ca="1" si="7"/>
        <v>513265.87606524804</v>
      </c>
      <c r="N36" s="170">
        <f t="shared" ca="1" si="8"/>
        <v>0</v>
      </c>
      <c r="O36" s="171">
        <f t="shared" ca="1" si="9"/>
        <v>513265.87606524804</v>
      </c>
      <c r="P36" s="171">
        <f t="shared" ca="1" si="10"/>
        <v>513265.87606524804</v>
      </c>
      <c r="Q36" s="170">
        <f t="shared" ca="1" si="11"/>
        <v>0</v>
      </c>
      <c r="R36" s="171">
        <f t="shared" ca="1" si="12"/>
        <v>513265.87606524804</v>
      </c>
      <c r="S36" s="171">
        <f t="shared" ca="1" si="13"/>
        <v>513265.87606524804</v>
      </c>
      <c r="T36" s="170">
        <f t="shared" ca="1" si="14"/>
        <v>0</v>
      </c>
      <c r="U36" s="171">
        <f t="shared" ca="1" si="15"/>
        <v>513265.87606524804</v>
      </c>
      <c r="V36" s="171">
        <f t="shared" ca="1" si="16"/>
        <v>513265.87606524804</v>
      </c>
      <c r="W36" s="158">
        <f t="shared" ca="1" si="17"/>
        <v>513265.87606524804</v>
      </c>
      <c r="X36" s="172">
        <f t="shared" ca="1" si="18"/>
        <v>3.4217725071016537E-2</v>
      </c>
    </row>
    <row r="37" spans="2:24" s="142" customFormat="1" x14ac:dyDescent="0.25">
      <c r="B37" s="143">
        <f t="shared" ca="1" si="0"/>
        <v>7</v>
      </c>
      <c r="C37" s="144" t="str">
        <f ca="1">'קיזוזים- החלטות ועדה'!C37</f>
        <v>הפדרציה העולמית של יהדות מרוקו</v>
      </c>
      <c r="D37" s="158">
        <f ca="1">IF($C37="","",'הגבלה לסכום מבוקש (1)'!D37)</f>
        <v>1500000</v>
      </c>
      <c r="E37" s="158">
        <f ca="1">IF($C37="","",'קיזוזים בגין איחורים'!F37+'קיזוזים- החלטות ועדה'!E37)</f>
        <v>0</v>
      </c>
      <c r="F37" s="158">
        <f t="shared" ca="1" si="1"/>
        <v>1500000</v>
      </c>
      <c r="G37" s="158">
        <f ca="1">'קיזוזים- החלטות ועדה'!G37</f>
        <v>318649.72385019995</v>
      </c>
      <c r="H37" s="169">
        <f t="shared" ca="1" si="2"/>
        <v>0</v>
      </c>
      <c r="I37" s="158">
        <f t="shared" ca="1" si="3"/>
        <v>318649.72385019995</v>
      </c>
      <c r="J37" s="158">
        <f t="shared" ca="1" si="4"/>
        <v>318649.72385019995</v>
      </c>
      <c r="K37" s="170">
        <f t="shared" ca="1" si="5"/>
        <v>0</v>
      </c>
      <c r="L37" s="171">
        <f t="shared" ca="1" si="6"/>
        <v>318649.72385019995</v>
      </c>
      <c r="M37" s="171">
        <f t="shared" ca="1" si="7"/>
        <v>318649.72385019995</v>
      </c>
      <c r="N37" s="170">
        <f t="shared" ca="1" si="8"/>
        <v>0</v>
      </c>
      <c r="O37" s="171">
        <f t="shared" ca="1" si="9"/>
        <v>318649.72385019995</v>
      </c>
      <c r="P37" s="171">
        <f t="shared" ca="1" si="10"/>
        <v>318649.72385019995</v>
      </c>
      <c r="Q37" s="170">
        <f t="shared" ca="1" si="11"/>
        <v>0</v>
      </c>
      <c r="R37" s="171">
        <f t="shared" ca="1" si="12"/>
        <v>318649.72385019995</v>
      </c>
      <c r="S37" s="171">
        <f t="shared" ca="1" si="13"/>
        <v>318649.72385019995</v>
      </c>
      <c r="T37" s="170">
        <f t="shared" ca="1" si="14"/>
        <v>0</v>
      </c>
      <c r="U37" s="171">
        <f t="shared" ca="1" si="15"/>
        <v>318649.72385019995</v>
      </c>
      <c r="V37" s="171">
        <f t="shared" ca="1" si="16"/>
        <v>318649.72385019995</v>
      </c>
      <c r="W37" s="158">
        <f t="shared" ca="1" si="17"/>
        <v>318649.72385019995</v>
      </c>
      <c r="X37" s="172">
        <f t="shared" ca="1" si="18"/>
        <v>2.1243314923346662E-2</v>
      </c>
    </row>
    <row r="38" spans="2:24" s="142" customFormat="1" x14ac:dyDescent="0.25">
      <c r="B38" s="143">
        <f t="shared" ca="1" si="0"/>
        <v>8</v>
      </c>
      <c r="C38" s="144" t="str">
        <f ca="1">'קיזוזים- החלטות ועדה'!C38</f>
        <v>אורות הגליל</v>
      </c>
      <c r="D38" s="158">
        <f ca="1">IF($C38="","",'הגבלה לסכום מבוקש (1)'!D38)</f>
        <v>450000</v>
      </c>
      <c r="E38" s="158">
        <f ca="1">IF($C38="","",'קיזוזים בגין איחורים'!F38+'קיזוזים- החלטות ועדה'!E38)</f>
        <v>0</v>
      </c>
      <c r="F38" s="158">
        <f t="shared" ca="1" si="1"/>
        <v>450000</v>
      </c>
      <c r="G38" s="158">
        <f ca="1">'קיזוזים- החלטות ועדה'!G38</f>
        <v>442153.01026711374</v>
      </c>
      <c r="H38" s="169">
        <f t="shared" ca="1" si="2"/>
        <v>0</v>
      </c>
      <c r="I38" s="158">
        <f t="shared" ca="1" si="3"/>
        <v>442153.01026711374</v>
      </c>
      <c r="J38" s="158">
        <f t="shared" ca="1" si="4"/>
        <v>442153.01026711374</v>
      </c>
      <c r="K38" s="170">
        <f t="shared" ca="1" si="5"/>
        <v>0</v>
      </c>
      <c r="L38" s="171">
        <f t="shared" ca="1" si="6"/>
        <v>442153.01026711374</v>
      </c>
      <c r="M38" s="171">
        <f t="shared" ca="1" si="7"/>
        <v>442153.01026711374</v>
      </c>
      <c r="N38" s="170">
        <f t="shared" ca="1" si="8"/>
        <v>0</v>
      </c>
      <c r="O38" s="171">
        <f t="shared" ca="1" si="9"/>
        <v>442153.01026711374</v>
      </c>
      <c r="P38" s="171">
        <f t="shared" ca="1" si="10"/>
        <v>442153.01026711374</v>
      </c>
      <c r="Q38" s="170">
        <f t="shared" ca="1" si="11"/>
        <v>0</v>
      </c>
      <c r="R38" s="171">
        <f t="shared" ca="1" si="12"/>
        <v>442153.01026711374</v>
      </c>
      <c r="S38" s="171">
        <f t="shared" ca="1" si="13"/>
        <v>442153.01026711374</v>
      </c>
      <c r="T38" s="170">
        <f t="shared" ca="1" si="14"/>
        <v>0</v>
      </c>
      <c r="U38" s="171">
        <f t="shared" ca="1" si="15"/>
        <v>442153.01026711374</v>
      </c>
      <c r="V38" s="171">
        <f t="shared" ca="1" si="16"/>
        <v>442153.01026711374</v>
      </c>
      <c r="W38" s="158">
        <f t="shared" ca="1" si="17"/>
        <v>442153.01026711374</v>
      </c>
      <c r="X38" s="172">
        <f t="shared" ca="1" si="18"/>
        <v>2.9476867351140915E-2</v>
      </c>
    </row>
    <row r="39" spans="2:24" s="142" customFormat="1" x14ac:dyDescent="0.25">
      <c r="B39" s="143">
        <f t="shared" ca="1" si="0"/>
        <v>9</v>
      </c>
      <c r="C39" s="144" t="str">
        <f ca="1">'קיזוזים- החלטות ועדה'!C39</f>
        <v>אלמז</v>
      </c>
      <c r="D39" s="158">
        <f ca="1">IF($C39="","",'הגבלה לסכום מבוקש (1)'!D39)</f>
        <v>300000</v>
      </c>
      <c r="E39" s="158">
        <f ca="1">IF($C39="","",'קיזוזים בגין איחורים'!F39+'קיזוזים- החלטות ועדה'!E39)</f>
        <v>0</v>
      </c>
      <c r="F39" s="158">
        <f t="shared" ca="1" si="1"/>
        <v>300000</v>
      </c>
      <c r="G39" s="158">
        <f ca="1">'קיזוזים- החלטות ועדה'!G39</f>
        <v>141834.97639121802</v>
      </c>
      <c r="H39" s="169">
        <f t="shared" ca="1" si="2"/>
        <v>0</v>
      </c>
      <c r="I39" s="158">
        <f t="shared" ca="1" si="3"/>
        <v>141834.97639121802</v>
      </c>
      <c r="J39" s="158">
        <f t="shared" ca="1" si="4"/>
        <v>141834.97639121802</v>
      </c>
      <c r="K39" s="170">
        <f t="shared" ca="1" si="5"/>
        <v>0</v>
      </c>
      <c r="L39" s="171">
        <f t="shared" ca="1" si="6"/>
        <v>141834.97639121802</v>
      </c>
      <c r="M39" s="171">
        <f t="shared" ca="1" si="7"/>
        <v>141834.97639121802</v>
      </c>
      <c r="N39" s="170">
        <f t="shared" ca="1" si="8"/>
        <v>0</v>
      </c>
      <c r="O39" s="171">
        <f t="shared" ca="1" si="9"/>
        <v>141834.97639121802</v>
      </c>
      <c r="P39" s="171">
        <f t="shared" ca="1" si="10"/>
        <v>141834.97639121802</v>
      </c>
      <c r="Q39" s="170">
        <f t="shared" ca="1" si="11"/>
        <v>0</v>
      </c>
      <c r="R39" s="171">
        <f t="shared" ca="1" si="12"/>
        <v>141834.97639121802</v>
      </c>
      <c r="S39" s="171">
        <f t="shared" ca="1" si="13"/>
        <v>141834.97639121802</v>
      </c>
      <c r="T39" s="170">
        <f t="shared" ca="1" si="14"/>
        <v>0</v>
      </c>
      <c r="U39" s="171">
        <f t="shared" ca="1" si="15"/>
        <v>141834.97639121802</v>
      </c>
      <c r="V39" s="171">
        <f t="shared" ca="1" si="16"/>
        <v>141834.97639121802</v>
      </c>
      <c r="W39" s="158">
        <f t="shared" ca="1" si="17"/>
        <v>141834.97639121802</v>
      </c>
      <c r="X39" s="172">
        <f t="shared" ca="1" si="18"/>
        <v>9.4556650927478687E-3</v>
      </c>
    </row>
    <row r="40" spans="2:24" s="142" customFormat="1" x14ac:dyDescent="0.25">
      <c r="B40" s="143">
        <f t="shared" ca="1" si="0"/>
        <v>10</v>
      </c>
      <c r="C40" s="144" t="str">
        <f ca="1">'קיזוזים- החלטות ועדה'!C40</f>
        <v>קונגרס יהודי בוכרה</v>
      </c>
      <c r="D40" s="158">
        <f ca="1">IF($C40="","",'הגבלה לסכום מבוקש (1)'!D40)</f>
        <v>1800000</v>
      </c>
      <c r="E40" s="158">
        <f ca="1">IF($C40="","",'קיזוזים בגין איחורים'!F40+'קיזוזים- החלטות ועדה'!E40)</f>
        <v>0</v>
      </c>
      <c r="F40" s="158">
        <f t="shared" ca="1" si="1"/>
        <v>1800000</v>
      </c>
      <c r="G40" s="158">
        <f ca="1">'קיזוזים- החלטות ועדה'!G40</f>
        <v>1543809.2280614062</v>
      </c>
      <c r="H40" s="169">
        <f t="shared" ca="1" si="2"/>
        <v>0</v>
      </c>
      <c r="I40" s="158">
        <f t="shared" ca="1" si="3"/>
        <v>1543809.2280614062</v>
      </c>
      <c r="J40" s="158">
        <f t="shared" ca="1" si="4"/>
        <v>1543809.2280614062</v>
      </c>
      <c r="K40" s="170">
        <f t="shared" ca="1" si="5"/>
        <v>0</v>
      </c>
      <c r="L40" s="171">
        <f t="shared" ca="1" si="6"/>
        <v>1543809.2280614062</v>
      </c>
      <c r="M40" s="171">
        <f t="shared" ca="1" si="7"/>
        <v>1543809.2280614062</v>
      </c>
      <c r="N40" s="170">
        <f t="shared" ca="1" si="8"/>
        <v>0</v>
      </c>
      <c r="O40" s="171">
        <f t="shared" ca="1" si="9"/>
        <v>1543809.2280614062</v>
      </c>
      <c r="P40" s="171">
        <f t="shared" ca="1" si="10"/>
        <v>1543809.2280614062</v>
      </c>
      <c r="Q40" s="170">
        <f t="shared" ca="1" si="11"/>
        <v>0</v>
      </c>
      <c r="R40" s="171">
        <f t="shared" ca="1" si="12"/>
        <v>1543809.2280614062</v>
      </c>
      <c r="S40" s="171">
        <f t="shared" ca="1" si="13"/>
        <v>1543809.2280614062</v>
      </c>
      <c r="T40" s="170">
        <f t="shared" ca="1" si="14"/>
        <v>0</v>
      </c>
      <c r="U40" s="171">
        <f t="shared" ca="1" si="15"/>
        <v>1543809.2280614062</v>
      </c>
      <c r="V40" s="171">
        <f t="shared" ca="1" si="16"/>
        <v>1543809.2280614062</v>
      </c>
      <c r="W40" s="158">
        <f t="shared" ca="1" si="17"/>
        <v>1543809.2280614062</v>
      </c>
      <c r="X40" s="172">
        <f t="shared" ca="1" si="18"/>
        <v>0.10292061520409375</v>
      </c>
    </row>
    <row r="41" spans="2:24" s="142" customFormat="1" x14ac:dyDescent="0.25">
      <c r="B41" s="143">
        <f t="shared" ca="1" si="0"/>
        <v>11</v>
      </c>
      <c r="C41" s="144" t="str">
        <f ca="1">'קיזוזים- החלטות ועדה'!C41</f>
        <v>יהדות שאלוניקי יוון</v>
      </c>
      <c r="D41" s="158">
        <f ca="1">IF($C41="","",'הגבלה לסכום מבוקש (1)'!D41)</f>
        <v>2700000</v>
      </c>
      <c r="E41" s="158">
        <f ca="1">IF($C41="","",'קיזוזים בגין איחורים'!F41+'קיזוזים- החלטות ועדה'!E41)</f>
        <v>0</v>
      </c>
      <c r="F41" s="158">
        <f t="shared" ca="1" si="1"/>
        <v>2700000</v>
      </c>
      <c r="G41" s="158">
        <f ca="1">'קיזוזים- החלטות ועדה'!G41</f>
        <v>344631.7260775895</v>
      </c>
      <c r="H41" s="169">
        <f t="shared" ca="1" si="2"/>
        <v>0</v>
      </c>
      <c r="I41" s="158">
        <f t="shared" ca="1" si="3"/>
        <v>344631.7260775895</v>
      </c>
      <c r="J41" s="158">
        <f t="shared" ca="1" si="4"/>
        <v>344631.7260775895</v>
      </c>
      <c r="K41" s="170">
        <f t="shared" ca="1" si="5"/>
        <v>0</v>
      </c>
      <c r="L41" s="171">
        <f t="shared" ca="1" si="6"/>
        <v>344631.7260775895</v>
      </c>
      <c r="M41" s="171">
        <f t="shared" ca="1" si="7"/>
        <v>344631.7260775895</v>
      </c>
      <c r="N41" s="170">
        <f t="shared" ca="1" si="8"/>
        <v>0</v>
      </c>
      <c r="O41" s="171">
        <f t="shared" ca="1" si="9"/>
        <v>344631.7260775895</v>
      </c>
      <c r="P41" s="171">
        <f t="shared" ca="1" si="10"/>
        <v>344631.7260775895</v>
      </c>
      <c r="Q41" s="170">
        <f t="shared" ca="1" si="11"/>
        <v>0</v>
      </c>
      <c r="R41" s="171">
        <f t="shared" ca="1" si="12"/>
        <v>344631.7260775895</v>
      </c>
      <c r="S41" s="171">
        <f t="shared" ca="1" si="13"/>
        <v>344631.7260775895</v>
      </c>
      <c r="T41" s="170">
        <f t="shared" ca="1" si="14"/>
        <v>0</v>
      </c>
      <c r="U41" s="171">
        <f t="shared" ca="1" si="15"/>
        <v>344631.7260775895</v>
      </c>
      <c r="V41" s="171">
        <f t="shared" ca="1" si="16"/>
        <v>344631.7260775895</v>
      </c>
      <c r="W41" s="158">
        <f t="shared" ca="1" si="17"/>
        <v>344631.7260775895</v>
      </c>
      <c r="X41" s="172">
        <f t="shared" ca="1" si="18"/>
        <v>2.2975448405172634E-2</v>
      </c>
    </row>
    <row r="42" spans="2:24" s="142" customFormat="1" hidden="1" x14ac:dyDescent="0.25">
      <c r="B42" s="143" t="str">
        <f t="shared" ca="1" si="0"/>
        <v/>
      </c>
      <c r="C42" s="144" t="str">
        <f ca="1">'קיזוזים- החלטות ועדה'!C42</f>
        <v/>
      </c>
      <c r="D42" s="158" t="str">
        <f ca="1">IF($C42="","",'הגבלה לסכום מבוקש (1)'!D42)</f>
        <v/>
      </c>
      <c r="E42" s="158" t="str">
        <f ca="1">IF($C42="","",'קיזוזים בגין איחורים'!F42+'קיזוזים- החלטות ועדה'!E42)</f>
        <v/>
      </c>
      <c r="F42" s="158" t="str">
        <f t="shared" ca="1" si="1"/>
        <v/>
      </c>
      <c r="G42" s="158" t="str">
        <f ca="1">'קיזוזים- החלטות ועדה'!G42</f>
        <v/>
      </c>
      <c r="H42" s="169" t="str">
        <f t="shared" ca="1" si="2"/>
        <v/>
      </c>
      <c r="I42" s="158" t="str">
        <f t="shared" ca="1" si="3"/>
        <v/>
      </c>
      <c r="J42" s="158" t="str">
        <f t="shared" ca="1" si="4"/>
        <v/>
      </c>
      <c r="K42" s="170">
        <f t="shared" ca="1" si="5"/>
        <v>0</v>
      </c>
      <c r="L42" s="171" t="str">
        <f t="shared" ca="1" si="6"/>
        <v/>
      </c>
      <c r="M42" s="171" t="str">
        <f t="shared" ca="1" si="7"/>
        <v/>
      </c>
      <c r="N42" s="170">
        <f t="shared" ca="1" si="8"/>
        <v>0</v>
      </c>
      <c r="O42" s="171" t="str">
        <f t="shared" ca="1" si="9"/>
        <v/>
      </c>
      <c r="P42" s="171" t="str">
        <f t="shared" ca="1" si="10"/>
        <v/>
      </c>
      <c r="Q42" s="170">
        <f t="shared" ca="1" si="11"/>
        <v>0</v>
      </c>
      <c r="R42" s="171" t="str">
        <f t="shared" ca="1" si="12"/>
        <v/>
      </c>
      <c r="S42" s="171" t="str">
        <f t="shared" ca="1" si="13"/>
        <v/>
      </c>
      <c r="T42" s="170">
        <f t="shared" ca="1" si="14"/>
        <v>0</v>
      </c>
      <c r="U42" s="171" t="str">
        <f t="shared" ca="1" si="15"/>
        <v/>
      </c>
      <c r="V42" s="171" t="str">
        <f t="shared" ca="1" si="16"/>
        <v/>
      </c>
      <c r="W42" s="158" t="str">
        <f t="shared" ca="1" si="17"/>
        <v/>
      </c>
      <c r="X42" s="172" t="str">
        <f t="shared" ca="1" si="18"/>
        <v/>
      </c>
    </row>
    <row r="43" spans="2:24" s="142" customFormat="1" hidden="1" x14ac:dyDescent="0.25">
      <c r="B43" s="143" t="str">
        <f t="shared" ca="1" si="0"/>
        <v/>
      </c>
      <c r="C43" s="144" t="str">
        <f ca="1">'קיזוזים- החלטות ועדה'!C43</f>
        <v/>
      </c>
      <c r="D43" s="158" t="str">
        <f ca="1">IF($C43="","",'הגבלה לסכום מבוקש (1)'!D43)</f>
        <v/>
      </c>
      <c r="E43" s="158" t="str">
        <f ca="1">IF($C43="","",'קיזוזים בגין איחורים'!F43+'קיזוזים- החלטות ועדה'!E43)</f>
        <v/>
      </c>
      <c r="F43" s="158" t="str">
        <f t="shared" ca="1" si="1"/>
        <v/>
      </c>
      <c r="G43" s="158" t="str">
        <f ca="1">'קיזוזים- החלטות ועדה'!G43</f>
        <v/>
      </c>
      <c r="H43" s="169" t="str">
        <f t="shared" ca="1" si="2"/>
        <v/>
      </c>
      <c r="I43" s="158" t="str">
        <f t="shared" ca="1" si="3"/>
        <v/>
      </c>
      <c r="J43" s="158" t="str">
        <f t="shared" ca="1" si="4"/>
        <v/>
      </c>
      <c r="K43" s="170">
        <f t="shared" ca="1" si="5"/>
        <v>0</v>
      </c>
      <c r="L43" s="171" t="str">
        <f t="shared" ca="1" si="6"/>
        <v/>
      </c>
      <c r="M43" s="171" t="str">
        <f t="shared" ca="1" si="7"/>
        <v/>
      </c>
      <c r="N43" s="170">
        <f t="shared" ca="1" si="8"/>
        <v>0</v>
      </c>
      <c r="O43" s="171" t="str">
        <f t="shared" ca="1" si="9"/>
        <v/>
      </c>
      <c r="P43" s="171" t="str">
        <f t="shared" ca="1" si="10"/>
        <v/>
      </c>
      <c r="Q43" s="170">
        <f t="shared" ca="1" si="11"/>
        <v>0</v>
      </c>
      <c r="R43" s="171" t="str">
        <f t="shared" ca="1" si="12"/>
        <v/>
      </c>
      <c r="S43" s="171" t="str">
        <f t="shared" ca="1" si="13"/>
        <v/>
      </c>
      <c r="T43" s="170">
        <f t="shared" ca="1" si="14"/>
        <v>0</v>
      </c>
      <c r="U43" s="171" t="str">
        <f t="shared" ca="1" si="15"/>
        <v/>
      </c>
      <c r="V43" s="171" t="str">
        <f t="shared" ca="1" si="16"/>
        <v/>
      </c>
      <c r="W43" s="158" t="str">
        <f t="shared" ca="1" si="17"/>
        <v/>
      </c>
      <c r="X43" s="172" t="str">
        <f t="shared" ca="1" si="18"/>
        <v/>
      </c>
    </row>
    <row r="44" spans="2:24" s="142" customFormat="1" hidden="1" x14ac:dyDescent="0.25">
      <c r="B44" s="143" t="str">
        <f t="shared" ca="1" si="0"/>
        <v/>
      </c>
      <c r="C44" s="144" t="str">
        <f ca="1">'קיזוזים- החלטות ועדה'!C44</f>
        <v/>
      </c>
      <c r="D44" s="158" t="str">
        <f ca="1">IF($C44="","",'הגבלה לסכום מבוקש (1)'!D44)</f>
        <v/>
      </c>
      <c r="E44" s="158" t="str">
        <f ca="1">IF($C44="","",'קיזוזים בגין איחורים'!F44+'קיזוזים- החלטות ועדה'!E44)</f>
        <v/>
      </c>
      <c r="F44" s="158" t="str">
        <f t="shared" ca="1" si="1"/>
        <v/>
      </c>
      <c r="G44" s="158" t="str">
        <f ca="1">'קיזוזים- החלטות ועדה'!G44</f>
        <v/>
      </c>
      <c r="H44" s="169" t="str">
        <f t="shared" ca="1" si="2"/>
        <v/>
      </c>
      <c r="I44" s="158" t="str">
        <f t="shared" ca="1" si="3"/>
        <v/>
      </c>
      <c r="J44" s="158" t="str">
        <f t="shared" ca="1" si="4"/>
        <v/>
      </c>
      <c r="K44" s="170">
        <f t="shared" ca="1" si="5"/>
        <v>0</v>
      </c>
      <c r="L44" s="171" t="str">
        <f t="shared" ca="1" si="6"/>
        <v/>
      </c>
      <c r="M44" s="171" t="str">
        <f t="shared" ca="1" si="7"/>
        <v/>
      </c>
      <c r="N44" s="170">
        <f t="shared" ca="1" si="8"/>
        <v>0</v>
      </c>
      <c r="O44" s="171" t="str">
        <f t="shared" ca="1" si="9"/>
        <v/>
      </c>
      <c r="P44" s="171" t="str">
        <f t="shared" ca="1" si="10"/>
        <v/>
      </c>
      <c r="Q44" s="170">
        <f t="shared" ca="1" si="11"/>
        <v>0</v>
      </c>
      <c r="R44" s="171" t="str">
        <f t="shared" ca="1" si="12"/>
        <v/>
      </c>
      <c r="S44" s="171" t="str">
        <f t="shared" ca="1" si="13"/>
        <v/>
      </c>
      <c r="T44" s="170">
        <f t="shared" ca="1" si="14"/>
        <v>0</v>
      </c>
      <c r="U44" s="171" t="str">
        <f t="shared" ca="1" si="15"/>
        <v/>
      </c>
      <c r="V44" s="171" t="str">
        <f t="shared" ca="1" si="16"/>
        <v/>
      </c>
      <c r="W44" s="158" t="str">
        <f t="shared" ca="1" si="17"/>
        <v/>
      </c>
      <c r="X44" s="172" t="str">
        <f t="shared" ca="1" si="18"/>
        <v/>
      </c>
    </row>
    <row r="45" spans="2:24" s="142" customFormat="1" x14ac:dyDescent="0.25">
      <c r="B45" s="143">
        <f t="shared" ca="1" si="0"/>
        <v>15</v>
      </c>
      <c r="C45" s="144" t="str">
        <f ca="1">'קיזוזים- החלטות ועדה'!C45</f>
        <v xml:space="preserve">החברה לטיפוח חברה תרבות תיעוד </v>
      </c>
      <c r="D45" s="158">
        <f ca="1">IF($C45="","",'הגבלה לסכום מבוקש (1)'!D45)</f>
        <v>2400000</v>
      </c>
      <c r="E45" s="158">
        <f ca="1">IF($C45="","",'קיזוזים בגין איחורים'!F45+'קיזוזים- החלטות ועדה'!E45)</f>
        <v>0</v>
      </c>
      <c r="F45" s="158">
        <f t="shared" ca="1" si="1"/>
        <v>2400000</v>
      </c>
      <c r="G45" s="158">
        <f ca="1">'קיזוזים- החלטות ועדה'!G45</f>
        <v>2400000</v>
      </c>
      <c r="H45" s="169">
        <f t="shared" ca="1" si="2"/>
        <v>0</v>
      </c>
      <c r="I45" s="158">
        <f t="shared" ca="1" si="3"/>
        <v>2400000</v>
      </c>
      <c r="J45" s="158">
        <f t="shared" ca="1" si="4"/>
        <v>2400000</v>
      </c>
      <c r="K45" s="170">
        <f t="shared" ca="1" si="5"/>
        <v>0</v>
      </c>
      <c r="L45" s="171">
        <f t="shared" ca="1" si="6"/>
        <v>2400000</v>
      </c>
      <c r="M45" s="171">
        <f t="shared" ca="1" si="7"/>
        <v>2400000</v>
      </c>
      <c r="N45" s="170">
        <f t="shared" ca="1" si="8"/>
        <v>0</v>
      </c>
      <c r="O45" s="171">
        <f t="shared" ca="1" si="9"/>
        <v>2400000</v>
      </c>
      <c r="P45" s="171">
        <f t="shared" ca="1" si="10"/>
        <v>2400000</v>
      </c>
      <c r="Q45" s="170">
        <f t="shared" ca="1" si="11"/>
        <v>0</v>
      </c>
      <c r="R45" s="171">
        <f t="shared" ca="1" si="12"/>
        <v>2400000</v>
      </c>
      <c r="S45" s="171">
        <f t="shared" ca="1" si="13"/>
        <v>2400000</v>
      </c>
      <c r="T45" s="170">
        <f t="shared" ca="1" si="14"/>
        <v>0</v>
      </c>
      <c r="U45" s="171">
        <f t="shared" ca="1" si="15"/>
        <v>2400000</v>
      </c>
      <c r="V45" s="171">
        <f t="shared" ca="1" si="16"/>
        <v>2400000</v>
      </c>
      <c r="W45" s="158">
        <f t="shared" ca="1" si="17"/>
        <v>2400000</v>
      </c>
      <c r="X45" s="172">
        <f t="shared" ca="1" si="18"/>
        <v>0.16</v>
      </c>
    </row>
    <row r="46" spans="2:24" s="142" customFormat="1" x14ac:dyDescent="0.25">
      <c r="B46" s="143">
        <f t="shared" ca="1" si="0"/>
        <v>16</v>
      </c>
      <c r="C46" s="144" t="str">
        <f ca="1">'קיזוזים- החלטות ועדה'!C46</f>
        <v>עמותת אור שלום</v>
      </c>
      <c r="D46" s="158">
        <f ca="1">IF($C46="","",'הגבלה לסכום מבוקש (1)'!D46)</f>
        <v>680000</v>
      </c>
      <c r="E46" s="158">
        <f ca="1">IF($C46="","",'קיזוזים בגין איחורים'!F46+'קיזוזים- החלטות ועדה'!E46)</f>
        <v>0</v>
      </c>
      <c r="F46" s="158">
        <f t="shared" ca="1" si="1"/>
        <v>680000</v>
      </c>
      <c r="G46" s="158">
        <f ca="1">'קיזוזים- החלטות ועדה'!G46</f>
        <v>651881.18156050739</v>
      </c>
      <c r="H46" s="169">
        <f t="shared" ca="1" si="2"/>
        <v>0</v>
      </c>
      <c r="I46" s="158">
        <f t="shared" ca="1" si="3"/>
        <v>651881.18156050739</v>
      </c>
      <c r="J46" s="158">
        <f t="shared" ca="1" si="4"/>
        <v>651881.18156050739</v>
      </c>
      <c r="K46" s="170">
        <f t="shared" ca="1" si="5"/>
        <v>0</v>
      </c>
      <c r="L46" s="171">
        <f t="shared" ca="1" si="6"/>
        <v>651881.18156050739</v>
      </c>
      <c r="M46" s="171">
        <f t="shared" ca="1" si="7"/>
        <v>651881.18156050739</v>
      </c>
      <c r="N46" s="170">
        <f t="shared" ca="1" si="8"/>
        <v>0</v>
      </c>
      <c r="O46" s="171">
        <f t="shared" ca="1" si="9"/>
        <v>651881.18156050739</v>
      </c>
      <c r="P46" s="171">
        <f t="shared" ca="1" si="10"/>
        <v>651881.18156050739</v>
      </c>
      <c r="Q46" s="170">
        <f t="shared" ca="1" si="11"/>
        <v>0</v>
      </c>
      <c r="R46" s="171">
        <f t="shared" ca="1" si="12"/>
        <v>651881.18156050739</v>
      </c>
      <c r="S46" s="171">
        <f t="shared" ca="1" si="13"/>
        <v>651881.18156050739</v>
      </c>
      <c r="T46" s="170">
        <f t="shared" ca="1" si="14"/>
        <v>0</v>
      </c>
      <c r="U46" s="171">
        <f t="shared" ca="1" si="15"/>
        <v>651881.18156050739</v>
      </c>
      <c r="V46" s="171">
        <f t="shared" ca="1" si="16"/>
        <v>651881.18156050739</v>
      </c>
      <c r="W46" s="158">
        <f t="shared" ca="1" si="17"/>
        <v>651881.18156050739</v>
      </c>
      <c r="X46" s="172">
        <f t="shared" ca="1" si="18"/>
        <v>4.3458745437367156E-2</v>
      </c>
    </row>
    <row r="47" spans="2:24" s="142" customFormat="1" hidden="1" x14ac:dyDescent="0.25">
      <c r="B47" s="143" t="str">
        <f t="shared" ca="1" si="0"/>
        <v/>
      </c>
      <c r="C47" s="144" t="str">
        <f ca="1">'קיזוזים- החלטות ועדה'!C47</f>
        <v/>
      </c>
      <c r="D47" s="158" t="str">
        <f ca="1">IF($C47="","",'הגבלה לסכום מבוקש (1)'!D47)</f>
        <v/>
      </c>
      <c r="E47" s="158" t="str">
        <f ca="1">IF($C47="","",'קיזוזים בגין איחורים'!F47+'קיזוזים- החלטות ועדה'!E47)</f>
        <v/>
      </c>
      <c r="F47" s="158" t="str">
        <f t="shared" ca="1" si="1"/>
        <v/>
      </c>
      <c r="G47" s="158" t="str">
        <f ca="1">'קיזוזים- החלטות ועדה'!G47</f>
        <v/>
      </c>
      <c r="H47" s="169" t="str">
        <f t="shared" ca="1" si="2"/>
        <v/>
      </c>
      <c r="I47" s="158" t="str">
        <f t="shared" ca="1" si="3"/>
        <v/>
      </c>
      <c r="J47" s="158" t="str">
        <f t="shared" ca="1" si="4"/>
        <v/>
      </c>
      <c r="K47" s="170">
        <f t="shared" ca="1" si="5"/>
        <v>0</v>
      </c>
      <c r="L47" s="171" t="str">
        <f t="shared" ca="1" si="6"/>
        <v/>
      </c>
      <c r="M47" s="171" t="str">
        <f t="shared" ca="1" si="7"/>
        <v/>
      </c>
      <c r="N47" s="170">
        <f t="shared" ca="1" si="8"/>
        <v>0</v>
      </c>
      <c r="O47" s="171" t="str">
        <f t="shared" ca="1" si="9"/>
        <v/>
      </c>
      <c r="P47" s="171" t="str">
        <f t="shared" ca="1" si="10"/>
        <v/>
      </c>
      <c r="Q47" s="170">
        <f t="shared" ca="1" si="11"/>
        <v>0</v>
      </c>
      <c r="R47" s="171" t="str">
        <f t="shared" ca="1" si="12"/>
        <v/>
      </c>
      <c r="S47" s="171" t="str">
        <f t="shared" ca="1" si="13"/>
        <v/>
      </c>
      <c r="T47" s="170">
        <f t="shared" ca="1" si="14"/>
        <v>0</v>
      </c>
      <c r="U47" s="171" t="str">
        <f t="shared" ca="1" si="15"/>
        <v/>
      </c>
      <c r="V47" s="171" t="str">
        <f t="shared" ca="1" si="16"/>
        <v/>
      </c>
      <c r="W47" s="158" t="str">
        <f t="shared" ca="1" si="17"/>
        <v/>
      </c>
      <c r="X47" s="172" t="str">
        <f t="shared" ca="1" si="18"/>
        <v/>
      </c>
    </row>
    <row r="48" spans="2:24" s="142" customFormat="1" x14ac:dyDescent="0.25">
      <c r="B48" s="143">
        <f t="shared" ca="1" si="0"/>
        <v>18</v>
      </c>
      <c r="C48" s="144" t="str">
        <f ca="1">'קיזוזים- החלטות ועדה'!C48</f>
        <v>ישיבת קרלין סטולין</v>
      </c>
      <c r="D48" s="158">
        <f ca="1">IF($C48="","",'הגבלה לסכום מבוקש (1)'!D48)</f>
        <v>700000</v>
      </c>
      <c r="E48" s="158">
        <f ca="1">IF($C48="","",'קיזוזים בגין איחורים'!F48+'קיזוזים- החלטות ועדה'!E48)</f>
        <v>0</v>
      </c>
      <c r="F48" s="158">
        <f t="shared" ca="1" si="1"/>
        <v>700000</v>
      </c>
      <c r="G48" s="158">
        <f ca="1">'קיזוזים- החלטות ועדה'!G48</f>
        <v>412430.85067945189</v>
      </c>
      <c r="H48" s="169">
        <f t="shared" ca="1" si="2"/>
        <v>0</v>
      </c>
      <c r="I48" s="158">
        <f t="shared" ca="1" si="3"/>
        <v>412430.85067945189</v>
      </c>
      <c r="J48" s="158">
        <f t="shared" ca="1" si="4"/>
        <v>412430.85067945189</v>
      </c>
      <c r="K48" s="170">
        <f t="shared" ca="1" si="5"/>
        <v>0</v>
      </c>
      <c r="L48" s="171">
        <f t="shared" ca="1" si="6"/>
        <v>412430.85067945189</v>
      </c>
      <c r="M48" s="171">
        <f t="shared" ca="1" si="7"/>
        <v>412430.85067945189</v>
      </c>
      <c r="N48" s="170">
        <f t="shared" ca="1" si="8"/>
        <v>0</v>
      </c>
      <c r="O48" s="171">
        <f t="shared" ca="1" si="9"/>
        <v>412430.85067945189</v>
      </c>
      <c r="P48" s="171">
        <f t="shared" ca="1" si="10"/>
        <v>412430.85067945189</v>
      </c>
      <c r="Q48" s="170">
        <f t="shared" ca="1" si="11"/>
        <v>0</v>
      </c>
      <c r="R48" s="171">
        <f t="shared" ca="1" si="12"/>
        <v>412430.85067945189</v>
      </c>
      <c r="S48" s="171">
        <f t="shared" ca="1" si="13"/>
        <v>412430.85067945189</v>
      </c>
      <c r="T48" s="170">
        <f t="shared" ca="1" si="14"/>
        <v>0</v>
      </c>
      <c r="U48" s="171">
        <f t="shared" ca="1" si="15"/>
        <v>412430.85067945189</v>
      </c>
      <c r="V48" s="171">
        <f t="shared" ca="1" si="16"/>
        <v>412430.85067945189</v>
      </c>
      <c r="W48" s="158">
        <f t="shared" ca="1" si="17"/>
        <v>412430.85067945189</v>
      </c>
      <c r="X48" s="172">
        <f t="shared" ca="1" si="18"/>
        <v>2.7495390045296792E-2</v>
      </c>
    </row>
    <row r="49" spans="2:24" s="142" customFormat="1" hidden="1" x14ac:dyDescent="0.25">
      <c r="B49" s="143" t="str">
        <f t="shared" ca="1" si="0"/>
        <v/>
      </c>
      <c r="C49" s="144" t="str">
        <f ca="1">'קיזוזים- החלטות ועדה'!C49</f>
        <v/>
      </c>
      <c r="D49" s="158" t="str">
        <f ca="1">IF($C49="","",'הגבלה לסכום מבוקש (1)'!D49)</f>
        <v/>
      </c>
      <c r="E49" s="158" t="str">
        <f ca="1">IF($C49="","",'קיזוזים בגין איחורים'!F49+'קיזוזים- החלטות ועדה'!E49)</f>
        <v/>
      </c>
      <c r="F49" s="158" t="str">
        <f t="shared" ca="1" si="1"/>
        <v/>
      </c>
      <c r="G49" s="158" t="str">
        <f ca="1">'קיזוזים- החלטות ועדה'!G49</f>
        <v/>
      </c>
      <c r="H49" s="169" t="str">
        <f t="shared" ca="1" si="2"/>
        <v/>
      </c>
      <c r="I49" s="158" t="str">
        <f t="shared" ca="1" si="3"/>
        <v/>
      </c>
      <c r="J49" s="158" t="str">
        <f t="shared" ca="1" si="4"/>
        <v/>
      </c>
      <c r="K49" s="170">
        <f t="shared" ca="1" si="5"/>
        <v>0</v>
      </c>
      <c r="L49" s="171" t="str">
        <f t="shared" ca="1" si="6"/>
        <v/>
      </c>
      <c r="M49" s="171" t="str">
        <f t="shared" ca="1" si="7"/>
        <v/>
      </c>
      <c r="N49" s="170">
        <f t="shared" ca="1" si="8"/>
        <v>0</v>
      </c>
      <c r="O49" s="171" t="str">
        <f t="shared" ca="1" si="9"/>
        <v/>
      </c>
      <c r="P49" s="171" t="str">
        <f t="shared" ca="1" si="10"/>
        <v/>
      </c>
      <c r="Q49" s="170">
        <f t="shared" ca="1" si="11"/>
        <v>0</v>
      </c>
      <c r="R49" s="171" t="str">
        <f t="shared" ca="1" si="12"/>
        <v/>
      </c>
      <c r="S49" s="171" t="str">
        <f t="shared" ca="1" si="13"/>
        <v/>
      </c>
      <c r="T49" s="170">
        <f t="shared" ca="1" si="14"/>
        <v>0</v>
      </c>
      <c r="U49" s="171" t="str">
        <f t="shared" ca="1" si="15"/>
        <v/>
      </c>
      <c r="V49" s="171" t="str">
        <f t="shared" ca="1" si="16"/>
        <v/>
      </c>
      <c r="W49" s="158" t="str">
        <f t="shared" ca="1" si="17"/>
        <v/>
      </c>
      <c r="X49" s="172" t="str">
        <f t="shared" ca="1" si="18"/>
        <v/>
      </c>
    </row>
    <row r="50" spans="2:24" s="142" customFormat="1" hidden="1" x14ac:dyDescent="0.25">
      <c r="B50" s="143" t="str">
        <f t="shared" ca="1" si="0"/>
        <v/>
      </c>
      <c r="C50" s="144" t="str">
        <f ca="1">'קיזוזים- החלטות ועדה'!C50</f>
        <v/>
      </c>
      <c r="D50" s="158" t="str">
        <f ca="1">IF($C50="","",'הגבלה לסכום מבוקש (1)'!D50)</f>
        <v/>
      </c>
      <c r="E50" s="158" t="str">
        <f ca="1">IF($C50="","",'קיזוזים בגין איחורים'!F50+'קיזוזים- החלטות ועדה'!E50)</f>
        <v/>
      </c>
      <c r="F50" s="158" t="str">
        <f t="shared" ca="1" si="1"/>
        <v/>
      </c>
      <c r="G50" s="158" t="str">
        <f ca="1">'קיזוזים- החלטות ועדה'!G50</f>
        <v/>
      </c>
      <c r="H50" s="169" t="str">
        <f t="shared" ca="1" si="2"/>
        <v/>
      </c>
      <c r="I50" s="158" t="str">
        <f t="shared" ca="1" si="3"/>
        <v/>
      </c>
      <c r="J50" s="158" t="str">
        <f t="shared" ca="1" si="4"/>
        <v/>
      </c>
      <c r="K50" s="170">
        <f t="shared" ca="1" si="5"/>
        <v>0</v>
      </c>
      <c r="L50" s="171" t="str">
        <f t="shared" ca="1" si="6"/>
        <v/>
      </c>
      <c r="M50" s="171" t="str">
        <f t="shared" ca="1" si="7"/>
        <v/>
      </c>
      <c r="N50" s="170">
        <f t="shared" ca="1" si="8"/>
        <v>0</v>
      </c>
      <c r="O50" s="171" t="str">
        <f t="shared" ca="1" si="9"/>
        <v/>
      </c>
      <c r="P50" s="171" t="str">
        <f t="shared" ca="1" si="10"/>
        <v/>
      </c>
      <c r="Q50" s="170">
        <f t="shared" ca="1" si="11"/>
        <v>0</v>
      </c>
      <c r="R50" s="171" t="str">
        <f t="shared" ca="1" si="12"/>
        <v/>
      </c>
      <c r="S50" s="171" t="str">
        <f t="shared" ca="1" si="13"/>
        <v/>
      </c>
      <c r="T50" s="170">
        <f t="shared" ca="1" si="14"/>
        <v>0</v>
      </c>
      <c r="U50" s="171" t="str">
        <f t="shared" ca="1" si="15"/>
        <v/>
      </c>
      <c r="V50" s="171" t="str">
        <f t="shared" ca="1" si="16"/>
        <v/>
      </c>
      <c r="W50" s="158" t="str">
        <f t="shared" ca="1" si="17"/>
        <v/>
      </c>
      <c r="X50" s="172" t="str">
        <f t="shared" ca="1" si="18"/>
        <v/>
      </c>
    </row>
    <row r="51" spans="2:24" s="142" customFormat="1" x14ac:dyDescent="0.25">
      <c r="B51" s="143">
        <f t="shared" ca="1" si="0"/>
        <v>21</v>
      </c>
      <c r="C51" s="144" t="str">
        <f ca="1">'קיזוזים- החלטות ועדה'!C51</f>
        <v>ברית יוצאי מרוקו</v>
      </c>
      <c r="D51" s="158">
        <f ca="1">IF($C51="","",'הגבלה לסכום מבוקש (1)'!D51)</f>
        <v>200000</v>
      </c>
      <c r="E51" s="158">
        <f ca="1">IF($C51="","",'קיזוזים בגין איחורים'!F51+'קיזוזים- החלטות ועדה'!E51)</f>
        <v>0</v>
      </c>
      <c r="F51" s="158">
        <f t="shared" ca="1" si="1"/>
        <v>200000</v>
      </c>
      <c r="G51" s="158">
        <f ca="1">'קיזוזים- החלטות ועדה'!G51</f>
        <v>200000</v>
      </c>
      <c r="H51" s="169">
        <f t="shared" ca="1" si="2"/>
        <v>0</v>
      </c>
      <c r="I51" s="158">
        <f t="shared" ca="1" si="3"/>
        <v>200000</v>
      </c>
      <c r="J51" s="158">
        <f t="shared" ca="1" si="4"/>
        <v>200000</v>
      </c>
      <c r="K51" s="170">
        <f t="shared" ca="1" si="5"/>
        <v>0</v>
      </c>
      <c r="L51" s="171">
        <f t="shared" ca="1" si="6"/>
        <v>200000</v>
      </c>
      <c r="M51" s="171">
        <f t="shared" ca="1" si="7"/>
        <v>200000</v>
      </c>
      <c r="N51" s="170">
        <f t="shared" ca="1" si="8"/>
        <v>0</v>
      </c>
      <c r="O51" s="171">
        <f t="shared" ca="1" si="9"/>
        <v>200000</v>
      </c>
      <c r="P51" s="171">
        <f t="shared" ca="1" si="10"/>
        <v>200000</v>
      </c>
      <c r="Q51" s="170">
        <f t="shared" ca="1" si="11"/>
        <v>0</v>
      </c>
      <c r="R51" s="171">
        <f t="shared" ca="1" si="12"/>
        <v>200000</v>
      </c>
      <c r="S51" s="171">
        <f t="shared" ca="1" si="13"/>
        <v>200000</v>
      </c>
      <c r="T51" s="170">
        <f t="shared" ca="1" si="14"/>
        <v>0</v>
      </c>
      <c r="U51" s="171">
        <f t="shared" ca="1" si="15"/>
        <v>200000</v>
      </c>
      <c r="V51" s="171">
        <f t="shared" ca="1" si="16"/>
        <v>200000</v>
      </c>
      <c r="W51" s="158">
        <f t="shared" ca="1" si="17"/>
        <v>200000</v>
      </c>
      <c r="X51" s="172">
        <f t="shared" ca="1" si="18"/>
        <v>1.3333333333333334E-2</v>
      </c>
    </row>
    <row r="52" spans="2:24" s="142" customFormat="1" x14ac:dyDescent="0.25">
      <c r="B52" s="143">
        <f t="shared" ca="1" si="0"/>
        <v>22</v>
      </c>
      <c r="C52" s="144" t="str">
        <f ca="1">'קיזוזים- החלטות ועדה'!C52</f>
        <v>הקם - בית הקונפדרציה</v>
      </c>
      <c r="D52" s="158">
        <f ca="1">IF($C52="","",'הגבלה לסכום מבוקש (1)'!D52)</f>
        <v>1400000</v>
      </c>
      <c r="E52" s="158">
        <f ca="1">IF($C52="","",'קיזוזים בגין איחורים'!F52+'קיזוזים- החלטות ועדה'!E52)</f>
        <v>0</v>
      </c>
      <c r="F52" s="158">
        <f t="shared" ca="1" si="1"/>
        <v>1400000</v>
      </c>
      <c r="G52" s="158">
        <f ca="1">'קיזוזים- החלטות ועדה'!G52</f>
        <v>632980.21099307202</v>
      </c>
      <c r="H52" s="169">
        <f t="shared" ca="1" si="2"/>
        <v>0</v>
      </c>
      <c r="I52" s="158">
        <f t="shared" ca="1" si="3"/>
        <v>632980.21099307202</v>
      </c>
      <c r="J52" s="158">
        <f t="shared" ca="1" si="4"/>
        <v>632980.21099307202</v>
      </c>
      <c r="K52" s="170">
        <f t="shared" ca="1" si="5"/>
        <v>0</v>
      </c>
      <c r="L52" s="171">
        <f t="shared" ca="1" si="6"/>
        <v>632980.21099307202</v>
      </c>
      <c r="M52" s="171">
        <f t="shared" ca="1" si="7"/>
        <v>632980.21099307202</v>
      </c>
      <c r="N52" s="170">
        <f t="shared" ca="1" si="8"/>
        <v>0</v>
      </c>
      <c r="O52" s="171">
        <f t="shared" ca="1" si="9"/>
        <v>632980.21099307202</v>
      </c>
      <c r="P52" s="171">
        <f t="shared" ca="1" si="10"/>
        <v>632980.21099307202</v>
      </c>
      <c r="Q52" s="170">
        <f t="shared" ca="1" si="11"/>
        <v>0</v>
      </c>
      <c r="R52" s="171">
        <f t="shared" ca="1" si="12"/>
        <v>632980.21099307202</v>
      </c>
      <c r="S52" s="171">
        <f t="shared" ca="1" si="13"/>
        <v>632980.21099307202</v>
      </c>
      <c r="T52" s="170">
        <f t="shared" ca="1" si="14"/>
        <v>0</v>
      </c>
      <c r="U52" s="171">
        <f t="shared" ca="1" si="15"/>
        <v>632980.21099307202</v>
      </c>
      <c r="V52" s="171">
        <f t="shared" ca="1" si="16"/>
        <v>632980.21099307202</v>
      </c>
      <c r="W52" s="158">
        <f t="shared" ca="1" si="17"/>
        <v>632980.21099307202</v>
      </c>
      <c r="X52" s="172">
        <f t="shared" ca="1" si="18"/>
        <v>4.2198680732871467E-2</v>
      </c>
    </row>
    <row r="53" spans="2:24" s="142" customFormat="1" x14ac:dyDescent="0.25">
      <c r="B53" s="143">
        <f t="shared" ca="1" si="0"/>
        <v>23</v>
      </c>
      <c r="C53" s="144" t="str">
        <f ca="1">'קיזוזים- החלטות ועדה'!C53</f>
        <v>מוסיקה מזרח מערב</v>
      </c>
      <c r="D53" s="158">
        <f ca="1">IF($C53="","",'הגבלה לסכום מבוקש (1)'!D53)</f>
        <v>1600000</v>
      </c>
      <c r="E53" s="158">
        <f ca="1">IF($C53="","",'קיזוזים בגין איחורים'!F53+'קיזוזים- החלטות ועדה'!E53)</f>
        <v>0</v>
      </c>
      <c r="F53" s="158">
        <f t="shared" ca="1" si="1"/>
        <v>1600000</v>
      </c>
      <c r="G53" s="158">
        <f ca="1">'קיזוזים- החלטות ועדה'!G53</f>
        <v>967272.34908523015</v>
      </c>
      <c r="H53" s="169">
        <f t="shared" ca="1" si="2"/>
        <v>0</v>
      </c>
      <c r="I53" s="158">
        <f t="shared" ca="1" si="3"/>
        <v>967272.34908523015</v>
      </c>
      <c r="J53" s="158">
        <f t="shared" ca="1" si="4"/>
        <v>967272.34908523026</v>
      </c>
      <c r="K53" s="170">
        <f t="shared" ca="1" si="5"/>
        <v>0</v>
      </c>
      <c r="L53" s="171">
        <f t="shared" ca="1" si="6"/>
        <v>967272.34908523026</v>
      </c>
      <c r="M53" s="171">
        <f t="shared" ca="1" si="7"/>
        <v>967272.34908523026</v>
      </c>
      <c r="N53" s="170">
        <f t="shared" ca="1" si="8"/>
        <v>0</v>
      </c>
      <c r="O53" s="171">
        <f t="shared" ca="1" si="9"/>
        <v>967272.34908523026</v>
      </c>
      <c r="P53" s="171">
        <f t="shared" ca="1" si="10"/>
        <v>967272.34908523026</v>
      </c>
      <c r="Q53" s="170">
        <f t="shared" ca="1" si="11"/>
        <v>0</v>
      </c>
      <c r="R53" s="171">
        <f t="shared" ca="1" si="12"/>
        <v>967272.34908523026</v>
      </c>
      <c r="S53" s="171">
        <f t="shared" ca="1" si="13"/>
        <v>967272.34908523026</v>
      </c>
      <c r="T53" s="170">
        <f t="shared" ca="1" si="14"/>
        <v>0</v>
      </c>
      <c r="U53" s="171">
        <f t="shared" ca="1" si="15"/>
        <v>967272.34908523026</v>
      </c>
      <c r="V53" s="171">
        <f t="shared" ca="1" si="16"/>
        <v>967272.34908523026</v>
      </c>
      <c r="W53" s="158">
        <f t="shared" ca="1" si="17"/>
        <v>967272.34908523026</v>
      </c>
      <c r="X53" s="172">
        <f t="shared" ca="1" si="18"/>
        <v>6.4484823272348682E-2</v>
      </c>
    </row>
    <row r="54" spans="2:24" s="142" customFormat="1" x14ac:dyDescent="0.25">
      <c r="B54" s="143">
        <f t="shared" ca="1" si="0"/>
        <v>24</v>
      </c>
      <c r="C54" s="144" t="str">
        <f ca="1">'קיזוזים- החלטות ועדה'!C54</f>
        <v>אעלה בתמר</v>
      </c>
      <c r="D54" s="158">
        <f ca="1">IF($C54="","",'הגבלה לסכום מבוקש (1)'!D54)</f>
        <v>1500000</v>
      </c>
      <c r="E54" s="158">
        <f ca="1">IF($C54="","",'קיזוזים בגין איחורים'!F54+'קיזוזים- החלטות ועדה'!E54)</f>
        <v>0</v>
      </c>
      <c r="F54" s="158">
        <f t="shared" ca="1" si="1"/>
        <v>1500000</v>
      </c>
      <c r="G54" s="158">
        <f ca="1">'קיזוזים- החלטות ועדה'!G54</f>
        <v>1500000</v>
      </c>
      <c r="H54" s="169">
        <f t="shared" ca="1" si="2"/>
        <v>0</v>
      </c>
      <c r="I54" s="158">
        <f t="shared" ca="1" si="3"/>
        <v>1500000</v>
      </c>
      <c r="J54" s="158">
        <f t="shared" ca="1" si="4"/>
        <v>1500000</v>
      </c>
      <c r="K54" s="170">
        <f t="shared" ca="1" si="5"/>
        <v>0</v>
      </c>
      <c r="L54" s="171">
        <f t="shared" ca="1" si="6"/>
        <v>1500000</v>
      </c>
      <c r="M54" s="171">
        <f t="shared" ca="1" si="7"/>
        <v>1500000</v>
      </c>
      <c r="N54" s="170">
        <f t="shared" ca="1" si="8"/>
        <v>0</v>
      </c>
      <c r="O54" s="171">
        <f t="shared" ca="1" si="9"/>
        <v>1500000</v>
      </c>
      <c r="P54" s="171">
        <f t="shared" ca="1" si="10"/>
        <v>1500000</v>
      </c>
      <c r="Q54" s="170">
        <f t="shared" ca="1" si="11"/>
        <v>0</v>
      </c>
      <c r="R54" s="171">
        <f t="shared" ca="1" si="12"/>
        <v>1500000</v>
      </c>
      <c r="S54" s="171">
        <f t="shared" ca="1" si="13"/>
        <v>1500000</v>
      </c>
      <c r="T54" s="170">
        <f t="shared" ca="1" si="14"/>
        <v>0</v>
      </c>
      <c r="U54" s="171">
        <f t="shared" ca="1" si="15"/>
        <v>1500000</v>
      </c>
      <c r="V54" s="171">
        <f t="shared" ca="1" si="16"/>
        <v>1500000</v>
      </c>
      <c r="W54" s="158">
        <f t="shared" ca="1" si="17"/>
        <v>1500000</v>
      </c>
      <c r="X54" s="172">
        <f t="shared" ca="1" si="18"/>
        <v>0.1</v>
      </c>
    </row>
    <row r="55" spans="2:24" s="142" customFormat="1" hidden="1" x14ac:dyDescent="0.25">
      <c r="B55" s="143" t="str">
        <f t="shared" ca="1" si="0"/>
        <v/>
      </c>
      <c r="C55" s="144" t="str">
        <f ca="1">'קיזוזים- החלטות ועדה'!C55</f>
        <v/>
      </c>
      <c r="D55" s="158" t="str">
        <f ca="1">IF($C55="","",'הגבלה לסכום מבוקש (1)'!D55)</f>
        <v/>
      </c>
      <c r="E55" s="158" t="str">
        <f ca="1">IF($C55="","",'קיזוזים בגין איחורים'!F55+'קיזוזים- החלטות ועדה'!E55)</f>
        <v/>
      </c>
      <c r="F55" s="158" t="str">
        <f t="shared" ca="1" si="1"/>
        <v/>
      </c>
      <c r="G55" s="158" t="str">
        <f ca="1">'קיזוזים- החלטות ועדה'!G55</f>
        <v/>
      </c>
      <c r="H55" s="169" t="str">
        <f t="shared" ca="1" si="2"/>
        <v/>
      </c>
      <c r="I55" s="158" t="str">
        <f t="shared" ca="1" si="3"/>
        <v/>
      </c>
      <c r="J55" s="158" t="str">
        <f t="shared" ca="1" si="4"/>
        <v/>
      </c>
      <c r="K55" s="170">
        <f t="shared" ca="1" si="5"/>
        <v>0</v>
      </c>
      <c r="L55" s="171" t="str">
        <f t="shared" ca="1" si="6"/>
        <v/>
      </c>
      <c r="M55" s="171" t="str">
        <f t="shared" ca="1" si="7"/>
        <v/>
      </c>
      <c r="N55" s="170">
        <f t="shared" ca="1" si="8"/>
        <v>0</v>
      </c>
      <c r="O55" s="171" t="str">
        <f t="shared" ca="1" si="9"/>
        <v/>
      </c>
      <c r="P55" s="171" t="str">
        <f t="shared" ca="1" si="10"/>
        <v/>
      </c>
      <c r="Q55" s="170">
        <f t="shared" ca="1" si="11"/>
        <v>0</v>
      </c>
      <c r="R55" s="171" t="str">
        <f t="shared" ca="1" si="12"/>
        <v/>
      </c>
      <c r="S55" s="171" t="str">
        <f t="shared" ca="1" si="13"/>
        <v/>
      </c>
      <c r="T55" s="170">
        <f t="shared" ca="1" si="14"/>
        <v>0</v>
      </c>
      <c r="U55" s="171" t="str">
        <f t="shared" ca="1" si="15"/>
        <v/>
      </c>
      <c r="V55" s="171" t="str">
        <f t="shared" ca="1" si="16"/>
        <v/>
      </c>
      <c r="W55" s="158" t="str">
        <f t="shared" ca="1" si="17"/>
        <v/>
      </c>
      <c r="X55" s="172" t="str">
        <f t="shared" ca="1" si="18"/>
        <v/>
      </c>
    </row>
    <row r="56" spans="2:24" s="142" customFormat="1" hidden="1" x14ac:dyDescent="0.25">
      <c r="B56" s="143" t="str">
        <f t="shared" ca="1" si="0"/>
        <v/>
      </c>
      <c r="C56" s="144" t="str">
        <f ca="1">'קיזוזים- החלטות ועדה'!C56</f>
        <v/>
      </c>
      <c r="D56" s="158" t="str">
        <f ca="1">IF($C56="","",'הגבלה לסכום מבוקש (1)'!D56)</f>
        <v/>
      </c>
      <c r="E56" s="158" t="str">
        <f ca="1">IF($C56="","",'קיזוזים בגין איחורים'!F56+'קיזוזים- החלטות ועדה'!E56)</f>
        <v/>
      </c>
      <c r="F56" s="158" t="str">
        <f t="shared" ca="1" si="1"/>
        <v/>
      </c>
      <c r="G56" s="158" t="str">
        <f ca="1">'קיזוזים- החלטות ועדה'!G56</f>
        <v/>
      </c>
      <c r="H56" s="169" t="str">
        <f t="shared" ca="1" si="2"/>
        <v/>
      </c>
      <c r="I56" s="158" t="str">
        <f t="shared" ca="1" si="3"/>
        <v/>
      </c>
      <c r="J56" s="158" t="str">
        <f t="shared" ca="1" si="4"/>
        <v/>
      </c>
      <c r="K56" s="170">
        <f t="shared" ca="1" si="5"/>
        <v>0</v>
      </c>
      <c r="L56" s="171" t="str">
        <f t="shared" ca="1" si="6"/>
        <v/>
      </c>
      <c r="M56" s="171" t="str">
        <f t="shared" ca="1" si="7"/>
        <v/>
      </c>
      <c r="N56" s="170">
        <f t="shared" ca="1" si="8"/>
        <v>0</v>
      </c>
      <c r="O56" s="171" t="str">
        <f t="shared" ca="1" si="9"/>
        <v/>
      </c>
      <c r="P56" s="171" t="str">
        <f t="shared" ca="1" si="10"/>
        <v/>
      </c>
      <c r="Q56" s="170">
        <f t="shared" ca="1" si="11"/>
        <v>0</v>
      </c>
      <c r="R56" s="171" t="str">
        <f t="shared" ca="1" si="12"/>
        <v/>
      </c>
      <c r="S56" s="171" t="str">
        <f t="shared" ca="1" si="13"/>
        <v/>
      </c>
      <c r="T56" s="170">
        <f t="shared" ca="1" si="14"/>
        <v>0</v>
      </c>
      <c r="U56" s="171" t="str">
        <f t="shared" ca="1" si="15"/>
        <v/>
      </c>
      <c r="V56" s="171" t="str">
        <f t="shared" ca="1" si="16"/>
        <v/>
      </c>
      <c r="W56" s="158" t="str">
        <f t="shared" ca="1" si="17"/>
        <v/>
      </c>
      <c r="X56" s="172" t="str">
        <f t="shared" ca="1" si="18"/>
        <v/>
      </c>
    </row>
    <row r="57" spans="2:24" s="142" customFormat="1" x14ac:dyDescent="0.25">
      <c r="B57" s="143">
        <f t="shared" ca="1" si="0"/>
        <v>27</v>
      </c>
      <c r="C57" s="144" t="str">
        <f ca="1">'קיזוזים- החלטות ועדה'!C57</f>
        <v>מכון הברמן</v>
      </c>
      <c r="D57" s="158">
        <f ca="1">IF($C57="","",'הגבלה לסכום מבוקש (1)'!D57)</f>
        <v>725000</v>
      </c>
      <c r="E57" s="158">
        <f ca="1">IF($C57="","",'קיזוזים בגין איחורים'!F57+'קיזוזים- החלטות ועדה'!E57)</f>
        <v>0</v>
      </c>
      <c r="F57" s="158">
        <f t="shared" ca="1" si="1"/>
        <v>725000</v>
      </c>
      <c r="G57" s="158">
        <f ca="1">'קיזוזים- החלטות ועדה'!G57</f>
        <v>335774.41578064195</v>
      </c>
      <c r="H57" s="169">
        <f t="shared" ca="1" si="2"/>
        <v>0</v>
      </c>
      <c r="I57" s="158">
        <f t="shared" ca="1" si="3"/>
        <v>335774.41578064195</v>
      </c>
      <c r="J57" s="158">
        <f t="shared" ca="1" si="4"/>
        <v>335774.41578064195</v>
      </c>
      <c r="K57" s="170">
        <f t="shared" ca="1" si="5"/>
        <v>0</v>
      </c>
      <c r="L57" s="171">
        <f t="shared" ca="1" si="6"/>
        <v>335774.41578064195</v>
      </c>
      <c r="M57" s="171">
        <f t="shared" ca="1" si="7"/>
        <v>335774.41578064195</v>
      </c>
      <c r="N57" s="170">
        <f t="shared" ca="1" si="8"/>
        <v>0</v>
      </c>
      <c r="O57" s="171">
        <f t="shared" ca="1" si="9"/>
        <v>335774.41578064195</v>
      </c>
      <c r="P57" s="171">
        <f t="shared" ca="1" si="10"/>
        <v>335774.41578064195</v>
      </c>
      <c r="Q57" s="170">
        <f t="shared" ca="1" si="11"/>
        <v>0</v>
      </c>
      <c r="R57" s="171">
        <f t="shared" ca="1" si="12"/>
        <v>335774.41578064195</v>
      </c>
      <c r="S57" s="171">
        <f t="shared" ca="1" si="13"/>
        <v>335774.41578064195</v>
      </c>
      <c r="T57" s="170">
        <f t="shared" ca="1" si="14"/>
        <v>0</v>
      </c>
      <c r="U57" s="171">
        <f t="shared" ca="1" si="15"/>
        <v>335774.41578064195</v>
      </c>
      <c r="V57" s="171">
        <f t="shared" ca="1" si="16"/>
        <v>335774.41578064195</v>
      </c>
      <c r="W57" s="158">
        <f t="shared" ca="1" si="17"/>
        <v>335774.41578064195</v>
      </c>
      <c r="X57" s="172">
        <f t="shared" ca="1" si="18"/>
        <v>2.2384961052042796E-2</v>
      </c>
    </row>
    <row r="58" spans="2:24" s="142" customFormat="1" hidden="1" x14ac:dyDescent="0.25">
      <c r="B58" s="143" t="str">
        <f t="shared" ca="1" si="0"/>
        <v/>
      </c>
      <c r="C58" s="144" t="str">
        <f ca="1">'קיזוזים- החלטות ועדה'!C58</f>
        <v/>
      </c>
      <c r="D58" s="158" t="str">
        <f ca="1">IF($C58="","",'הגבלה לסכום מבוקש (1)'!D58)</f>
        <v/>
      </c>
      <c r="E58" s="158" t="str">
        <f ca="1">IF($C58="","",'קיזוזים בגין איחורים'!F58+'קיזוזים- החלטות ועדה'!E58)</f>
        <v/>
      </c>
      <c r="F58" s="158" t="str">
        <f t="shared" ca="1" si="1"/>
        <v/>
      </c>
      <c r="G58" s="158" t="str">
        <f ca="1">'קיזוזים- החלטות ועדה'!G58</f>
        <v/>
      </c>
      <c r="H58" s="169" t="str">
        <f t="shared" ca="1" si="2"/>
        <v/>
      </c>
      <c r="I58" s="158" t="str">
        <f t="shared" ca="1" si="3"/>
        <v/>
      </c>
      <c r="J58" s="158" t="str">
        <f t="shared" ca="1" si="4"/>
        <v/>
      </c>
      <c r="K58" s="170">
        <f t="shared" ca="1" si="5"/>
        <v>0</v>
      </c>
      <c r="L58" s="171" t="str">
        <f t="shared" ca="1" si="6"/>
        <v/>
      </c>
      <c r="M58" s="171" t="str">
        <f t="shared" ca="1" si="7"/>
        <v/>
      </c>
      <c r="N58" s="170">
        <f t="shared" ca="1" si="8"/>
        <v>0</v>
      </c>
      <c r="O58" s="171" t="str">
        <f t="shared" ca="1" si="9"/>
        <v/>
      </c>
      <c r="P58" s="171" t="str">
        <f t="shared" ca="1" si="10"/>
        <v/>
      </c>
      <c r="Q58" s="170">
        <f t="shared" ca="1" si="11"/>
        <v>0</v>
      </c>
      <c r="R58" s="171" t="str">
        <f t="shared" ca="1" si="12"/>
        <v/>
      </c>
      <c r="S58" s="171" t="str">
        <f t="shared" ca="1" si="13"/>
        <v/>
      </c>
      <c r="T58" s="170">
        <f t="shared" ca="1" si="14"/>
        <v>0</v>
      </c>
      <c r="U58" s="171" t="str">
        <f t="shared" ca="1" si="15"/>
        <v/>
      </c>
      <c r="V58" s="171" t="str">
        <f t="shared" ca="1" si="16"/>
        <v/>
      </c>
      <c r="W58" s="158" t="str">
        <f t="shared" ca="1" si="17"/>
        <v/>
      </c>
      <c r="X58" s="172" t="str">
        <f t="shared" ca="1" si="18"/>
        <v/>
      </c>
    </row>
    <row r="59" spans="2:24" s="142" customFormat="1" x14ac:dyDescent="0.25">
      <c r="B59" s="143" t="str">
        <f t="shared" ca="1" si="0"/>
        <v/>
      </c>
      <c r="C59" s="144" t="str">
        <f ca="1">'קיזוזים- החלטות ועדה'!C59</f>
        <v/>
      </c>
      <c r="D59" s="158" t="str">
        <f ca="1">IF($C59="","",'הגבלה לסכום מבוקש (1)'!D59)</f>
        <v/>
      </c>
      <c r="E59" s="158" t="str">
        <f ca="1">IF($C59="","",'קיזוזים בגין איחורים'!F59+'קיזוזים- החלטות ועדה'!E59)</f>
        <v/>
      </c>
      <c r="F59" s="158" t="str">
        <f t="shared" ca="1" si="1"/>
        <v/>
      </c>
      <c r="G59" s="158" t="str">
        <f ca="1">'קיזוזים- החלטות ועדה'!G59</f>
        <v/>
      </c>
      <c r="H59" s="169" t="str">
        <f t="shared" ca="1" si="2"/>
        <v/>
      </c>
      <c r="I59" s="158" t="str">
        <f t="shared" ca="1" si="3"/>
        <v/>
      </c>
      <c r="J59" s="158" t="str">
        <f t="shared" ca="1" si="4"/>
        <v/>
      </c>
      <c r="K59" s="170">
        <f t="shared" ca="1" si="5"/>
        <v>0</v>
      </c>
      <c r="L59" s="171" t="str">
        <f t="shared" ca="1" si="6"/>
        <v/>
      </c>
      <c r="M59" s="171" t="str">
        <f t="shared" ca="1" si="7"/>
        <v/>
      </c>
      <c r="N59" s="170">
        <f t="shared" ca="1" si="8"/>
        <v>0</v>
      </c>
      <c r="O59" s="171" t="str">
        <f t="shared" ca="1" si="9"/>
        <v/>
      </c>
      <c r="P59" s="171" t="str">
        <f t="shared" ca="1" si="10"/>
        <v/>
      </c>
      <c r="Q59" s="170">
        <f t="shared" ca="1" si="11"/>
        <v>0</v>
      </c>
      <c r="R59" s="171" t="str">
        <f t="shared" ca="1" si="12"/>
        <v/>
      </c>
      <c r="S59" s="171" t="str">
        <f t="shared" ca="1" si="13"/>
        <v/>
      </c>
      <c r="T59" s="170">
        <f t="shared" ca="1" si="14"/>
        <v>0</v>
      </c>
      <c r="U59" s="171" t="str">
        <f t="shared" ca="1" si="15"/>
        <v/>
      </c>
      <c r="V59" s="171" t="str">
        <f t="shared" ca="1" si="16"/>
        <v/>
      </c>
      <c r="W59" s="158" t="str">
        <f t="shared" ca="1" si="17"/>
        <v/>
      </c>
      <c r="X59" s="172" t="str">
        <f t="shared" ca="1" si="18"/>
        <v/>
      </c>
    </row>
    <row r="60" spans="2:24" s="142" customFormat="1" hidden="1" x14ac:dyDescent="0.25">
      <c r="B60" s="143" t="str">
        <f t="shared" ca="1" si="0"/>
        <v/>
      </c>
      <c r="C60" s="144" t="str">
        <f ca="1">'קיזוזים- החלטות ועדה'!C60</f>
        <v/>
      </c>
      <c r="D60" s="158" t="str">
        <f ca="1">IF($C60="","",'הגבלה לסכום מבוקש (1)'!D60)</f>
        <v/>
      </c>
      <c r="E60" s="158" t="str">
        <f ca="1">IF($C60="","",'קיזוזים בגין איחורים'!F60+'קיזוזים- החלטות ועדה'!E60)</f>
        <v/>
      </c>
      <c r="F60" s="158" t="str">
        <f t="shared" ca="1" si="1"/>
        <v/>
      </c>
      <c r="G60" s="158" t="str">
        <f ca="1">'קיזוזים- החלטות ועדה'!G60</f>
        <v/>
      </c>
      <c r="H60" s="169" t="str">
        <f t="shared" ca="1" si="2"/>
        <v/>
      </c>
      <c r="I60" s="158" t="str">
        <f t="shared" ca="1" si="3"/>
        <v/>
      </c>
      <c r="J60" s="158" t="str">
        <f t="shared" ca="1" si="4"/>
        <v/>
      </c>
      <c r="K60" s="170">
        <f t="shared" ca="1" si="5"/>
        <v>0</v>
      </c>
      <c r="L60" s="171" t="str">
        <f t="shared" ca="1" si="6"/>
        <v/>
      </c>
      <c r="M60" s="171" t="str">
        <f t="shared" ca="1" si="7"/>
        <v/>
      </c>
      <c r="N60" s="170">
        <f t="shared" ca="1" si="8"/>
        <v>0</v>
      </c>
      <c r="O60" s="171" t="str">
        <f t="shared" ca="1" si="9"/>
        <v/>
      </c>
      <c r="P60" s="171" t="str">
        <f t="shared" ca="1" si="10"/>
        <v/>
      </c>
      <c r="Q60" s="170">
        <f t="shared" ca="1" si="11"/>
        <v>0</v>
      </c>
      <c r="R60" s="171" t="str">
        <f t="shared" ca="1" si="12"/>
        <v/>
      </c>
      <c r="S60" s="171" t="str">
        <f t="shared" ca="1" si="13"/>
        <v/>
      </c>
      <c r="T60" s="170">
        <f t="shared" ca="1" si="14"/>
        <v>0</v>
      </c>
      <c r="U60" s="171" t="str">
        <f t="shared" ca="1" si="15"/>
        <v/>
      </c>
      <c r="V60" s="171" t="str">
        <f t="shared" ca="1" si="16"/>
        <v/>
      </c>
      <c r="W60" s="158" t="str">
        <f t="shared" ca="1" si="17"/>
        <v/>
      </c>
      <c r="X60" s="172" t="str">
        <f t="shared" ca="1" si="18"/>
        <v/>
      </c>
    </row>
    <row r="61" spans="2:24" s="142" customFormat="1" hidden="1" x14ac:dyDescent="0.25">
      <c r="B61" s="143">
        <f t="shared" ca="1" si="0"/>
        <v>31</v>
      </c>
      <c r="C61" s="144" t="str">
        <f ca="1">'קיזוזים- החלטות ועדה'!C61</f>
        <v>כולנא</v>
      </c>
      <c r="D61" s="158">
        <f ca="1">IF($C61="","",'הגבלה לסכום מבוקש (1)'!D61)</f>
        <v>1500000</v>
      </c>
      <c r="E61" s="158">
        <f ca="1">IF($C61="","",'קיזוזים בגין איחורים'!F61+'קיזוזים- החלטות ועדה'!E61)</f>
        <v>0</v>
      </c>
      <c r="F61" s="158">
        <f t="shared" ca="1" si="1"/>
        <v>1500000</v>
      </c>
      <c r="G61" s="158">
        <f ca="1">'קיזוזים- החלטות ועדה'!G61</f>
        <v>548049.35731184587</v>
      </c>
      <c r="H61" s="169">
        <f t="shared" ca="1" si="2"/>
        <v>0</v>
      </c>
      <c r="I61" s="158">
        <f t="shared" ca="1" si="3"/>
        <v>548049.35731184587</v>
      </c>
      <c r="J61" s="158">
        <f t="shared" ca="1" si="4"/>
        <v>548049.35731184587</v>
      </c>
      <c r="K61" s="170">
        <f t="shared" ca="1" si="5"/>
        <v>0</v>
      </c>
      <c r="L61" s="171">
        <f t="shared" ca="1" si="6"/>
        <v>548049.35731184587</v>
      </c>
      <c r="M61" s="171">
        <f t="shared" ca="1" si="7"/>
        <v>548049.35731184587</v>
      </c>
      <c r="N61" s="170">
        <f t="shared" ca="1" si="8"/>
        <v>0</v>
      </c>
      <c r="O61" s="171">
        <f t="shared" ca="1" si="9"/>
        <v>548049.35731184587</v>
      </c>
      <c r="P61" s="171">
        <f t="shared" ca="1" si="10"/>
        <v>548049.35731184587</v>
      </c>
      <c r="Q61" s="170">
        <f t="shared" ca="1" si="11"/>
        <v>0</v>
      </c>
      <c r="R61" s="171">
        <f t="shared" ca="1" si="12"/>
        <v>548049.35731184587</v>
      </c>
      <c r="S61" s="171">
        <f t="shared" ca="1" si="13"/>
        <v>548049.35731184587</v>
      </c>
      <c r="T61" s="170">
        <f t="shared" ca="1" si="14"/>
        <v>0</v>
      </c>
      <c r="U61" s="171">
        <f t="shared" ca="1" si="15"/>
        <v>548049.35731184587</v>
      </c>
      <c r="V61" s="171">
        <f t="shared" ca="1" si="16"/>
        <v>548049.35731184587</v>
      </c>
      <c r="W61" s="158">
        <f t="shared" ca="1" si="17"/>
        <v>548049.35731184587</v>
      </c>
      <c r="X61" s="172">
        <f t="shared" ca="1" si="18"/>
        <v>3.6536623820789725E-2</v>
      </c>
    </row>
    <row r="62" spans="2:24" s="142" customFormat="1" hidden="1" x14ac:dyDescent="0.25">
      <c r="B62" s="143" t="str">
        <f t="shared" ca="1" si="0"/>
        <v/>
      </c>
      <c r="C62" s="144" t="str">
        <f ca="1">'קיזוזים- החלטות ועדה'!C62</f>
        <v/>
      </c>
      <c r="D62" s="158" t="str">
        <f ca="1">IF($C62="","",'הגבלה לסכום מבוקש (1)'!D62)</f>
        <v/>
      </c>
      <c r="E62" s="158" t="str">
        <f ca="1">IF($C62="","",'קיזוזים בגין איחורים'!F62+'קיזוזים- החלטות ועדה'!E62)</f>
        <v/>
      </c>
      <c r="F62" s="158" t="str">
        <f t="shared" ca="1" si="1"/>
        <v/>
      </c>
      <c r="G62" s="158" t="str">
        <f ca="1">'קיזוזים- החלטות ועדה'!G62</f>
        <v/>
      </c>
      <c r="H62" s="169" t="str">
        <f t="shared" ca="1" si="2"/>
        <v/>
      </c>
      <c r="I62" s="158" t="str">
        <f t="shared" ca="1" si="3"/>
        <v/>
      </c>
      <c r="J62" s="158" t="str">
        <f t="shared" ca="1" si="4"/>
        <v/>
      </c>
      <c r="K62" s="170">
        <f t="shared" ca="1" si="5"/>
        <v>0</v>
      </c>
      <c r="L62" s="171" t="str">
        <f t="shared" ca="1" si="6"/>
        <v/>
      </c>
      <c r="M62" s="171" t="str">
        <f t="shared" ca="1" si="7"/>
        <v/>
      </c>
      <c r="N62" s="170">
        <f t="shared" ca="1" si="8"/>
        <v>0</v>
      </c>
      <c r="O62" s="171" t="str">
        <f t="shared" ca="1" si="9"/>
        <v/>
      </c>
      <c r="P62" s="171" t="str">
        <f t="shared" ca="1" si="10"/>
        <v/>
      </c>
      <c r="Q62" s="170">
        <f t="shared" ca="1" si="11"/>
        <v>0</v>
      </c>
      <c r="R62" s="171" t="str">
        <f t="shared" ca="1" si="12"/>
        <v/>
      </c>
      <c r="S62" s="171" t="str">
        <f t="shared" ca="1" si="13"/>
        <v/>
      </c>
      <c r="T62" s="170">
        <f t="shared" ca="1" si="14"/>
        <v>0</v>
      </c>
      <c r="U62" s="171" t="str">
        <f t="shared" ca="1" si="15"/>
        <v/>
      </c>
      <c r="V62" s="171" t="str">
        <f t="shared" ca="1" si="16"/>
        <v/>
      </c>
      <c r="W62" s="158" t="str">
        <f t="shared" ca="1" si="17"/>
        <v/>
      </c>
      <c r="X62" s="172" t="str">
        <f t="shared" ca="1" si="18"/>
        <v/>
      </c>
    </row>
    <row r="63" spans="2:24" s="142" customFormat="1" hidden="1" x14ac:dyDescent="0.25">
      <c r="B63" s="143" t="str">
        <f t="shared" ca="1" si="0"/>
        <v/>
      </c>
      <c r="C63" s="144" t="str">
        <f ca="1">'קיזוזים- החלטות ועדה'!C63</f>
        <v/>
      </c>
      <c r="D63" s="158" t="str">
        <f ca="1">IF($C63="","",'הגבלה לסכום מבוקש (1)'!D63)</f>
        <v/>
      </c>
      <c r="E63" s="158" t="str">
        <f ca="1">IF($C63="","",'קיזוזים בגין איחורים'!F63+'קיזוזים- החלטות ועדה'!E63)</f>
        <v/>
      </c>
      <c r="F63" s="158" t="str">
        <f t="shared" ca="1" si="1"/>
        <v/>
      </c>
      <c r="G63" s="158" t="str">
        <f ca="1">'קיזוזים- החלטות ועדה'!G63</f>
        <v/>
      </c>
      <c r="H63" s="169" t="str">
        <f t="shared" ca="1" si="2"/>
        <v/>
      </c>
      <c r="I63" s="158" t="str">
        <f t="shared" ca="1" si="3"/>
        <v/>
      </c>
      <c r="J63" s="158" t="str">
        <f t="shared" ca="1" si="4"/>
        <v/>
      </c>
      <c r="K63" s="170">
        <f t="shared" ca="1" si="5"/>
        <v>0</v>
      </c>
      <c r="L63" s="171" t="str">
        <f t="shared" ca="1" si="6"/>
        <v/>
      </c>
      <c r="M63" s="171" t="str">
        <f t="shared" ca="1" si="7"/>
        <v/>
      </c>
      <c r="N63" s="170">
        <f t="shared" ca="1" si="8"/>
        <v>0</v>
      </c>
      <c r="O63" s="171" t="str">
        <f t="shared" ca="1" si="9"/>
        <v/>
      </c>
      <c r="P63" s="171" t="str">
        <f t="shared" ca="1" si="10"/>
        <v/>
      </c>
      <c r="Q63" s="170">
        <f t="shared" ca="1" si="11"/>
        <v>0</v>
      </c>
      <c r="R63" s="171" t="str">
        <f t="shared" ca="1" si="12"/>
        <v/>
      </c>
      <c r="S63" s="171" t="str">
        <f t="shared" ca="1" si="13"/>
        <v/>
      </c>
      <c r="T63" s="170">
        <f t="shared" ca="1" si="14"/>
        <v>0</v>
      </c>
      <c r="U63" s="171" t="str">
        <f t="shared" ca="1" si="15"/>
        <v/>
      </c>
      <c r="V63" s="171" t="str">
        <f t="shared" ca="1" si="16"/>
        <v/>
      </c>
      <c r="W63" s="158" t="str">
        <f t="shared" ca="1" si="17"/>
        <v/>
      </c>
      <c r="X63" s="172" t="str">
        <f t="shared" ca="1" si="18"/>
        <v/>
      </c>
    </row>
    <row r="64" spans="2:24" s="142" customFormat="1" hidden="1" x14ac:dyDescent="0.25">
      <c r="B64" s="143" t="str">
        <f t="shared" ca="1" si="0"/>
        <v/>
      </c>
      <c r="C64" s="144" t="str">
        <f ca="1">'קיזוזים- החלטות ועדה'!C64</f>
        <v/>
      </c>
      <c r="D64" s="158" t="str">
        <f ca="1">IF($C64="","",'הגבלה לסכום מבוקש (1)'!D64)</f>
        <v/>
      </c>
      <c r="E64" s="158" t="str">
        <f ca="1">IF($C64="","",'קיזוזים בגין איחורים'!F64+'קיזוזים- החלטות ועדה'!E64)</f>
        <v/>
      </c>
      <c r="F64" s="158" t="str">
        <f t="shared" ca="1" si="1"/>
        <v/>
      </c>
      <c r="G64" s="158" t="str">
        <f ca="1">'קיזוזים- החלטות ועדה'!G64</f>
        <v/>
      </c>
      <c r="H64" s="169" t="str">
        <f t="shared" ca="1" si="2"/>
        <v/>
      </c>
      <c r="I64" s="158" t="str">
        <f t="shared" ca="1" si="3"/>
        <v/>
      </c>
      <c r="J64" s="158" t="str">
        <f t="shared" ca="1" si="4"/>
        <v/>
      </c>
      <c r="K64" s="170">
        <f t="shared" ca="1" si="5"/>
        <v>0</v>
      </c>
      <c r="L64" s="171" t="str">
        <f t="shared" ca="1" si="6"/>
        <v/>
      </c>
      <c r="M64" s="171" t="str">
        <f t="shared" ca="1" si="7"/>
        <v/>
      </c>
      <c r="N64" s="170">
        <f t="shared" ca="1" si="8"/>
        <v>0</v>
      </c>
      <c r="O64" s="171" t="str">
        <f t="shared" ca="1" si="9"/>
        <v/>
      </c>
      <c r="P64" s="171" t="str">
        <f t="shared" ca="1" si="10"/>
        <v/>
      </c>
      <c r="Q64" s="170">
        <f t="shared" ca="1" si="11"/>
        <v>0</v>
      </c>
      <c r="R64" s="171" t="str">
        <f t="shared" ca="1" si="12"/>
        <v/>
      </c>
      <c r="S64" s="171" t="str">
        <f t="shared" ca="1" si="13"/>
        <v/>
      </c>
      <c r="T64" s="170">
        <f t="shared" ca="1" si="14"/>
        <v>0</v>
      </c>
      <c r="U64" s="171" t="str">
        <f t="shared" ca="1" si="15"/>
        <v/>
      </c>
      <c r="V64" s="171" t="str">
        <f t="shared" ca="1" si="16"/>
        <v/>
      </c>
      <c r="W64" s="158" t="str">
        <f t="shared" ca="1" si="17"/>
        <v/>
      </c>
      <c r="X64" s="172" t="str">
        <f t="shared" ca="1" si="18"/>
        <v/>
      </c>
    </row>
    <row r="65" spans="2:24" s="142" customFormat="1" hidden="1" x14ac:dyDescent="0.25">
      <c r="B65" s="143" t="str">
        <f t="shared" ca="1" si="0"/>
        <v/>
      </c>
      <c r="C65" s="144" t="str">
        <f ca="1">'קיזוזים- החלטות ועדה'!C65</f>
        <v/>
      </c>
      <c r="D65" s="158" t="str">
        <f ca="1">IF($C65="","",'הגבלה לסכום מבוקש (1)'!D65)</f>
        <v/>
      </c>
      <c r="E65" s="158" t="str">
        <f ca="1">IF($C65="","",'קיזוזים בגין איחורים'!F65+'קיזוזים- החלטות ועדה'!E65)</f>
        <v/>
      </c>
      <c r="F65" s="158" t="str">
        <f t="shared" ca="1" si="1"/>
        <v/>
      </c>
      <c r="G65" s="158" t="str">
        <f ca="1">'קיזוזים- החלטות ועדה'!G65</f>
        <v/>
      </c>
      <c r="H65" s="169" t="str">
        <f t="shared" ca="1" si="2"/>
        <v/>
      </c>
      <c r="I65" s="158" t="str">
        <f t="shared" ca="1" si="3"/>
        <v/>
      </c>
      <c r="J65" s="158" t="str">
        <f t="shared" ca="1" si="4"/>
        <v/>
      </c>
      <c r="K65" s="170">
        <f t="shared" ca="1" si="5"/>
        <v>0</v>
      </c>
      <c r="L65" s="171" t="str">
        <f t="shared" ca="1" si="6"/>
        <v/>
      </c>
      <c r="M65" s="171" t="str">
        <f t="shared" ca="1" si="7"/>
        <v/>
      </c>
      <c r="N65" s="170">
        <f t="shared" ca="1" si="8"/>
        <v>0</v>
      </c>
      <c r="O65" s="171" t="str">
        <f t="shared" ca="1" si="9"/>
        <v/>
      </c>
      <c r="P65" s="171" t="str">
        <f t="shared" ca="1" si="10"/>
        <v/>
      </c>
      <c r="Q65" s="170">
        <f t="shared" ca="1" si="11"/>
        <v>0</v>
      </c>
      <c r="R65" s="171" t="str">
        <f t="shared" ca="1" si="12"/>
        <v/>
      </c>
      <c r="S65" s="171" t="str">
        <f t="shared" ca="1" si="13"/>
        <v/>
      </c>
      <c r="T65" s="170">
        <f t="shared" ca="1" si="14"/>
        <v>0</v>
      </c>
      <c r="U65" s="171" t="str">
        <f t="shared" ca="1" si="15"/>
        <v/>
      </c>
      <c r="V65" s="171" t="str">
        <f t="shared" ca="1" si="16"/>
        <v/>
      </c>
      <c r="W65" s="158" t="str">
        <f t="shared" ca="1" si="17"/>
        <v/>
      </c>
      <c r="X65" s="172" t="str">
        <f t="shared" ca="1" si="18"/>
        <v/>
      </c>
    </row>
    <row r="66" spans="2:24" s="142" customFormat="1" hidden="1" x14ac:dyDescent="0.25">
      <c r="B66" s="143" t="str">
        <f t="shared" ca="1" si="0"/>
        <v/>
      </c>
      <c r="C66" s="144" t="str">
        <f ca="1">'קיזוזים- החלטות ועדה'!C66</f>
        <v/>
      </c>
      <c r="D66" s="158" t="str">
        <f ca="1">IF($C66="","",'הגבלה לסכום מבוקש (1)'!D66)</f>
        <v/>
      </c>
      <c r="E66" s="158" t="str">
        <f ca="1">IF($C66="","",'קיזוזים בגין איחורים'!F66+'קיזוזים- החלטות ועדה'!E66)</f>
        <v/>
      </c>
      <c r="F66" s="158" t="str">
        <f t="shared" ca="1" si="1"/>
        <v/>
      </c>
      <c r="G66" s="158" t="str">
        <f ca="1">'קיזוזים- החלטות ועדה'!G66</f>
        <v/>
      </c>
      <c r="H66" s="169" t="str">
        <f t="shared" ca="1" si="2"/>
        <v/>
      </c>
      <c r="I66" s="158" t="str">
        <f t="shared" ca="1" si="3"/>
        <v/>
      </c>
      <c r="J66" s="158" t="str">
        <f t="shared" ca="1" si="4"/>
        <v/>
      </c>
      <c r="K66" s="170">
        <f t="shared" ca="1" si="5"/>
        <v>0</v>
      </c>
      <c r="L66" s="171" t="str">
        <f t="shared" ca="1" si="6"/>
        <v/>
      </c>
      <c r="M66" s="171" t="str">
        <f t="shared" ca="1" si="7"/>
        <v/>
      </c>
      <c r="N66" s="170">
        <f t="shared" ca="1" si="8"/>
        <v>0</v>
      </c>
      <c r="O66" s="171" t="str">
        <f t="shared" ca="1" si="9"/>
        <v/>
      </c>
      <c r="P66" s="171" t="str">
        <f t="shared" ca="1" si="10"/>
        <v/>
      </c>
      <c r="Q66" s="170">
        <f t="shared" ca="1" si="11"/>
        <v>0</v>
      </c>
      <c r="R66" s="171" t="str">
        <f t="shared" ca="1" si="12"/>
        <v/>
      </c>
      <c r="S66" s="171" t="str">
        <f t="shared" ca="1" si="13"/>
        <v/>
      </c>
      <c r="T66" s="170">
        <f t="shared" ca="1" si="14"/>
        <v>0</v>
      </c>
      <c r="U66" s="171" t="str">
        <f t="shared" ca="1" si="15"/>
        <v/>
      </c>
      <c r="V66" s="171" t="str">
        <f t="shared" ca="1" si="16"/>
        <v/>
      </c>
      <c r="W66" s="158" t="str">
        <f t="shared" ca="1" si="17"/>
        <v/>
      </c>
      <c r="X66" s="172" t="str">
        <f t="shared" ca="1" si="18"/>
        <v/>
      </c>
    </row>
    <row r="67" spans="2:24" s="142" customFormat="1" hidden="1" x14ac:dyDescent="0.25">
      <c r="B67" s="143" t="str">
        <f t="shared" ca="1" si="0"/>
        <v/>
      </c>
      <c r="C67" s="144" t="str">
        <f ca="1">'קיזוזים- החלטות ועדה'!C67</f>
        <v/>
      </c>
      <c r="D67" s="158" t="str">
        <f ca="1">IF($C67="","",'הגבלה לסכום מבוקש (1)'!D67)</f>
        <v/>
      </c>
      <c r="E67" s="158" t="str">
        <f ca="1">IF($C67="","",'קיזוזים בגין איחורים'!F67+'קיזוזים- החלטות ועדה'!E67)</f>
        <v/>
      </c>
      <c r="F67" s="158" t="str">
        <f t="shared" ca="1" si="1"/>
        <v/>
      </c>
      <c r="G67" s="158" t="str">
        <f ca="1">'קיזוזים- החלטות ועדה'!G67</f>
        <v/>
      </c>
      <c r="H67" s="169" t="str">
        <f t="shared" ca="1" si="2"/>
        <v/>
      </c>
      <c r="I67" s="158" t="str">
        <f t="shared" ca="1" si="3"/>
        <v/>
      </c>
      <c r="J67" s="158" t="str">
        <f t="shared" ca="1" si="4"/>
        <v/>
      </c>
      <c r="K67" s="170">
        <f t="shared" ca="1" si="5"/>
        <v>0</v>
      </c>
      <c r="L67" s="171" t="str">
        <f t="shared" ca="1" si="6"/>
        <v/>
      </c>
      <c r="M67" s="171" t="str">
        <f t="shared" ca="1" si="7"/>
        <v/>
      </c>
      <c r="N67" s="170">
        <f t="shared" ca="1" si="8"/>
        <v>0</v>
      </c>
      <c r="O67" s="171" t="str">
        <f t="shared" ca="1" si="9"/>
        <v/>
      </c>
      <c r="P67" s="171" t="str">
        <f t="shared" ca="1" si="10"/>
        <v/>
      </c>
      <c r="Q67" s="170">
        <f t="shared" ca="1" si="11"/>
        <v>0</v>
      </c>
      <c r="R67" s="171" t="str">
        <f t="shared" ca="1" si="12"/>
        <v/>
      </c>
      <c r="S67" s="171" t="str">
        <f t="shared" ca="1" si="13"/>
        <v/>
      </c>
      <c r="T67" s="170">
        <f t="shared" ca="1" si="14"/>
        <v>0</v>
      </c>
      <c r="U67" s="171" t="str">
        <f t="shared" ca="1" si="15"/>
        <v/>
      </c>
      <c r="V67" s="171" t="str">
        <f t="shared" ca="1" si="16"/>
        <v/>
      </c>
      <c r="W67" s="158" t="str">
        <f t="shared" ca="1" si="17"/>
        <v/>
      </c>
      <c r="X67" s="172" t="str">
        <f t="shared" ca="1" si="18"/>
        <v/>
      </c>
    </row>
    <row r="68" spans="2:24" s="142" customFormat="1" hidden="1" x14ac:dyDescent="0.25">
      <c r="B68" s="143" t="str">
        <f t="shared" ca="1" si="0"/>
        <v/>
      </c>
      <c r="C68" s="144" t="str">
        <f ca="1">'קיזוזים- החלטות ועדה'!C68</f>
        <v/>
      </c>
      <c r="D68" s="158" t="str">
        <f ca="1">IF($C68="","",'הגבלה לסכום מבוקש (1)'!D68)</f>
        <v/>
      </c>
      <c r="E68" s="158" t="str">
        <f ca="1">IF($C68="","",'קיזוזים בגין איחורים'!F68+'קיזוזים- החלטות ועדה'!E68)</f>
        <v/>
      </c>
      <c r="F68" s="158" t="str">
        <f t="shared" ca="1" si="1"/>
        <v/>
      </c>
      <c r="G68" s="158" t="str">
        <f ca="1">'קיזוזים- החלטות ועדה'!G68</f>
        <v/>
      </c>
      <c r="H68" s="169" t="str">
        <f t="shared" ca="1" si="2"/>
        <v/>
      </c>
      <c r="I68" s="158" t="str">
        <f t="shared" ca="1" si="3"/>
        <v/>
      </c>
      <c r="J68" s="158" t="str">
        <f t="shared" ca="1" si="4"/>
        <v/>
      </c>
      <c r="K68" s="170">
        <f t="shared" ca="1" si="5"/>
        <v>0</v>
      </c>
      <c r="L68" s="171" t="str">
        <f t="shared" ca="1" si="6"/>
        <v/>
      </c>
      <c r="M68" s="171" t="str">
        <f t="shared" ca="1" si="7"/>
        <v/>
      </c>
      <c r="N68" s="170">
        <f t="shared" ca="1" si="8"/>
        <v>0</v>
      </c>
      <c r="O68" s="171" t="str">
        <f t="shared" ca="1" si="9"/>
        <v/>
      </c>
      <c r="P68" s="171" t="str">
        <f t="shared" ca="1" si="10"/>
        <v/>
      </c>
      <c r="Q68" s="170">
        <f t="shared" ca="1" si="11"/>
        <v>0</v>
      </c>
      <c r="R68" s="171" t="str">
        <f t="shared" ca="1" si="12"/>
        <v/>
      </c>
      <c r="S68" s="171" t="str">
        <f t="shared" ca="1" si="13"/>
        <v/>
      </c>
      <c r="T68" s="170">
        <f t="shared" ca="1" si="14"/>
        <v>0</v>
      </c>
      <c r="U68" s="171" t="str">
        <f t="shared" ca="1" si="15"/>
        <v/>
      </c>
      <c r="V68" s="171" t="str">
        <f t="shared" ca="1" si="16"/>
        <v/>
      </c>
      <c r="W68" s="158" t="str">
        <f t="shared" ca="1" si="17"/>
        <v/>
      </c>
      <c r="X68" s="172" t="str">
        <f t="shared" ca="1" si="18"/>
        <v/>
      </c>
    </row>
    <row r="69" spans="2:24" s="142" customFormat="1" hidden="1" x14ac:dyDescent="0.25">
      <c r="B69" s="143" t="str">
        <f t="shared" ca="1" si="0"/>
        <v/>
      </c>
      <c r="C69" s="144" t="str">
        <f ca="1">'קיזוזים- החלטות ועדה'!C69</f>
        <v/>
      </c>
      <c r="D69" s="158" t="str">
        <f ca="1">IF($C69="","",'הגבלה לסכום מבוקש (1)'!D69)</f>
        <v/>
      </c>
      <c r="E69" s="158" t="str">
        <f ca="1">IF($C69="","",'קיזוזים בגין איחורים'!F69+'קיזוזים- החלטות ועדה'!E69)</f>
        <v/>
      </c>
      <c r="F69" s="158" t="str">
        <f t="shared" ca="1" si="1"/>
        <v/>
      </c>
      <c r="G69" s="158" t="str">
        <f ca="1">'קיזוזים- החלטות ועדה'!G69</f>
        <v/>
      </c>
      <c r="H69" s="169" t="str">
        <f t="shared" ca="1" si="2"/>
        <v/>
      </c>
      <c r="I69" s="158" t="str">
        <f t="shared" ca="1" si="3"/>
        <v/>
      </c>
      <c r="J69" s="158" t="str">
        <f t="shared" ca="1" si="4"/>
        <v/>
      </c>
      <c r="K69" s="170">
        <f t="shared" ca="1" si="5"/>
        <v>0</v>
      </c>
      <c r="L69" s="171" t="str">
        <f t="shared" ca="1" si="6"/>
        <v/>
      </c>
      <c r="M69" s="171" t="str">
        <f t="shared" ca="1" si="7"/>
        <v/>
      </c>
      <c r="N69" s="170">
        <f t="shared" ca="1" si="8"/>
        <v>0</v>
      </c>
      <c r="O69" s="171" t="str">
        <f t="shared" ca="1" si="9"/>
        <v/>
      </c>
      <c r="P69" s="171" t="str">
        <f t="shared" ca="1" si="10"/>
        <v/>
      </c>
      <c r="Q69" s="170">
        <f t="shared" ca="1" si="11"/>
        <v>0</v>
      </c>
      <c r="R69" s="171" t="str">
        <f t="shared" ca="1" si="12"/>
        <v/>
      </c>
      <c r="S69" s="171" t="str">
        <f t="shared" ca="1" si="13"/>
        <v/>
      </c>
      <c r="T69" s="170">
        <f t="shared" ca="1" si="14"/>
        <v>0</v>
      </c>
      <c r="U69" s="171" t="str">
        <f t="shared" ca="1" si="15"/>
        <v/>
      </c>
      <c r="V69" s="171" t="str">
        <f t="shared" ca="1" si="16"/>
        <v/>
      </c>
      <c r="W69" s="158" t="str">
        <f t="shared" ca="1" si="17"/>
        <v/>
      </c>
      <c r="X69" s="172" t="str">
        <f t="shared" ca="1" si="18"/>
        <v/>
      </c>
    </row>
    <row r="70" spans="2:24" s="142" customFormat="1" hidden="1" x14ac:dyDescent="0.25">
      <c r="B70" s="143" t="str">
        <f t="shared" ca="1" si="0"/>
        <v/>
      </c>
      <c r="C70" s="144" t="str">
        <f ca="1">'קיזוזים- החלטות ועדה'!C70</f>
        <v/>
      </c>
      <c r="D70" s="158" t="str">
        <f ca="1">IF($C70="","",'הגבלה לסכום מבוקש (1)'!D70)</f>
        <v/>
      </c>
      <c r="E70" s="158" t="str">
        <f ca="1">IF($C70="","",'קיזוזים בגין איחורים'!F70+'קיזוזים- החלטות ועדה'!E70)</f>
        <v/>
      </c>
      <c r="F70" s="158" t="str">
        <f t="shared" ca="1" si="1"/>
        <v/>
      </c>
      <c r="G70" s="158" t="str">
        <f ca="1">'קיזוזים- החלטות ועדה'!G70</f>
        <v/>
      </c>
      <c r="H70" s="169" t="str">
        <f t="shared" ca="1" si="2"/>
        <v/>
      </c>
      <c r="I70" s="158" t="str">
        <f t="shared" ca="1" si="3"/>
        <v/>
      </c>
      <c r="J70" s="158" t="str">
        <f t="shared" ca="1" si="4"/>
        <v/>
      </c>
      <c r="K70" s="170">
        <f t="shared" ca="1" si="5"/>
        <v>0</v>
      </c>
      <c r="L70" s="171" t="str">
        <f t="shared" ca="1" si="6"/>
        <v/>
      </c>
      <c r="M70" s="171" t="str">
        <f t="shared" ca="1" si="7"/>
        <v/>
      </c>
      <c r="N70" s="170">
        <f t="shared" ca="1" si="8"/>
        <v>0</v>
      </c>
      <c r="O70" s="171" t="str">
        <f t="shared" ca="1" si="9"/>
        <v/>
      </c>
      <c r="P70" s="171" t="str">
        <f t="shared" ca="1" si="10"/>
        <v/>
      </c>
      <c r="Q70" s="170">
        <f t="shared" ca="1" si="11"/>
        <v>0</v>
      </c>
      <c r="R70" s="171" t="str">
        <f t="shared" ca="1" si="12"/>
        <v/>
      </c>
      <c r="S70" s="171" t="str">
        <f t="shared" ca="1" si="13"/>
        <v/>
      </c>
      <c r="T70" s="170">
        <f t="shared" ca="1" si="14"/>
        <v>0</v>
      </c>
      <c r="U70" s="171" t="str">
        <f t="shared" ca="1" si="15"/>
        <v/>
      </c>
      <c r="V70" s="171" t="str">
        <f t="shared" ca="1" si="16"/>
        <v/>
      </c>
      <c r="W70" s="158" t="str">
        <f t="shared" ca="1" si="17"/>
        <v/>
      </c>
      <c r="X70" s="172" t="str">
        <f t="shared" ca="1" si="18"/>
        <v/>
      </c>
    </row>
    <row r="71" spans="2:24" s="142" customFormat="1" hidden="1" x14ac:dyDescent="0.25">
      <c r="B71" s="143" t="str">
        <f t="shared" ca="1" si="0"/>
        <v/>
      </c>
      <c r="C71" s="144" t="str">
        <f ca="1">'קיזוזים- החלטות ועדה'!C71</f>
        <v/>
      </c>
      <c r="D71" s="158" t="str">
        <f ca="1">IF($C71="","",'הגבלה לסכום מבוקש (1)'!D71)</f>
        <v/>
      </c>
      <c r="E71" s="158" t="str">
        <f ca="1">IF($C71="","",'קיזוזים בגין איחורים'!F71+'קיזוזים- החלטות ועדה'!E71)</f>
        <v/>
      </c>
      <c r="F71" s="158" t="str">
        <f t="shared" ca="1" si="1"/>
        <v/>
      </c>
      <c r="G71" s="158" t="str">
        <f ca="1">'קיזוזים- החלטות ועדה'!G71</f>
        <v/>
      </c>
      <c r="H71" s="169" t="str">
        <f t="shared" ca="1" si="2"/>
        <v/>
      </c>
      <c r="I71" s="158" t="str">
        <f t="shared" ca="1" si="3"/>
        <v/>
      </c>
      <c r="J71" s="158" t="str">
        <f t="shared" ca="1" si="4"/>
        <v/>
      </c>
      <c r="K71" s="170">
        <f t="shared" ca="1" si="5"/>
        <v>0</v>
      </c>
      <c r="L71" s="171" t="str">
        <f t="shared" ca="1" si="6"/>
        <v/>
      </c>
      <c r="M71" s="171" t="str">
        <f t="shared" ca="1" si="7"/>
        <v/>
      </c>
      <c r="N71" s="170">
        <f t="shared" ca="1" si="8"/>
        <v>0</v>
      </c>
      <c r="O71" s="171" t="str">
        <f t="shared" ca="1" si="9"/>
        <v/>
      </c>
      <c r="P71" s="171" t="str">
        <f t="shared" ca="1" si="10"/>
        <v/>
      </c>
      <c r="Q71" s="170">
        <f t="shared" ca="1" si="11"/>
        <v>0</v>
      </c>
      <c r="R71" s="171" t="str">
        <f t="shared" ca="1" si="12"/>
        <v/>
      </c>
      <c r="S71" s="171" t="str">
        <f t="shared" ca="1" si="13"/>
        <v/>
      </c>
      <c r="T71" s="170">
        <f t="shared" ca="1" si="14"/>
        <v>0</v>
      </c>
      <c r="U71" s="171" t="str">
        <f t="shared" ca="1" si="15"/>
        <v/>
      </c>
      <c r="V71" s="171" t="str">
        <f t="shared" ca="1" si="16"/>
        <v/>
      </c>
      <c r="W71" s="158" t="str">
        <f t="shared" ca="1" si="17"/>
        <v/>
      </c>
      <c r="X71" s="172" t="str">
        <f t="shared" ca="1" si="18"/>
        <v/>
      </c>
    </row>
    <row r="72" spans="2:24" s="142" customFormat="1" hidden="1" x14ac:dyDescent="0.25">
      <c r="B72" s="143" t="str">
        <f t="shared" ca="1" si="0"/>
        <v/>
      </c>
      <c r="C72" s="144" t="str">
        <f ca="1">'קיזוזים- החלטות ועדה'!C72</f>
        <v/>
      </c>
      <c r="D72" s="158" t="str">
        <f ca="1">IF($C72="","",'הגבלה לסכום מבוקש (1)'!D72)</f>
        <v/>
      </c>
      <c r="E72" s="158" t="str">
        <f ca="1">IF($C72="","",'קיזוזים בגין איחורים'!F72+'קיזוזים- החלטות ועדה'!E72)</f>
        <v/>
      </c>
      <c r="F72" s="158" t="str">
        <f t="shared" ca="1" si="1"/>
        <v/>
      </c>
      <c r="G72" s="158" t="str">
        <f ca="1">'קיזוזים- החלטות ועדה'!G72</f>
        <v/>
      </c>
      <c r="H72" s="169" t="str">
        <f t="shared" ca="1" si="2"/>
        <v/>
      </c>
      <c r="I72" s="158" t="str">
        <f t="shared" ca="1" si="3"/>
        <v/>
      </c>
      <c r="J72" s="158" t="str">
        <f t="shared" ca="1" si="4"/>
        <v/>
      </c>
      <c r="K72" s="170">
        <f t="shared" ca="1" si="5"/>
        <v>0</v>
      </c>
      <c r="L72" s="171" t="str">
        <f t="shared" ca="1" si="6"/>
        <v/>
      </c>
      <c r="M72" s="171" t="str">
        <f t="shared" ca="1" si="7"/>
        <v/>
      </c>
      <c r="N72" s="170">
        <f t="shared" ca="1" si="8"/>
        <v>0</v>
      </c>
      <c r="O72" s="171" t="str">
        <f t="shared" ca="1" si="9"/>
        <v/>
      </c>
      <c r="P72" s="171" t="str">
        <f t="shared" ca="1" si="10"/>
        <v/>
      </c>
      <c r="Q72" s="170">
        <f t="shared" ca="1" si="11"/>
        <v>0</v>
      </c>
      <c r="R72" s="171" t="str">
        <f t="shared" ca="1" si="12"/>
        <v/>
      </c>
      <c r="S72" s="171" t="str">
        <f t="shared" ca="1" si="13"/>
        <v/>
      </c>
      <c r="T72" s="170">
        <f t="shared" ca="1" si="14"/>
        <v>0</v>
      </c>
      <c r="U72" s="171" t="str">
        <f t="shared" ca="1" si="15"/>
        <v/>
      </c>
      <c r="V72" s="171" t="str">
        <f t="shared" ca="1" si="16"/>
        <v/>
      </c>
      <c r="W72" s="158" t="str">
        <f t="shared" ca="1" si="17"/>
        <v/>
      </c>
      <c r="X72" s="172" t="str">
        <f t="shared" ca="1" si="18"/>
        <v/>
      </c>
    </row>
    <row r="73" spans="2:24" s="142" customFormat="1" hidden="1" x14ac:dyDescent="0.25">
      <c r="B73" s="143" t="str">
        <f t="shared" ca="1" si="0"/>
        <v/>
      </c>
      <c r="C73" s="144" t="str">
        <f ca="1">'קיזוזים- החלטות ועדה'!C73</f>
        <v/>
      </c>
      <c r="D73" s="158" t="str">
        <f ca="1">IF($C73="","",'הגבלה לסכום מבוקש (1)'!D73)</f>
        <v/>
      </c>
      <c r="E73" s="158" t="str">
        <f ca="1">IF($C73="","",'קיזוזים בגין איחורים'!F73+'קיזוזים- החלטות ועדה'!E73)</f>
        <v/>
      </c>
      <c r="F73" s="158" t="str">
        <f t="shared" ca="1" si="1"/>
        <v/>
      </c>
      <c r="G73" s="158" t="str">
        <f ca="1">'קיזוזים- החלטות ועדה'!G73</f>
        <v/>
      </c>
      <c r="H73" s="169" t="str">
        <f t="shared" ca="1" si="2"/>
        <v/>
      </c>
      <c r="I73" s="158" t="str">
        <f t="shared" ca="1" si="3"/>
        <v/>
      </c>
      <c r="J73" s="158" t="str">
        <f t="shared" ca="1" si="4"/>
        <v/>
      </c>
      <c r="K73" s="170">
        <f t="shared" ca="1" si="5"/>
        <v>0</v>
      </c>
      <c r="L73" s="171" t="str">
        <f t="shared" ca="1" si="6"/>
        <v/>
      </c>
      <c r="M73" s="171" t="str">
        <f t="shared" ca="1" si="7"/>
        <v/>
      </c>
      <c r="N73" s="170">
        <f t="shared" ca="1" si="8"/>
        <v>0</v>
      </c>
      <c r="O73" s="171" t="str">
        <f t="shared" ca="1" si="9"/>
        <v/>
      </c>
      <c r="P73" s="171" t="str">
        <f t="shared" ca="1" si="10"/>
        <v/>
      </c>
      <c r="Q73" s="170">
        <f t="shared" ca="1" si="11"/>
        <v>0</v>
      </c>
      <c r="R73" s="171" t="str">
        <f t="shared" ca="1" si="12"/>
        <v/>
      </c>
      <c r="S73" s="171" t="str">
        <f t="shared" ca="1" si="13"/>
        <v/>
      </c>
      <c r="T73" s="170">
        <f t="shared" ca="1" si="14"/>
        <v>0</v>
      </c>
      <c r="U73" s="171" t="str">
        <f t="shared" ca="1" si="15"/>
        <v/>
      </c>
      <c r="V73" s="171" t="str">
        <f t="shared" ca="1" si="16"/>
        <v/>
      </c>
      <c r="W73" s="158" t="str">
        <f t="shared" ca="1" si="17"/>
        <v/>
      </c>
      <c r="X73" s="172" t="str">
        <f t="shared" ca="1" si="18"/>
        <v/>
      </c>
    </row>
    <row r="74" spans="2:24" s="142" customFormat="1" hidden="1" x14ac:dyDescent="0.25">
      <c r="B74" s="143" t="str">
        <f t="shared" ca="1" si="0"/>
        <v/>
      </c>
      <c r="C74" s="144" t="str">
        <f ca="1">'קיזוזים- החלטות ועדה'!C74</f>
        <v/>
      </c>
      <c r="D74" s="158" t="str">
        <f ca="1">IF($C74="","",'הגבלה לסכום מבוקש (1)'!D74)</f>
        <v/>
      </c>
      <c r="E74" s="158" t="str">
        <f ca="1">IF($C74="","",'קיזוזים בגין איחורים'!F74+'קיזוזים- החלטות ועדה'!E74)</f>
        <v/>
      </c>
      <c r="F74" s="158" t="str">
        <f t="shared" ca="1" si="1"/>
        <v/>
      </c>
      <c r="G74" s="158" t="str">
        <f ca="1">'קיזוזים- החלטות ועדה'!G74</f>
        <v/>
      </c>
      <c r="H74" s="169" t="str">
        <f t="shared" ca="1" si="2"/>
        <v/>
      </c>
      <c r="I74" s="158" t="str">
        <f t="shared" ca="1" si="3"/>
        <v/>
      </c>
      <c r="J74" s="158" t="str">
        <f t="shared" ca="1" si="4"/>
        <v/>
      </c>
      <c r="K74" s="170">
        <f t="shared" ca="1" si="5"/>
        <v>0</v>
      </c>
      <c r="L74" s="171" t="str">
        <f t="shared" ca="1" si="6"/>
        <v/>
      </c>
      <c r="M74" s="171" t="str">
        <f t="shared" ca="1" si="7"/>
        <v/>
      </c>
      <c r="N74" s="170">
        <f t="shared" ca="1" si="8"/>
        <v>0</v>
      </c>
      <c r="O74" s="171" t="str">
        <f t="shared" ca="1" si="9"/>
        <v/>
      </c>
      <c r="P74" s="171" t="str">
        <f t="shared" ca="1" si="10"/>
        <v/>
      </c>
      <c r="Q74" s="170">
        <f t="shared" ca="1" si="11"/>
        <v>0</v>
      </c>
      <c r="R74" s="171" t="str">
        <f t="shared" ca="1" si="12"/>
        <v/>
      </c>
      <c r="S74" s="171" t="str">
        <f t="shared" ca="1" si="13"/>
        <v/>
      </c>
      <c r="T74" s="170">
        <f t="shared" ca="1" si="14"/>
        <v>0</v>
      </c>
      <c r="U74" s="171" t="str">
        <f t="shared" ca="1" si="15"/>
        <v/>
      </c>
      <c r="V74" s="171" t="str">
        <f t="shared" ca="1" si="16"/>
        <v/>
      </c>
      <c r="W74" s="158" t="str">
        <f t="shared" ca="1" si="17"/>
        <v/>
      </c>
      <c r="X74" s="172" t="str">
        <f t="shared" ca="1" si="18"/>
        <v/>
      </c>
    </row>
    <row r="75" spans="2:24" s="142" customFormat="1" x14ac:dyDescent="0.25">
      <c r="B75" s="143" t="str">
        <f t="shared" ca="1" si="0"/>
        <v/>
      </c>
      <c r="C75" s="144" t="str">
        <f ca="1">'קיזוזים- החלטות ועדה'!C75</f>
        <v/>
      </c>
      <c r="D75" s="158" t="str">
        <f ca="1">IF($C75="","",'הגבלה לסכום מבוקש (1)'!D75)</f>
        <v/>
      </c>
      <c r="E75" s="158" t="str">
        <f ca="1">IF($C75="","",'קיזוזים בגין איחורים'!F75+'קיזוזים- החלטות ועדה'!E75)</f>
        <v/>
      </c>
      <c r="F75" s="158" t="str">
        <f t="shared" ca="1" si="1"/>
        <v/>
      </c>
      <c r="G75" s="158" t="str">
        <f ca="1">'קיזוזים- החלטות ועדה'!G75</f>
        <v/>
      </c>
      <c r="H75" s="169" t="str">
        <f t="shared" ca="1" si="2"/>
        <v/>
      </c>
      <c r="I75" s="158" t="str">
        <f t="shared" ca="1" si="3"/>
        <v/>
      </c>
      <c r="J75" s="158" t="str">
        <f t="shared" ca="1" si="4"/>
        <v/>
      </c>
      <c r="K75" s="170">
        <f t="shared" ca="1" si="5"/>
        <v>0</v>
      </c>
      <c r="L75" s="171" t="str">
        <f t="shared" ca="1" si="6"/>
        <v/>
      </c>
      <c r="M75" s="171" t="str">
        <f t="shared" ca="1" si="7"/>
        <v/>
      </c>
      <c r="N75" s="170">
        <f t="shared" ca="1" si="8"/>
        <v>0</v>
      </c>
      <c r="O75" s="171" t="str">
        <f t="shared" ca="1" si="9"/>
        <v/>
      </c>
      <c r="P75" s="171" t="str">
        <f t="shared" ca="1" si="10"/>
        <v/>
      </c>
      <c r="Q75" s="170">
        <f t="shared" ca="1" si="11"/>
        <v>0</v>
      </c>
      <c r="R75" s="171" t="str">
        <f t="shared" ca="1" si="12"/>
        <v/>
      </c>
      <c r="S75" s="171" t="str">
        <f t="shared" ca="1" si="13"/>
        <v/>
      </c>
      <c r="T75" s="170">
        <f t="shared" ca="1" si="14"/>
        <v>0</v>
      </c>
      <c r="U75" s="171" t="str">
        <f t="shared" ca="1" si="15"/>
        <v/>
      </c>
      <c r="V75" s="171" t="str">
        <f t="shared" ca="1" si="16"/>
        <v/>
      </c>
      <c r="W75" s="158" t="str">
        <f t="shared" ca="1" si="17"/>
        <v/>
      </c>
      <c r="X75" s="172" t="str">
        <f t="shared" ca="1" si="18"/>
        <v/>
      </c>
    </row>
    <row r="76" spans="2:24" x14ac:dyDescent="0.25">
      <c r="B76" s="143">
        <f t="shared" ca="1" si="0"/>
        <v>46</v>
      </c>
      <c r="C76" s="144" t="str">
        <f ca="1">'קיזוזים- החלטות ועדה'!C76</f>
        <v>ענבל מרכז אתני</v>
      </c>
      <c r="D76" s="158">
        <f ca="1">IF($C76="","",'הגבלה לסכום מבוקש (1)'!D76)</f>
        <v>1500000</v>
      </c>
      <c r="E76" s="158">
        <f ca="1">IF($C76="","",'קיזוזים בגין איחורים'!F76+'קיזוזים- החלטות ועדה'!E76)</f>
        <v>0</v>
      </c>
      <c r="F76" s="158">
        <f t="shared" ca="1" si="1"/>
        <v>1500000</v>
      </c>
      <c r="G76" s="158">
        <f ca="1">'קיזוזים- החלטות ועדה'!G76</f>
        <v>728893.37633453181</v>
      </c>
      <c r="H76" s="169">
        <f t="shared" ca="1" si="2"/>
        <v>0</v>
      </c>
      <c r="I76" s="158">
        <f t="shared" ca="1" si="3"/>
        <v>728893.37633453181</v>
      </c>
      <c r="J76" s="158">
        <f t="shared" ca="1" si="4"/>
        <v>728893.37633453181</v>
      </c>
      <c r="K76" s="170">
        <f t="shared" ca="1" si="5"/>
        <v>0</v>
      </c>
      <c r="L76" s="171">
        <f t="shared" ca="1" si="6"/>
        <v>728893.37633453181</v>
      </c>
      <c r="M76" s="171">
        <f t="shared" ca="1" si="7"/>
        <v>728893.37633453181</v>
      </c>
      <c r="N76" s="170">
        <f t="shared" ca="1" si="8"/>
        <v>0</v>
      </c>
      <c r="O76" s="171">
        <f t="shared" ca="1" si="9"/>
        <v>728893.37633453181</v>
      </c>
      <c r="P76" s="171">
        <f t="shared" ca="1" si="10"/>
        <v>728893.37633453181</v>
      </c>
      <c r="Q76" s="170">
        <f t="shared" ca="1" si="11"/>
        <v>0</v>
      </c>
      <c r="R76" s="171">
        <f t="shared" ca="1" si="12"/>
        <v>728893.37633453181</v>
      </c>
      <c r="S76" s="171">
        <f t="shared" ca="1" si="13"/>
        <v>728893.37633453181</v>
      </c>
      <c r="T76" s="170">
        <f t="shared" ca="1" si="14"/>
        <v>0</v>
      </c>
      <c r="U76" s="171">
        <f t="shared" ca="1" si="15"/>
        <v>728893.37633453181</v>
      </c>
      <c r="V76" s="171">
        <f t="shared" ca="1" si="16"/>
        <v>728893.37633453181</v>
      </c>
      <c r="W76" s="158">
        <f t="shared" ca="1" si="17"/>
        <v>728893.37633453181</v>
      </c>
      <c r="X76" s="172">
        <f t="shared" ca="1" si="18"/>
        <v>4.8592891755635456E-2</v>
      </c>
    </row>
    <row r="77" spans="2:24" x14ac:dyDescent="0.25">
      <c r="B77" s="143">
        <f t="shared" ca="1" si="0"/>
        <v>47</v>
      </c>
      <c r="C77" s="144" t="str">
        <f ca="1">'קיזוזים- החלטות ועדה'!C77</f>
        <v>א.ב. חדשות השומרונים</v>
      </c>
      <c r="D77" s="158">
        <f ca="1">IF($C77="","",'הגבלה לסכום מבוקש (1)'!D77)</f>
        <v>187500</v>
      </c>
      <c r="E77" s="158">
        <f ca="1">IF($C77="","",'קיזוזים בגין איחורים'!F77+'קיזוזים- החלטות ועדה'!E77)</f>
        <v>0</v>
      </c>
      <c r="F77" s="158">
        <f t="shared" ca="1" si="1"/>
        <v>187500</v>
      </c>
      <c r="G77" s="158">
        <f ca="1">'קיזוזים- החלטות ועדה'!G77</f>
        <v>187500</v>
      </c>
      <c r="H77" s="169">
        <f t="shared" ca="1" si="2"/>
        <v>0</v>
      </c>
      <c r="I77" s="158">
        <f t="shared" ca="1" si="3"/>
        <v>187500</v>
      </c>
      <c r="J77" s="158">
        <f t="shared" ca="1" si="4"/>
        <v>187500</v>
      </c>
      <c r="K77" s="170">
        <f t="shared" ca="1" si="5"/>
        <v>0</v>
      </c>
      <c r="L77" s="171">
        <f t="shared" ca="1" si="6"/>
        <v>187500</v>
      </c>
      <c r="M77" s="171">
        <f t="shared" ca="1" si="7"/>
        <v>187500</v>
      </c>
      <c r="N77" s="170">
        <f t="shared" ca="1" si="8"/>
        <v>0</v>
      </c>
      <c r="O77" s="171">
        <f t="shared" ca="1" si="9"/>
        <v>187500</v>
      </c>
      <c r="P77" s="171">
        <f t="shared" ca="1" si="10"/>
        <v>187500</v>
      </c>
      <c r="Q77" s="170">
        <f t="shared" ca="1" si="11"/>
        <v>0</v>
      </c>
      <c r="R77" s="171">
        <f t="shared" ca="1" si="12"/>
        <v>187500</v>
      </c>
      <c r="S77" s="171">
        <f t="shared" ca="1" si="13"/>
        <v>187500</v>
      </c>
      <c r="T77" s="170">
        <f t="shared" ca="1" si="14"/>
        <v>0</v>
      </c>
      <c r="U77" s="171">
        <f t="shared" ca="1" si="15"/>
        <v>187500</v>
      </c>
      <c r="V77" s="171">
        <f t="shared" ca="1" si="16"/>
        <v>187500</v>
      </c>
      <c r="W77" s="158">
        <f t="shared" ca="1" si="17"/>
        <v>187500</v>
      </c>
      <c r="X77" s="172">
        <f t="shared" ca="1" si="18"/>
        <v>1.2500000000000001E-2</v>
      </c>
    </row>
    <row r="78" spans="2:24" hidden="1" x14ac:dyDescent="0.25">
      <c r="B78" s="143" t="str">
        <f t="shared" ca="1" si="0"/>
        <v/>
      </c>
      <c r="C78" s="144" t="str">
        <f ca="1">'קיזוזים- החלטות ועדה'!C78</f>
        <v/>
      </c>
      <c r="D78" s="158" t="str">
        <f ca="1">IF($C78="","",'הגבלה לסכום מבוקש (1)'!D78)</f>
        <v/>
      </c>
      <c r="E78" s="158" t="str">
        <f ca="1">IF($C78="","",'קיזוזים בגין איחורים'!F78+'קיזוזים- החלטות ועדה'!E78)</f>
        <v/>
      </c>
      <c r="F78" s="158" t="str">
        <f t="shared" ca="1" si="1"/>
        <v/>
      </c>
      <c r="G78" s="158" t="str">
        <f ca="1">'קיזוזים- החלטות ועדה'!G78</f>
        <v/>
      </c>
      <c r="H78" s="169" t="str">
        <f t="shared" ca="1" si="2"/>
        <v/>
      </c>
      <c r="I78" s="158" t="str">
        <f t="shared" ca="1" si="3"/>
        <v/>
      </c>
      <c r="J78" s="158" t="str">
        <f t="shared" ca="1" si="4"/>
        <v/>
      </c>
      <c r="K78" s="170">
        <f t="shared" ca="1" si="5"/>
        <v>0</v>
      </c>
      <c r="L78" s="171" t="str">
        <f t="shared" ca="1" si="6"/>
        <v/>
      </c>
      <c r="M78" s="171" t="str">
        <f t="shared" ca="1" si="7"/>
        <v/>
      </c>
      <c r="N78" s="170">
        <f t="shared" ca="1" si="8"/>
        <v>0</v>
      </c>
      <c r="O78" s="171" t="str">
        <f t="shared" ca="1" si="9"/>
        <v/>
      </c>
      <c r="P78" s="171" t="str">
        <f t="shared" ca="1" si="10"/>
        <v/>
      </c>
      <c r="Q78" s="170">
        <f t="shared" ca="1" si="11"/>
        <v>0</v>
      </c>
      <c r="R78" s="171" t="str">
        <f t="shared" ca="1" si="12"/>
        <v/>
      </c>
      <c r="S78" s="171" t="str">
        <f t="shared" ca="1" si="13"/>
        <v/>
      </c>
      <c r="T78" s="170">
        <f t="shared" ca="1" si="14"/>
        <v>0</v>
      </c>
      <c r="U78" s="171" t="str">
        <f t="shared" ca="1" si="15"/>
        <v/>
      </c>
      <c r="V78" s="171" t="str">
        <f t="shared" ca="1" si="16"/>
        <v/>
      </c>
      <c r="W78" s="158" t="str">
        <f t="shared" ca="1" si="17"/>
        <v/>
      </c>
      <c r="X78" s="172" t="str">
        <f t="shared" ca="1" si="18"/>
        <v/>
      </c>
    </row>
    <row r="79" spans="2:24" hidden="1" x14ac:dyDescent="0.25">
      <c r="B79" s="143" t="str">
        <f t="shared" ca="1" si="0"/>
        <v/>
      </c>
      <c r="C79" s="144" t="str">
        <f ca="1">'קיזוזים- החלטות ועדה'!C79</f>
        <v/>
      </c>
      <c r="D79" s="158" t="str">
        <f ca="1">IF($C79="","",'הגבלה לסכום מבוקש (1)'!D79)</f>
        <v/>
      </c>
      <c r="E79" s="158" t="str">
        <f ca="1">IF($C79="","",'קיזוזים בגין איחורים'!F79+'קיזוזים- החלטות ועדה'!E79)</f>
        <v/>
      </c>
      <c r="F79" s="158" t="str">
        <f t="shared" ca="1" si="1"/>
        <v/>
      </c>
      <c r="G79" s="158" t="str">
        <f ca="1">'קיזוזים- החלטות ועדה'!G79</f>
        <v/>
      </c>
      <c r="H79" s="169" t="str">
        <f t="shared" ca="1" si="2"/>
        <v/>
      </c>
      <c r="I79" s="158" t="str">
        <f t="shared" ca="1" si="3"/>
        <v/>
      </c>
      <c r="J79" s="158" t="str">
        <f t="shared" ca="1" si="4"/>
        <v/>
      </c>
      <c r="K79" s="170">
        <f t="shared" ca="1" si="5"/>
        <v>0</v>
      </c>
      <c r="L79" s="171" t="str">
        <f t="shared" ca="1" si="6"/>
        <v/>
      </c>
      <c r="M79" s="171" t="str">
        <f t="shared" ca="1" si="7"/>
        <v/>
      </c>
      <c r="N79" s="170">
        <f t="shared" ca="1" si="8"/>
        <v>0</v>
      </c>
      <c r="O79" s="171" t="str">
        <f t="shared" ca="1" si="9"/>
        <v/>
      </c>
      <c r="P79" s="171" t="str">
        <f t="shared" ca="1" si="10"/>
        <v/>
      </c>
      <c r="Q79" s="170">
        <f t="shared" ca="1" si="11"/>
        <v>0</v>
      </c>
      <c r="R79" s="171" t="str">
        <f t="shared" ca="1" si="12"/>
        <v/>
      </c>
      <c r="S79" s="171" t="str">
        <f t="shared" ca="1" si="13"/>
        <v/>
      </c>
      <c r="T79" s="170">
        <f t="shared" ca="1" si="14"/>
        <v>0</v>
      </c>
      <c r="U79" s="171" t="str">
        <f t="shared" ca="1" si="15"/>
        <v/>
      </c>
      <c r="V79" s="171" t="str">
        <f t="shared" ca="1" si="16"/>
        <v/>
      </c>
      <c r="W79" s="158" t="str">
        <f t="shared" ca="1" si="17"/>
        <v/>
      </c>
      <c r="X79" s="172" t="str">
        <f t="shared" ca="1" si="18"/>
        <v/>
      </c>
    </row>
    <row r="80" spans="2:24" hidden="1" x14ac:dyDescent="0.25">
      <c r="B80" s="143" t="str">
        <f t="shared" ca="1" si="0"/>
        <v/>
      </c>
      <c r="C80" s="144" t="str">
        <f ca="1">'קיזוזים- החלטות ועדה'!C80</f>
        <v/>
      </c>
      <c r="D80" s="158" t="str">
        <f ca="1">IF($C80="","",'הגבלה לסכום מבוקש (1)'!D80)</f>
        <v/>
      </c>
      <c r="E80" s="158" t="str">
        <f ca="1">IF($C80="","",'קיזוזים בגין איחורים'!F80+'קיזוזים- החלטות ועדה'!E80)</f>
        <v/>
      </c>
      <c r="F80" s="158" t="str">
        <f t="shared" ca="1" si="1"/>
        <v/>
      </c>
      <c r="G80" s="158" t="str">
        <f ca="1">'קיזוזים- החלטות ועדה'!G80</f>
        <v/>
      </c>
      <c r="H80" s="169" t="str">
        <f t="shared" ca="1" si="2"/>
        <v/>
      </c>
      <c r="I80" s="158" t="str">
        <f t="shared" ca="1" si="3"/>
        <v/>
      </c>
      <c r="J80" s="158" t="str">
        <f t="shared" ca="1" si="4"/>
        <v/>
      </c>
      <c r="K80" s="170">
        <f t="shared" ca="1" si="5"/>
        <v>0</v>
      </c>
      <c r="L80" s="171" t="str">
        <f t="shared" ca="1" si="6"/>
        <v/>
      </c>
      <c r="M80" s="171" t="str">
        <f t="shared" ca="1" si="7"/>
        <v/>
      </c>
      <c r="N80" s="170">
        <f t="shared" ca="1" si="8"/>
        <v>0</v>
      </c>
      <c r="O80" s="171" t="str">
        <f t="shared" ca="1" si="9"/>
        <v/>
      </c>
      <c r="P80" s="171" t="str">
        <f t="shared" ca="1" si="10"/>
        <v/>
      </c>
      <c r="Q80" s="170">
        <f t="shared" ca="1" si="11"/>
        <v>0</v>
      </c>
      <c r="R80" s="171" t="str">
        <f t="shared" ca="1" si="12"/>
        <v/>
      </c>
      <c r="S80" s="171" t="str">
        <f t="shared" ca="1" si="13"/>
        <v/>
      </c>
      <c r="T80" s="170">
        <f t="shared" ca="1" si="14"/>
        <v>0</v>
      </c>
      <c r="U80" s="171" t="str">
        <f t="shared" ca="1" si="15"/>
        <v/>
      </c>
      <c r="V80" s="171" t="str">
        <f t="shared" ca="1" si="16"/>
        <v/>
      </c>
      <c r="W80" s="158" t="str">
        <f t="shared" ca="1" si="17"/>
        <v/>
      </c>
      <c r="X80" s="172" t="str">
        <f t="shared" ca="1" si="18"/>
        <v/>
      </c>
    </row>
    <row r="81" spans="2:24" hidden="1" x14ac:dyDescent="0.25">
      <c r="B81" s="143" t="str">
        <f t="shared" ca="1" si="0"/>
        <v/>
      </c>
      <c r="C81" s="144" t="str">
        <f ca="1">'קיזוזים- החלטות ועדה'!C81</f>
        <v/>
      </c>
      <c r="D81" s="158" t="str">
        <f ca="1">IF($C81="","",'הגבלה לסכום מבוקש (1)'!D81)</f>
        <v/>
      </c>
      <c r="E81" s="158" t="str">
        <f ca="1">IF($C81="","",'קיזוזים בגין איחורים'!F81+'קיזוזים- החלטות ועדה'!E81)</f>
        <v/>
      </c>
      <c r="F81" s="158" t="str">
        <f t="shared" ca="1" si="1"/>
        <v/>
      </c>
      <c r="G81" s="158" t="str">
        <f ca="1">'קיזוזים- החלטות ועדה'!G81</f>
        <v/>
      </c>
      <c r="H81" s="169" t="str">
        <f t="shared" ca="1" si="2"/>
        <v/>
      </c>
      <c r="I81" s="158" t="str">
        <f t="shared" ca="1" si="3"/>
        <v/>
      </c>
      <c r="J81" s="158" t="str">
        <f t="shared" ca="1" si="4"/>
        <v/>
      </c>
      <c r="K81" s="170">
        <f t="shared" ca="1" si="5"/>
        <v>0</v>
      </c>
      <c r="L81" s="171" t="str">
        <f t="shared" ca="1" si="6"/>
        <v/>
      </c>
      <c r="M81" s="171" t="str">
        <f t="shared" ca="1" si="7"/>
        <v/>
      </c>
      <c r="N81" s="170">
        <f t="shared" ca="1" si="8"/>
        <v>0</v>
      </c>
      <c r="O81" s="171" t="str">
        <f t="shared" ca="1" si="9"/>
        <v/>
      </c>
      <c r="P81" s="171" t="str">
        <f t="shared" ca="1" si="10"/>
        <v/>
      </c>
      <c r="Q81" s="170">
        <f t="shared" ca="1" si="11"/>
        <v>0</v>
      </c>
      <c r="R81" s="171" t="str">
        <f t="shared" ca="1" si="12"/>
        <v/>
      </c>
      <c r="S81" s="171" t="str">
        <f t="shared" ca="1" si="13"/>
        <v/>
      </c>
      <c r="T81" s="170">
        <f t="shared" ca="1" si="14"/>
        <v>0</v>
      </c>
      <c r="U81" s="171" t="str">
        <f t="shared" ca="1" si="15"/>
        <v/>
      </c>
      <c r="V81" s="171" t="str">
        <f t="shared" ca="1" si="16"/>
        <v/>
      </c>
      <c r="W81" s="158" t="str">
        <f t="shared" ca="1" si="17"/>
        <v/>
      </c>
      <c r="X81" s="172" t="str">
        <f t="shared" ca="1" si="18"/>
        <v/>
      </c>
    </row>
    <row r="82" spans="2:24" x14ac:dyDescent="0.25">
      <c r="B82" s="143">
        <f t="shared" ca="1" si="0"/>
        <v>52</v>
      </c>
      <c r="C82" s="144" t="str">
        <f ca="1">'קיזוזים- החלטות ועדה'!C82</f>
        <v>עמותת הנני</v>
      </c>
      <c r="D82" s="158">
        <f ca="1">IF($C82="","",'הגבלה לסכום מבוקש (1)'!D82)</f>
        <v>712500</v>
      </c>
      <c r="E82" s="158">
        <f ca="1">IF($C82="","",'קיזוזים בגין איחורים'!F82+'קיזוזים- החלטות ועדה'!E82)</f>
        <v>0</v>
      </c>
      <c r="F82" s="158">
        <f t="shared" ca="1" si="1"/>
        <v>712500</v>
      </c>
      <c r="G82" s="158">
        <f ca="1">'קיזוזים- החלטות ועדה'!G82</f>
        <v>597954.29268192616</v>
      </c>
      <c r="H82" s="169">
        <f t="shared" ca="1" si="2"/>
        <v>0</v>
      </c>
      <c r="I82" s="158">
        <f t="shared" ca="1" si="3"/>
        <v>597954.29268192616</v>
      </c>
      <c r="J82" s="158">
        <f t="shared" ca="1" si="4"/>
        <v>597954.29268192616</v>
      </c>
      <c r="K82" s="170">
        <f t="shared" ca="1" si="5"/>
        <v>0</v>
      </c>
      <c r="L82" s="171">
        <f t="shared" ca="1" si="6"/>
        <v>597954.29268192616</v>
      </c>
      <c r="M82" s="171">
        <f t="shared" ca="1" si="7"/>
        <v>597954.29268192616</v>
      </c>
      <c r="N82" s="170">
        <f t="shared" ca="1" si="8"/>
        <v>0</v>
      </c>
      <c r="O82" s="171">
        <f t="shared" ca="1" si="9"/>
        <v>597954.29268192616</v>
      </c>
      <c r="P82" s="171">
        <f t="shared" ca="1" si="10"/>
        <v>597954.29268192616</v>
      </c>
      <c r="Q82" s="170">
        <f t="shared" ca="1" si="11"/>
        <v>0</v>
      </c>
      <c r="R82" s="171">
        <f t="shared" ca="1" si="12"/>
        <v>597954.29268192616</v>
      </c>
      <c r="S82" s="171">
        <f t="shared" ca="1" si="13"/>
        <v>597954.29268192616</v>
      </c>
      <c r="T82" s="170">
        <f t="shared" ca="1" si="14"/>
        <v>0</v>
      </c>
      <c r="U82" s="171">
        <f t="shared" ca="1" si="15"/>
        <v>597954.29268192616</v>
      </c>
      <c r="V82" s="171">
        <f t="shared" ca="1" si="16"/>
        <v>597954.29268192616</v>
      </c>
      <c r="W82" s="158">
        <f t="shared" ca="1" si="17"/>
        <v>597954.29268192616</v>
      </c>
      <c r="X82" s="172">
        <f t="shared" ca="1" si="18"/>
        <v>3.9863619512128412E-2</v>
      </c>
    </row>
    <row r="83" spans="2:24" hidden="1" x14ac:dyDescent="0.25">
      <c r="B83" s="143" t="str">
        <f t="shared" ca="1" si="0"/>
        <v/>
      </c>
      <c r="C83" s="144" t="str">
        <f ca="1">'קיזוזים- החלטות ועדה'!C83</f>
        <v/>
      </c>
      <c r="D83" s="158" t="str">
        <f ca="1">IF($C83="","",'הגבלה לסכום מבוקש (1)'!D83)</f>
        <v/>
      </c>
      <c r="E83" s="158" t="str">
        <f ca="1">IF($C83="","",'קיזוזים בגין איחורים'!F83+'קיזוזים- החלטות ועדה'!E83)</f>
        <v/>
      </c>
      <c r="F83" s="158" t="str">
        <f t="shared" ca="1" si="1"/>
        <v/>
      </c>
      <c r="G83" s="158" t="str">
        <f ca="1">'קיזוזים- החלטות ועדה'!G83</f>
        <v/>
      </c>
      <c r="H83" s="169" t="str">
        <f t="shared" ca="1" si="2"/>
        <v/>
      </c>
      <c r="I83" s="158" t="str">
        <f t="shared" ca="1" si="3"/>
        <v/>
      </c>
      <c r="J83" s="158" t="str">
        <f t="shared" ca="1" si="4"/>
        <v/>
      </c>
      <c r="K83" s="170">
        <f t="shared" ca="1" si="5"/>
        <v>0</v>
      </c>
      <c r="L83" s="171" t="str">
        <f t="shared" ca="1" si="6"/>
        <v/>
      </c>
      <c r="M83" s="171" t="str">
        <f t="shared" ca="1" si="7"/>
        <v/>
      </c>
      <c r="N83" s="170">
        <f t="shared" ca="1" si="8"/>
        <v>0</v>
      </c>
      <c r="O83" s="171" t="str">
        <f t="shared" ca="1" si="9"/>
        <v/>
      </c>
      <c r="P83" s="171" t="str">
        <f t="shared" ca="1" si="10"/>
        <v/>
      </c>
      <c r="Q83" s="170">
        <f t="shared" ca="1" si="11"/>
        <v>0</v>
      </c>
      <c r="R83" s="171" t="str">
        <f t="shared" ca="1" si="12"/>
        <v/>
      </c>
      <c r="S83" s="171" t="str">
        <f t="shared" ca="1" si="13"/>
        <v/>
      </c>
      <c r="T83" s="170">
        <f t="shared" ca="1" si="14"/>
        <v>0</v>
      </c>
      <c r="U83" s="171" t="str">
        <f t="shared" ca="1" si="15"/>
        <v/>
      </c>
      <c r="V83" s="171" t="str">
        <f t="shared" ca="1" si="16"/>
        <v/>
      </c>
      <c r="W83" s="158" t="str">
        <f t="shared" ca="1" si="17"/>
        <v/>
      </c>
      <c r="X83" s="172" t="str">
        <f t="shared" ca="1" si="18"/>
        <v/>
      </c>
    </row>
    <row r="84" spans="2:24" hidden="1" x14ac:dyDescent="0.25">
      <c r="B84" s="143" t="str">
        <f t="shared" ca="1" si="0"/>
        <v/>
      </c>
      <c r="C84" s="144" t="str">
        <f ca="1">'קיזוזים- החלטות ועדה'!C84</f>
        <v/>
      </c>
      <c r="D84" s="158" t="str">
        <f ca="1">IF($C84="","",'הגבלה לסכום מבוקש (1)'!D84)</f>
        <v/>
      </c>
      <c r="E84" s="158" t="str">
        <f ca="1">IF($C84="","",'קיזוזים בגין איחורים'!F84+'קיזוזים- החלטות ועדה'!E84)</f>
        <v/>
      </c>
      <c r="F84" s="158" t="str">
        <f t="shared" ca="1" si="1"/>
        <v/>
      </c>
      <c r="G84" s="158" t="str">
        <f ca="1">'קיזוזים- החלטות ועדה'!G84</f>
        <v/>
      </c>
      <c r="H84" s="169" t="str">
        <f t="shared" ca="1" si="2"/>
        <v/>
      </c>
      <c r="I84" s="158" t="str">
        <f t="shared" ca="1" si="3"/>
        <v/>
      </c>
      <c r="J84" s="158" t="str">
        <f t="shared" ca="1" si="4"/>
        <v/>
      </c>
      <c r="K84" s="170">
        <f t="shared" ca="1" si="5"/>
        <v>0</v>
      </c>
      <c r="L84" s="171" t="str">
        <f t="shared" ca="1" si="6"/>
        <v/>
      </c>
      <c r="M84" s="171" t="str">
        <f t="shared" ca="1" si="7"/>
        <v/>
      </c>
      <c r="N84" s="170">
        <f t="shared" ca="1" si="8"/>
        <v>0</v>
      </c>
      <c r="O84" s="171" t="str">
        <f t="shared" ca="1" si="9"/>
        <v/>
      </c>
      <c r="P84" s="171" t="str">
        <f t="shared" ca="1" si="10"/>
        <v/>
      </c>
      <c r="Q84" s="170">
        <f t="shared" ca="1" si="11"/>
        <v>0</v>
      </c>
      <c r="R84" s="171" t="str">
        <f t="shared" ca="1" si="12"/>
        <v/>
      </c>
      <c r="S84" s="171" t="str">
        <f t="shared" ca="1" si="13"/>
        <v/>
      </c>
      <c r="T84" s="170">
        <f t="shared" ca="1" si="14"/>
        <v>0</v>
      </c>
      <c r="U84" s="171" t="str">
        <f t="shared" ca="1" si="15"/>
        <v/>
      </c>
      <c r="V84" s="171" t="str">
        <f t="shared" ca="1" si="16"/>
        <v/>
      </c>
      <c r="W84" s="158" t="str">
        <f t="shared" ca="1" si="17"/>
        <v/>
      </c>
      <c r="X84" s="172" t="str">
        <f t="shared" ca="1" si="18"/>
        <v/>
      </c>
    </row>
    <row r="85" spans="2:24" hidden="1" x14ac:dyDescent="0.25">
      <c r="B85" s="143" t="str">
        <f t="shared" ca="1" si="0"/>
        <v/>
      </c>
      <c r="C85" s="144" t="str">
        <f ca="1">'קיזוזים- החלטות ועדה'!C85</f>
        <v/>
      </c>
      <c r="D85" s="158" t="str">
        <f ca="1">IF($C85="","",'הגבלה לסכום מבוקש (1)'!D85)</f>
        <v/>
      </c>
      <c r="E85" s="158" t="str">
        <f ca="1">IF($C85="","",'קיזוזים בגין איחורים'!F85+'קיזוזים- החלטות ועדה'!E85)</f>
        <v/>
      </c>
      <c r="F85" s="158" t="str">
        <f t="shared" ca="1" si="1"/>
        <v/>
      </c>
      <c r="G85" s="158" t="str">
        <f ca="1">'קיזוזים- החלטות ועדה'!G85</f>
        <v/>
      </c>
      <c r="H85" s="169" t="str">
        <f t="shared" ca="1" si="2"/>
        <v/>
      </c>
      <c r="I85" s="158" t="str">
        <f t="shared" ca="1" si="3"/>
        <v/>
      </c>
      <c r="J85" s="158" t="str">
        <f t="shared" ca="1" si="4"/>
        <v/>
      </c>
      <c r="K85" s="170">
        <f t="shared" ca="1" si="5"/>
        <v>0</v>
      </c>
      <c r="L85" s="171" t="str">
        <f t="shared" ca="1" si="6"/>
        <v/>
      </c>
      <c r="M85" s="171" t="str">
        <f t="shared" ca="1" si="7"/>
        <v/>
      </c>
      <c r="N85" s="170">
        <f t="shared" ca="1" si="8"/>
        <v>0</v>
      </c>
      <c r="O85" s="171" t="str">
        <f t="shared" ca="1" si="9"/>
        <v/>
      </c>
      <c r="P85" s="171" t="str">
        <f t="shared" ca="1" si="10"/>
        <v/>
      </c>
      <c r="Q85" s="170">
        <f t="shared" ca="1" si="11"/>
        <v>0</v>
      </c>
      <c r="R85" s="171" t="str">
        <f t="shared" ca="1" si="12"/>
        <v/>
      </c>
      <c r="S85" s="171" t="str">
        <f t="shared" ca="1" si="13"/>
        <v/>
      </c>
      <c r="T85" s="170">
        <f t="shared" ca="1" si="14"/>
        <v>0</v>
      </c>
      <c r="U85" s="171" t="str">
        <f t="shared" ca="1" si="15"/>
        <v/>
      </c>
      <c r="V85" s="171" t="str">
        <f t="shared" ca="1" si="16"/>
        <v/>
      </c>
      <c r="W85" s="158" t="str">
        <f t="shared" ca="1" si="17"/>
        <v/>
      </c>
      <c r="X85" s="172" t="str">
        <f t="shared" ca="1" si="18"/>
        <v/>
      </c>
    </row>
    <row r="86" spans="2:24" hidden="1" x14ac:dyDescent="0.25">
      <c r="B86" s="143" t="str">
        <f t="shared" ca="1" si="0"/>
        <v/>
      </c>
      <c r="C86" s="144" t="str">
        <f ca="1">'קיזוזים- החלטות ועדה'!C86</f>
        <v/>
      </c>
      <c r="D86" s="158" t="str">
        <f ca="1">IF($C86="","",'הגבלה לסכום מבוקש (1)'!D86)</f>
        <v/>
      </c>
      <c r="E86" s="158" t="str">
        <f ca="1">IF($C86="","",'קיזוזים בגין איחורים'!F86+'קיזוזים- החלטות ועדה'!E86)</f>
        <v/>
      </c>
      <c r="F86" s="158" t="str">
        <f t="shared" ca="1" si="1"/>
        <v/>
      </c>
      <c r="G86" s="158" t="str">
        <f ca="1">'קיזוזים- החלטות ועדה'!G86</f>
        <v/>
      </c>
      <c r="H86" s="169" t="str">
        <f t="shared" ca="1" si="2"/>
        <v/>
      </c>
      <c r="I86" s="158" t="str">
        <f t="shared" ca="1" si="3"/>
        <v/>
      </c>
      <c r="J86" s="158" t="str">
        <f t="shared" ca="1" si="4"/>
        <v/>
      </c>
      <c r="K86" s="170">
        <f t="shared" ca="1" si="5"/>
        <v>0</v>
      </c>
      <c r="L86" s="171" t="str">
        <f t="shared" ca="1" si="6"/>
        <v/>
      </c>
      <c r="M86" s="171" t="str">
        <f t="shared" ca="1" si="7"/>
        <v/>
      </c>
      <c r="N86" s="170">
        <f t="shared" ca="1" si="8"/>
        <v>0</v>
      </c>
      <c r="O86" s="171" t="str">
        <f t="shared" ca="1" si="9"/>
        <v/>
      </c>
      <c r="P86" s="171" t="str">
        <f t="shared" ca="1" si="10"/>
        <v/>
      </c>
      <c r="Q86" s="170">
        <f t="shared" ca="1" si="11"/>
        <v>0</v>
      </c>
      <c r="R86" s="171" t="str">
        <f t="shared" ca="1" si="12"/>
        <v/>
      </c>
      <c r="S86" s="171" t="str">
        <f t="shared" ca="1" si="13"/>
        <v/>
      </c>
      <c r="T86" s="170">
        <f t="shared" ca="1" si="14"/>
        <v>0</v>
      </c>
      <c r="U86" s="171" t="str">
        <f t="shared" ca="1" si="15"/>
        <v/>
      </c>
      <c r="V86" s="171" t="str">
        <f t="shared" ca="1" si="16"/>
        <v/>
      </c>
      <c r="W86" s="158" t="str">
        <f t="shared" ca="1" si="17"/>
        <v/>
      </c>
      <c r="X86" s="172" t="str">
        <f t="shared" ca="1" si="18"/>
        <v/>
      </c>
    </row>
    <row r="87" spans="2:24" hidden="1" x14ac:dyDescent="0.25">
      <c r="B87" s="143" t="str">
        <f t="shared" ca="1" si="0"/>
        <v/>
      </c>
      <c r="C87" s="144" t="str">
        <f ca="1">'קיזוזים- החלטות ועדה'!C87</f>
        <v/>
      </c>
      <c r="D87" s="158" t="str">
        <f ca="1">IF($C87="","",'הגבלה לסכום מבוקש (1)'!D87)</f>
        <v/>
      </c>
      <c r="E87" s="158" t="str">
        <f ca="1">IF($C87="","",'קיזוזים בגין איחורים'!F87+'קיזוזים- החלטות ועדה'!E87)</f>
        <v/>
      </c>
      <c r="F87" s="158" t="str">
        <f t="shared" ca="1" si="1"/>
        <v/>
      </c>
      <c r="G87" s="158" t="str">
        <f ca="1">'קיזוזים- החלטות ועדה'!G87</f>
        <v/>
      </c>
      <c r="H87" s="169" t="str">
        <f t="shared" ca="1" si="2"/>
        <v/>
      </c>
      <c r="I87" s="158" t="str">
        <f t="shared" ca="1" si="3"/>
        <v/>
      </c>
      <c r="J87" s="158" t="str">
        <f t="shared" ca="1" si="4"/>
        <v/>
      </c>
      <c r="K87" s="170">
        <f t="shared" ca="1" si="5"/>
        <v>0</v>
      </c>
      <c r="L87" s="171" t="str">
        <f t="shared" ca="1" si="6"/>
        <v/>
      </c>
      <c r="M87" s="171" t="str">
        <f t="shared" ca="1" si="7"/>
        <v/>
      </c>
      <c r="N87" s="170">
        <f t="shared" ca="1" si="8"/>
        <v>0</v>
      </c>
      <c r="O87" s="171" t="str">
        <f t="shared" ca="1" si="9"/>
        <v/>
      </c>
      <c r="P87" s="171" t="str">
        <f t="shared" ca="1" si="10"/>
        <v/>
      </c>
      <c r="Q87" s="170">
        <f t="shared" ca="1" si="11"/>
        <v>0</v>
      </c>
      <c r="R87" s="171" t="str">
        <f t="shared" ca="1" si="12"/>
        <v/>
      </c>
      <c r="S87" s="171" t="str">
        <f t="shared" ca="1" si="13"/>
        <v/>
      </c>
      <c r="T87" s="170">
        <f t="shared" ca="1" si="14"/>
        <v>0</v>
      </c>
      <c r="U87" s="171" t="str">
        <f t="shared" ca="1" si="15"/>
        <v/>
      </c>
      <c r="V87" s="171" t="str">
        <f t="shared" ca="1" si="16"/>
        <v/>
      </c>
      <c r="W87" s="158" t="str">
        <f t="shared" ca="1" si="17"/>
        <v/>
      </c>
      <c r="X87" s="172" t="str">
        <f t="shared" ca="1" si="18"/>
        <v/>
      </c>
    </row>
    <row r="88" spans="2:24" hidden="1" x14ac:dyDescent="0.25">
      <c r="B88" s="143" t="str">
        <f t="shared" ca="1" si="0"/>
        <v/>
      </c>
      <c r="C88" s="144" t="str">
        <f ca="1">'קיזוזים- החלטות ועדה'!C88</f>
        <v/>
      </c>
      <c r="D88" s="158" t="str">
        <f ca="1">IF($C88="","",'הגבלה לסכום מבוקש (1)'!D88)</f>
        <v/>
      </c>
      <c r="E88" s="158" t="str">
        <f ca="1">IF($C88="","",'קיזוזים בגין איחורים'!F88+'קיזוזים- החלטות ועדה'!E88)</f>
        <v/>
      </c>
      <c r="F88" s="158" t="str">
        <f t="shared" ca="1" si="1"/>
        <v/>
      </c>
      <c r="G88" s="158" t="str">
        <f ca="1">'קיזוזים- החלטות ועדה'!G88</f>
        <v/>
      </c>
      <c r="H88" s="169" t="str">
        <f t="shared" ca="1" si="2"/>
        <v/>
      </c>
      <c r="I88" s="158" t="str">
        <f t="shared" ca="1" si="3"/>
        <v/>
      </c>
      <c r="J88" s="158" t="str">
        <f t="shared" ca="1" si="4"/>
        <v/>
      </c>
      <c r="K88" s="170">
        <f t="shared" ca="1" si="5"/>
        <v>0</v>
      </c>
      <c r="L88" s="171" t="str">
        <f t="shared" ca="1" si="6"/>
        <v/>
      </c>
      <c r="M88" s="171" t="str">
        <f t="shared" ca="1" si="7"/>
        <v/>
      </c>
      <c r="N88" s="170">
        <f t="shared" ca="1" si="8"/>
        <v>0</v>
      </c>
      <c r="O88" s="171" t="str">
        <f t="shared" ca="1" si="9"/>
        <v/>
      </c>
      <c r="P88" s="171" t="str">
        <f t="shared" ca="1" si="10"/>
        <v/>
      </c>
      <c r="Q88" s="170">
        <f t="shared" ca="1" si="11"/>
        <v>0</v>
      </c>
      <c r="R88" s="171" t="str">
        <f t="shared" ca="1" si="12"/>
        <v/>
      </c>
      <c r="S88" s="171" t="str">
        <f t="shared" ca="1" si="13"/>
        <v/>
      </c>
      <c r="T88" s="170">
        <f t="shared" ca="1" si="14"/>
        <v>0</v>
      </c>
      <c r="U88" s="171" t="str">
        <f t="shared" ca="1" si="15"/>
        <v/>
      </c>
      <c r="V88" s="171" t="str">
        <f t="shared" ca="1" si="16"/>
        <v/>
      </c>
      <c r="W88" s="158" t="str">
        <f t="shared" ca="1" si="17"/>
        <v/>
      </c>
      <c r="X88" s="172" t="str">
        <f t="shared" ca="1" si="18"/>
        <v/>
      </c>
    </row>
    <row r="89" spans="2:24" hidden="1" x14ac:dyDescent="0.25">
      <c r="B89" s="143" t="str">
        <f t="shared" ca="1" si="0"/>
        <v/>
      </c>
      <c r="C89" s="144" t="str">
        <f ca="1">'קיזוזים- החלטות ועדה'!C89</f>
        <v/>
      </c>
      <c r="D89" s="158" t="str">
        <f ca="1">IF($C89="","",'הגבלה לסכום מבוקש (1)'!D89)</f>
        <v/>
      </c>
      <c r="E89" s="158" t="str">
        <f ca="1">IF($C89="","",'קיזוזים בגין איחורים'!F89+'קיזוזים- החלטות ועדה'!E89)</f>
        <v/>
      </c>
      <c r="F89" s="158" t="str">
        <f t="shared" ca="1" si="1"/>
        <v/>
      </c>
      <c r="G89" s="158" t="str">
        <f ca="1">'קיזוזים- החלטות ועדה'!G89</f>
        <v/>
      </c>
      <c r="H89" s="169" t="str">
        <f t="shared" ca="1" si="2"/>
        <v/>
      </c>
      <c r="I89" s="158" t="str">
        <f t="shared" ca="1" si="3"/>
        <v/>
      </c>
      <c r="J89" s="158" t="str">
        <f t="shared" ca="1" si="4"/>
        <v/>
      </c>
      <c r="K89" s="170">
        <f t="shared" ca="1" si="5"/>
        <v>0</v>
      </c>
      <c r="L89" s="171" t="str">
        <f t="shared" ca="1" si="6"/>
        <v/>
      </c>
      <c r="M89" s="171" t="str">
        <f t="shared" ca="1" si="7"/>
        <v/>
      </c>
      <c r="N89" s="170">
        <f t="shared" ca="1" si="8"/>
        <v>0</v>
      </c>
      <c r="O89" s="171" t="str">
        <f t="shared" ca="1" si="9"/>
        <v/>
      </c>
      <c r="P89" s="171" t="str">
        <f t="shared" ca="1" si="10"/>
        <v/>
      </c>
      <c r="Q89" s="170">
        <f t="shared" ca="1" si="11"/>
        <v>0</v>
      </c>
      <c r="R89" s="171" t="str">
        <f t="shared" ca="1" si="12"/>
        <v/>
      </c>
      <c r="S89" s="171" t="str">
        <f t="shared" ca="1" si="13"/>
        <v/>
      </c>
      <c r="T89" s="170">
        <f t="shared" ca="1" si="14"/>
        <v>0</v>
      </c>
      <c r="U89" s="171" t="str">
        <f t="shared" ca="1" si="15"/>
        <v/>
      </c>
      <c r="V89" s="171" t="str">
        <f t="shared" ca="1" si="16"/>
        <v/>
      </c>
      <c r="W89" s="158" t="str">
        <f t="shared" ca="1" si="17"/>
        <v/>
      </c>
      <c r="X89" s="172" t="str">
        <f t="shared" ca="1" si="18"/>
        <v/>
      </c>
    </row>
    <row r="90" spans="2:24" x14ac:dyDescent="0.25">
      <c r="B90" s="143">
        <f t="shared" ca="1" si="0"/>
        <v>60</v>
      </c>
      <c r="C90" s="144" t="str">
        <f ca="1">'קיזוזים- החלטות ועדה'!C90</f>
        <v>שרשרת הדורות</v>
      </c>
      <c r="D90" s="158">
        <f ca="1">IF($C90="","",'הגבלה לסכום מבוקש (1)'!D90)</f>
        <v>500000</v>
      </c>
      <c r="E90" s="158">
        <f ca="1">IF($C90="","",'קיזוזים בגין איחורים'!F90+'קיזוזים- החלטות ועדה'!E90)</f>
        <v>0</v>
      </c>
      <c r="F90" s="158">
        <f t="shared" ca="1" si="1"/>
        <v>500000</v>
      </c>
      <c r="G90" s="158">
        <f ca="1">'קיזוזים- החלטות ועדה'!G90</f>
        <v>176882.22716570474</v>
      </c>
      <c r="H90" s="169">
        <f t="shared" ca="1" si="2"/>
        <v>0</v>
      </c>
      <c r="I90" s="158">
        <f t="shared" ca="1" si="3"/>
        <v>176882.22716570474</v>
      </c>
      <c r="J90" s="158">
        <f t="shared" ca="1" si="4"/>
        <v>176882.22716570474</v>
      </c>
      <c r="K90" s="170">
        <f t="shared" ca="1" si="5"/>
        <v>0</v>
      </c>
      <c r="L90" s="171">
        <f t="shared" ca="1" si="6"/>
        <v>176882.22716570474</v>
      </c>
      <c r="M90" s="171">
        <f t="shared" ca="1" si="7"/>
        <v>176882.22716570474</v>
      </c>
      <c r="N90" s="170">
        <f t="shared" ca="1" si="8"/>
        <v>0</v>
      </c>
      <c r="O90" s="171">
        <f t="shared" ca="1" si="9"/>
        <v>176882.22716570474</v>
      </c>
      <c r="P90" s="171">
        <f t="shared" ca="1" si="10"/>
        <v>176882.22716570474</v>
      </c>
      <c r="Q90" s="170">
        <f t="shared" ca="1" si="11"/>
        <v>0</v>
      </c>
      <c r="R90" s="171">
        <f t="shared" ca="1" si="12"/>
        <v>176882.22716570474</v>
      </c>
      <c r="S90" s="171">
        <f t="shared" ca="1" si="13"/>
        <v>176882.22716570474</v>
      </c>
      <c r="T90" s="170">
        <f t="shared" ca="1" si="14"/>
        <v>0</v>
      </c>
      <c r="U90" s="171">
        <f t="shared" ca="1" si="15"/>
        <v>176882.22716570474</v>
      </c>
      <c r="V90" s="171">
        <f t="shared" ca="1" si="16"/>
        <v>176882.22716570474</v>
      </c>
      <c r="W90" s="158">
        <f t="shared" ca="1" si="17"/>
        <v>176882.22716570474</v>
      </c>
      <c r="X90" s="172">
        <f t="shared" ca="1" si="18"/>
        <v>1.1792148477713649E-2</v>
      </c>
    </row>
    <row r="91" spans="2:24" ht="16.5" thickBot="1" x14ac:dyDescent="0.3">
      <c r="B91" s="143">
        <f t="shared" ref="B91:B92" ca="1" si="19">IF(C91="","",ROW()-30)</f>
        <v>61</v>
      </c>
      <c r="C91" s="144" t="str">
        <f ca="1">'קיזוזים- החלטות ועדה'!C91</f>
        <v>חיבה</v>
      </c>
      <c r="D91" s="158">
        <f ca="1">IF($C91="","",'הגבלה לסכום מבוקש (1)'!D91)</f>
        <v>1608200</v>
      </c>
      <c r="E91" s="158">
        <f ca="1">IF($C91="","",'קיזוזים בגין איחורים'!F91+'קיזוזים- החלטות ועדה'!E91)</f>
        <v>0</v>
      </c>
      <c r="F91" s="158">
        <f t="shared" ref="F91:F92" ca="1" si="20">IF($C91="","",D91-E91)</f>
        <v>1608200</v>
      </c>
      <c r="G91" s="158">
        <f ca="1">'קיזוזים- החלטות ועדה'!G91</f>
        <v>339062.36727233679</v>
      </c>
      <c r="H91" s="169">
        <f t="shared" ref="H91:H92" ca="1" si="21">IF(C91="","",IF(G91&gt;$F91,1,0))</f>
        <v>0</v>
      </c>
      <c r="I91" s="158">
        <f t="shared" ref="I91:I92" ca="1" si="22">IF($C91="","",MIN(F91:G91))</f>
        <v>339062.36727233679</v>
      </c>
      <c r="J91" s="158">
        <f t="shared" ref="J91:J92" ca="1" si="23">IF($C91="","",IF(H91=1,I91,I91/SUMIF(H$31:H$130,0,I$31:I$130)*($C$2-SUMIF(H$31:H$130,1,I$31:I$130))))</f>
        <v>339062.36727233679</v>
      </c>
      <c r="K91" s="170">
        <f t="shared" ref="K91:K92" ca="1" si="24">IF(OR(J91&gt;$F91,$H91=1),1,0)</f>
        <v>0</v>
      </c>
      <c r="L91" s="171">
        <f t="shared" ref="L91:L92" ca="1" si="25">IF($C91="","",MIN(J91,$F91))</f>
        <v>339062.36727233679</v>
      </c>
      <c r="M91" s="171">
        <f t="shared" ref="M91:M92" ca="1" si="26">IF($C91="","",IF(K91=1,L91,L91/SUMIF(K$31:K$130,0,L$31:L$130)*($C$2-SUMIF(K$31:K$130,1,L$31:L$130))))</f>
        <v>339062.36727233679</v>
      </c>
      <c r="N91" s="170">
        <f t="shared" ref="N91:N92" ca="1" si="27">IF(OR(M91&gt;$F91,$H91=1,$K91=1),1,0)</f>
        <v>0</v>
      </c>
      <c r="O91" s="171">
        <f t="shared" ref="O91:O92" ca="1" si="28">IF($C91="","",MIN(M91,$F91))</f>
        <v>339062.36727233679</v>
      </c>
      <c r="P91" s="171">
        <f t="shared" ref="P91:P92" ca="1" si="29">IF($C91="","",IF(N91=1,O91,O91/SUMIF(N$31:N$130,0,O$31:O$130)*($C$2-SUMIF(N$31:N$130,1,O$31:O$130))))</f>
        <v>339062.36727233679</v>
      </c>
      <c r="Q91" s="170">
        <f t="shared" ref="Q91:Q92" ca="1" si="30">IF(OR(P91&gt;$F91,$H91=1,$K91=1,$N91=1),1,0)</f>
        <v>0</v>
      </c>
      <c r="R91" s="171">
        <f t="shared" ref="R91:R92" ca="1" si="31">IF($C91="","",MIN(P91,$F91))</f>
        <v>339062.36727233679</v>
      </c>
      <c r="S91" s="171">
        <f t="shared" ref="S91:S92" ca="1" si="32">IF($C91="","",IF(Q91=2,R91,IF(Q91=1,R91,R91/SUMIF(Q$31:Q$130,0,R$31:R$130)*($C$2-SUMIF(Q$31:Q$130,1,R$31:R$130)-SUMIF(Q$31:Q$130,2,R$31:R$130)))))</f>
        <v>339062.36727233679</v>
      </c>
      <c r="T91" s="170">
        <f t="shared" ref="T91:T92" ca="1" si="33">IF(OR(S91&gt;$F91,$H91=1,$K91=1,$N91=1,$Q91=1),1,0)</f>
        <v>0</v>
      </c>
      <c r="U91" s="171">
        <f t="shared" ref="U91:U92" ca="1" si="34">IF($C91="","",MIN(S91,$F91))</f>
        <v>339062.36727233679</v>
      </c>
      <c r="V91" s="171">
        <f t="shared" ref="V91:V92" ca="1" si="35">IF($C91="","",IF(T91=2,U91,IF(T91=1,U91,U91/SUMIF(T$31:T$130,0,U$31:U$130)*($C$2-SUMIF(T$31:T$130,1,U$31:U$130)-SUMIF(T$31:T$130,2,U$31:U$130)))))</f>
        <v>339062.36727233679</v>
      </c>
      <c r="W91" s="158">
        <f t="shared" ref="W91:W92" ca="1" si="36">IFERROR(V91,0)</f>
        <v>339062.36727233679</v>
      </c>
      <c r="X91" s="172">
        <f t="shared" ref="X91:X92" ca="1" si="37">IF(F91="","",IFERROR(W91/SUMIF($W$31:$W$130,"&lt;&gt;#DIV/0!"),0))</f>
        <v>2.2604157818155786E-2</v>
      </c>
    </row>
    <row r="92" spans="2:24" ht="16.5" hidden="1" thickBot="1" x14ac:dyDescent="0.3">
      <c r="B92" s="143" t="str">
        <f t="shared" ca="1" si="19"/>
        <v/>
      </c>
      <c r="C92" s="144" t="str">
        <f ca="1">'קיזוזים- החלטות ועדה'!C92</f>
        <v/>
      </c>
      <c r="D92" s="158" t="str">
        <f ca="1">IF($C92="","",'הגבלה לסכום מבוקש (1)'!D92)</f>
        <v/>
      </c>
      <c r="E92" s="158" t="str">
        <f ca="1">IF($C92="","",'קיזוזים בגין איחורים'!F92+'קיזוזים- החלטות ועדה'!E92)</f>
        <v/>
      </c>
      <c r="F92" s="158" t="str">
        <f t="shared" ca="1" si="20"/>
        <v/>
      </c>
      <c r="G92" s="158" t="str">
        <f ca="1">'קיזוזים- החלטות ועדה'!G92</f>
        <v/>
      </c>
      <c r="H92" s="169" t="str">
        <f t="shared" ca="1" si="21"/>
        <v/>
      </c>
      <c r="I92" s="158" t="str">
        <f t="shared" ca="1" si="22"/>
        <v/>
      </c>
      <c r="J92" s="158" t="str">
        <f t="shared" ca="1" si="23"/>
        <v/>
      </c>
      <c r="K92" s="170">
        <f t="shared" ca="1" si="24"/>
        <v>0</v>
      </c>
      <c r="L92" s="171" t="str">
        <f t="shared" ca="1" si="25"/>
        <v/>
      </c>
      <c r="M92" s="171" t="str">
        <f t="shared" ca="1" si="26"/>
        <v/>
      </c>
      <c r="N92" s="170">
        <f t="shared" ca="1" si="27"/>
        <v>0</v>
      </c>
      <c r="O92" s="171" t="str">
        <f t="shared" ca="1" si="28"/>
        <v/>
      </c>
      <c r="P92" s="171" t="str">
        <f t="shared" ca="1" si="29"/>
        <v/>
      </c>
      <c r="Q92" s="170">
        <f t="shared" ca="1" si="30"/>
        <v>0</v>
      </c>
      <c r="R92" s="171" t="str">
        <f t="shared" ca="1" si="31"/>
        <v/>
      </c>
      <c r="S92" s="171" t="str">
        <f t="shared" ca="1" si="32"/>
        <v/>
      </c>
      <c r="T92" s="170">
        <f t="shared" ca="1" si="33"/>
        <v>0</v>
      </c>
      <c r="U92" s="171" t="str">
        <f t="shared" ca="1" si="34"/>
        <v/>
      </c>
      <c r="V92" s="171" t="str">
        <f t="shared" ca="1" si="35"/>
        <v/>
      </c>
      <c r="W92" s="158" t="str">
        <f t="shared" ca="1" si="36"/>
        <v/>
      </c>
      <c r="X92" s="172" t="str">
        <f t="shared" ca="1" si="37"/>
        <v/>
      </c>
    </row>
    <row r="93" spans="2:24" hidden="1" x14ac:dyDescent="0.25">
      <c r="B93" s="143"/>
      <c r="C93" s="144"/>
      <c r="D93" s="158"/>
      <c r="E93" s="158"/>
      <c r="F93" s="158"/>
      <c r="G93" s="158"/>
      <c r="H93" s="169"/>
      <c r="I93" s="158"/>
      <c r="J93" s="158"/>
      <c r="K93" s="170"/>
      <c r="L93" s="171"/>
      <c r="M93" s="171"/>
      <c r="N93" s="170"/>
      <c r="O93" s="171"/>
      <c r="P93" s="171"/>
      <c r="Q93" s="170"/>
      <c r="R93" s="171"/>
      <c r="S93" s="171"/>
      <c r="T93" s="170"/>
      <c r="U93" s="171"/>
      <c r="V93" s="171"/>
      <c r="W93" s="158"/>
      <c r="X93" s="172"/>
    </row>
    <row r="94" spans="2:24" hidden="1" x14ac:dyDescent="0.25">
      <c r="B94" s="143"/>
      <c r="C94" s="144"/>
      <c r="D94" s="158"/>
      <c r="E94" s="158"/>
      <c r="F94" s="158"/>
      <c r="G94" s="158"/>
      <c r="H94" s="169"/>
      <c r="I94" s="158"/>
      <c r="J94" s="158"/>
      <c r="K94" s="170"/>
      <c r="L94" s="171"/>
      <c r="M94" s="171"/>
      <c r="N94" s="170"/>
      <c r="O94" s="171"/>
      <c r="P94" s="171"/>
      <c r="Q94" s="170"/>
      <c r="R94" s="171"/>
      <c r="S94" s="171"/>
      <c r="T94" s="170"/>
      <c r="U94" s="171"/>
      <c r="V94" s="171"/>
      <c r="W94" s="158"/>
      <c r="X94" s="172"/>
    </row>
    <row r="95" spans="2:24" hidden="1" x14ac:dyDescent="0.25">
      <c r="B95" s="143"/>
      <c r="C95" s="144"/>
      <c r="D95" s="158"/>
      <c r="E95" s="158"/>
      <c r="F95" s="158"/>
      <c r="G95" s="158"/>
      <c r="H95" s="169"/>
      <c r="I95" s="158"/>
      <c r="J95" s="158"/>
      <c r="K95" s="170"/>
      <c r="L95" s="171"/>
      <c r="M95" s="171"/>
      <c r="N95" s="170"/>
      <c r="O95" s="171"/>
      <c r="P95" s="171"/>
      <c r="Q95" s="170"/>
      <c r="R95" s="171"/>
      <c r="S95" s="171"/>
      <c r="T95" s="170"/>
      <c r="U95" s="171"/>
      <c r="V95" s="171"/>
      <c r="W95" s="158"/>
      <c r="X95" s="172"/>
    </row>
    <row r="96" spans="2:24" hidden="1" x14ac:dyDescent="0.25">
      <c r="B96" s="143"/>
      <c r="C96" s="144"/>
      <c r="D96" s="158"/>
      <c r="E96" s="158"/>
      <c r="F96" s="158"/>
      <c r="G96" s="158"/>
      <c r="H96" s="169"/>
      <c r="I96" s="158"/>
      <c r="J96" s="158"/>
      <c r="K96" s="170"/>
      <c r="L96" s="171"/>
      <c r="M96" s="171"/>
      <c r="N96" s="170"/>
      <c r="O96" s="171"/>
      <c r="P96" s="171"/>
      <c r="Q96" s="170"/>
      <c r="R96" s="171"/>
      <c r="S96" s="171"/>
      <c r="T96" s="170"/>
      <c r="U96" s="171"/>
      <c r="V96" s="171"/>
      <c r="W96" s="158"/>
      <c r="X96" s="172"/>
    </row>
    <row r="97" spans="2:24" hidden="1" x14ac:dyDescent="0.25">
      <c r="B97" s="143"/>
      <c r="C97" s="144"/>
      <c r="D97" s="158"/>
      <c r="E97" s="158"/>
      <c r="F97" s="158"/>
      <c r="G97" s="158"/>
      <c r="H97" s="169"/>
      <c r="I97" s="158"/>
      <c r="J97" s="158"/>
      <c r="K97" s="170"/>
      <c r="L97" s="171"/>
      <c r="M97" s="171"/>
      <c r="N97" s="170"/>
      <c r="O97" s="171"/>
      <c r="P97" s="171"/>
      <c r="Q97" s="170"/>
      <c r="R97" s="171"/>
      <c r="S97" s="171"/>
      <c r="T97" s="170"/>
      <c r="U97" s="171"/>
      <c r="V97" s="171"/>
      <c r="W97" s="158"/>
      <c r="X97" s="172"/>
    </row>
    <row r="98" spans="2:24" hidden="1" x14ac:dyDescent="0.25">
      <c r="B98" s="143"/>
      <c r="C98" s="144"/>
      <c r="D98" s="158"/>
      <c r="E98" s="158"/>
      <c r="F98" s="158"/>
      <c r="G98" s="158"/>
      <c r="H98" s="169"/>
      <c r="I98" s="158"/>
      <c r="J98" s="158"/>
      <c r="K98" s="170"/>
      <c r="L98" s="171"/>
      <c r="M98" s="171"/>
      <c r="N98" s="170"/>
      <c r="O98" s="171"/>
      <c r="P98" s="171"/>
      <c r="Q98" s="170"/>
      <c r="R98" s="171"/>
      <c r="S98" s="171"/>
      <c r="T98" s="170"/>
      <c r="U98" s="171"/>
      <c r="V98" s="171"/>
      <c r="W98" s="158"/>
      <c r="X98" s="172"/>
    </row>
    <row r="99" spans="2:24" hidden="1" x14ac:dyDescent="0.25">
      <c r="B99" s="143"/>
      <c r="C99" s="144"/>
      <c r="D99" s="158"/>
      <c r="E99" s="158"/>
      <c r="F99" s="158"/>
      <c r="G99" s="158"/>
      <c r="H99" s="169"/>
      <c r="I99" s="158"/>
      <c r="J99" s="158"/>
      <c r="K99" s="170"/>
      <c r="L99" s="171"/>
      <c r="M99" s="171"/>
      <c r="N99" s="170"/>
      <c r="O99" s="171"/>
      <c r="P99" s="171"/>
      <c r="Q99" s="170"/>
      <c r="R99" s="171"/>
      <c r="S99" s="171"/>
      <c r="T99" s="170"/>
      <c r="U99" s="171"/>
      <c r="V99" s="171"/>
      <c r="W99" s="158"/>
      <c r="X99" s="172"/>
    </row>
    <row r="100" spans="2:24" hidden="1" x14ac:dyDescent="0.25">
      <c r="B100" s="143"/>
      <c r="C100" s="144"/>
      <c r="D100" s="158"/>
      <c r="E100" s="158"/>
      <c r="F100" s="158"/>
      <c r="G100" s="158"/>
      <c r="H100" s="169"/>
      <c r="I100" s="158"/>
      <c r="J100" s="158"/>
      <c r="K100" s="170"/>
      <c r="L100" s="171"/>
      <c r="M100" s="171"/>
      <c r="N100" s="170"/>
      <c r="O100" s="171"/>
      <c r="P100" s="171"/>
      <c r="Q100" s="170"/>
      <c r="R100" s="171"/>
      <c r="S100" s="171"/>
      <c r="T100" s="170"/>
      <c r="U100" s="171"/>
      <c r="V100" s="171"/>
      <c r="W100" s="158"/>
      <c r="X100" s="172"/>
    </row>
    <row r="101" spans="2:24" hidden="1" x14ac:dyDescent="0.25">
      <c r="B101" s="143"/>
      <c r="C101" s="144"/>
      <c r="D101" s="158"/>
      <c r="E101" s="158"/>
      <c r="F101" s="158"/>
      <c r="G101" s="158"/>
      <c r="H101" s="169"/>
      <c r="I101" s="158"/>
      <c r="J101" s="158"/>
      <c r="K101" s="170"/>
      <c r="L101" s="171"/>
      <c r="M101" s="171"/>
      <c r="N101" s="170"/>
      <c r="O101" s="171"/>
      <c r="P101" s="171"/>
      <c r="Q101" s="170"/>
      <c r="R101" s="171"/>
      <c r="S101" s="171"/>
      <c r="T101" s="170"/>
      <c r="U101" s="171"/>
      <c r="V101" s="171"/>
      <c r="W101" s="158"/>
      <c r="X101" s="172"/>
    </row>
    <row r="102" spans="2:24" hidden="1" x14ac:dyDescent="0.25">
      <c r="B102" s="143"/>
      <c r="C102" s="144"/>
      <c r="D102" s="158"/>
      <c r="E102" s="158"/>
      <c r="F102" s="158"/>
      <c r="G102" s="158"/>
      <c r="H102" s="169"/>
      <c r="I102" s="158"/>
      <c r="J102" s="158"/>
      <c r="K102" s="170"/>
      <c r="L102" s="171"/>
      <c r="M102" s="171"/>
      <c r="N102" s="170"/>
      <c r="O102" s="171"/>
      <c r="P102" s="171"/>
      <c r="Q102" s="170"/>
      <c r="R102" s="171"/>
      <c r="S102" s="171"/>
      <c r="T102" s="170"/>
      <c r="U102" s="171"/>
      <c r="V102" s="171"/>
      <c r="W102" s="158"/>
      <c r="X102" s="172"/>
    </row>
    <row r="103" spans="2:24" hidden="1" x14ac:dyDescent="0.25">
      <c r="B103" s="143"/>
      <c r="C103" s="144"/>
      <c r="D103" s="158"/>
      <c r="E103" s="158"/>
      <c r="F103" s="158"/>
      <c r="G103" s="158"/>
      <c r="H103" s="169"/>
      <c r="I103" s="158"/>
      <c r="J103" s="158"/>
      <c r="K103" s="170"/>
      <c r="L103" s="171"/>
      <c r="M103" s="171"/>
      <c r="N103" s="170"/>
      <c r="O103" s="171"/>
      <c r="P103" s="171"/>
      <c r="Q103" s="170"/>
      <c r="R103" s="171"/>
      <c r="S103" s="171"/>
      <c r="T103" s="170"/>
      <c r="U103" s="171"/>
      <c r="V103" s="171"/>
      <c r="W103" s="158"/>
      <c r="X103" s="172"/>
    </row>
    <row r="104" spans="2:24" hidden="1" x14ac:dyDescent="0.25">
      <c r="B104" s="143"/>
      <c r="C104" s="144"/>
      <c r="D104" s="158"/>
      <c r="E104" s="158"/>
      <c r="F104" s="158"/>
      <c r="G104" s="158"/>
      <c r="H104" s="169"/>
      <c r="I104" s="158"/>
      <c r="J104" s="158"/>
      <c r="K104" s="170"/>
      <c r="L104" s="171"/>
      <c r="M104" s="171"/>
      <c r="N104" s="170"/>
      <c r="O104" s="171"/>
      <c r="P104" s="171"/>
      <c r="Q104" s="170"/>
      <c r="R104" s="171"/>
      <c r="S104" s="171"/>
      <c r="T104" s="170"/>
      <c r="U104" s="171"/>
      <c r="V104" s="171"/>
      <c r="W104" s="158"/>
      <c r="X104" s="172"/>
    </row>
    <row r="105" spans="2:24" hidden="1" x14ac:dyDescent="0.25">
      <c r="B105" s="143"/>
      <c r="C105" s="144"/>
      <c r="D105" s="158"/>
      <c r="E105" s="158"/>
      <c r="F105" s="158"/>
      <c r="G105" s="158"/>
      <c r="H105" s="169"/>
      <c r="I105" s="158"/>
      <c r="J105" s="158"/>
      <c r="K105" s="170"/>
      <c r="L105" s="171"/>
      <c r="M105" s="171"/>
      <c r="N105" s="170"/>
      <c r="O105" s="171"/>
      <c r="P105" s="171"/>
      <c r="Q105" s="170"/>
      <c r="R105" s="171"/>
      <c r="S105" s="171"/>
      <c r="T105" s="170"/>
      <c r="U105" s="171"/>
      <c r="V105" s="171"/>
      <c r="W105" s="158"/>
      <c r="X105" s="172"/>
    </row>
    <row r="106" spans="2:24" hidden="1" x14ac:dyDescent="0.25">
      <c r="B106" s="143"/>
      <c r="C106" s="144"/>
      <c r="D106" s="158"/>
      <c r="E106" s="158"/>
      <c r="F106" s="158"/>
      <c r="G106" s="158"/>
      <c r="H106" s="169"/>
      <c r="I106" s="158"/>
      <c r="J106" s="158"/>
      <c r="K106" s="170"/>
      <c r="L106" s="171"/>
      <c r="M106" s="171"/>
      <c r="N106" s="170"/>
      <c r="O106" s="171"/>
      <c r="P106" s="171"/>
      <c r="Q106" s="170"/>
      <c r="R106" s="171"/>
      <c r="S106" s="171"/>
      <c r="T106" s="170"/>
      <c r="U106" s="171"/>
      <c r="V106" s="171"/>
      <c r="W106" s="158"/>
      <c r="X106" s="172"/>
    </row>
    <row r="107" spans="2:24" hidden="1" x14ac:dyDescent="0.25">
      <c r="B107" s="143"/>
      <c r="C107" s="144"/>
      <c r="D107" s="158"/>
      <c r="E107" s="158"/>
      <c r="F107" s="158"/>
      <c r="G107" s="158"/>
      <c r="H107" s="169"/>
      <c r="I107" s="158"/>
      <c r="J107" s="158"/>
      <c r="K107" s="170"/>
      <c r="L107" s="171"/>
      <c r="M107" s="171"/>
      <c r="N107" s="170"/>
      <c r="O107" s="171"/>
      <c r="P107" s="171"/>
      <c r="Q107" s="170"/>
      <c r="R107" s="171"/>
      <c r="S107" s="171"/>
      <c r="T107" s="170"/>
      <c r="U107" s="171"/>
      <c r="V107" s="171"/>
      <c r="W107" s="158"/>
      <c r="X107" s="172"/>
    </row>
    <row r="108" spans="2:24" hidden="1" x14ac:dyDescent="0.25">
      <c r="B108" s="143"/>
      <c r="C108" s="144"/>
      <c r="D108" s="158"/>
      <c r="E108" s="158"/>
      <c r="F108" s="158"/>
      <c r="G108" s="158"/>
      <c r="H108" s="169"/>
      <c r="I108" s="158"/>
      <c r="J108" s="158"/>
      <c r="K108" s="170"/>
      <c r="L108" s="171"/>
      <c r="M108" s="171"/>
      <c r="N108" s="170"/>
      <c r="O108" s="171"/>
      <c r="P108" s="171"/>
      <c r="Q108" s="170"/>
      <c r="R108" s="171"/>
      <c r="S108" s="171"/>
      <c r="T108" s="170"/>
      <c r="U108" s="171"/>
      <c r="V108" s="171"/>
      <c r="W108" s="158"/>
      <c r="X108" s="172"/>
    </row>
    <row r="109" spans="2:24" hidden="1" x14ac:dyDescent="0.25">
      <c r="B109" s="143"/>
      <c r="C109" s="144"/>
      <c r="D109" s="158"/>
      <c r="E109" s="158"/>
      <c r="F109" s="158"/>
      <c r="G109" s="158"/>
      <c r="H109" s="169"/>
      <c r="I109" s="158"/>
      <c r="J109" s="158"/>
      <c r="K109" s="170"/>
      <c r="L109" s="171"/>
      <c r="M109" s="171"/>
      <c r="N109" s="170"/>
      <c r="O109" s="171"/>
      <c r="P109" s="171"/>
      <c r="Q109" s="170"/>
      <c r="R109" s="171"/>
      <c r="S109" s="171"/>
      <c r="T109" s="170"/>
      <c r="U109" s="171"/>
      <c r="V109" s="171"/>
      <c r="W109" s="158"/>
      <c r="X109" s="172"/>
    </row>
    <row r="110" spans="2:24" hidden="1" x14ac:dyDescent="0.25">
      <c r="B110" s="143"/>
      <c r="C110" s="144"/>
      <c r="D110" s="158"/>
      <c r="E110" s="158"/>
      <c r="F110" s="158"/>
      <c r="G110" s="158"/>
      <c r="H110" s="169"/>
      <c r="I110" s="158"/>
      <c r="J110" s="158"/>
      <c r="K110" s="170"/>
      <c r="L110" s="171"/>
      <c r="M110" s="171"/>
      <c r="N110" s="170"/>
      <c r="O110" s="171"/>
      <c r="P110" s="171"/>
      <c r="Q110" s="170"/>
      <c r="R110" s="171"/>
      <c r="S110" s="171"/>
      <c r="T110" s="170"/>
      <c r="U110" s="171"/>
      <c r="V110" s="171"/>
      <c r="W110" s="158"/>
      <c r="X110" s="172"/>
    </row>
    <row r="111" spans="2:24" hidden="1" x14ac:dyDescent="0.25">
      <c r="B111" s="143"/>
      <c r="C111" s="144"/>
      <c r="D111" s="158"/>
      <c r="E111" s="158"/>
      <c r="F111" s="158"/>
      <c r="G111" s="158"/>
      <c r="H111" s="169"/>
      <c r="I111" s="158"/>
      <c r="J111" s="158"/>
      <c r="K111" s="170"/>
      <c r="L111" s="171"/>
      <c r="M111" s="171"/>
      <c r="N111" s="170"/>
      <c r="O111" s="171"/>
      <c r="P111" s="171"/>
      <c r="Q111" s="170"/>
      <c r="R111" s="171"/>
      <c r="S111" s="171"/>
      <c r="T111" s="170"/>
      <c r="U111" s="171"/>
      <c r="V111" s="171"/>
      <c r="W111" s="158"/>
      <c r="X111" s="172"/>
    </row>
    <row r="112" spans="2:24" hidden="1" x14ac:dyDescent="0.25">
      <c r="B112" s="143"/>
      <c r="C112" s="144"/>
      <c r="D112" s="158"/>
      <c r="E112" s="158"/>
      <c r="F112" s="158"/>
      <c r="G112" s="158"/>
      <c r="H112" s="169"/>
      <c r="I112" s="158"/>
      <c r="J112" s="158"/>
      <c r="K112" s="170"/>
      <c r="L112" s="171"/>
      <c r="M112" s="171"/>
      <c r="N112" s="170"/>
      <c r="O112" s="171"/>
      <c r="P112" s="171"/>
      <c r="Q112" s="170"/>
      <c r="R112" s="171"/>
      <c r="S112" s="171"/>
      <c r="T112" s="170"/>
      <c r="U112" s="171"/>
      <c r="V112" s="171"/>
      <c r="W112" s="158"/>
      <c r="X112" s="172"/>
    </row>
    <row r="113" spans="2:24" hidden="1" x14ac:dyDescent="0.25">
      <c r="B113" s="143"/>
      <c r="C113" s="144"/>
      <c r="D113" s="158"/>
      <c r="E113" s="158"/>
      <c r="F113" s="158"/>
      <c r="G113" s="158"/>
      <c r="H113" s="169"/>
      <c r="I113" s="158"/>
      <c r="J113" s="158"/>
      <c r="K113" s="170"/>
      <c r="L113" s="171"/>
      <c r="M113" s="171"/>
      <c r="N113" s="170"/>
      <c r="O113" s="171"/>
      <c r="P113" s="171"/>
      <c r="Q113" s="170"/>
      <c r="R113" s="171"/>
      <c r="S113" s="171"/>
      <c r="T113" s="170"/>
      <c r="U113" s="171"/>
      <c r="V113" s="171"/>
      <c r="W113" s="158"/>
      <c r="X113" s="172"/>
    </row>
    <row r="114" spans="2:24" hidden="1" x14ac:dyDescent="0.25">
      <c r="B114" s="143"/>
      <c r="C114" s="144"/>
      <c r="D114" s="158"/>
      <c r="E114" s="158"/>
      <c r="F114" s="158"/>
      <c r="G114" s="158"/>
      <c r="H114" s="169"/>
      <c r="I114" s="158"/>
      <c r="J114" s="158"/>
      <c r="K114" s="170"/>
      <c r="L114" s="171"/>
      <c r="M114" s="171"/>
      <c r="N114" s="170"/>
      <c r="O114" s="171"/>
      <c r="P114" s="171"/>
      <c r="Q114" s="170"/>
      <c r="R114" s="171"/>
      <c r="S114" s="171"/>
      <c r="T114" s="170"/>
      <c r="U114" s="171"/>
      <c r="V114" s="171"/>
      <c r="W114" s="158"/>
      <c r="X114" s="172"/>
    </row>
    <row r="115" spans="2:24" hidden="1" x14ac:dyDescent="0.25">
      <c r="B115" s="143"/>
      <c r="C115" s="144"/>
      <c r="D115" s="158"/>
      <c r="E115" s="158"/>
      <c r="F115" s="158"/>
      <c r="G115" s="158"/>
      <c r="H115" s="169"/>
      <c r="I115" s="158"/>
      <c r="J115" s="158"/>
      <c r="K115" s="170"/>
      <c r="L115" s="171"/>
      <c r="M115" s="171"/>
      <c r="N115" s="170"/>
      <c r="O115" s="171"/>
      <c r="P115" s="171"/>
      <c r="Q115" s="170"/>
      <c r="R115" s="171"/>
      <c r="S115" s="171"/>
      <c r="T115" s="170"/>
      <c r="U115" s="171"/>
      <c r="V115" s="171"/>
      <c r="W115" s="158"/>
      <c r="X115" s="172"/>
    </row>
    <row r="116" spans="2:24" hidden="1" x14ac:dyDescent="0.25">
      <c r="B116" s="143"/>
      <c r="C116" s="144"/>
      <c r="D116" s="158"/>
      <c r="E116" s="158"/>
      <c r="F116" s="158"/>
      <c r="G116" s="158"/>
      <c r="H116" s="169"/>
      <c r="I116" s="158"/>
      <c r="J116" s="158"/>
      <c r="K116" s="170"/>
      <c r="L116" s="171"/>
      <c r="M116" s="171"/>
      <c r="N116" s="170"/>
      <c r="O116" s="171"/>
      <c r="P116" s="171"/>
      <c r="Q116" s="170"/>
      <c r="R116" s="171"/>
      <c r="S116" s="171"/>
      <c r="T116" s="170"/>
      <c r="U116" s="171"/>
      <c r="V116" s="171"/>
      <c r="W116" s="158"/>
      <c r="X116" s="172"/>
    </row>
    <row r="117" spans="2:24" hidden="1" x14ac:dyDescent="0.25">
      <c r="B117" s="143"/>
      <c r="C117" s="144"/>
      <c r="D117" s="158"/>
      <c r="E117" s="158"/>
      <c r="F117" s="158"/>
      <c r="G117" s="158"/>
      <c r="H117" s="169"/>
      <c r="I117" s="158"/>
      <c r="J117" s="158"/>
      <c r="K117" s="170"/>
      <c r="L117" s="171"/>
      <c r="M117" s="171"/>
      <c r="N117" s="170"/>
      <c r="O117" s="171"/>
      <c r="P117" s="171"/>
      <c r="Q117" s="170"/>
      <c r="R117" s="171"/>
      <c r="S117" s="171"/>
      <c r="T117" s="170"/>
      <c r="U117" s="171"/>
      <c r="V117" s="171"/>
      <c r="W117" s="158"/>
      <c r="X117" s="172"/>
    </row>
    <row r="118" spans="2:24" hidden="1" x14ac:dyDescent="0.25">
      <c r="B118" s="143"/>
      <c r="C118" s="144"/>
      <c r="D118" s="158"/>
      <c r="E118" s="158"/>
      <c r="F118" s="158"/>
      <c r="G118" s="158"/>
      <c r="H118" s="169"/>
      <c r="I118" s="158"/>
      <c r="J118" s="158"/>
      <c r="K118" s="170"/>
      <c r="L118" s="171"/>
      <c r="M118" s="171"/>
      <c r="N118" s="170"/>
      <c r="O118" s="171"/>
      <c r="P118" s="171"/>
      <c r="Q118" s="170"/>
      <c r="R118" s="171"/>
      <c r="S118" s="171"/>
      <c r="T118" s="170"/>
      <c r="U118" s="171"/>
      <c r="V118" s="171"/>
      <c r="W118" s="158"/>
      <c r="X118" s="172"/>
    </row>
    <row r="119" spans="2:24" hidden="1" x14ac:dyDescent="0.25">
      <c r="B119" s="143"/>
      <c r="C119" s="144"/>
      <c r="D119" s="158"/>
      <c r="E119" s="158"/>
      <c r="F119" s="158"/>
      <c r="G119" s="158"/>
      <c r="H119" s="169"/>
      <c r="I119" s="158"/>
      <c r="J119" s="158"/>
      <c r="K119" s="170"/>
      <c r="L119" s="171"/>
      <c r="M119" s="171"/>
      <c r="N119" s="170"/>
      <c r="O119" s="171"/>
      <c r="P119" s="171"/>
      <c r="Q119" s="170"/>
      <c r="R119" s="171"/>
      <c r="S119" s="171"/>
      <c r="T119" s="170"/>
      <c r="U119" s="171"/>
      <c r="V119" s="171"/>
      <c r="W119" s="158"/>
      <c r="X119" s="172"/>
    </row>
    <row r="120" spans="2:24" hidden="1" x14ac:dyDescent="0.25">
      <c r="B120" s="143"/>
      <c r="C120" s="144"/>
      <c r="D120" s="158"/>
      <c r="E120" s="158"/>
      <c r="F120" s="158"/>
      <c r="G120" s="158"/>
      <c r="H120" s="169"/>
      <c r="I120" s="158"/>
      <c r="J120" s="158"/>
      <c r="K120" s="170"/>
      <c r="L120" s="171"/>
      <c r="M120" s="171"/>
      <c r="N120" s="170"/>
      <c r="O120" s="171"/>
      <c r="P120" s="171"/>
      <c r="Q120" s="170"/>
      <c r="R120" s="171"/>
      <c r="S120" s="171"/>
      <c r="T120" s="170"/>
      <c r="U120" s="171"/>
      <c r="V120" s="171"/>
      <c r="W120" s="158"/>
      <c r="X120" s="172"/>
    </row>
    <row r="121" spans="2:24" hidden="1" x14ac:dyDescent="0.25">
      <c r="B121" s="143"/>
      <c r="C121" s="144"/>
      <c r="D121" s="158"/>
      <c r="E121" s="158"/>
      <c r="F121" s="158"/>
      <c r="G121" s="158"/>
      <c r="H121" s="169"/>
      <c r="I121" s="158"/>
      <c r="J121" s="158"/>
      <c r="K121" s="170"/>
      <c r="L121" s="171"/>
      <c r="M121" s="171"/>
      <c r="N121" s="170"/>
      <c r="O121" s="171"/>
      <c r="P121" s="171"/>
      <c r="Q121" s="170"/>
      <c r="R121" s="171"/>
      <c r="S121" s="171"/>
      <c r="T121" s="170"/>
      <c r="U121" s="171"/>
      <c r="V121" s="171"/>
      <c r="W121" s="158"/>
      <c r="X121" s="172"/>
    </row>
    <row r="122" spans="2:24" hidden="1" x14ac:dyDescent="0.25">
      <c r="B122" s="143"/>
      <c r="C122" s="144"/>
      <c r="D122" s="158"/>
      <c r="E122" s="158"/>
      <c r="F122" s="158"/>
      <c r="G122" s="158"/>
      <c r="H122" s="169"/>
      <c r="I122" s="158"/>
      <c r="J122" s="158"/>
      <c r="K122" s="170"/>
      <c r="L122" s="171"/>
      <c r="M122" s="171"/>
      <c r="N122" s="170"/>
      <c r="O122" s="171"/>
      <c r="P122" s="171"/>
      <c r="Q122" s="170"/>
      <c r="R122" s="171"/>
      <c r="S122" s="171"/>
      <c r="T122" s="170"/>
      <c r="U122" s="171"/>
      <c r="V122" s="171"/>
      <c r="W122" s="158"/>
      <c r="X122" s="172"/>
    </row>
    <row r="123" spans="2:24" hidden="1" x14ac:dyDescent="0.25">
      <c r="B123" s="143"/>
      <c r="C123" s="144"/>
      <c r="D123" s="158"/>
      <c r="E123" s="158"/>
      <c r="F123" s="158"/>
      <c r="G123" s="158"/>
      <c r="H123" s="169"/>
      <c r="I123" s="158"/>
      <c r="J123" s="158"/>
      <c r="K123" s="170"/>
      <c r="L123" s="171"/>
      <c r="M123" s="171"/>
      <c r="N123" s="170"/>
      <c r="O123" s="171"/>
      <c r="P123" s="171"/>
      <c r="Q123" s="170"/>
      <c r="R123" s="171"/>
      <c r="S123" s="171"/>
      <c r="T123" s="170"/>
      <c r="U123" s="171"/>
      <c r="V123" s="171"/>
      <c r="W123" s="158"/>
      <c r="X123" s="172"/>
    </row>
    <row r="124" spans="2:24" hidden="1" x14ac:dyDescent="0.25">
      <c r="B124" s="143"/>
      <c r="C124" s="144"/>
      <c r="D124" s="158"/>
      <c r="E124" s="158"/>
      <c r="F124" s="158"/>
      <c r="G124" s="158"/>
      <c r="H124" s="169"/>
      <c r="I124" s="158"/>
      <c r="J124" s="158"/>
      <c r="K124" s="170"/>
      <c r="L124" s="171"/>
      <c r="M124" s="171"/>
      <c r="N124" s="170"/>
      <c r="O124" s="171"/>
      <c r="P124" s="171"/>
      <c r="Q124" s="170"/>
      <c r="R124" s="171"/>
      <c r="S124" s="171"/>
      <c r="T124" s="170"/>
      <c r="U124" s="171"/>
      <c r="V124" s="171"/>
      <c r="W124" s="158"/>
      <c r="X124" s="172"/>
    </row>
    <row r="125" spans="2:24" hidden="1" x14ac:dyDescent="0.25">
      <c r="B125" s="143"/>
      <c r="C125" s="144"/>
      <c r="D125" s="158"/>
      <c r="E125" s="158"/>
      <c r="F125" s="158"/>
      <c r="G125" s="158"/>
      <c r="H125" s="169"/>
      <c r="I125" s="158"/>
      <c r="J125" s="158"/>
      <c r="K125" s="170"/>
      <c r="L125" s="171"/>
      <c r="M125" s="171"/>
      <c r="N125" s="170"/>
      <c r="O125" s="171"/>
      <c r="P125" s="171"/>
      <c r="Q125" s="170"/>
      <c r="R125" s="171"/>
      <c r="S125" s="171"/>
      <c r="T125" s="170"/>
      <c r="U125" s="171"/>
      <c r="V125" s="171"/>
      <c r="W125" s="158"/>
      <c r="X125" s="172"/>
    </row>
    <row r="126" spans="2:24" hidden="1" x14ac:dyDescent="0.25">
      <c r="B126" s="143"/>
      <c r="C126" s="144"/>
      <c r="D126" s="158"/>
      <c r="E126" s="158"/>
      <c r="F126" s="158"/>
      <c r="G126" s="158"/>
      <c r="H126" s="169"/>
      <c r="I126" s="158"/>
      <c r="J126" s="158"/>
      <c r="K126" s="170"/>
      <c r="L126" s="171"/>
      <c r="M126" s="171"/>
      <c r="N126" s="170"/>
      <c r="O126" s="171"/>
      <c r="P126" s="171"/>
      <c r="Q126" s="170"/>
      <c r="R126" s="171"/>
      <c r="S126" s="171"/>
      <c r="T126" s="170"/>
      <c r="U126" s="171"/>
      <c r="V126" s="171"/>
      <c r="W126" s="158"/>
      <c r="X126" s="172"/>
    </row>
    <row r="127" spans="2:24" hidden="1" x14ac:dyDescent="0.25">
      <c r="B127" s="143"/>
      <c r="C127" s="144"/>
      <c r="D127" s="158"/>
      <c r="E127" s="158"/>
      <c r="F127" s="158"/>
      <c r="G127" s="158"/>
      <c r="H127" s="169"/>
      <c r="I127" s="158"/>
      <c r="J127" s="158"/>
      <c r="K127" s="170"/>
      <c r="L127" s="171"/>
      <c r="M127" s="171"/>
      <c r="N127" s="170"/>
      <c r="O127" s="171"/>
      <c r="P127" s="171"/>
      <c r="Q127" s="170"/>
      <c r="R127" s="171"/>
      <c r="S127" s="171"/>
      <c r="T127" s="170"/>
      <c r="U127" s="171"/>
      <c r="V127" s="171"/>
      <c r="W127" s="158"/>
      <c r="X127" s="172"/>
    </row>
    <row r="128" spans="2:24" hidden="1" x14ac:dyDescent="0.25">
      <c r="B128" s="143"/>
      <c r="C128" s="144"/>
      <c r="D128" s="158"/>
      <c r="E128" s="158"/>
      <c r="F128" s="158"/>
      <c r="G128" s="158"/>
      <c r="H128" s="169"/>
      <c r="I128" s="158"/>
      <c r="J128" s="158"/>
      <c r="K128" s="170"/>
      <c r="L128" s="171"/>
      <c r="M128" s="171"/>
      <c r="N128" s="170"/>
      <c r="O128" s="171"/>
      <c r="P128" s="171"/>
      <c r="Q128" s="170"/>
      <c r="R128" s="171"/>
      <c r="S128" s="171"/>
      <c r="T128" s="170"/>
      <c r="U128" s="171"/>
      <c r="V128" s="171"/>
      <c r="W128" s="158"/>
      <c r="X128" s="172"/>
    </row>
    <row r="129" spans="2:24" hidden="1" x14ac:dyDescent="0.25">
      <c r="B129" s="143"/>
      <c r="C129" s="144"/>
      <c r="D129" s="158"/>
      <c r="E129" s="158"/>
      <c r="F129" s="158"/>
      <c r="G129" s="158"/>
      <c r="H129" s="169"/>
      <c r="I129" s="158"/>
      <c r="J129" s="158"/>
      <c r="K129" s="170"/>
      <c r="L129" s="171"/>
      <c r="M129" s="171"/>
      <c r="N129" s="170"/>
      <c r="O129" s="171"/>
      <c r="P129" s="171"/>
      <c r="Q129" s="170"/>
      <c r="R129" s="171"/>
      <c r="S129" s="171"/>
      <c r="T129" s="170"/>
      <c r="U129" s="171"/>
      <c r="V129" s="171"/>
      <c r="W129" s="158"/>
      <c r="X129" s="172"/>
    </row>
    <row r="130" spans="2:24" ht="16.5" hidden="1" thickBot="1" x14ac:dyDescent="0.3">
      <c r="B130" s="143"/>
      <c r="C130" s="144"/>
      <c r="D130" s="158"/>
      <c r="E130" s="158"/>
      <c r="F130" s="158"/>
      <c r="G130" s="158"/>
      <c r="H130" s="169"/>
      <c r="I130" s="158"/>
      <c r="J130" s="158"/>
      <c r="K130" s="170"/>
      <c r="L130" s="171"/>
      <c r="M130" s="171"/>
      <c r="N130" s="170"/>
      <c r="O130" s="171"/>
      <c r="P130" s="171"/>
      <c r="Q130" s="170"/>
      <c r="R130" s="171"/>
      <c r="S130" s="171"/>
      <c r="T130" s="170"/>
      <c r="U130" s="171"/>
      <c r="V130" s="171"/>
      <c r="W130" s="158"/>
      <c r="X130" s="172"/>
    </row>
    <row r="131" spans="2:24" ht="19.5" thickBot="1" x14ac:dyDescent="0.35">
      <c r="B131" s="586"/>
      <c r="C131" s="587"/>
      <c r="D131" s="153">
        <f t="shared" ref="D131:W131" ca="1" si="38">SUM(D31:D130)</f>
        <v>26113200</v>
      </c>
      <c r="E131" s="153">
        <f t="shared" ca="1" si="38"/>
        <v>0</v>
      </c>
      <c r="F131" s="153">
        <f t="shared" ca="1" si="38"/>
        <v>26113200</v>
      </c>
      <c r="G131" s="153">
        <f t="shared" ca="1" si="38"/>
        <v>15000000</v>
      </c>
      <c r="H131" s="153">
        <f t="shared" ca="1" si="38"/>
        <v>0</v>
      </c>
      <c r="I131" s="153">
        <f t="shared" ca="1" si="38"/>
        <v>15000000</v>
      </c>
      <c r="J131" s="153">
        <f t="shared" ca="1" si="38"/>
        <v>15000000</v>
      </c>
      <c r="K131" s="153">
        <f t="shared" ca="1" si="38"/>
        <v>0</v>
      </c>
      <c r="L131" s="153">
        <f t="shared" ca="1" si="38"/>
        <v>15000000</v>
      </c>
      <c r="M131" s="153">
        <f t="shared" ca="1" si="38"/>
        <v>15000000</v>
      </c>
      <c r="N131" s="153">
        <f t="shared" ca="1" si="38"/>
        <v>0</v>
      </c>
      <c r="O131" s="153">
        <f t="shared" ca="1" si="38"/>
        <v>15000000</v>
      </c>
      <c r="P131" s="153">
        <f t="shared" ca="1" si="38"/>
        <v>15000000</v>
      </c>
      <c r="Q131" s="153">
        <f t="shared" ca="1" si="38"/>
        <v>0</v>
      </c>
      <c r="R131" s="153">
        <f t="shared" ca="1" si="38"/>
        <v>15000000</v>
      </c>
      <c r="S131" s="153">
        <f t="shared" ca="1" si="38"/>
        <v>15000000</v>
      </c>
      <c r="T131" s="153">
        <f t="shared" ca="1" si="38"/>
        <v>0</v>
      </c>
      <c r="U131" s="153">
        <f t="shared" ca="1" si="38"/>
        <v>15000000</v>
      </c>
      <c r="V131" s="153">
        <f t="shared" ca="1" si="38"/>
        <v>15000000</v>
      </c>
      <c r="W131" s="153">
        <f t="shared" ca="1" si="38"/>
        <v>15000000</v>
      </c>
      <c r="X131" s="173">
        <f ca="1">SUM(X31:X130)</f>
        <v>1</v>
      </c>
    </row>
    <row r="132" spans="2:24" x14ac:dyDescent="0.25">
      <c r="B132" s="139"/>
      <c r="C132" s="139"/>
      <c r="D132" s="139"/>
      <c r="E132" s="139"/>
      <c r="F132" s="139"/>
      <c r="G132" s="139"/>
      <c r="H132" s="139"/>
      <c r="I132" s="139"/>
      <c r="J132" s="139"/>
      <c r="K132" s="139"/>
      <c r="L132" s="139"/>
      <c r="M132" s="139"/>
      <c r="N132" s="139"/>
      <c r="O132" s="139"/>
      <c r="P132" s="139"/>
      <c r="Q132" s="139"/>
      <c r="R132" s="139"/>
      <c r="S132" s="139"/>
      <c r="T132" s="139"/>
      <c r="U132" s="139"/>
      <c r="V132" s="139"/>
      <c r="W132" s="139"/>
      <c r="X132" s="139"/>
    </row>
  </sheetData>
  <sheetProtection algorithmName="SHA-512" hashValue="cS9lkMDOLnst4SczZDYdLi6kynoDruu8MUntuyzHXxyvlQaIpHVC3wDQXlGUtbrAjznFHxDkNnxLfYfbBeloaQ==" saltValue="8hoEaRELsKItIMIdG1D9gw==" spinCount="100000" sheet="1" scenarios="1" formatColumns="0" formatRows="0" autoFilter="0"/>
  <mergeCells count="13">
    <mergeCell ref="W29:W30"/>
    <mergeCell ref="X29:X30"/>
    <mergeCell ref="B131:C131"/>
    <mergeCell ref="B28:X28"/>
    <mergeCell ref="B29:B30"/>
    <mergeCell ref="C29:C30"/>
    <mergeCell ref="D29:D30"/>
    <mergeCell ref="E29:E30"/>
    <mergeCell ref="F29:F30"/>
    <mergeCell ref="G29:G30"/>
    <mergeCell ref="H29:H30"/>
    <mergeCell ref="I29:I30"/>
    <mergeCell ref="J29:J30"/>
  </mergeCells>
  <conditionalFormatting sqref="B3:C27">
    <cfRule type="containsBlanks" dxfId="201" priority="13">
      <formula>LEN(TRIM(B3))=0</formula>
    </cfRule>
  </conditionalFormatting>
  <conditionalFormatting sqref="B31:J130">
    <cfRule type="containsBlanks" dxfId="200" priority="5">
      <formula>LEN(TRIM(B31))=0</formula>
    </cfRule>
  </conditionalFormatting>
  <conditionalFormatting sqref="C1:C2">
    <cfRule type="containsBlanks" dxfId="199" priority="1">
      <formula>LEN(TRIM(C1))=0</formula>
    </cfRule>
  </conditionalFormatting>
  <conditionalFormatting sqref="D1:E27">
    <cfRule type="containsBlanks" dxfId="198" priority="15">
      <formula>LEN(TRIM(D1))=0</formula>
    </cfRule>
  </conditionalFormatting>
  <conditionalFormatting sqref="K31:V130">
    <cfRule type="containsText" dxfId="197" priority="16" operator="containsText" text="הזנה שגויה">
      <formula>NOT(ISERROR(SEARCH("הזנה שגויה",K31)))</formula>
    </cfRule>
  </conditionalFormatting>
  <conditionalFormatting sqref="W31:X130">
    <cfRule type="containsBlanks" dxfId="196" priority="3">
      <formula>LEN(TRIM(W31))=0</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&amp;C&amp;"David,מודגש"&amp;14מודל בית ספר למוסיקה
הרצה ע"פ טיוטת מבחנים שגובשה 12.2014</oddHeader>
    <oddFooter>&amp;Lעמוד &amp;P מתוך &amp;N&amp;Cא. חפץ ושות'
יעוץ כלכלי&amp;R&amp;A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271CF-9279-4ECC-B134-F248CDF9CF45}">
  <dimension ref="A1"/>
  <sheetViews>
    <sheetView workbookViewId="0"/>
  </sheetViews>
  <sheetFormatPr defaultRowHeight="15.75" x14ac:dyDescent="0.25"/>
  <sheetData/>
  <sheetProtection algorithmName="SHA-512" hashValue="stwi8wuOBkg9U5STPCZySH7n/aU7l8qxdU8je1qlI8BiTKBgO3wnXf0ieb3N7ZUz5pRSh0s8v+TWF/5VDsNB5g==" saltValue="/JL6ax6Y3/TlkgCxXMH3MA==" spinCount="100000" sheet="1" scenarios="1" formatColumns="0" formatRows="0" autoFilter="0"/>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6">
    <tabColor rgb="FFFFFFCC"/>
  </sheetPr>
  <dimension ref="B1:V132"/>
  <sheetViews>
    <sheetView rightToLeft="1" view="pageBreakPreview" zoomScale="80" zoomScaleNormal="80" zoomScaleSheetLayoutView="80" workbookViewId="0">
      <pane xSplit="3" ySplit="30" topLeftCell="D31" activePane="bottomRight" state="frozen"/>
      <selection pane="topRight" activeCell="M88" sqref="M88"/>
      <selection pane="bottomLeft" activeCell="M88" sqref="M88"/>
      <selection pane="bottomRight" activeCell="D31" sqref="D31"/>
    </sheetView>
  </sheetViews>
  <sheetFormatPr defaultColWidth="9" defaultRowHeight="15.75" x14ac:dyDescent="0.25"/>
  <cols>
    <col min="1" max="1" width="2.42578125" style="174" customWidth="1"/>
    <col min="2" max="2" width="10.140625" style="174" customWidth="1"/>
    <col min="3" max="3" width="36.85546875" style="174" bestFit="1" customWidth="1"/>
    <col min="4" max="4" width="22.140625" style="174" customWidth="1"/>
    <col min="5" max="5" width="22.140625" style="355" customWidth="1"/>
    <col min="6" max="6" width="22.140625" style="174" customWidth="1"/>
    <col min="7" max="7" width="22.140625" style="351" customWidth="1"/>
    <col min="8" max="9" width="22.140625" style="174" customWidth="1"/>
    <col min="10" max="10" width="15.42578125" style="174" customWidth="1"/>
    <col min="11" max="12" width="35" style="174" customWidth="1"/>
    <col min="13" max="13" width="41.42578125" style="174" customWidth="1"/>
    <col min="14" max="14" width="22.140625" style="351" customWidth="1"/>
    <col min="15" max="15" width="18.85546875" style="174" customWidth="1"/>
    <col min="16" max="16" width="34" style="174" customWidth="1"/>
    <col min="17" max="17" width="29.140625" style="174" customWidth="1"/>
    <col min="18" max="19" width="22.140625" style="174" customWidth="1"/>
    <col min="20" max="20" width="30.42578125" style="174" customWidth="1"/>
    <col min="21" max="21" width="49.5703125" style="174" customWidth="1"/>
    <col min="22" max="22" width="44" style="174" customWidth="1"/>
    <col min="23" max="16384" width="9" style="174"/>
  </cols>
  <sheetData>
    <row r="1" spans="2:9" ht="37.5" x14ac:dyDescent="0.25">
      <c r="B1" s="137" t="str">
        <f>פרמטרים!B3</f>
        <v>שנת תקציב</v>
      </c>
      <c r="C1" s="138">
        <f>פרמטרים!C3</f>
        <v>2025</v>
      </c>
    </row>
    <row r="2" spans="2:9" ht="38.25" thickBot="1" x14ac:dyDescent="0.3">
      <c r="B2" s="140" t="str">
        <f>פרמטרים!B4</f>
        <v xml:space="preserve">גובה תמיכה </v>
      </c>
      <c r="C2" s="141">
        <f>פרמטרים!C4</f>
        <v>15000000</v>
      </c>
    </row>
    <row r="3" spans="2:9" ht="15.75" hidden="1" customHeight="1" x14ac:dyDescent="0.25"/>
    <row r="4" spans="2:9" ht="15.75" hidden="1" customHeight="1" x14ac:dyDescent="0.25">
      <c r="D4" s="163"/>
      <c r="E4" s="152"/>
      <c r="F4" s="163"/>
      <c r="G4" s="352"/>
      <c r="H4" s="163"/>
      <c r="I4" s="163"/>
    </row>
    <row r="5" spans="2:9" ht="15.75" hidden="1" customHeight="1" x14ac:dyDescent="0.25"/>
    <row r="6" spans="2:9" ht="15.75" hidden="1" customHeight="1" x14ac:dyDescent="0.25">
      <c r="D6" s="163"/>
      <c r="E6" s="152"/>
      <c r="F6" s="163"/>
      <c r="G6" s="352"/>
      <c r="H6" s="163"/>
    </row>
    <row r="7" spans="2:9" ht="15.75" hidden="1" customHeight="1" x14ac:dyDescent="0.25"/>
    <row r="8" spans="2:9" ht="15.75" hidden="1" customHeight="1" x14ac:dyDescent="0.25"/>
    <row r="9" spans="2:9" ht="15.75" hidden="1" customHeight="1" x14ac:dyDescent="0.25"/>
    <row r="10" spans="2:9" ht="15.75" hidden="1" customHeight="1" x14ac:dyDescent="0.25"/>
    <row r="11" spans="2:9" ht="15.75" hidden="1" customHeight="1" x14ac:dyDescent="0.25"/>
    <row r="12" spans="2:9" ht="15.75" hidden="1" customHeight="1" x14ac:dyDescent="0.25"/>
    <row r="13" spans="2:9" ht="15.75" hidden="1" customHeight="1" x14ac:dyDescent="0.25"/>
    <row r="14" spans="2:9" ht="15.75" hidden="1" customHeight="1" x14ac:dyDescent="0.25"/>
    <row r="15" spans="2:9" ht="15.75" hidden="1" customHeight="1" x14ac:dyDescent="0.25"/>
    <row r="16" spans="2:9" ht="15.75" hidden="1" customHeight="1" x14ac:dyDescent="0.25"/>
    <row r="17" spans="2:22" ht="15.75" hidden="1" customHeight="1" x14ac:dyDescent="0.25"/>
    <row r="18" spans="2:22" ht="15.75" hidden="1" customHeight="1" x14ac:dyDescent="0.25"/>
    <row r="19" spans="2:22" ht="15.75" hidden="1" customHeight="1" x14ac:dyDescent="0.25"/>
    <row r="20" spans="2:22" ht="15.75" hidden="1" customHeight="1" x14ac:dyDescent="0.25"/>
    <row r="21" spans="2:22" ht="15.75" hidden="1" customHeight="1" x14ac:dyDescent="0.25"/>
    <row r="22" spans="2:22" ht="15.75" hidden="1" customHeight="1" x14ac:dyDescent="0.25"/>
    <row r="23" spans="2:22" ht="15.75" hidden="1" customHeight="1" x14ac:dyDescent="0.25"/>
    <row r="24" spans="2:22" ht="15.75" hidden="1" customHeight="1" x14ac:dyDescent="0.25"/>
    <row r="25" spans="2:22" ht="15.75" hidden="1" customHeight="1" x14ac:dyDescent="0.25"/>
    <row r="26" spans="2:22" ht="15.75" hidden="1" customHeight="1" x14ac:dyDescent="0.25"/>
    <row r="27" spans="2:22" ht="15.75" hidden="1" customHeight="1" x14ac:dyDescent="0.25"/>
    <row r="29" spans="2:22" ht="14.25" customHeight="1" x14ac:dyDescent="0.25"/>
    <row r="30" spans="2:22" ht="63" x14ac:dyDescent="0.25">
      <c r="B30" s="333" t="s">
        <v>145</v>
      </c>
      <c r="C30" s="334" t="s">
        <v>146</v>
      </c>
      <c r="D30" s="330" t="s">
        <v>384</v>
      </c>
      <c r="E30" s="330" t="s">
        <v>385</v>
      </c>
      <c r="F30" s="330" t="s">
        <v>386</v>
      </c>
      <c r="G30" s="330" t="s">
        <v>387</v>
      </c>
      <c r="H30" s="330" t="s">
        <v>388</v>
      </c>
      <c r="I30" s="330" t="s">
        <v>378</v>
      </c>
      <c r="J30" s="330" t="s">
        <v>291</v>
      </c>
      <c r="K30" s="330" t="s">
        <v>292</v>
      </c>
      <c r="L30" s="330" t="s">
        <v>293</v>
      </c>
      <c r="M30" s="330" t="s">
        <v>294</v>
      </c>
      <c r="N30" s="330" t="s">
        <v>389</v>
      </c>
      <c r="O30" s="330" t="s">
        <v>379</v>
      </c>
      <c r="P30" s="330" t="s">
        <v>391</v>
      </c>
      <c r="Q30" s="333" t="s">
        <v>296</v>
      </c>
      <c r="R30" s="333" t="s">
        <v>297</v>
      </c>
      <c r="S30" s="333" t="s">
        <v>298</v>
      </c>
      <c r="T30" s="330" t="s">
        <v>390</v>
      </c>
      <c r="U30" s="333" t="s">
        <v>392</v>
      </c>
      <c r="V30" s="333" t="s">
        <v>295</v>
      </c>
    </row>
    <row r="31" spans="2:22" s="175" customFormat="1" ht="63" x14ac:dyDescent="0.25">
      <c r="B31" s="338">
        <f ca="1">IF(C31="","",ROW()-30)</f>
        <v>1</v>
      </c>
      <c r="C31" s="339" t="str">
        <f ca="1">IF(LEFT('ריכוז נתונים'!B17,11)="גיליון הזנה","",'ריכוז נתונים'!B17)</f>
        <v>מרכז מורשת בבל</v>
      </c>
      <c r="D31" s="435">
        <v>1001906873</v>
      </c>
      <c r="E31" s="435">
        <v>1001779292</v>
      </c>
      <c r="F31" s="435">
        <v>2020</v>
      </c>
      <c r="G31" s="353">
        <f ca="1">IF(C31="","",IF($C$1&gt;(F31+3),1,0))</f>
        <v>1</v>
      </c>
      <c r="H31" s="340" t="str">
        <f>IF(IFERROR(VLOOKUP(E31,מרכבה!A:K,4,0),"")=K31,"","no")</f>
        <v/>
      </c>
      <c r="I31" s="340">
        <f>IFERROR(VLOOKUP(D31,מרכבה!A:K,7,0),"")</f>
        <v>2025</v>
      </c>
      <c r="J31" s="340">
        <f>IFERROR(VLOOKUP(D31,מרכבה!A:K,5,0),"")</f>
        <v>40000365</v>
      </c>
      <c r="K31" s="340">
        <f>IFERROR(VLOOKUP(D31,מרכבה!A:K,4,0),"")</f>
        <v>580029866</v>
      </c>
      <c r="L31" s="340" t="str">
        <f>IFERROR(VLOOKUP(D31,מרכבה!A:K,6,0),"")</f>
        <v>מרכז מורשת יהדות בבל</v>
      </c>
      <c r="M31" s="340" t="str">
        <f>IFERROR(VLOOKUP(D31,מרכבה!A:K,2,0),"")</f>
        <v>תמיכה כללית</v>
      </c>
      <c r="N31" s="354">
        <f>IFERROR(VLOOKUP(E31,מרכבה!A:K,9,0),0)</f>
        <v>656553.68000000005</v>
      </c>
      <c r="O31" s="341">
        <f>IFERROR(VLOOKUP(D31,מרכבה!A:K,8,0),"")</f>
        <v>1500000</v>
      </c>
      <c r="P31" s="342">
        <f ca="1">IFERROR(S31/N31,"")</f>
        <v>1.2842072894454521</v>
      </c>
      <c r="Q31" s="343">
        <f ca="1">'קיזוזים בגין איחורים'!F31</f>
        <v>0</v>
      </c>
      <c r="R31" s="344">
        <f ca="1">IF(B31="","",'קיזוזים- החלטות ועדה'!E31)</f>
        <v>0</v>
      </c>
      <c r="S31" s="343">
        <f ca="1">'קיזוזים- החלטות ועדה'!G31</f>
        <v>843151.02176823688</v>
      </c>
      <c r="T31" s="344">
        <f ca="1">'הגבלה לסכום מבוקש (2)'!W31</f>
        <v>843151.02176823688</v>
      </c>
      <c r="U31" s="346"/>
      <c r="V31" s="346" t="s">
        <v>354</v>
      </c>
    </row>
    <row r="32" spans="2:22" ht="63" x14ac:dyDescent="0.25">
      <c r="B32" s="338">
        <f t="shared" ref="B32:B90" ca="1" si="0">IF(C32="","",ROW()-30)</f>
        <v>2</v>
      </c>
      <c r="C32" s="339" t="str">
        <f ca="1">IF(LEFT('ריכוז נתונים'!B18,11)="גיליון הזנה","",'ריכוז נתונים'!B18)</f>
        <v>מורשת יהודי צפון  אפריקה</v>
      </c>
      <c r="D32" s="435">
        <v>1001908297</v>
      </c>
      <c r="E32" s="435">
        <v>1001789357</v>
      </c>
      <c r="F32" s="435">
        <v>2020</v>
      </c>
      <c r="G32" s="353">
        <f t="shared" ref="G32:G95" ca="1" si="1">IF(C32="","",IF($C$1&gt;(F32+3),1,0))</f>
        <v>1</v>
      </c>
      <c r="H32" s="340" t="str">
        <f>IF(IFERROR(VLOOKUP(E32,מרכבה!A:K,4,0),"")=K32,"","no")</f>
        <v/>
      </c>
      <c r="I32" s="340">
        <f>IFERROR(VLOOKUP(D32,מרכבה!A:K,7,0),"")</f>
        <v>2025</v>
      </c>
      <c r="J32" s="340">
        <f>IFERROR(VLOOKUP(D32,מרכבה!A:K,5,0),"")</f>
        <v>40000151</v>
      </c>
      <c r="K32" s="340">
        <f>IFERROR(VLOOKUP(D32,מרכבה!A:K,4,0),"")</f>
        <v>580145381</v>
      </c>
      <c r="L32" s="340" t="str">
        <f>IFERROR(VLOOKUP(D32,מרכבה!A:K,6,0),"")</f>
        <v>קרן המרכז העולמי לקהילות יהודי צפון</v>
      </c>
      <c r="M32" s="340" t="str">
        <f>IFERROR(VLOOKUP(D32,מרכבה!A:K,2,0),"")</f>
        <v>הנצחת מורשת התרבותית של יהודי צפ"א</v>
      </c>
      <c r="N32" s="354">
        <f>IFERROR(VLOOKUP(E32,מרכבה!A:K,9,0),0)</f>
        <v>242368.27</v>
      </c>
      <c r="O32" s="341">
        <f>IFERROR(VLOOKUP(D32,מרכבה!A:K,8,0),"")</f>
        <v>300000</v>
      </c>
      <c r="P32" s="342">
        <f t="shared" ref="P32:P95" ca="1" si="2">IFERROR(S32/N32,"")</f>
        <v>1.2377857877188299</v>
      </c>
      <c r="Q32" s="343">
        <f ca="1">'קיזוזים בגין איחורים'!F32</f>
        <v>0</v>
      </c>
      <c r="R32" s="344">
        <f ca="1">IF(B32="","",'קיזוזים- החלטות ועדה'!E32)</f>
        <v>0</v>
      </c>
      <c r="S32" s="343">
        <f ca="1">'קיזוזים- החלטות ועדה'!G32</f>
        <v>300000</v>
      </c>
      <c r="T32" s="344">
        <f ca="1">'הגבלה לסכום מבוקש (2)'!W32</f>
        <v>300000</v>
      </c>
      <c r="U32" s="346"/>
      <c r="V32" s="346" t="s">
        <v>355</v>
      </c>
    </row>
    <row r="33" spans="2:22" ht="110.25" x14ac:dyDescent="0.25">
      <c r="B33" s="338">
        <f t="shared" ca="1" si="0"/>
        <v>3</v>
      </c>
      <c r="C33" s="339" t="str">
        <f ca="1">IF(LEFT('ריכוז נתונים'!B19,11)="גיליון הזנה","",'ריכוז נתונים'!B19)</f>
        <v>מורשת יהדות קוצין</v>
      </c>
      <c r="D33" s="435">
        <v>1001933290</v>
      </c>
      <c r="E33" s="435">
        <v>1001745312</v>
      </c>
      <c r="F33" s="435">
        <v>2020</v>
      </c>
      <c r="G33" s="353">
        <f t="shared" ca="1" si="1"/>
        <v>1</v>
      </c>
      <c r="H33" s="340" t="str">
        <f>IF(IFERROR(VLOOKUP(E33,מרכבה!A:K,4,0),"")=K33,"","no")</f>
        <v/>
      </c>
      <c r="I33" s="340">
        <f>IFERROR(VLOOKUP(D33,מרכבה!A:K,7,0),"")</f>
        <v>2025</v>
      </c>
      <c r="J33" s="340">
        <f>IFERROR(VLOOKUP(D33,מרכבה!A:K,5,0),"")</f>
        <v>40000574</v>
      </c>
      <c r="K33" s="340">
        <f>IFERROR(VLOOKUP(D33,מרכבה!A:K,4,0),"")</f>
        <v>580222552</v>
      </c>
      <c r="L33" s="340" t="str">
        <f>IFERROR(VLOOKUP(D33,מרכבה!A:K,6,0),"")</f>
        <v>מרכז לתרבות ולשימור מורשת יהדות קוצ</v>
      </c>
      <c r="M33" s="340" t="str">
        <f>IFERROR(VLOOKUP(D33,מרכבה!A:K,2,0),"")</f>
        <v>תמיכה במרכז מורשת יהדות קוצ'ין</v>
      </c>
      <c r="N33" s="354">
        <f>IFERROR(VLOOKUP(E33,מרכבה!A:K,9,0),0)</f>
        <v>387242.95</v>
      </c>
      <c r="O33" s="341">
        <f>IFERROR(VLOOKUP(D33,מרכבה!A:K,8,0),"")</f>
        <v>700000</v>
      </c>
      <c r="P33" s="342">
        <f t="shared" ca="1" si="2"/>
        <v>1.376138198965035</v>
      </c>
      <c r="Q33" s="343">
        <f ca="1">'קיזוזים בגין איחורים'!F33</f>
        <v>0</v>
      </c>
      <c r="R33" s="344">
        <f ca="1">IF(B33="","",'קיזוזים- החלטות ועדה'!E33)</f>
        <v>0</v>
      </c>
      <c r="S33" s="343">
        <f ca="1">'קיזוזים- החלטות ועדה'!G33</f>
        <v>532899.81577490713</v>
      </c>
      <c r="T33" s="344">
        <f ca="1">'הגבלה לסכום מבוקש (2)'!W33</f>
        <v>532899.81577490713</v>
      </c>
      <c r="U33" s="346"/>
      <c r="V33" s="346" t="s">
        <v>811</v>
      </c>
    </row>
    <row r="34" spans="2:22" ht="16.5" customHeight="1" x14ac:dyDescent="0.25">
      <c r="B34" s="338">
        <f t="shared" ca="1" si="0"/>
        <v>4</v>
      </c>
      <c r="C34" s="339" t="str">
        <f ca="1">IF(LEFT('ריכוז נתונים'!B20,11)="גיליון הזנה","",'ריכוז נתונים'!B20)</f>
        <v>הפדרציה העולמית של יהדות תוניס</v>
      </c>
      <c r="D34" s="435">
        <v>1001960875</v>
      </c>
      <c r="E34" s="435">
        <v>1001780695</v>
      </c>
      <c r="F34" s="435"/>
      <c r="G34" s="353">
        <f t="shared" ca="1" si="1"/>
        <v>1</v>
      </c>
      <c r="H34" s="340" t="str">
        <f>IF(IFERROR(VLOOKUP(E34,מרכבה!A:K,4,0),"")=K34,"","no")</f>
        <v/>
      </c>
      <c r="I34" s="340">
        <f>IFERROR(VLOOKUP(D34,מרכבה!A:K,7,0),"")</f>
        <v>2025</v>
      </c>
      <c r="J34" s="340">
        <f>IFERROR(VLOOKUP(D34,מרכבה!A:K,5,0),"")</f>
        <v>41482887</v>
      </c>
      <c r="K34" s="340">
        <f>IFERROR(VLOOKUP(D34,מרכבה!A:K,4,0),"")</f>
        <v>580567212</v>
      </c>
      <c r="L34" s="340" t="str">
        <f>IFERROR(VLOOKUP(D34,מרכבה!A:K,6,0),"")</f>
        <v>הפדרציה העולמית של יהדות תוניסיה בי</v>
      </c>
      <c r="M34" s="340" t="str">
        <f>IFERROR(VLOOKUP(D34,מרכבה!A:K,2,0),"")</f>
        <v>תמיכה שוטפת</v>
      </c>
      <c r="N34" s="354">
        <f>IFERROR(VLOOKUP(E34,מרכבה!A:K,9,0),0)</f>
        <v>137789.1</v>
      </c>
      <c r="O34" s="341">
        <f>IFERROR(VLOOKUP(D34,מרכבה!A:K,8,0),"")</f>
        <v>200000</v>
      </c>
      <c r="P34" s="342">
        <f t="shared" ca="1" si="2"/>
        <v>0.65987797930919434</v>
      </c>
      <c r="Q34" s="343">
        <f ca="1">'קיזוזים בגין איחורים'!F34</f>
        <v>0</v>
      </c>
      <c r="R34" s="344">
        <f ca="1">IF(B34="","",'קיזוזים- החלטות ועדה'!E34)</f>
        <v>0</v>
      </c>
      <c r="S34" s="343">
        <f ca="1">'קיזוזים- החלטות ועדה'!G34</f>
        <v>90923.99287883252</v>
      </c>
      <c r="T34" s="344">
        <f ca="1">'הגבלה לסכום מבוקש (2)'!W34</f>
        <v>90923.99287883252</v>
      </c>
      <c r="U34" s="346"/>
      <c r="V34" s="346" t="s">
        <v>814</v>
      </c>
    </row>
    <row r="35" spans="2:22" ht="63" x14ac:dyDescent="0.25">
      <c r="B35" s="338">
        <f t="shared" ca="1" si="0"/>
        <v>5</v>
      </c>
      <c r="C35" s="339" t="str">
        <f ca="1">IF(LEFT('ריכוז נתונים'!B21,11)="גיליון הזנה","",'ריכוז נתונים'!B21)</f>
        <v>התאחדות עולי מצרים</v>
      </c>
      <c r="D35" s="435">
        <v>1001913827</v>
      </c>
      <c r="E35" s="435">
        <v>1001736685</v>
      </c>
      <c r="F35" s="435">
        <v>2020</v>
      </c>
      <c r="G35" s="353">
        <f t="shared" ca="1" si="1"/>
        <v>1</v>
      </c>
      <c r="H35" s="340" t="str">
        <f>IF(IFERROR(VLOOKUP(E35,מרכבה!A:K,4,0),"")=K35,"","no")</f>
        <v/>
      </c>
      <c r="I35" s="340">
        <f>IFERROR(VLOOKUP(D35,מרכבה!A:K,7,0),"")</f>
        <v>2025</v>
      </c>
      <c r="J35" s="340">
        <f>IFERROR(VLOOKUP(D35,מרכבה!A:K,5,0),"")</f>
        <v>40000417</v>
      </c>
      <c r="K35" s="340">
        <f>IFERROR(VLOOKUP(D35,מרכבה!A:K,4,0),"")</f>
        <v>580065167</v>
      </c>
      <c r="L35" s="340" t="str">
        <f>IFERROR(VLOOKUP(D35,מרכבה!A:K,6,0),"")</f>
        <v>התאחדות עולי מצרים בישראל )ע"ר(</v>
      </c>
      <c r="M35" s="340" t="str">
        <f>IFERROR(VLOOKUP(D35,מרכבה!A:K,2,0),"")</f>
        <v>מורשת עדות ישראל</v>
      </c>
      <c r="N35" s="354">
        <f>IFERROR(VLOOKUP(E35,מרכבה!A:K,9,0),0)</f>
        <v>192461.67</v>
      </c>
      <c r="O35" s="341">
        <f>IFERROR(VLOOKUP(D35,מרכבה!A:K,8,0),"")</f>
        <v>250000</v>
      </c>
      <c r="P35" s="342">
        <f t="shared" ca="1" si="2"/>
        <v>1.2989599435565533</v>
      </c>
      <c r="Q35" s="343">
        <f ca="1">'קיזוזים בגין איחורים'!F35</f>
        <v>0</v>
      </c>
      <c r="R35" s="344">
        <f ca="1">IF(B35="","",'קיזוזים- החלטות ועדה'!E35)</f>
        <v>0</v>
      </c>
      <c r="S35" s="343">
        <f ca="1">'קיזוזים- החלטות ועדה'!G35</f>
        <v>250000</v>
      </c>
      <c r="T35" s="344">
        <f ca="1">'הגבלה לסכום מבוקש (2)'!W35</f>
        <v>250000</v>
      </c>
      <c r="U35" s="346"/>
      <c r="V35" s="346" t="s">
        <v>356</v>
      </c>
    </row>
    <row r="36" spans="2:22" ht="78.75" x14ac:dyDescent="0.25">
      <c r="B36" s="338">
        <f t="shared" ca="1" si="0"/>
        <v>6</v>
      </c>
      <c r="C36" s="339" t="str">
        <f ca="1">IF(LEFT('ריכוז נתונים'!B22,11)="גיליון הזנה","",'ריכוז נתונים'!B22)</f>
        <v>יהודים יוצאי לוב</v>
      </c>
      <c r="D36" s="435">
        <v>1001914229</v>
      </c>
      <c r="E36" s="435">
        <v>1001777835</v>
      </c>
      <c r="F36" s="435">
        <v>2020</v>
      </c>
      <c r="G36" s="353">
        <f t="shared" ca="1" si="1"/>
        <v>1</v>
      </c>
      <c r="H36" s="340" t="str">
        <f>IF(IFERROR(VLOOKUP(E36,מרכבה!A:K,4,0),"")=K36,"","no")</f>
        <v/>
      </c>
      <c r="I36" s="340">
        <f>IFERROR(VLOOKUP(D36,מרכבה!A:K,7,0),"")</f>
        <v>2025</v>
      </c>
      <c r="J36" s="340">
        <f>IFERROR(VLOOKUP(D36,מרכבה!A:K,5,0),"")</f>
        <v>40216034</v>
      </c>
      <c r="K36" s="340">
        <f>IFERROR(VLOOKUP(D36,מרכבה!A:K,4,0),"")</f>
        <v>580135903</v>
      </c>
      <c r="L36" s="340" t="str">
        <f>IFERROR(VLOOKUP(D36,מרכבה!A:K,6,0),"")</f>
        <v>הארגון העולמי של יהודים יוצאי לוב (</v>
      </c>
      <c r="M36" s="340" t="str">
        <f>IFERROR(VLOOKUP(D36,מרכבה!A:K,2,0),"")</f>
        <v>מורשת יהדות לוב</v>
      </c>
      <c r="N36" s="354">
        <f>IFERROR(VLOOKUP(E36,מרכבה!A:K,9,0),0)</f>
        <v>501135.74</v>
      </c>
      <c r="O36" s="341">
        <f>IFERROR(VLOOKUP(D36,מרכבה!A:K,8,0),"")</f>
        <v>1200000</v>
      </c>
      <c r="P36" s="342">
        <f t="shared" ca="1" si="2"/>
        <v>1.0242052902976908</v>
      </c>
      <c r="Q36" s="343">
        <f ca="1">'קיזוזים בגין איחורים'!F36</f>
        <v>0</v>
      </c>
      <c r="R36" s="344">
        <f ca="1">IF(B36="","",'קיזוזים- החלטות ועדה'!E36)</f>
        <v>0</v>
      </c>
      <c r="S36" s="343">
        <f ca="1">'קיזוזים- החלטות ועדה'!G36</f>
        <v>513265.8760652481</v>
      </c>
      <c r="T36" s="344">
        <f ca="1">'הגבלה לסכום מבוקש (2)'!W36</f>
        <v>513265.87606524804</v>
      </c>
      <c r="U36" s="346"/>
      <c r="V36" s="346" t="s">
        <v>357</v>
      </c>
    </row>
    <row r="37" spans="2:22" ht="126" x14ac:dyDescent="0.25">
      <c r="B37" s="338">
        <f t="shared" ca="1" si="0"/>
        <v>7</v>
      </c>
      <c r="C37" s="339" t="str">
        <f ca="1">IF(LEFT('ריכוז נתונים'!B23,11)="גיליון הזנה","",'ריכוז נתונים'!B23)</f>
        <v>הפדרציה העולמית של יהדות מרוקו</v>
      </c>
      <c r="D37" s="435">
        <v>1001914441</v>
      </c>
      <c r="E37" s="435">
        <v>1001745797</v>
      </c>
      <c r="F37" s="435">
        <v>2020</v>
      </c>
      <c r="G37" s="353">
        <f t="shared" ca="1" si="1"/>
        <v>1</v>
      </c>
      <c r="H37" s="340" t="str">
        <f>IF(IFERROR(VLOOKUP(E37,מרכבה!A:K,4,0),"")=K37,"","no")</f>
        <v/>
      </c>
      <c r="I37" s="340">
        <f>IFERROR(VLOOKUP(D37,מרכבה!A:K,7,0),"")</f>
        <v>2025</v>
      </c>
      <c r="J37" s="340">
        <f>IFERROR(VLOOKUP(D37,מרכבה!A:K,5,0),"")</f>
        <v>40132386</v>
      </c>
      <c r="K37" s="340">
        <f>IFERROR(VLOOKUP(D37,מרכבה!A:K,4,0),"")</f>
        <v>580370344</v>
      </c>
      <c r="L37" s="340" t="str">
        <f>IFERROR(VLOOKUP(D37,מרכבה!A:K,6,0),"")</f>
        <v>הפדרציה העולמית של יהדות מרוקו (ע"ר</v>
      </c>
      <c r="M37" s="340" t="str">
        <f>IFERROR(VLOOKUP(D37,מרכבה!A:K,2,0),"")</f>
        <v>תמיכה באירועי תרבות ומורשת עדות</v>
      </c>
      <c r="N37" s="354">
        <f>IFERROR(VLOOKUP(E37,מרכבה!A:K,9,0),0)</f>
        <v>308058</v>
      </c>
      <c r="O37" s="341">
        <f>IFERROR(VLOOKUP(D37,מרכבה!A:K,8,0),"")</f>
        <v>1500000</v>
      </c>
      <c r="P37" s="342">
        <f t="shared" ca="1" si="2"/>
        <v>1.0343822392218347</v>
      </c>
      <c r="Q37" s="343">
        <f ca="1">'קיזוזים בגין איחורים'!F37</f>
        <v>0</v>
      </c>
      <c r="R37" s="344">
        <f ca="1">IF(B37="","",'קיזוזים- החלטות ועדה'!E37)</f>
        <v>0</v>
      </c>
      <c r="S37" s="343">
        <f ca="1">'קיזוזים- החלטות ועדה'!G37</f>
        <v>318649.72385019995</v>
      </c>
      <c r="T37" s="344">
        <f ca="1">'הגבלה לסכום מבוקש (2)'!W37</f>
        <v>318649.72385019995</v>
      </c>
      <c r="U37" s="346"/>
      <c r="V37" s="346" t="s">
        <v>812</v>
      </c>
    </row>
    <row r="38" spans="2:22" ht="31.5" x14ac:dyDescent="0.25">
      <c r="B38" s="338">
        <f t="shared" ca="1" si="0"/>
        <v>8</v>
      </c>
      <c r="C38" s="339" t="str">
        <f ca="1">IF(LEFT('ריכוז נתונים'!B24,11)="גיליון הזנה","",'ריכוז נתונים'!B24)</f>
        <v>אורות הגליל</v>
      </c>
      <c r="D38" s="435">
        <v>1001911972</v>
      </c>
      <c r="E38" s="435">
        <v>1001746503</v>
      </c>
      <c r="F38" s="435">
        <v>2020</v>
      </c>
      <c r="G38" s="353">
        <f t="shared" ca="1" si="1"/>
        <v>1</v>
      </c>
      <c r="H38" s="340" t="str">
        <f>IF(IFERROR(VLOOKUP(E38,מרכבה!A:K,4,0),"")=K38,"","no")</f>
        <v/>
      </c>
      <c r="I38" s="340">
        <f>IFERROR(VLOOKUP(D38,מרכבה!A:K,7,0),"")</f>
        <v>2025</v>
      </c>
      <c r="J38" s="340">
        <f>IFERROR(VLOOKUP(D38,מרכבה!A:K,5,0),"")</f>
        <v>40299606</v>
      </c>
      <c r="K38" s="340">
        <f>IFERROR(VLOOKUP(D38,מרכבה!A:K,4,0),"")</f>
        <v>580041770</v>
      </c>
      <c r="L38" s="340" t="str">
        <f>IFERROR(VLOOKUP(D38,מרכבה!A:K,6,0),"")</f>
        <v>אורות הגליל</v>
      </c>
      <c r="M38" s="340" t="str">
        <f>IFERROR(VLOOKUP(D38,מרכבה!A:K,2,0),"")</f>
        <v>מורשת עדות ישראל 2025</v>
      </c>
      <c r="N38" s="354">
        <f>IFERROR(VLOOKUP(E38,מרכבה!A:K,9,0),0)</f>
        <v>295429.61</v>
      </c>
      <c r="O38" s="341">
        <f>IFERROR(VLOOKUP(D38,מרכבה!A:K,8,0),"")</f>
        <v>450000</v>
      </c>
      <c r="P38" s="342">
        <f t="shared" ca="1" si="2"/>
        <v>1.4966441930689134</v>
      </c>
      <c r="Q38" s="343">
        <f ca="1">'קיזוזים בגין איחורים'!F38</f>
        <v>0</v>
      </c>
      <c r="R38" s="344">
        <f ca="1">IF(B38="","",'קיזוזים- החלטות ועדה'!E38)</f>
        <v>0</v>
      </c>
      <c r="S38" s="343">
        <f ca="1">'קיזוזים- החלטות ועדה'!G38</f>
        <v>442153.01026711374</v>
      </c>
      <c r="T38" s="344">
        <f ca="1">'הגבלה לסכום מבוקש (2)'!W38</f>
        <v>442153.01026711374</v>
      </c>
      <c r="U38" s="346"/>
      <c r="V38" s="346" t="s">
        <v>371</v>
      </c>
    </row>
    <row r="39" spans="2:22" x14ac:dyDescent="0.25">
      <c r="B39" s="338">
        <f t="shared" ca="1" si="0"/>
        <v>9</v>
      </c>
      <c r="C39" s="339" t="str">
        <f ca="1">IF(LEFT('ריכוז נתונים'!B25,11)="גיליון הזנה","",'ריכוז נתונים'!B25)</f>
        <v>אלמז</v>
      </c>
      <c r="D39" s="435">
        <v>1001910373</v>
      </c>
      <c r="E39" s="435">
        <v>1001722703</v>
      </c>
      <c r="F39" s="435">
        <v>2020</v>
      </c>
      <c r="G39" s="353">
        <f t="shared" ca="1" si="1"/>
        <v>1</v>
      </c>
      <c r="H39" s="340" t="str">
        <f>IF(IFERROR(VLOOKUP(E39,מרכבה!A:K,4,0),"")=K39,"","no")</f>
        <v/>
      </c>
      <c r="I39" s="340">
        <f>IFERROR(VLOOKUP(D39,מרכבה!A:K,7,0),"")</f>
        <v>2025</v>
      </c>
      <c r="J39" s="340">
        <f>IFERROR(VLOOKUP(D39,מרכבה!A:K,5,0),"")</f>
        <v>40970756</v>
      </c>
      <c r="K39" s="340">
        <f>IFERROR(VLOOKUP(D39,מרכבה!A:K,4,0),"")</f>
        <v>580571206</v>
      </c>
      <c r="L39" s="340" t="str">
        <f>IFERROR(VLOOKUP(D39,מרכבה!A:K,6,0),"")</f>
        <v>אלמז אמנות בישראל )ע"ר(</v>
      </c>
      <c r="M39" s="340" t="str">
        <f>IFERROR(VLOOKUP(D39,מרכבה!A:K,2,0),"")</f>
        <v>אלמז שימור מורשת יהדות אתיופיה 2025</v>
      </c>
      <c r="N39" s="354">
        <f>IFERROR(VLOOKUP(E39,מרכבה!A:K,9,0),0)</f>
        <v>103736.29</v>
      </c>
      <c r="O39" s="341">
        <f>IFERROR(VLOOKUP(D39,מרכבה!A:K,8,0),"")</f>
        <v>300000</v>
      </c>
      <c r="P39" s="342">
        <f t="shared" ca="1" si="2"/>
        <v>1.367264786423517</v>
      </c>
      <c r="Q39" s="343">
        <f ca="1">'קיזוזים בגין איחורים'!F39</f>
        <v>0</v>
      </c>
      <c r="R39" s="344">
        <f ca="1">IF(B39="","",'קיזוזים- החלטות ועדה'!E39)</f>
        <v>0</v>
      </c>
      <c r="S39" s="343">
        <f ca="1">'קיזוזים- החלטות ועדה'!G39</f>
        <v>141834.97639121802</v>
      </c>
      <c r="T39" s="344">
        <f ca="1">'הגבלה לסכום מבוקש (2)'!W39</f>
        <v>141834.97639121802</v>
      </c>
      <c r="U39" s="346"/>
      <c r="V39" s="346" t="s">
        <v>299</v>
      </c>
    </row>
    <row r="40" spans="2:22" ht="47.25" x14ac:dyDescent="0.25">
      <c r="B40" s="338">
        <f t="shared" ca="1" si="0"/>
        <v>10</v>
      </c>
      <c r="C40" s="339" t="str">
        <f ca="1">IF(LEFT('ריכוז נתונים'!B26,11)="גיליון הזנה","",'ריכוז נתונים'!B26)</f>
        <v>קונגרס יהודי בוכרה</v>
      </c>
      <c r="D40" s="435">
        <v>1001910973</v>
      </c>
      <c r="E40" s="435">
        <v>1001745303</v>
      </c>
      <c r="F40" s="435">
        <v>2020</v>
      </c>
      <c r="G40" s="353">
        <f t="shared" ca="1" si="1"/>
        <v>1</v>
      </c>
      <c r="H40" s="340" t="str">
        <f>IF(IFERROR(VLOOKUP(E40,מרכבה!A:K,4,0),"")=K40,"","no")</f>
        <v/>
      </c>
      <c r="I40" s="340">
        <f>IFERROR(VLOOKUP(D40,מרכבה!A:K,7,0),"")</f>
        <v>2025</v>
      </c>
      <c r="J40" s="340">
        <f>IFERROR(VLOOKUP(D40,מרכבה!A:K,5,0),"")</f>
        <v>40016837</v>
      </c>
      <c r="K40" s="340">
        <f>IFERROR(VLOOKUP(D40,מרכבה!A:K,4,0),"")</f>
        <v>580361285</v>
      </c>
      <c r="L40" s="340" t="str">
        <f>IFERROR(VLOOKUP(D40,מרכבה!A:K,6,0),"")</f>
        <v>קונגרס יהודי בוכרה (ע"ר)</v>
      </c>
      <c r="M40" s="340" t="str">
        <f>IFERROR(VLOOKUP(D40,מרכבה!A:K,2,0),"")</f>
        <v>שימור המורשת המופלאה של יהדות בוכרה בישר</v>
      </c>
      <c r="N40" s="354">
        <f>IFERROR(VLOOKUP(E40,מרכבה!A:K,9,0),0)</f>
        <v>1071864</v>
      </c>
      <c r="O40" s="341">
        <f>IFERROR(VLOOKUP(D40,מרכבה!A:K,8,0),"")</f>
        <v>1800000</v>
      </c>
      <c r="P40" s="342">
        <f t="shared" ca="1" si="2"/>
        <v>1.4403032736069186</v>
      </c>
      <c r="Q40" s="343">
        <f ca="1">'קיזוזים בגין איחורים'!F40</f>
        <v>0</v>
      </c>
      <c r="R40" s="344">
        <f ca="1">IF(B40="","",'קיזוזים- החלטות ועדה'!E40)</f>
        <v>0</v>
      </c>
      <c r="S40" s="343">
        <f ca="1">'קיזוזים- החלטות ועדה'!G40</f>
        <v>1543809.2280614062</v>
      </c>
      <c r="T40" s="344">
        <f ca="1">'הגבלה לסכום מבוקש (2)'!W40</f>
        <v>1543809.2280614062</v>
      </c>
      <c r="U40" s="346"/>
      <c r="V40" s="346" t="s">
        <v>358</v>
      </c>
    </row>
    <row r="41" spans="2:22" ht="126" x14ac:dyDescent="0.25">
      <c r="B41" s="338">
        <f t="shared" ca="1" si="0"/>
        <v>11</v>
      </c>
      <c r="C41" s="339" t="str">
        <f ca="1">IF(LEFT('ריכוז נתונים'!B27,11)="גיליון הזנה","",'ריכוז נתונים'!B27)</f>
        <v>יהדות שאלוניקי יוון</v>
      </c>
      <c r="D41" s="435">
        <v>1001933178</v>
      </c>
      <c r="E41" s="435">
        <v>1001784375</v>
      </c>
      <c r="F41" s="435">
        <v>2020</v>
      </c>
      <c r="G41" s="353">
        <f t="shared" ca="1" si="1"/>
        <v>1</v>
      </c>
      <c r="H41" s="340" t="str">
        <f>IF(IFERROR(VLOOKUP(E41,מרכבה!A:K,4,0),"")=K41,"","no")</f>
        <v/>
      </c>
      <c r="I41" s="340">
        <f>IFERROR(VLOOKUP(D41,מרכבה!A:K,7,0),"")</f>
        <v>2025</v>
      </c>
      <c r="J41" s="340">
        <f>IFERROR(VLOOKUP(D41,מרכבה!A:K,5,0),"")</f>
        <v>41493956</v>
      </c>
      <c r="K41" s="340">
        <f>IFERROR(VLOOKUP(D41,מרכבה!A:K,4,0),"")</f>
        <v>580542637</v>
      </c>
      <c r="L41" s="340" t="str">
        <f>IFERROR(VLOOKUP(D41,מרכבה!A:K,6,0),"")</f>
        <v>המרכז למורשת יהדות שאלוניקי ויוון ע</v>
      </c>
      <c r="M41" s="340" t="str">
        <f>IFERROR(VLOOKUP(D41,מרכבה!A:K,2,0),"")</f>
        <v>תמיכה בפעילות המרכז לשנת העבודה 2025</v>
      </c>
      <c r="N41" s="354">
        <f>IFERROR(VLOOKUP(E41,מרכבה!A:K,9,0),0)</f>
        <v>264243.15000000002</v>
      </c>
      <c r="O41" s="341">
        <f>IFERROR(VLOOKUP(D41,מרכבה!A:K,8,0),"")</f>
        <v>2700000</v>
      </c>
      <c r="P41" s="342">
        <f t="shared" ca="1" si="2"/>
        <v>1.3042219867481502</v>
      </c>
      <c r="Q41" s="343">
        <f ca="1">'קיזוזים בגין איחורים'!F41</f>
        <v>0</v>
      </c>
      <c r="R41" s="344">
        <f ca="1">IF(B41="","",'קיזוזים- החלטות ועדה'!E41)</f>
        <v>0</v>
      </c>
      <c r="S41" s="343">
        <f ca="1">'קיזוזים- החלטות ועדה'!G41</f>
        <v>344631.7260775895</v>
      </c>
      <c r="T41" s="344">
        <f ca="1">'הגבלה לסכום מבוקש (2)'!W41</f>
        <v>344631.7260775895</v>
      </c>
      <c r="U41" s="346"/>
      <c r="V41" s="346" t="s">
        <v>813</v>
      </c>
    </row>
    <row r="42" spans="2:22" x14ac:dyDescent="0.25">
      <c r="B42" s="338" t="str">
        <f t="shared" ca="1" si="0"/>
        <v/>
      </c>
      <c r="C42" s="339" t="str">
        <f ca="1">IF(LEFT('ריכוז נתונים'!B28,11)="גיליון הזנה","",'ריכוז נתונים'!B28)</f>
        <v/>
      </c>
      <c r="D42" s="435"/>
      <c r="E42" s="435"/>
      <c r="F42" s="435"/>
      <c r="G42" s="353" t="str">
        <f t="shared" ca="1" si="1"/>
        <v/>
      </c>
      <c r="H42" s="340" t="str">
        <f>IF(IFERROR(VLOOKUP(E42,מרכבה!A:K,4,0),"")=K42,"","no")</f>
        <v/>
      </c>
      <c r="I42" s="340" t="str">
        <f>IFERROR(VLOOKUP(D42,מרכבה!A:K,7,0),"")</f>
        <v/>
      </c>
      <c r="J42" s="340" t="str">
        <f>IFERROR(VLOOKUP(D42,מרכבה!A:K,5,0),"")</f>
        <v/>
      </c>
      <c r="K42" s="340" t="str">
        <f>IFERROR(VLOOKUP(D42,מרכבה!A:K,4,0),"")</f>
        <v/>
      </c>
      <c r="L42" s="340" t="str">
        <f>IFERROR(VLOOKUP(D42,מרכבה!A:K,6,0),"")</f>
        <v/>
      </c>
      <c r="M42" s="340" t="str">
        <f>IFERROR(VLOOKUP(D42,מרכבה!A:K,2,0),"")</f>
        <v/>
      </c>
      <c r="N42" s="354">
        <f>IFERROR(VLOOKUP(E42,מרכבה!A:K,9,0),0)</f>
        <v>0</v>
      </c>
      <c r="O42" s="341" t="str">
        <f>IFERROR(VLOOKUP(D42,מרכבה!A:K,8,0),"")</f>
        <v/>
      </c>
      <c r="P42" s="342" t="str">
        <f t="shared" ca="1" si="2"/>
        <v/>
      </c>
      <c r="Q42" s="343" t="str">
        <f ca="1">'קיזוזים בגין איחורים'!F42</f>
        <v/>
      </c>
      <c r="R42" s="344" t="str">
        <f ca="1">IF(B42="","",'קיזוזים- החלטות ועדה'!E42)</f>
        <v/>
      </c>
      <c r="S42" s="343" t="str">
        <f ca="1">'קיזוזים- החלטות ועדה'!G42</f>
        <v/>
      </c>
      <c r="T42" s="344" t="str">
        <f ca="1">'הגבלה לסכום מבוקש (2)'!W42</f>
        <v/>
      </c>
      <c r="U42" s="345"/>
      <c r="V42" s="346"/>
    </row>
    <row r="43" spans="2:22" x14ac:dyDescent="0.25">
      <c r="B43" s="338" t="str">
        <f t="shared" ca="1" si="0"/>
        <v/>
      </c>
      <c r="C43" s="339" t="str">
        <f ca="1">IF(LEFT('ריכוז נתונים'!B29,11)="גיליון הזנה","",'ריכוז נתונים'!B29)</f>
        <v/>
      </c>
      <c r="D43" s="435"/>
      <c r="E43" s="435"/>
      <c r="F43" s="435"/>
      <c r="G43" s="353" t="str">
        <f t="shared" ca="1" si="1"/>
        <v/>
      </c>
      <c r="H43" s="340" t="str">
        <f>IF(IFERROR(VLOOKUP(E43,מרכבה!A:K,4,0),"")=K43,"","no")</f>
        <v/>
      </c>
      <c r="I43" s="340" t="str">
        <f>IFERROR(VLOOKUP(D43,מרכבה!A:K,7,0),"")</f>
        <v/>
      </c>
      <c r="J43" s="340" t="str">
        <f>IFERROR(VLOOKUP(D43,מרכבה!A:K,5,0),"")</f>
        <v/>
      </c>
      <c r="K43" s="340" t="str">
        <f>IFERROR(VLOOKUP(D43,מרכבה!A:K,4,0),"")</f>
        <v/>
      </c>
      <c r="L43" s="340" t="str">
        <f>IFERROR(VLOOKUP(D43,מרכבה!A:K,6,0),"")</f>
        <v/>
      </c>
      <c r="M43" s="340" t="str">
        <f>IFERROR(VLOOKUP(D43,מרכבה!A:K,2,0),"")</f>
        <v/>
      </c>
      <c r="N43" s="354">
        <f>IFERROR(VLOOKUP(E43,מרכבה!A:K,9,0),0)</f>
        <v>0</v>
      </c>
      <c r="O43" s="341" t="str">
        <f>IFERROR(VLOOKUP(D43,מרכבה!A:K,8,0),"")</f>
        <v/>
      </c>
      <c r="P43" s="342" t="str">
        <f t="shared" ca="1" si="2"/>
        <v/>
      </c>
      <c r="Q43" s="343" t="str">
        <f ca="1">'קיזוזים בגין איחורים'!F43</f>
        <v/>
      </c>
      <c r="R43" s="344" t="str">
        <f ca="1">IF(B43="","",'קיזוזים- החלטות ועדה'!E43)</f>
        <v/>
      </c>
      <c r="S43" s="343" t="str">
        <f ca="1">'קיזוזים- החלטות ועדה'!G43</f>
        <v/>
      </c>
      <c r="T43" s="344" t="str">
        <f ca="1">'הגבלה לסכום מבוקש (2)'!W43</f>
        <v/>
      </c>
      <c r="U43" s="345"/>
      <c r="V43" s="346"/>
    </row>
    <row r="44" spans="2:22" x14ac:dyDescent="0.25">
      <c r="B44" s="338" t="str">
        <f t="shared" ca="1" si="0"/>
        <v/>
      </c>
      <c r="C44" s="339" t="str">
        <f ca="1">IF(LEFT('ריכוז נתונים'!B30,11)="גיליון הזנה","",'ריכוז נתונים'!B30)</f>
        <v/>
      </c>
      <c r="D44" s="435"/>
      <c r="E44" s="435"/>
      <c r="F44" s="435"/>
      <c r="G44" s="353" t="str">
        <f t="shared" ca="1" si="1"/>
        <v/>
      </c>
      <c r="H44" s="340" t="str">
        <f>IF(IFERROR(VLOOKUP(E44,מרכבה!A:K,4,0),"")=K44,"","no")</f>
        <v/>
      </c>
      <c r="I44" s="340" t="str">
        <f>IFERROR(VLOOKUP(D44,מרכבה!A:K,7,0),"")</f>
        <v/>
      </c>
      <c r="J44" s="340" t="str">
        <f>IFERROR(VLOOKUP(D44,מרכבה!A:K,5,0),"")</f>
        <v/>
      </c>
      <c r="K44" s="340" t="str">
        <f>IFERROR(VLOOKUP(D44,מרכבה!A:K,4,0),"")</f>
        <v/>
      </c>
      <c r="L44" s="340" t="str">
        <f>IFERROR(VLOOKUP(D44,מרכבה!A:K,6,0),"")</f>
        <v/>
      </c>
      <c r="M44" s="340" t="str">
        <f>IFERROR(VLOOKUP(D44,מרכבה!A:K,2,0),"")</f>
        <v/>
      </c>
      <c r="N44" s="354">
        <f>IFERROR(VLOOKUP(E44,מרכבה!A:K,9,0),0)</f>
        <v>0</v>
      </c>
      <c r="O44" s="341" t="str">
        <f>IFERROR(VLOOKUP(D44,מרכבה!A:K,8,0),"")</f>
        <v/>
      </c>
      <c r="P44" s="342" t="str">
        <f t="shared" ca="1" si="2"/>
        <v/>
      </c>
      <c r="Q44" s="343" t="str">
        <f ca="1">'קיזוזים בגין איחורים'!F44</f>
        <v/>
      </c>
      <c r="R44" s="344" t="str">
        <f ca="1">IF(B44="","",'קיזוזים- החלטות ועדה'!E44)</f>
        <v/>
      </c>
      <c r="S44" s="343" t="str">
        <f ca="1">'קיזוזים- החלטות ועדה'!G44</f>
        <v/>
      </c>
      <c r="T44" s="344" t="str">
        <f ca="1">'הגבלה לסכום מבוקש (2)'!W44</f>
        <v/>
      </c>
      <c r="U44" s="345"/>
      <c r="V44" s="235"/>
    </row>
    <row r="45" spans="2:22" ht="78.75" x14ac:dyDescent="0.25">
      <c r="B45" s="338">
        <f t="shared" ca="1" si="0"/>
        <v>15</v>
      </c>
      <c r="C45" s="339" t="str">
        <f ca="1">IF(LEFT('ריכוז נתונים'!B31,11)="גיליון הזנה","",'ריכוז נתונים'!B31)</f>
        <v xml:space="preserve">החברה לטיפוח חברה תרבות תיעוד </v>
      </c>
      <c r="D45" s="435">
        <v>1001913646</v>
      </c>
      <c r="E45" s="435">
        <v>1001745370</v>
      </c>
      <c r="F45" s="435">
        <v>2020</v>
      </c>
      <c r="G45" s="353">
        <f t="shared" ca="1" si="1"/>
        <v>1</v>
      </c>
      <c r="H45" s="340" t="str">
        <f>IF(IFERROR(VLOOKUP(E45,מרכבה!A:K,4,0),"")=K45,"","no")</f>
        <v/>
      </c>
      <c r="I45" s="340">
        <f>IFERROR(VLOOKUP(D45,מרכבה!A:K,7,0),"")</f>
        <v>2025</v>
      </c>
      <c r="J45" s="340">
        <f>IFERROR(VLOOKUP(D45,מרכבה!A:K,5,0),"")</f>
        <v>40000333</v>
      </c>
      <c r="K45" s="340">
        <f>IFERROR(VLOOKUP(D45,מרכבה!A:K,4,0),"")</f>
        <v>580013522</v>
      </c>
      <c r="L45" s="340" t="str">
        <f>IFERROR(VLOOKUP(D45,מרכבה!A:K,6,0),"")</f>
        <v>האגודה לטיפוח חברה ותרבות, תיעוד ומ</v>
      </c>
      <c r="M45" s="340" t="str">
        <f>IFERROR(VLOOKUP(D45,מרכבה!A:K,2,0),"")</f>
        <v>פיתוח והנחלת מורשת יהודי תימן</v>
      </c>
      <c r="N45" s="354">
        <f>IFERROR(VLOOKUP(E45,מרכבה!A:K,9,0),0)</f>
        <v>1514521.42</v>
      </c>
      <c r="O45" s="341">
        <f>IFERROR(VLOOKUP(D45,מרכבה!A:K,8,0),"")</f>
        <v>2400000</v>
      </c>
      <c r="P45" s="342">
        <f t="shared" ca="1" si="2"/>
        <v>1.5846590007290884</v>
      </c>
      <c r="Q45" s="343">
        <f ca="1">'קיזוזים בגין איחורים'!F45</f>
        <v>0</v>
      </c>
      <c r="R45" s="344">
        <f ca="1">IF(B45="","",'קיזוזים- החלטות ועדה'!E45)</f>
        <v>0</v>
      </c>
      <c r="S45" s="343">
        <f ca="1">'קיזוזים- החלטות ועדה'!G45</f>
        <v>2400000</v>
      </c>
      <c r="T45" s="344">
        <f ca="1">'הגבלה לסכום מבוקש (2)'!W45</f>
        <v>2400000</v>
      </c>
      <c r="U45" s="346"/>
      <c r="V45" s="346" t="s">
        <v>360</v>
      </c>
    </row>
    <row r="46" spans="2:22" ht="78.75" x14ac:dyDescent="0.25">
      <c r="B46" s="338">
        <f t="shared" ca="1" si="0"/>
        <v>16</v>
      </c>
      <c r="C46" s="339" t="str">
        <f ca="1">IF(LEFT('ריכוז נתונים'!B32,11)="גיליון הזנה","",'ריכוז נתונים'!B32)</f>
        <v>עמותת אור שלום</v>
      </c>
      <c r="D46" s="435">
        <v>1001907862</v>
      </c>
      <c r="E46" s="435">
        <v>1001745378</v>
      </c>
      <c r="F46" s="435">
        <v>2020</v>
      </c>
      <c r="G46" s="353">
        <f t="shared" ca="1" si="1"/>
        <v>1</v>
      </c>
      <c r="H46" s="340" t="str">
        <f>IF(IFERROR(VLOOKUP(E46,מרכבה!A:K,4,0),"")=K46,"","no")</f>
        <v/>
      </c>
      <c r="I46" s="340">
        <f>IFERROR(VLOOKUP(D46,מרכבה!A:K,7,0),"")</f>
        <v>2025</v>
      </c>
      <c r="J46" s="340">
        <f>IFERROR(VLOOKUP(D46,מרכבה!A:K,5,0),"")</f>
        <v>40221530</v>
      </c>
      <c r="K46" s="340">
        <f>IFERROR(VLOOKUP(D46,מרכבה!A:K,4,0),"")</f>
        <v>580281095</v>
      </c>
      <c r="L46" s="340" t="str">
        <f>IFERROR(VLOOKUP(D46,מרכבה!A:K,6,0),"")</f>
        <v>"אור שלום" ע"ש ר' שלום טייאר זצוק"ל</v>
      </c>
      <c r="M46" s="340" t="str">
        <f>IFERROR(VLOOKUP(D46,מרכבה!A:K,2,0),"")</f>
        <v>תמיכה שוטפת</v>
      </c>
      <c r="N46" s="354">
        <f>IFERROR(VLOOKUP(E46,מרכבה!A:K,9,0),0)</f>
        <v>510958.73</v>
      </c>
      <c r="O46" s="341">
        <f>IFERROR(VLOOKUP(D46,מרכבה!A:K,8,0),"")</f>
        <v>680000</v>
      </c>
      <c r="P46" s="342">
        <f t="shared" ca="1" si="2"/>
        <v>1.2758000662020343</v>
      </c>
      <c r="Q46" s="343">
        <f ca="1">'קיזוזים בגין איחורים'!F46</f>
        <v>0</v>
      </c>
      <c r="R46" s="344">
        <f ca="1">IF(B46="","",'קיזוזים- החלטות ועדה'!E46)</f>
        <v>0</v>
      </c>
      <c r="S46" s="343">
        <f ca="1">'קיזוזים- החלטות ועדה'!G46</f>
        <v>651881.18156050739</v>
      </c>
      <c r="T46" s="344">
        <f ca="1">'הגבלה לסכום מבוקש (2)'!W46</f>
        <v>651881.18156050739</v>
      </c>
      <c r="U46" s="346"/>
      <c r="V46" s="346" t="s">
        <v>361</v>
      </c>
    </row>
    <row r="47" spans="2:22" ht="16.5" customHeight="1" x14ac:dyDescent="0.25">
      <c r="B47" s="338" t="str">
        <f t="shared" ca="1" si="0"/>
        <v/>
      </c>
      <c r="C47" s="339" t="str">
        <f ca="1">IF(LEFT('ריכוז נתונים'!B33,11)="גיליון הזנה","",'ריכוז נתונים'!B33)</f>
        <v/>
      </c>
      <c r="D47" s="435"/>
      <c r="E47" s="435"/>
      <c r="F47" s="435"/>
      <c r="G47" s="353" t="str">
        <f t="shared" ca="1" si="1"/>
        <v/>
      </c>
      <c r="H47" s="340" t="str">
        <f>IF(IFERROR(VLOOKUP(E47,מרכבה!A:K,4,0),"")=K47,"","no")</f>
        <v/>
      </c>
      <c r="I47" s="340" t="str">
        <f>IFERROR(VLOOKUP(D47,מרכבה!A:K,7,0),"")</f>
        <v/>
      </c>
      <c r="J47" s="340" t="str">
        <f>IFERROR(VLOOKUP(D47,מרכבה!A:K,5,0),"")</f>
        <v/>
      </c>
      <c r="K47" s="340" t="str">
        <f>IFERROR(VLOOKUP(D47,מרכבה!A:K,4,0),"")</f>
        <v/>
      </c>
      <c r="L47" s="340" t="str">
        <f>IFERROR(VLOOKUP(D47,מרכבה!A:K,6,0),"")</f>
        <v/>
      </c>
      <c r="M47" s="340" t="str">
        <f>IFERROR(VLOOKUP(D47,מרכבה!A:K,2,0),"")</f>
        <v/>
      </c>
      <c r="N47" s="354">
        <f>IFERROR(VLOOKUP(E47,מרכבה!A:K,9,0),0)</f>
        <v>0</v>
      </c>
      <c r="O47" s="341" t="str">
        <f>IFERROR(VLOOKUP(D47,מרכבה!A:K,8,0),"")</f>
        <v/>
      </c>
      <c r="P47" s="342" t="str">
        <f t="shared" ca="1" si="2"/>
        <v/>
      </c>
      <c r="Q47" s="343" t="str">
        <f ca="1">'קיזוזים בגין איחורים'!F47</f>
        <v/>
      </c>
      <c r="R47" s="344" t="str">
        <f ca="1">IF(B47="","",'קיזוזים- החלטות ועדה'!E47)</f>
        <v/>
      </c>
      <c r="S47" s="343" t="str">
        <f ca="1">'קיזוזים- החלטות ועדה'!G47</f>
        <v/>
      </c>
      <c r="T47" s="344" t="str">
        <f ca="1">'הגבלה לסכום מבוקש (2)'!W47</f>
        <v/>
      </c>
      <c r="U47" s="345"/>
      <c r="V47" s="235"/>
    </row>
    <row r="48" spans="2:22" ht="47.25" x14ac:dyDescent="0.25">
      <c r="B48" s="338">
        <f t="shared" ca="1" si="0"/>
        <v>18</v>
      </c>
      <c r="C48" s="339" t="str">
        <f ca="1">IF(LEFT('ריכוז נתונים'!B34,11)="גיליון הזנה","",'ריכוז נתונים'!B34)</f>
        <v>ישיבת קרלין סטולין</v>
      </c>
      <c r="D48" s="435">
        <v>1001908702</v>
      </c>
      <c r="E48" s="435">
        <v>1001746495</v>
      </c>
      <c r="F48" s="435">
        <v>2020</v>
      </c>
      <c r="G48" s="353">
        <f t="shared" ca="1" si="1"/>
        <v>1</v>
      </c>
      <c r="H48" s="340" t="str">
        <f>IF(IFERROR(VLOOKUP(E48,מרכבה!A:K,4,0),"")=K48,"","no")</f>
        <v/>
      </c>
      <c r="I48" s="340">
        <f>IFERROR(VLOOKUP(D48,מרכבה!A:K,7,0),"")</f>
        <v>2025</v>
      </c>
      <c r="J48" s="340">
        <f>IFERROR(VLOOKUP(D48,מרכבה!A:K,5,0),"")</f>
        <v>40188794</v>
      </c>
      <c r="K48" s="340">
        <f>IFERROR(VLOOKUP(D48,מרכבה!A:K,4,0),"")</f>
        <v>580002996</v>
      </c>
      <c r="L48" s="340" t="str">
        <f>IFERROR(VLOOKUP(D48,מרכבה!A:K,6,0),"")</f>
        <v>אגודת ישיבת קרלין סטולין בית אהרון</v>
      </c>
      <c r="M48" s="340" t="str">
        <f>IFERROR(VLOOKUP(D48,מרכבה!A:K,2,0),"")</f>
        <v>בקשת תמיכה לשימור מורשת 2025</v>
      </c>
      <c r="N48" s="354">
        <f>IFERROR(VLOOKUP(E48,מרכבה!A:K,9,0),0)</f>
        <v>375308.62</v>
      </c>
      <c r="O48" s="341">
        <f>IFERROR(VLOOKUP(D48,מרכבה!A:K,8,0),"")</f>
        <v>700000</v>
      </c>
      <c r="P48" s="342">
        <f t="shared" ca="1" si="2"/>
        <v>1.098911212536104</v>
      </c>
      <c r="Q48" s="343">
        <f ca="1">'קיזוזים בגין איחורים'!F48</f>
        <v>0</v>
      </c>
      <c r="R48" s="344">
        <f ca="1">IF(B48="","",'קיזוזים- החלטות ועדה'!E48)</f>
        <v>0</v>
      </c>
      <c r="S48" s="343">
        <f ca="1">'קיזוזים- החלטות ועדה'!G48</f>
        <v>412430.85067945189</v>
      </c>
      <c r="T48" s="344">
        <f ca="1">'הגבלה לסכום מבוקש (2)'!W48</f>
        <v>412430.85067945189</v>
      </c>
      <c r="U48" s="346"/>
      <c r="V48" s="346" t="s">
        <v>362</v>
      </c>
    </row>
    <row r="49" spans="2:22" ht="16.5" customHeight="1" x14ac:dyDescent="0.25">
      <c r="B49" s="338" t="str">
        <f t="shared" ca="1" si="0"/>
        <v/>
      </c>
      <c r="C49" s="339" t="str">
        <f ca="1">IF(LEFT('ריכוז נתונים'!B35,11)="גיליון הזנה","",'ריכוז נתונים'!B35)</f>
        <v/>
      </c>
      <c r="D49" s="435"/>
      <c r="E49" s="435"/>
      <c r="F49" s="435"/>
      <c r="G49" s="353" t="str">
        <f t="shared" ca="1" si="1"/>
        <v/>
      </c>
      <c r="H49" s="340" t="str">
        <f>IF(IFERROR(VLOOKUP(E49,מרכבה!A:K,4,0),"")=K49,"","no")</f>
        <v/>
      </c>
      <c r="I49" s="340" t="str">
        <f>IFERROR(VLOOKUP(D49,מרכבה!A:K,7,0),"")</f>
        <v/>
      </c>
      <c r="J49" s="340" t="str">
        <f>IFERROR(VLOOKUP(D49,מרכבה!A:K,5,0),"")</f>
        <v/>
      </c>
      <c r="K49" s="340" t="str">
        <f>IFERROR(VLOOKUP(D49,מרכבה!A:K,4,0),"")</f>
        <v/>
      </c>
      <c r="L49" s="340" t="str">
        <f>IFERROR(VLOOKUP(D49,מרכבה!A:K,6,0),"")</f>
        <v/>
      </c>
      <c r="M49" s="340" t="str">
        <f>IFERROR(VLOOKUP(D49,מרכבה!A:K,2,0),"")</f>
        <v/>
      </c>
      <c r="N49" s="354">
        <f>IFERROR(VLOOKUP(E49,מרכבה!A:K,9,0),0)</f>
        <v>0</v>
      </c>
      <c r="O49" s="341" t="str">
        <f>IFERROR(VLOOKUP(D49,מרכבה!A:K,8,0),"")</f>
        <v/>
      </c>
      <c r="P49" s="342" t="str">
        <f t="shared" ca="1" si="2"/>
        <v/>
      </c>
      <c r="Q49" s="343" t="str">
        <f ca="1">'קיזוזים בגין איחורים'!F49</f>
        <v/>
      </c>
      <c r="R49" s="344" t="str">
        <f ca="1">IF(B49="","",'קיזוזים- החלטות ועדה'!E49)</f>
        <v/>
      </c>
      <c r="S49" s="343" t="str">
        <f ca="1">'קיזוזים- החלטות ועדה'!G49</f>
        <v/>
      </c>
      <c r="T49" s="344" t="str">
        <f ca="1">'הגבלה לסכום מבוקש (2)'!W49</f>
        <v/>
      </c>
      <c r="U49" s="345"/>
      <c r="V49" s="346"/>
    </row>
    <row r="50" spans="2:22" ht="16.5" customHeight="1" x14ac:dyDescent="0.25">
      <c r="B50" s="338" t="str">
        <f t="shared" ca="1" si="0"/>
        <v/>
      </c>
      <c r="C50" s="339" t="str">
        <f ca="1">IF(LEFT('ריכוז נתונים'!B36,11)="גיליון הזנה","",'ריכוז נתונים'!B36)</f>
        <v/>
      </c>
      <c r="D50" s="435"/>
      <c r="E50" s="435"/>
      <c r="F50" s="435"/>
      <c r="G50" s="353" t="str">
        <f t="shared" ca="1" si="1"/>
        <v/>
      </c>
      <c r="H50" s="340" t="str">
        <f>IF(IFERROR(VLOOKUP(E50,מרכבה!A:K,4,0),"")=K50,"","no")</f>
        <v/>
      </c>
      <c r="I50" s="340" t="str">
        <f>IFERROR(VLOOKUP(D50,מרכבה!A:K,7,0),"")</f>
        <v/>
      </c>
      <c r="J50" s="340" t="str">
        <f>IFERROR(VLOOKUP(D50,מרכבה!A:K,5,0),"")</f>
        <v/>
      </c>
      <c r="K50" s="340" t="str">
        <f>IFERROR(VLOOKUP(D50,מרכבה!A:K,4,0),"")</f>
        <v/>
      </c>
      <c r="L50" s="340" t="str">
        <f>IFERROR(VLOOKUP(D50,מרכבה!A:K,6,0),"")</f>
        <v/>
      </c>
      <c r="M50" s="340" t="str">
        <f>IFERROR(VLOOKUP(D50,מרכבה!A:K,2,0),"")</f>
        <v/>
      </c>
      <c r="N50" s="354">
        <f>IFERROR(VLOOKUP(E50,מרכבה!A:K,9,0),0)</f>
        <v>0</v>
      </c>
      <c r="O50" s="341" t="str">
        <f>IFERROR(VLOOKUP(D50,מרכבה!A:K,8,0),"")</f>
        <v/>
      </c>
      <c r="P50" s="342" t="str">
        <f t="shared" ca="1" si="2"/>
        <v/>
      </c>
      <c r="Q50" s="343" t="str">
        <f ca="1">'קיזוזים בגין איחורים'!F50</f>
        <v/>
      </c>
      <c r="R50" s="344" t="str">
        <f ca="1">IF(B50="","",'קיזוזים- החלטות ועדה'!E50)</f>
        <v/>
      </c>
      <c r="S50" s="343" t="str">
        <f ca="1">'קיזוזים- החלטות ועדה'!G50</f>
        <v/>
      </c>
      <c r="T50" s="344" t="str">
        <f ca="1">'הגבלה לסכום מבוקש (2)'!W50</f>
        <v/>
      </c>
      <c r="U50" s="345"/>
      <c r="V50" s="346"/>
    </row>
    <row r="51" spans="2:22" ht="63" x14ac:dyDescent="0.25">
      <c r="B51" s="338">
        <f t="shared" ca="1" si="0"/>
        <v>21</v>
      </c>
      <c r="C51" s="339" t="str">
        <f ca="1">IF(LEFT('ריכוז נתונים'!B37,11)="גיליון הזנה","",'ריכוז נתונים'!B37)</f>
        <v>ברית יוצאי מרוקו</v>
      </c>
      <c r="D51" s="435">
        <v>1001914329</v>
      </c>
      <c r="E51" s="435">
        <v>1001779761</v>
      </c>
      <c r="F51" s="435">
        <v>2020</v>
      </c>
      <c r="G51" s="353">
        <f t="shared" ca="1" si="1"/>
        <v>1</v>
      </c>
      <c r="H51" s="340" t="str">
        <f>IF(IFERROR(VLOOKUP(E51,מרכבה!A:K,4,0),"")=K51,"","no")</f>
        <v/>
      </c>
      <c r="I51" s="340">
        <f>IFERROR(VLOOKUP(D51,מרכבה!A:K,7,0),"")</f>
        <v>2025</v>
      </c>
      <c r="J51" s="340">
        <f>IFERROR(VLOOKUP(D51,מרכבה!A:K,5,0),"")</f>
        <v>40000102</v>
      </c>
      <c r="K51" s="340">
        <f>IFERROR(VLOOKUP(D51,מרכבה!A:K,4,0),"")</f>
        <v>580041887</v>
      </c>
      <c r="L51" s="340" t="str">
        <f>IFERROR(VLOOKUP(D51,מרכבה!A:K,6,0),"")</f>
        <v>ברית יוצאי מרוקו בישראל )ע"ר(</v>
      </c>
      <c r="M51" s="340" t="str">
        <f>IFERROR(VLOOKUP(D51,מרכבה!A:K,2,0),"")</f>
        <v>בקשת תמיכה 2025</v>
      </c>
      <c r="N51" s="354">
        <f>IFERROR(VLOOKUP(E51,מרכבה!A:K,9,0),0)</f>
        <v>182409</v>
      </c>
      <c r="O51" s="341">
        <f>IFERROR(VLOOKUP(D51,מרכבה!A:K,8,0),"")</f>
        <v>200000</v>
      </c>
      <c r="P51" s="342">
        <f t="shared" ca="1" si="2"/>
        <v>1.0964371275540132</v>
      </c>
      <c r="Q51" s="343">
        <f ca="1">'קיזוזים בגין איחורים'!F51</f>
        <v>0</v>
      </c>
      <c r="R51" s="344">
        <f ca="1">IF(B51="","",'קיזוזים- החלטות ועדה'!E51)</f>
        <v>0</v>
      </c>
      <c r="S51" s="343">
        <f ca="1">'קיזוזים- החלטות ועדה'!G51</f>
        <v>200000</v>
      </c>
      <c r="T51" s="344">
        <f ca="1">'הגבלה לסכום מבוקש (2)'!W51</f>
        <v>200000</v>
      </c>
      <c r="U51" s="346"/>
      <c r="V51" s="346" t="s">
        <v>363</v>
      </c>
    </row>
    <row r="52" spans="2:22" ht="47.25" x14ac:dyDescent="0.25">
      <c r="B52" s="338">
        <f t="shared" ca="1" si="0"/>
        <v>22</v>
      </c>
      <c r="C52" s="339" t="str">
        <f ca="1">IF(LEFT('ריכוז נתונים'!B38,11)="גיליון הזנה","",'ריכוז נתונים'!B38)</f>
        <v>הקם - בית הקונפדרציה</v>
      </c>
      <c r="D52" s="435">
        <v>1001907627</v>
      </c>
      <c r="E52" s="435">
        <v>1001720680</v>
      </c>
      <c r="F52" s="435">
        <v>2020</v>
      </c>
      <c r="G52" s="353">
        <f t="shared" ca="1" si="1"/>
        <v>1</v>
      </c>
      <c r="H52" s="340" t="str">
        <f>IF(IFERROR(VLOOKUP(E52,מרכבה!A:K,4,0),"")=K52,"","no")</f>
        <v/>
      </c>
      <c r="I52" s="340">
        <f>IFERROR(VLOOKUP(D52,מרכבה!A:K,7,0),"")</f>
        <v>2025</v>
      </c>
      <c r="J52" s="340">
        <f>IFERROR(VLOOKUP(D52,מרכבה!A:K,5,0),"")</f>
        <v>40000028</v>
      </c>
      <c r="K52" s="340">
        <f>IFERROR(VLOOKUP(D52,מרכבה!A:K,4,0),"")</f>
        <v>510748734</v>
      </c>
      <c r="L52" s="340" t="str">
        <f>IFERROR(VLOOKUP(D52,מרכבה!A:K,6,0),"")</f>
        <v>הקם (חל"צ)</v>
      </c>
      <c r="M52" s="340" t="str">
        <f>IFERROR(VLOOKUP(D52,מרכבה!A:K,2,0),"")</f>
        <v>מרכז למורשת עדות ומסורות ישראל</v>
      </c>
      <c r="N52" s="354">
        <f>IFERROR(VLOOKUP(E52,מרכבה!A:K,9,0),0)</f>
        <v>612871.59</v>
      </c>
      <c r="O52" s="341">
        <f>IFERROR(VLOOKUP(D52,מרכבה!A:K,8,0),"")</f>
        <v>1400000</v>
      </c>
      <c r="P52" s="342">
        <f t="shared" ca="1" si="2"/>
        <v>1.0328104962298417</v>
      </c>
      <c r="Q52" s="343">
        <f ca="1">'קיזוזים בגין איחורים'!F52</f>
        <v>0</v>
      </c>
      <c r="R52" s="344">
        <f ca="1">IF(B52="","",'קיזוזים- החלטות ועדה'!E52)</f>
        <v>0</v>
      </c>
      <c r="S52" s="343">
        <f ca="1">'קיזוזים- החלטות ועדה'!G52</f>
        <v>632980.21099307202</v>
      </c>
      <c r="T52" s="344">
        <f ca="1">'הגבלה לסכום מבוקש (2)'!W52</f>
        <v>632980.21099307202</v>
      </c>
      <c r="U52" s="346"/>
      <c r="V52" s="346" t="s">
        <v>359</v>
      </c>
    </row>
    <row r="53" spans="2:22" ht="78.75" x14ac:dyDescent="0.25">
      <c r="B53" s="338">
        <f t="shared" ca="1" si="0"/>
        <v>23</v>
      </c>
      <c r="C53" s="339" t="str">
        <f ca="1">IF(LEFT('ריכוז נתונים'!B39,11)="גיליון הזנה","",'ריכוז נתונים'!B39)</f>
        <v>מוסיקה מזרח מערב</v>
      </c>
      <c r="D53" s="435">
        <v>1001907504</v>
      </c>
      <c r="E53" s="435">
        <v>1001722595</v>
      </c>
      <c r="F53" s="435">
        <v>2020</v>
      </c>
      <c r="G53" s="353">
        <f t="shared" ca="1" si="1"/>
        <v>1</v>
      </c>
      <c r="H53" s="340" t="str">
        <f>IF(IFERROR(VLOOKUP(E53,מרכבה!A:K,4,0),"")=K53,"","no")</f>
        <v/>
      </c>
      <c r="I53" s="340">
        <f>IFERROR(VLOOKUP(D53,מרכבה!A:K,7,0),"")</f>
        <v>2025</v>
      </c>
      <c r="J53" s="340">
        <f>IFERROR(VLOOKUP(D53,מרכבה!A:K,5,0),"")</f>
        <v>40000541</v>
      </c>
      <c r="K53" s="340">
        <f>IFERROR(VLOOKUP(D53,מרכבה!A:K,4,0),"")</f>
        <v>580186278</v>
      </c>
      <c r="L53" s="340" t="str">
        <f>IFERROR(VLOOKUP(D53,מרכבה!A:K,6,0),"")</f>
        <v>מוסיקה מזרח-מערב }ע"ר{</v>
      </c>
      <c r="M53" s="340" t="str">
        <f>IFERROR(VLOOKUP(D53,מרכבה!A:K,2,0),"")</f>
        <v>פעילות 2025 תרבות מורשת עדות ישראל</v>
      </c>
      <c r="N53" s="354">
        <f>IFERROR(VLOOKUP(E53,מרכבה!A:K,9,0),0)</f>
        <v>690258.18</v>
      </c>
      <c r="O53" s="341">
        <f>IFERROR(VLOOKUP(D53,מרכבה!A:K,8,0),"")</f>
        <v>1600000</v>
      </c>
      <c r="P53" s="342">
        <f t="shared" ca="1" si="2"/>
        <v>1.401319646925778</v>
      </c>
      <c r="Q53" s="343">
        <f ca="1">'קיזוזים בגין איחורים'!F53</f>
        <v>0</v>
      </c>
      <c r="R53" s="344">
        <f ca="1">IF(B53="","",'קיזוזים- החלטות ועדה'!E53)</f>
        <v>0</v>
      </c>
      <c r="S53" s="343">
        <f ca="1">'קיזוזים- החלטות ועדה'!G53</f>
        <v>967272.34908523015</v>
      </c>
      <c r="T53" s="344">
        <f ca="1">'הגבלה לסכום מבוקש (2)'!W53</f>
        <v>967272.34908523026</v>
      </c>
      <c r="U53" s="346"/>
      <c r="V53" s="346" t="s">
        <v>364</v>
      </c>
    </row>
    <row r="54" spans="2:22" ht="47.25" x14ac:dyDescent="0.25">
      <c r="B54" s="338">
        <f t="shared" ca="1" si="0"/>
        <v>24</v>
      </c>
      <c r="C54" s="339" t="str">
        <f ca="1">IF(LEFT('ריכוז נתונים'!B40,11)="גיליון הזנה","",'ריכוז נתונים'!B40)</f>
        <v>אעלה בתמר</v>
      </c>
      <c r="D54" s="435">
        <v>1001911063</v>
      </c>
      <c r="E54" s="435">
        <v>1001754442</v>
      </c>
      <c r="F54" s="435">
        <v>2020</v>
      </c>
      <c r="G54" s="353">
        <f t="shared" ca="1" si="1"/>
        <v>1</v>
      </c>
      <c r="H54" s="340" t="str">
        <f>IF(IFERROR(VLOOKUP(E54,מרכבה!A:K,4,0),"")=K54,"","no")</f>
        <v/>
      </c>
      <c r="I54" s="340">
        <f>IFERROR(VLOOKUP(D54,מרכבה!A:K,7,0),"")</f>
        <v>2025</v>
      </c>
      <c r="J54" s="340">
        <f>IFERROR(VLOOKUP(D54,מרכבה!A:K,5,0),"")</f>
        <v>40000094</v>
      </c>
      <c r="K54" s="340">
        <f>IFERROR(VLOOKUP(D54,מרכבה!A:K,4,0),"")</f>
        <v>580037596</v>
      </c>
      <c r="L54" s="340" t="str">
        <f>IFERROR(VLOOKUP(D54,מרכבה!A:K,6,0),"")</f>
        <v>"אעלה בתמר"</v>
      </c>
      <c r="M54" s="340" t="str">
        <f>IFERROR(VLOOKUP(D54,מרכבה!A:K,2,0),"")</f>
        <v>תמיכה שוטפת עבור מחקר , שימור והפצת מורש</v>
      </c>
      <c r="N54" s="354">
        <f>IFERROR(VLOOKUP(E54,מרכבה!A:K,9,0),0)</f>
        <v>1206197.58</v>
      </c>
      <c r="O54" s="341">
        <f>IFERROR(VLOOKUP(D54,מרכבה!A:K,8,0),"")</f>
        <v>1500000</v>
      </c>
      <c r="P54" s="342">
        <f t="shared" ca="1" si="2"/>
        <v>1.2435773581969878</v>
      </c>
      <c r="Q54" s="343">
        <f ca="1">'קיזוזים בגין איחורים'!F54</f>
        <v>0</v>
      </c>
      <c r="R54" s="344">
        <f ca="1">IF(B54="","",'קיזוזים- החלטות ועדה'!E54)</f>
        <v>0</v>
      </c>
      <c r="S54" s="343">
        <f ca="1">'קיזוזים- החלטות ועדה'!G54</f>
        <v>1500000</v>
      </c>
      <c r="T54" s="344">
        <f ca="1">'הגבלה לסכום מבוקש (2)'!W54</f>
        <v>1500000</v>
      </c>
      <c r="U54" s="346"/>
      <c r="V54" s="346" t="s">
        <v>365</v>
      </c>
    </row>
    <row r="55" spans="2:22" ht="16.5" customHeight="1" x14ac:dyDescent="0.25">
      <c r="B55" s="338" t="str">
        <f t="shared" ca="1" si="0"/>
        <v/>
      </c>
      <c r="C55" s="339" t="str">
        <f ca="1">IF(LEFT('ריכוז נתונים'!B41,11)="גיליון הזנה","",'ריכוז נתונים'!B41)</f>
        <v/>
      </c>
      <c r="D55" s="435"/>
      <c r="E55" s="435"/>
      <c r="F55" s="435"/>
      <c r="G55" s="353" t="str">
        <f t="shared" ca="1" si="1"/>
        <v/>
      </c>
      <c r="H55" s="340" t="str">
        <f>IF(IFERROR(VLOOKUP(E55,מרכבה!A:K,4,0),"")=K55,"","no")</f>
        <v/>
      </c>
      <c r="I55" s="340" t="str">
        <f>IFERROR(VLOOKUP(D55,מרכבה!A:K,7,0),"")</f>
        <v/>
      </c>
      <c r="J55" s="340" t="str">
        <f>IFERROR(VLOOKUP(D55,מרכבה!A:K,5,0),"")</f>
        <v/>
      </c>
      <c r="K55" s="340" t="str">
        <f>IFERROR(VLOOKUP(D55,מרכבה!A:K,4,0),"")</f>
        <v/>
      </c>
      <c r="L55" s="340" t="str">
        <f>IFERROR(VLOOKUP(D55,מרכבה!A:K,6,0),"")</f>
        <v/>
      </c>
      <c r="M55" s="340" t="str">
        <f>IFERROR(VLOOKUP(D55,מרכבה!A:K,2,0),"")</f>
        <v/>
      </c>
      <c r="N55" s="354">
        <f>IFERROR(VLOOKUP(E55,מרכבה!A:K,9,0),0)</f>
        <v>0</v>
      </c>
      <c r="O55" s="341" t="str">
        <f>IFERROR(VLOOKUP(D55,מרכבה!A:K,8,0),"")</f>
        <v/>
      </c>
      <c r="P55" s="342" t="str">
        <f t="shared" ca="1" si="2"/>
        <v/>
      </c>
      <c r="Q55" s="343" t="str">
        <f ca="1">'קיזוזים בגין איחורים'!F55</f>
        <v/>
      </c>
      <c r="R55" s="344" t="str">
        <f ca="1">IF(B55="","",'קיזוזים- החלטות ועדה'!E55)</f>
        <v/>
      </c>
      <c r="S55" s="343" t="str">
        <f ca="1">'קיזוזים- החלטות ועדה'!G55</f>
        <v/>
      </c>
      <c r="T55" s="344" t="str">
        <f ca="1">'הגבלה לסכום מבוקש (2)'!W55</f>
        <v/>
      </c>
      <c r="U55" s="345"/>
      <c r="V55" s="346"/>
    </row>
    <row r="56" spans="2:22" ht="16.5" customHeight="1" x14ac:dyDescent="0.25">
      <c r="B56" s="338" t="str">
        <f t="shared" ca="1" si="0"/>
        <v/>
      </c>
      <c r="C56" s="339" t="str">
        <f ca="1">IF(LEFT('ריכוז נתונים'!B42,11)="גיליון הזנה","",'ריכוז נתונים'!B42)</f>
        <v/>
      </c>
      <c r="D56" s="435"/>
      <c r="E56" s="435"/>
      <c r="F56" s="435"/>
      <c r="G56" s="353" t="str">
        <f t="shared" ca="1" si="1"/>
        <v/>
      </c>
      <c r="H56" s="340" t="str">
        <f>IF(IFERROR(VLOOKUP(E56,מרכבה!A:K,4,0),"")=K56,"","no")</f>
        <v/>
      </c>
      <c r="I56" s="340" t="str">
        <f>IFERROR(VLOOKUP(D56,מרכבה!A:K,7,0),"")</f>
        <v/>
      </c>
      <c r="J56" s="340" t="str">
        <f>IFERROR(VLOOKUP(D56,מרכבה!A:K,5,0),"")</f>
        <v/>
      </c>
      <c r="K56" s="340" t="str">
        <f>IFERROR(VLOOKUP(D56,מרכבה!A:K,4,0),"")</f>
        <v/>
      </c>
      <c r="L56" s="340" t="str">
        <f>IFERROR(VLOOKUP(D56,מרכבה!A:K,6,0),"")</f>
        <v/>
      </c>
      <c r="M56" s="340" t="str">
        <f>IFERROR(VLOOKUP(D56,מרכבה!A:K,2,0),"")</f>
        <v/>
      </c>
      <c r="N56" s="354">
        <f>IFERROR(VLOOKUP(E56,מרכבה!A:K,9,0),0)</f>
        <v>0</v>
      </c>
      <c r="O56" s="341" t="str">
        <f>IFERROR(VLOOKUP(D56,מרכבה!A:K,8,0),"")</f>
        <v/>
      </c>
      <c r="P56" s="342" t="str">
        <f t="shared" ca="1" si="2"/>
        <v/>
      </c>
      <c r="Q56" s="343" t="str">
        <f ca="1">'קיזוזים בגין איחורים'!F56</f>
        <v/>
      </c>
      <c r="R56" s="344" t="str">
        <f ca="1">IF(B56="","",'קיזוזים- החלטות ועדה'!E56)</f>
        <v/>
      </c>
      <c r="S56" s="343" t="str">
        <f ca="1">'קיזוזים- החלטות ועדה'!G56</f>
        <v/>
      </c>
      <c r="T56" s="344" t="str">
        <f ca="1">'הגבלה לסכום מבוקש (2)'!W56</f>
        <v/>
      </c>
      <c r="U56" s="345"/>
      <c r="V56" s="346"/>
    </row>
    <row r="57" spans="2:22" ht="63" x14ac:dyDescent="0.25">
      <c r="B57" s="338">
        <f t="shared" ca="1" si="0"/>
        <v>27</v>
      </c>
      <c r="C57" s="339" t="str">
        <f ca="1">IF(LEFT('ריכוז נתונים'!B43,11)="גיליון הזנה","",'ריכוז נתונים'!B43)</f>
        <v>מכון הברמן</v>
      </c>
      <c r="D57" s="435">
        <v>1001910979</v>
      </c>
      <c r="E57" s="435">
        <v>1001746369</v>
      </c>
      <c r="F57" s="435">
        <v>2020</v>
      </c>
      <c r="G57" s="353">
        <f t="shared" ca="1" si="1"/>
        <v>1</v>
      </c>
      <c r="H57" s="340" t="str">
        <f>IF(IFERROR(VLOOKUP(E57,מרכבה!A:K,4,0),"")=K57,"","no")</f>
        <v/>
      </c>
      <c r="I57" s="340">
        <f>IFERROR(VLOOKUP(D57,מרכבה!A:K,7,0),"")</f>
        <v>2025</v>
      </c>
      <c r="J57" s="340">
        <f>IFERROR(VLOOKUP(D57,מרכבה!A:K,5,0),"")</f>
        <v>40000188</v>
      </c>
      <c r="K57" s="340">
        <f>IFERROR(VLOOKUP(D57,מרכבה!A:K,4,0),"")</f>
        <v>580229771</v>
      </c>
      <c r="L57" s="340" t="str">
        <f>IFERROR(VLOOKUP(D57,מרכבה!A:K,6,0),"")</f>
        <v>מכון הברמן למחקרי ספרות )ע"ר(</v>
      </c>
      <c r="M57" s="340" t="str">
        <f>IFERROR(VLOOKUP(D57,מרכבה!A:K,2,0),"")</f>
        <v>מכון הברמן למחקרי ספרות תמיכה שוטפת</v>
      </c>
      <c r="N57" s="354">
        <f>IFERROR(VLOOKUP(E57,מרכבה!A:K,9,0),0)</f>
        <v>268632.15999999997</v>
      </c>
      <c r="O57" s="341">
        <f>IFERROR(VLOOKUP(D57,מרכבה!A:K,8,0),"")</f>
        <v>725000</v>
      </c>
      <c r="P57" s="342">
        <f t="shared" ca="1" si="2"/>
        <v>1.2499412422572262</v>
      </c>
      <c r="Q57" s="343">
        <f ca="1">'קיזוזים בגין איחורים'!F57</f>
        <v>0</v>
      </c>
      <c r="R57" s="344">
        <f ca="1">IF(B57="","",'קיזוזים- החלטות ועדה'!E57)</f>
        <v>0</v>
      </c>
      <c r="S57" s="343">
        <f ca="1">'קיזוזים- החלטות ועדה'!G57</f>
        <v>335774.41578064195</v>
      </c>
      <c r="T57" s="344">
        <f ca="1">'הגבלה לסכום מבוקש (2)'!W57</f>
        <v>335774.41578064195</v>
      </c>
      <c r="U57" s="346"/>
      <c r="V57" s="346" t="s">
        <v>366</v>
      </c>
    </row>
    <row r="58" spans="2:22" x14ac:dyDescent="0.25">
      <c r="B58" s="338" t="str">
        <f t="shared" ca="1" si="0"/>
        <v/>
      </c>
      <c r="C58" s="339" t="str">
        <f ca="1">IF(LEFT('ריכוז נתונים'!B44,11)="גיליון הזנה","",'ריכוז נתונים'!B44)</f>
        <v/>
      </c>
      <c r="D58" s="435"/>
      <c r="E58" s="435"/>
      <c r="F58" s="435"/>
      <c r="G58" s="353" t="str">
        <f t="shared" ca="1" si="1"/>
        <v/>
      </c>
      <c r="H58" s="340" t="str">
        <f>IF(IFERROR(VLOOKUP(E58,מרכבה!A:K,4,0),"")=K58,"","no")</f>
        <v/>
      </c>
      <c r="I58" s="340" t="str">
        <f>IFERROR(VLOOKUP(D58,מרכבה!A:K,7,0),"")</f>
        <v/>
      </c>
      <c r="J58" s="340" t="str">
        <f>IFERROR(VLOOKUP(D58,מרכבה!A:K,5,0),"")</f>
        <v/>
      </c>
      <c r="K58" s="340" t="str">
        <f>IFERROR(VLOOKUP(D58,מרכבה!A:K,4,0),"")</f>
        <v/>
      </c>
      <c r="L58" s="340" t="str">
        <f>IFERROR(VLOOKUP(D58,מרכבה!A:K,6,0),"")</f>
        <v/>
      </c>
      <c r="M58" s="340" t="str">
        <f>IFERROR(VLOOKUP(D58,מרכבה!A:K,2,0),"")</f>
        <v/>
      </c>
      <c r="N58" s="354">
        <f>IFERROR(VLOOKUP(E58,מרכבה!A:K,9,0),0)</f>
        <v>0</v>
      </c>
      <c r="O58" s="341" t="str">
        <f>IFERROR(VLOOKUP(D58,מרכבה!A:K,8,0),"")</f>
        <v/>
      </c>
      <c r="P58" s="342" t="str">
        <f t="shared" ca="1" si="2"/>
        <v/>
      </c>
      <c r="Q58" s="343" t="str">
        <f ca="1">'קיזוזים בגין איחורים'!F58</f>
        <v/>
      </c>
      <c r="R58" s="344" t="str">
        <f ca="1">IF(B58="","",'קיזוזים- החלטות ועדה'!E58)</f>
        <v/>
      </c>
      <c r="S58" s="343" t="str">
        <f ca="1">'קיזוזים- החלטות ועדה'!G58</f>
        <v/>
      </c>
      <c r="T58" s="344" t="str">
        <f ca="1">'הגבלה לסכום מבוקש (2)'!W58</f>
        <v/>
      </c>
      <c r="U58" s="345"/>
      <c r="V58" s="346"/>
    </row>
    <row r="59" spans="2:22" x14ac:dyDescent="0.25">
      <c r="B59" s="338" t="str">
        <f t="shared" ca="1" si="0"/>
        <v/>
      </c>
      <c r="C59" s="339" t="str">
        <f ca="1">IF(LEFT('ריכוז נתונים'!B45,11)="גיליון הזנה","",'ריכוז נתונים'!B45)</f>
        <v/>
      </c>
      <c r="D59" s="435"/>
      <c r="E59" s="435"/>
      <c r="F59" s="435"/>
      <c r="G59" s="353" t="str">
        <f t="shared" ca="1" si="1"/>
        <v/>
      </c>
      <c r="H59" s="340" t="str">
        <f>IF(IFERROR(VLOOKUP(E59,מרכבה!A:K,4,0),"")=K59,"","no")</f>
        <v/>
      </c>
      <c r="I59" s="340" t="str">
        <f>IFERROR(VLOOKUP(D59,מרכבה!A:K,7,0),"")</f>
        <v/>
      </c>
      <c r="J59" s="340" t="str">
        <f>IFERROR(VLOOKUP(D59,מרכבה!A:K,5,0),"")</f>
        <v/>
      </c>
      <c r="K59" s="340" t="str">
        <f>IFERROR(VLOOKUP(D59,מרכבה!A:K,4,0),"")</f>
        <v/>
      </c>
      <c r="L59" s="340" t="str">
        <f>IFERROR(VLOOKUP(D59,מרכבה!A:K,6,0),"")</f>
        <v/>
      </c>
      <c r="M59" s="340" t="str">
        <f>IFERROR(VLOOKUP(D59,מרכבה!A:K,2,0),"")</f>
        <v/>
      </c>
      <c r="N59" s="354">
        <f>IFERROR(VLOOKUP(E59,מרכבה!A:K,9,0),0)</f>
        <v>0</v>
      </c>
      <c r="O59" s="341" t="str">
        <f>IFERROR(VLOOKUP(D59,מרכבה!A:K,8,0),"")</f>
        <v/>
      </c>
      <c r="P59" s="342" t="str">
        <f t="shared" ca="1" si="2"/>
        <v/>
      </c>
      <c r="Q59" s="343" t="str">
        <f ca="1">'קיזוזים בגין איחורים'!F59</f>
        <v/>
      </c>
      <c r="R59" s="344" t="str">
        <f ca="1">IF(B59="","",'קיזוזים- החלטות ועדה'!E59)</f>
        <v/>
      </c>
      <c r="S59" s="343" t="str">
        <f ca="1">'קיזוזים- החלטות ועדה'!G59</f>
        <v/>
      </c>
      <c r="T59" s="344" t="str">
        <f ca="1">'הגבלה לסכום מבוקש (2)'!W59</f>
        <v/>
      </c>
      <c r="U59" s="345"/>
      <c r="V59" s="346"/>
    </row>
    <row r="60" spans="2:22" x14ac:dyDescent="0.25">
      <c r="B60" s="338" t="str">
        <f t="shared" ca="1" si="0"/>
        <v/>
      </c>
      <c r="C60" s="339" t="str">
        <f ca="1">IF(LEFT('ריכוז נתונים'!B46,11)="גיליון הזנה","",'ריכוז נתונים'!B46)</f>
        <v/>
      </c>
      <c r="D60" s="435"/>
      <c r="E60" s="435"/>
      <c r="F60" s="435"/>
      <c r="G60" s="353" t="str">
        <f t="shared" ca="1" si="1"/>
        <v/>
      </c>
      <c r="H60" s="340" t="str">
        <f>IF(IFERROR(VLOOKUP(E60,מרכבה!A:K,4,0),"")=K60,"","no")</f>
        <v/>
      </c>
      <c r="I60" s="340" t="str">
        <f>IFERROR(VLOOKUP(D60,מרכבה!A:K,7,0),"")</f>
        <v/>
      </c>
      <c r="J60" s="340" t="str">
        <f>IFERROR(VLOOKUP(D60,מרכבה!A:K,5,0),"")</f>
        <v/>
      </c>
      <c r="K60" s="340" t="str">
        <f>IFERROR(VLOOKUP(D60,מרכבה!A:K,4,0),"")</f>
        <v/>
      </c>
      <c r="L60" s="340" t="str">
        <f>IFERROR(VLOOKUP(D60,מרכבה!A:K,6,0),"")</f>
        <v/>
      </c>
      <c r="M60" s="340" t="str">
        <f>IFERROR(VLOOKUP(D60,מרכבה!A:K,2,0),"")</f>
        <v/>
      </c>
      <c r="N60" s="354">
        <f>IFERROR(VLOOKUP(E60,מרכבה!A:K,9,0),0)</f>
        <v>0</v>
      </c>
      <c r="O60" s="341" t="str">
        <f>IFERROR(VLOOKUP(D60,מרכבה!A:K,8,0),"")</f>
        <v/>
      </c>
      <c r="P60" s="342" t="str">
        <f t="shared" ca="1" si="2"/>
        <v/>
      </c>
      <c r="Q60" s="343" t="str">
        <f ca="1">'קיזוזים בגין איחורים'!F60</f>
        <v/>
      </c>
      <c r="R60" s="344" t="str">
        <f ca="1">IF(B60="","",'קיזוזים- החלטות ועדה'!E60)</f>
        <v/>
      </c>
      <c r="S60" s="343" t="str">
        <f ca="1">'קיזוזים- החלטות ועדה'!G60</f>
        <v/>
      </c>
      <c r="T60" s="344" t="str">
        <f ca="1">'הגבלה לסכום מבוקש (2)'!W60</f>
        <v/>
      </c>
      <c r="U60" s="345"/>
      <c r="V60" s="346"/>
    </row>
    <row r="61" spans="2:22" ht="47.25" x14ac:dyDescent="0.25">
      <c r="B61" s="338">
        <f t="shared" ca="1" si="0"/>
        <v>31</v>
      </c>
      <c r="C61" s="339" t="str">
        <f ca="1">IF(LEFT('ריכוז נתונים'!B47,11)="גיליון הזנה","",'ריכוז נתונים'!B47)</f>
        <v>כולנא</v>
      </c>
      <c r="D61" s="435">
        <v>1001910978</v>
      </c>
      <c r="E61" s="435">
        <v>1001776903</v>
      </c>
      <c r="F61" s="435">
        <v>2020</v>
      </c>
      <c r="G61" s="353">
        <f t="shared" ca="1" si="1"/>
        <v>1</v>
      </c>
      <c r="H61" s="340" t="str">
        <f>IF(IFERROR(VLOOKUP(E61,מרכבה!A:K,4,0),"")=K61,"","no")</f>
        <v/>
      </c>
      <c r="I61" s="340">
        <f>IFERROR(VLOOKUP(D61,מרכבה!A:K,7,0),"")</f>
        <v>2025</v>
      </c>
      <c r="J61" s="340">
        <f>IFERROR(VLOOKUP(D61,מרכבה!A:K,5,0),"")</f>
        <v>40988882</v>
      </c>
      <c r="K61" s="340">
        <f>IFERROR(VLOOKUP(D61,מרכבה!A:K,4,0),"")</f>
        <v>580450146</v>
      </c>
      <c r="L61" s="340" t="str">
        <f>IFERROR(VLOOKUP(D61,מרכבה!A:K,6,0),"")</f>
        <v>צעירים בירוחם )ע"ר(</v>
      </c>
      <c r="M61" s="340" t="str">
        <f>IFERROR(VLOOKUP(D61,מרכבה!A:K,2,0),"")</f>
        <v>כולנא בית למורשת</v>
      </c>
      <c r="N61" s="354">
        <f>IFERROR(VLOOKUP(E61,מרכבה!A:K,9,0),0)</f>
        <v>367491.24</v>
      </c>
      <c r="O61" s="341">
        <f>IFERROR(VLOOKUP(D61,מרכבה!A:K,8,0),"")</f>
        <v>1500000</v>
      </c>
      <c r="P61" s="342">
        <f t="shared" ca="1" si="2"/>
        <v>1.4913263165452486</v>
      </c>
      <c r="Q61" s="343">
        <f ca="1">'קיזוזים בגין איחורים'!F61</f>
        <v>0</v>
      </c>
      <c r="R61" s="344">
        <f ca="1">IF(B61="","",'קיזוזים- החלטות ועדה'!E61)</f>
        <v>0</v>
      </c>
      <c r="S61" s="343">
        <f ca="1">'קיזוזים- החלטות ועדה'!G61</f>
        <v>548049.35731184587</v>
      </c>
      <c r="T61" s="344">
        <f ca="1">'הגבלה לסכום מבוקש (2)'!W61</f>
        <v>548049.35731184587</v>
      </c>
      <c r="U61" s="346"/>
      <c r="V61" s="346" t="s">
        <v>365</v>
      </c>
    </row>
    <row r="62" spans="2:22" x14ac:dyDescent="0.25">
      <c r="B62" s="338" t="str">
        <f t="shared" ca="1" si="0"/>
        <v/>
      </c>
      <c r="C62" s="339" t="str">
        <f ca="1">IF(LEFT('ריכוז נתונים'!B48,11)="גיליון הזנה","",'ריכוז נתונים'!B48)</f>
        <v/>
      </c>
      <c r="D62" s="435"/>
      <c r="E62" s="435"/>
      <c r="F62" s="435"/>
      <c r="G62" s="353" t="str">
        <f t="shared" ca="1" si="1"/>
        <v/>
      </c>
      <c r="H62" s="340" t="str">
        <f>IF(IFERROR(VLOOKUP(E62,מרכבה!A:K,4,0),"")=K62,"","no")</f>
        <v/>
      </c>
      <c r="I62" s="340" t="str">
        <f>IFERROR(VLOOKUP(D62,מרכבה!A:K,7,0),"")</f>
        <v/>
      </c>
      <c r="J62" s="340" t="str">
        <f>IFERROR(VLOOKUP(D62,מרכבה!A:K,5,0),"")</f>
        <v/>
      </c>
      <c r="K62" s="340" t="str">
        <f>IFERROR(VLOOKUP(D62,מרכבה!A:K,4,0),"")</f>
        <v/>
      </c>
      <c r="L62" s="340" t="str">
        <f>IFERROR(VLOOKUP(D62,מרכבה!A:K,6,0),"")</f>
        <v/>
      </c>
      <c r="M62" s="340" t="str">
        <f>IFERROR(VLOOKUP(D62,מרכבה!A:K,2,0),"")</f>
        <v/>
      </c>
      <c r="N62" s="354">
        <f>IFERROR(VLOOKUP(E62,מרכבה!A:K,9,0),0)</f>
        <v>0</v>
      </c>
      <c r="O62" s="341" t="str">
        <f>IFERROR(VLOOKUP(D62,מרכבה!A:K,8,0),"")</f>
        <v/>
      </c>
      <c r="P62" s="342" t="str">
        <f t="shared" ca="1" si="2"/>
        <v/>
      </c>
      <c r="Q62" s="343" t="str">
        <f ca="1">'קיזוזים בגין איחורים'!F62</f>
        <v/>
      </c>
      <c r="R62" s="344" t="str">
        <f ca="1">IF(B62="","",'קיזוזים- החלטות ועדה'!E62)</f>
        <v/>
      </c>
      <c r="S62" s="343" t="str">
        <f ca="1">'קיזוזים- החלטות ועדה'!G62</f>
        <v/>
      </c>
      <c r="T62" s="344" t="str">
        <f ca="1">'הגבלה לסכום מבוקש (2)'!W62</f>
        <v/>
      </c>
      <c r="U62" s="345"/>
      <c r="V62" s="346"/>
    </row>
    <row r="63" spans="2:22" x14ac:dyDescent="0.25">
      <c r="B63" s="338" t="str">
        <f t="shared" ca="1" si="0"/>
        <v/>
      </c>
      <c r="C63" s="339" t="str">
        <f ca="1">IF(LEFT('ריכוז נתונים'!B49,11)="גיליון הזנה","",'ריכוז נתונים'!B49)</f>
        <v/>
      </c>
      <c r="D63" s="435"/>
      <c r="E63" s="435"/>
      <c r="F63" s="435"/>
      <c r="G63" s="353" t="str">
        <f t="shared" ca="1" si="1"/>
        <v/>
      </c>
      <c r="H63" s="340" t="str">
        <f>IF(IFERROR(VLOOKUP(E63,מרכבה!A:K,4,0),"")=K63,"","no")</f>
        <v/>
      </c>
      <c r="I63" s="340" t="str">
        <f>IFERROR(VLOOKUP(D63,מרכבה!A:K,7,0),"")</f>
        <v/>
      </c>
      <c r="J63" s="340" t="str">
        <f>IFERROR(VLOOKUP(D63,מרכבה!A:K,5,0),"")</f>
        <v/>
      </c>
      <c r="K63" s="340" t="str">
        <f>IFERROR(VLOOKUP(D63,מרכבה!A:K,4,0),"")</f>
        <v/>
      </c>
      <c r="L63" s="340" t="str">
        <f>IFERROR(VLOOKUP(D63,מרכבה!A:K,6,0),"")</f>
        <v/>
      </c>
      <c r="M63" s="340" t="str">
        <f>IFERROR(VLOOKUP(D63,מרכבה!A:K,2,0),"")</f>
        <v/>
      </c>
      <c r="N63" s="354">
        <f>IFERROR(VLOOKUP(E63,מרכבה!A:K,9,0),0)</f>
        <v>0</v>
      </c>
      <c r="O63" s="341" t="str">
        <f>IFERROR(VLOOKUP(D63,מרכבה!A:K,8,0),"")</f>
        <v/>
      </c>
      <c r="P63" s="342" t="str">
        <f t="shared" ca="1" si="2"/>
        <v/>
      </c>
      <c r="Q63" s="343" t="str">
        <f ca="1">'קיזוזים בגין איחורים'!F63</f>
        <v/>
      </c>
      <c r="R63" s="344" t="str">
        <f ca="1">IF(B63="","",'קיזוזים- החלטות ועדה'!E63)</f>
        <v/>
      </c>
      <c r="S63" s="343" t="str">
        <f ca="1">'קיזוזים- החלטות ועדה'!G63</f>
        <v/>
      </c>
      <c r="T63" s="344" t="str">
        <f ca="1">'הגבלה לסכום מבוקש (2)'!W63</f>
        <v/>
      </c>
      <c r="U63" s="345"/>
      <c r="V63" s="346"/>
    </row>
    <row r="64" spans="2:22" x14ac:dyDescent="0.25">
      <c r="B64" s="338" t="str">
        <f t="shared" ca="1" si="0"/>
        <v/>
      </c>
      <c r="C64" s="339" t="str">
        <f ca="1">IF(LEFT('ריכוז נתונים'!B50,11)="גיליון הזנה","",'ריכוז נתונים'!B50)</f>
        <v/>
      </c>
      <c r="D64" s="435"/>
      <c r="E64" s="435"/>
      <c r="F64" s="435"/>
      <c r="G64" s="353" t="str">
        <f t="shared" ca="1" si="1"/>
        <v/>
      </c>
      <c r="H64" s="340" t="str">
        <f>IF(IFERROR(VLOOKUP(E64,מרכבה!A:K,4,0),"")=K64,"","no")</f>
        <v/>
      </c>
      <c r="I64" s="340" t="str">
        <f>IFERROR(VLOOKUP(D64,מרכבה!A:K,7,0),"")</f>
        <v/>
      </c>
      <c r="J64" s="340" t="str">
        <f>IFERROR(VLOOKUP(D64,מרכבה!A:K,5,0),"")</f>
        <v/>
      </c>
      <c r="K64" s="340" t="str">
        <f>IFERROR(VLOOKUP(D64,מרכבה!A:K,4,0),"")</f>
        <v/>
      </c>
      <c r="L64" s="340" t="str">
        <f>IFERROR(VLOOKUP(D64,מרכבה!A:K,6,0),"")</f>
        <v/>
      </c>
      <c r="M64" s="340" t="str">
        <f>IFERROR(VLOOKUP(D64,מרכבה!A:K,2,0),"")</f>
        <v/>
      </c>
      <c r="N64" s="354">
        <f>IFERROR(VLOOKUP(E64,מרכבה!A:K,9,0),0)</f>
        <v>0</v>
      </c>
      <c r="O64" s="341" t="str">
        <f>IFERROR(VLOOKUP(D64,מרכבה!A:K,8,0),"")</f>
        <v/>
      </c>
      <c r="P64" s="342" t="str">
        <f t="shared" ca="1" si="2"/>
        <v/>
      </c>
      <c r="Q64" s="343" t="str">
        <f ca="1">'קיזוזים בגין איחורים'!F64</f>
        <v/>
      </c>
      <c r="R64" s="344" t="str">
        <f ca="1">IF(B64="","",'קיזוזים- החלטות ועדה'!E64)</f>
        <v/>
      </c>
      <c r="S64" s="343" t="str">
        <f ca="1">'קיזוזים- החלטות ועדה'!G64</f>
        <v/>
      </c>
      <c r="T64" s="344" t="str">
        <f ca="1">'הגבלה לסכום מבוקש (2)'!W64</f>
        <v/>
      </c>
      <c r="U64" s="345"/>
      <c r="V64" s="346"/>
    </row>
    <row r="65" spans="2:22" x14ac:dyDescent="0.25">
      <c r="B65" s="338" t="str">
        <f t="shared" ca="1" si="0"/>
        <v/>
      </c>
      <c r="C65" s="339" t="str">
        <f ca="1">IF(LEFT('ריכוז נתונים'!B51,11)="גיליון הזנה","",'ריכוז נתונים'!B51)</f>
        <v/>
      </c>
      <c r="D65" s="435"/>
      <c r="E65" s="435"/>
      <c r="F65" s="435"/>
      <c r="G65" s="353" t="str">
        <f t="shared" ca="1" si="1"/>
        <v/>
      </c>
      <c r="H65" s="340" t="str">
        <f>IF(IFERROR(VLOOKUP(E65,מרכבה!A:K,4,0),"")=K65,"","no")</f>
        <v/>
      </c>
      <c r="I65" s="340" t="str">
        <f>IFERROR(VLOOKUP(D65,מרכבה!A:K,7,0),"")</f>
        <v/>
      </c>
      <c r="J65" s="340" t="str">
        <f>IFERROR(VLOOKUP(D65,מרכבה!A:K,5,0),"")</f>
        <v/>
      </c>
      <c r="K65" s="340" t="str">
        <f>IFERROR(VLOOKUP(D65,מרכבה!A:K,4,0),"")</f>
        <v/>
      </c>
      <c r="L65" s="340" t="str">
        <f>IFERROR(VLOOKUP(D65,מרכבה!A:K,6,0),"")</f>
        <v/>
      </c>
      <c r="M65" s="340" t="str">
        <f>IFERROR(VLOOKUP(D65,מרכבה!A:K,2,0),"")</f>
        <v/>
      </c>
      <c r="N65" s="354">
        <f>IFERROR(VLOOKUP(E65,מרכבה!A:K,9,0),0)</f>
        <v>0</v>
      </c>
      <c r="O65" s="341" t="str">
        <f>IFERROR(VLOOKUP(D65,מרכבה!A:K,8,0),"")</f>
        <v/>
      </c>
      <c r="P65" s="342" t="str">
        <f t="shared" ca="1" si="2"/>
        <v/>
      </c>
      <c r="Q65" s="343" t="str">
        <f ca="1">'קיזוזים בגין איחורים'!F65</f>
        <v/>
      </c>
      <c r="R65" s="344" t="str">
        <f ca="1">IF(B65="","",'קיזוזים- החלטות ועדה'!E65)</f>
        <v/>
      </c>
      <c r="S65" s="343" t="str">
        <f ca="1">'קיזוזים- החלטות ועדה'!G65</f>
        <v/>
      </c>
      <c r="T65" s="344" t="str">
        <f ca="1">'הגבלה לסכום מבוקש (2)'!W65</f>
        <v/>
      </c>
      <c r="U65" s="345"/>
      <c r="V65" s="346"/>
    </row>
    <row r="66" spans="2:22" x14ac:dyDescent="0.25">
      <c r="B66" s="338" t="str">
        <f t="shared" ca="1" si="0"/>
        <v/>
      </c>
      <c r="C66" s="339" t="str">
        <f ca="1">IF(LEFT('ריכוז נתונים'!B52,11)="גיליון הזנה","",'ריכוז נתונים'!B52)</f>
        <v/>
      </c>
      <c r="D66" s="435"/>
      <c r="E66" s="435"/>
      <c r="F66" s="435"/>
      <c r="G66" s="353" t="str">
        <f t="shared" ca="1" si="1"/>
        <v/>
      </c>
      <c r="H66" s="340" t="str">
        <f>IF(IFERROR(VLOOKUP(E66,מרכבה!A:K,4,0),"")=K66,"","no")</f>
        <v/>
      </c>
      <c r="I66" s="340" t="str">
        <f>IFERROR(VLOOKUP(D66,מרכבה!A:K,7,0),"")</f>
        <v/>
      </c>
      <c r="J66" s="340" t="str">
        <f>IFERROR(VLOOKUP(D66,מרכבה!A:K,5,0),"")</f>
        <v/>
      </c>
      <c r="K66" s="340" t="str">
        <f>IFERROR(VLOOKUP(D66,מרכבה!A:K,4,0),"")</f>
        <v/>
      </c>
      <c r="L66" s="340" t="str">
        <f>IFERROR(VLOOKUP(D66,מרכבה!A:K,6,0),"")</f>
        <v/>
      </c>
      <c r="M66" s="340" t="str">
        <f>IFERROR(VLOOKUP(D66,מרכבה!A:K,2,0),"")</f>
        <v/>
      </c>
      <c r="N66" s="354">
        <f>IFERROR(VLOOKUP(E66,מרכבה!A:K,9,0),0)</f>
        <v>0</v>
      </c>
      <c r="O66" s="341" t="str">
        <f>IFERROR(VLOOKUP(D66,מרכבה!A:K,8,0),"")</f>
        <v/>
      </c>
      <c r="P66" s="342" t="str">
        <f t="shared" ca="1" si="2"/>
        <v/>
      </c>
      <c r="Q66" s="343" t="str">
        <f ca="1">'קיזוזים בגין איחורים'!F66</f>
        <v/>
      </c>
      <c r="R66" s="344" t="str">
        <f ca="1">IF(B66="","",'קיזוזים- החלטות ועדה'!E66)</f>
        <v/>
      </c>
      <c r="S66" s="343" t="str">
        <f ca="1">'קיזוזים- החלטות ועדה'!G66</f>
        <v/>
      </c>
      <c r="T66" s="344" t="str">
        <f ca="1">'הגבלה לסכום מבוקש (2)'!W66</f>
        <v/>
      </c>
      <c r="U66" s="345"/>
      <c r="V66" s="346"/>
    </row>
    <row r="67" spans="2:22" x14ac:dyDescent="0.25">
      <c r="B67" s="338" t="str">
        <f t="shared" ca="1" si="0"/>
        <v/>
      </c>
      <c r="C67" s="339" t="str">
        <f ca="1">IF(LEFT('ריכוז נתונים'!B53,11)="גיליון הזנה","",'ריכוז נתונים'!B53)</f>
        <v/>
      </c>
      <c r="D67" s="435"/>
      <c r="E67" s="435"/>
      <c r="F67" s="435"/>
      <c r="G67" s="353" t="str">
        <f t="shared" ca="1" si="1"/>
        <v/>
      </c>
      <c r="H67" s="340" t="str">
        <f>IF(IFERROR(VLOOKUP(E67,מרכבה!A:K,4,0),"")=K67,"","no")</f>
        <v/>
      </c>
      <c r="I67" s="340" t="str">
        <f>IFERROR(VLOOKUP(D67,מרכבה!A:K,7,0),"")</f>
        <v/>
      </c>
      <c r="J67" s="340" t="str">
        <f>IFERROR(VLOOKUP(D67,מרכבה!A:K,5,0),"")</f>
        <v/>
      </c>
      <c r="K67" s="340" t="str">
        <f>IFERROR(VLOOKUP(D67,מרכבה!A:K,4,0),"")</f>
        <v/>
      </c>
      <c r="L67" s="340" t="str">
        <f>IFERROR(VLOOKUP(D67,מרכבה!A:K,6,0),"")</f>
        <v/>
      </c>
      <c r="M67" s="340" t="str">
        <f>IFERROR(VLOOKUP(D67,מרכבה!A:K,2,0),"")</f>
        <v/>
      </c>
      <c r="N67" s="354">
        <f>IFERROR(VLOOKUP(E67,מרכבה!A:K,9,0),0)</f>
        <v>0</v>
      </c>
      <c r="O67" s="341" t="str">
        <f>IFERROR(VLOOKUP(D67,מרכבה!A:K,8,0),"")</f>
        <v/>
      </c>
      <c r="P67" s="342" t="str">
        <f t="shared" ca="1" si="2"/>
        <v/>
      </c>
      <c r="Q67" s="343" t="str">
        <f ca="1">'קיזוזים בגין איחורים'!F67</f>
        <v/>
      </c>
      <c r="R67" s="344" t="str">
        <f ca="1">IF(B67="","",'קיזוזים- החלטות ועדה'!E67)</f>
        <v/>
      </c>
      <c r="S67" s="343" t="str">
        <f ca="1">'קיזוזים- החלטות ועדה'!G67</f>
        <v/>
      </c>
      <c r="T67" s="344" t="str">
        <f ca="1">'הגבלה לסכום מבוקש (2)'!W67</f>
        <v/>
      </c>
      <c r="U67" s="345"/>
      <c r="V67" s="346"/>
    </row>
    <row r="68" spans="2:22" x14ac:dyDescent="0.25">
      <c r="B68" s="338" t="str">
        <f t="shared" ca="1" si="0"/>
        <v/>
      </c>
      <c r="C68" s="339" t="str">
        <f ca="1">IF(LEFT('ריכוז נתונים'!B54,11)="גיליון הזנה","",'ריכוז נתונים'!B54)</f>
        <v/>
      </c>
      <c r="D68" s="435"/>
      <c r="E68" s="435"/>
      <c r="F68" s="435"/>
      <c r="G68" s="353" t="str">
        <f t="shared" ca="1" si="1"/>
        <v/>
      </c>
      <c r="H68" s="340" t="str">
        <f>IF(IFERROR(VLOOKUP(E68,מרכבה!A:K,4,0),"")=K68,"","no")</f>
        <v/>
      </c>
      <c r="I68" s="340" t="str">
        <f>IFERROR(VLOOKUP(D68,מרכבה!A:K,7,0),"")</f>
        <v/>
      </c>
      <c r="J68" s="340" t="str">
        <f>IFERROR(VLOOKUP(D68,מרכבה!A:K,5,0),"")</f>
        <v/>
      </c>
      <c r="K68" s="340" t="str">
        <f>IFERROR(VLOOKUP(D68,מרכבה!A:K,4,0),"")</f>
        <v/>
      </c>
      <c r="L68" s="340" t="str">
        <f>IFERROR(VLOOKUP(D68,מרכבה!A:K,6,0),"")</f>
        <v/>
      </c>
      <c r="M68" s="340" t="str">
        <f>IFERROR(VLOOKUP(D68,מרכבה!A:K,2,0),"")</f>
        <v/>
      </c>
      <c r="N68" s="354">
        <f>IFERROR(VLOOKUP(E68,מרכבה!A:K,9,0),0)</f>
        <v>0</v>
      </c>
      <c r="O68" s="341" t="str">
        <f>IFERROR(VLOOKUP(D68,מרכבה!A:K,8,0),"")</f>
        <v/>
      </c>
      <c r="P68" s="342" t="str">
        <f t="shared" ca="1" si="2"/>
        <v/>
      </c>
      <c r="Q68" s="343" t="str">
        <f ca="1">'קיזוזים בגין איחורים'!F68</f>
        <v/>
      </c>
      <c r="R68" s="344" t="str">
        <f ca="1">IF(B68="","",'קיזוזים- החלטות ועדה'!E68)</f>
        <v/>
      </c>
      <c r="S68" s="343" t="str">
        <f ca="1">'קיזוזים- החלטות ועדה'!G68</f>
        <v/>
      </c>
      <c r="T68" s="344" t="str">
        <f ca="1">'הגבלה לסכום מבוקש (2)'!W68</f>
        <v/>
      </c>
      <c r="U68" s="345"/>
      <c r="V68" s="346"/>
    </row>
    <row r="69" spans="2:22" x14ac:dyDescent="0.25">
      <c r="B69" s="338" t="str">
        <f t="shared" ca="1" si="0"/>
        <v/>
      </c>
      <c r="C69" s="339" t="str">
        <f ca="1">IF(LEFT('ריכוז נתונים'!B55,11)="גיליון הזנה","",'ריכוז נתונים'!B55)</f>
        <v/>
      </c>
      <c r="D69" s="435"/>
      <c r="E69" s="435"/>
      <c r="F69" s="435"/>
      <c r="G69" s="353" t="str">
        <f t="shared" ca="1" si="1"/>
        <v/>
      </c>
      <c r="H69" s="340" t="str">
        <f>IF(IFERROR(VLOOKUP(E69,מרכבה!A:K,4,0),"")=K69,"","no")</f>
        <v/>
      </c>
      <c r="I69" s="340" t="str">
        <f>IFERROR(VLOOKUP(D69,מרכבה!A:K,7,0),"")</f>
        <v/>
      </c>
      <c r="J69" s="340" t="str">
        <f>IFERROR(VLOOKUP(D69,מרכבה!A:K,5,0),"")</f>
        <v/>
      </c>
      <c r="K69" s="340" t="str">
        <f>IFERROR(VLOOKUP(D69,מרכבה!A:K,4,0),"")</f>
        <v/>
      </c>
      <c r="L69" s="340" t="str">
        <f>IFERROR(VLOOKUP(D69,מרכבה!A:K,6,0),"")</f>
        <v/>
      </c>
      <c r="M69" s="340" t="str">
        <f>IFERROR(VLOOKUP(D69,מרכבה!A:K,2,0),"")</f>
        <v/>
      </c>
      <c r="N69" s="354">
        <f>IFERROR(VLOOKUP(E69,מרכבה!A:K,9,0),0)</f>
        <v>0</v>
      </c>
      <c r="O69" s="341" t="str">
        <f>IFERROR(VLOOKUP(D69,מרכבה!A:K,8,0),"")</f>
        <v/>
      </c>
      <c r="P69" s="342" t="str">
        <f t="shared" ca="1" si="2"/>
        <v/>
      </c>
      <c r="Q69" s="343" t="str">
        <f ca="1">'קיזוזים בגין איחורים'!F69</f>
        <v/>
      </c>
      <c r="R69" s="344" t="str">
        <f ca="1">IF(B69="","",'קיזוזים- החלטות ועדה'!E69)</f>
        <v/>
      </c>
      <c r="S69" s="343" t="str">
        <f ca="1">'קיזוזים- החלטות ועדה'!G69</f>
        <v/>
      </c>
      <c r="T69" s="344" t="str">
        <f ca="1">'הגבלה לסכום מבוקש (2)'!W69</f>
        <v/>
      </c>
      <c r="U69" s="345"/>
      <c r="V69" s="346"/>
    </row>
    <row r="70" spans="2:22" x14ac:dyDescent="0.25">
      <c r="B70" s="338" t="str">
        <f t="shared" ca="1" si="0"/>
        <v/>
      </c>
      <c r="C70" s="339" t="str">
        <f ca="1">IF(LEFT('ריכוז נתונים'!B56,11)="גיליון הזנה","",'ריכוז נתונים'!B56)</f>
        <v/>
      </c>
      <c r="D70" s="435"/>
      <c r="E70" s="435"/>
      <c r="F70" s="435"/>
      <c r="G70" s="353" t="str">
        <f t="shared" ca="1" si="1"/>
        <v/>
      </c>
      <c r="H70" s="340" t="str">
        <f>IF(IFERROR(VLOOKUP(E70,מרכבה!A:K,4,0),"")=K70,"","no")</f>
        <v/>
      </c>
      <c r="I70" s="340" t="str">
        <f>IFERROR(VLOOKUP(D70,מרכבה!A:K,7,0),"")</f>
        <v/>
      </c>
      <c r="J70" s="340" t="str">
        <f>IFERROR(VLOOKUP(D70,מרכבה!A:K,5,0),"")</f>
        <v/>
      </c>
      <c r="K70" s="340" t="str">
        <f>IFERROR(VLOOKUP(D70,מרכבה!A:K,4,0),"")</f>
        <v/>
      </c>
      <c r="L70" s="340" t="str">
        <f>IFERROR(VLOOKUP(D70,מרכבה!A:K,6,0),"")</f>
        <v/>
      </c>
      <c r="M70" s="340" t="str">
        <f>IFERROR(VLOOKUP(D70,מרכבה!A:K,2,0),"")</f>
        <v/>
      </c>
      <c r="N70" s="354">
        <f>IFERROR(VLOOKUP(E70,מרכבה!A:K,9,0),0)</f>
        <v>0</v>
      </c>
      <c r="O70" s="341" t="str">
        <f>IFERROR(VLOOKUP(D70,מרכבה!A:K,8,0),"")</f>
        <v/>
      </c>
      <c r="P70" s="342" t="str">
        <f t="shared" ca="1" si="2"/>
        <v/>
      </c>
      <c r="Q70" s="343" t="str">
        <f ca="1">'קיזוזים בגין איחורים'!F70</f>
        <v/>
      </c>
      <c r="R70" s="344" t="str">
        <f ca="1">IF(B70="","",'קיזוזים- החלטות ועדה'!E70)</f>
        <v/>
      </c>
      <c r="S70" s="343" t="str">
        <f ca="1">'קיזוזים- החלטות ועדה'!G70</f>
        <v/>
      </c>
      <c r="T70" s="344" t="str">
        <f ca="1">'הגבלה לסכום מבוקש (2)'!W70</f>
        <v/>
      </c>
      <c r="U70" s="345"/>
      <c r="V70" s="346"/>
    </row>
    <row r="71" spans="2:22" x14ac:dyDescent="0.25">
      <c r="B71" s="338" t="str">
        <f t="shared" ca="1" si="0"/>
        <v/>
      </c>
      <c r="C71" s="339" t="str">
        <f ca="1">IF(LEFT('ריכוז נתונים'!B57,11)="גיליון הזנה","",'ריכוז נתונים'!B57)</f>
        <v/>
      </c>
      <c r="D71" s="435"/>
      <c r="E71" s="435"/>
      <c r="F71" s="435"/>
      <c r="G71" s="353" t="str">
        <f t="shared" ca="1" si="1"/>
        <v/>
      </c>
      <c r="H71" s="340" t="str">
        <f>IF(IFERROR(VLOOKUP(E71,מרכבה!A:K,4,0),"")=K71,"","no")</f>
        <v/>
      </c>
      <c r="I71" s="340" t="str">
        <f>IFERROR(VLOOKUP(D71,מרכבה!A:K,7,0),"")</f>
        <v/>
      </c>
      <c r="J71" s="340" t="str">
        <f>IFERROR(VLOOKUP(D71,מרכבה!A:K,5,0),"")</f>
        <v/>
      </c>
      <c r="K71" s="340" t="str">
        <f>IFERROR(VLOOKUP(D71,מרכבה!A:K,4,0),"")</f>
        <v/>
      </c>
      <c r="L71" s="340" t="str">
        <f>IFERROR(VLOOKUP(D71,מרכבה!A:K,6,0),"")</f>
        <v/>
      </c>
      <c r="M71" s="340" t="str">
        <f>IFERROR(VLOOKUP(D71,מרכבה!A:K,2,0),"")</f>
        <v/>
      </c>
      <c r="N71" s="354">
        <f>IFERROR(VLOOKUP(E71,מרכבה!A:K,9,0),0)</f>
        <v>0</v>
      </c>
      <c r="O71" s="341" t="str">
        <f>IFERROR(VLOOKUP(D71,מרכבה!A:K,8,0),"")</f>
        <v/>
      </c>
      <c r="P71" s="342" t="str">
        <f t="shared" ca="1" si="2"/>
        <v/>
      </c>
      <c r="Q71" s="343" t="str">
        <f ca="1">'קיזוזים בגין איחורים'!F71</f>
        <v/>
      </c>
      <c r="R71" s="344" t="str">
        <f ca="1">IF(B71="","",'קיזוזים- החלטות ועדה'!E71)</f>
        <v/>
      </c>
      <c r="S71" s="343" t="str">
        <f ca="1">'קיזוזים- החלטות ועדה'!G71</f>
        <v/>
      </c>
      <c r="T71" s="344" t="str">
        <f ca="1">'הגבלה לסכום מבוקש (2)'!W71</f>
        <v/>
      </c>
      <c r="U71" s="345"/>
      <c r="V71" s="346"/>
    </row>
    <row r="72" spans="2:22" x14ac:dyDescent="0.25">
      <c r="B72" s="338" t="str">
        <f t="shared" ca="1" si="0"/>
        <v/>
      </c>
      <c r="C72" s="339" t="str">
        <f ca="1">IF(LEFT('ריכוז נתונים'!B58,11)="גיליון הזנה","",'ריכוז נתונים'!B58)</f>
        <v/>
      </c>
      <c r="D72" s="435"/>
      <c r="E72" s="435"/>
      <c r="F72" s="435"/>
      <c r="G72" s="353" t="str">
        <f t="shared" ca="1" si="1"/>
        <v/>
      </c>
      <c r="H72" s="340" t="str">
        <f>IF(IFERROR(VLOOKUP(E72,מרכבה!A:K,4,0),"")=K72,"","no")</f>
        <v/>
      </c>
      <c r="I72" s="340" t="str">
        <f>IFERROR(VLOOKUP(D72,מרכבה!A:K,7,0),"")</f>
        <v/>
      </c>
      <c r="J72" s="340" t="str">
        <f>IFERROR(VLOOKUP(D72,מרכבה!A:K,5,0),"")</f>
        <v/>
      </c>
      <c r="K72" s="340" t="str">
        <f>IFERROR(VLOOKUP(D72,מרכבה!A:K,4,0),"")</f>
        <v/>
      </c>
      <c r="L72" s="340" t="str">
        <f>IFERROR(VLOOKUP(D72,מרכבה!A:K,6,0),"")</f>
        <v/>
      </c>
      <c r="M72" s="340" t="str">
        <f>IFERROR(VLOOKUP(D72,מרכבה!A:K,2,0),"")</f>
        <v/>
      </c>
      <c r="N72" s="354">
        <f>IFERROR(VLOOKUP(E72,מרכבה!A:K,9,0),0)</f>
        <v>0</v>
      </c>
      <c r="O72" s="341" t="str">
        <f>IFERROR(VLOOKUP(D72,מרכבה!A:K,8,0),"")</f>
        <v/>
      </c>
      <c r="P72" s="342" t="str">
        <f t="shared" ca="1" si="2"/>
        <v/>
      </c>
      <c r="Q72" s="343" t="str">
        <f ca="1">'קיזוזים בגין איחורים'!F72</f>
        <v/>
      </c>
      <c r="R72" s="344" t="str">
        <f ca="1">IF(B72="","",'קיזוזים- החלטות ועדה'!E72)</f>
        <v/>
      </c>
      <c r="S72" s="343" t="str">
        <f ca="1">'קיזוזים- החלטות ועדה'!G72</f>
        <v/>
      </c>
      <c r="T72" s="344" t="str">
        <f ca="1">'הגבלה לסכום מבוקש (2)'!W72</f>
        <v/>
      </c>
      <c r="U72" s="345"/>
      <c r="V72" s="346"/>
    </row>
    <row r="73" spans="2:22" x14ac:dyDescent="0.25">
      <c r="B73" s="338" t="str">
        <f t="shared" ca="1" si="0"/>
        <v/>
      </c>
      <c r="C73" s="339" t="str">
        <f ca="1">IF(LEFT('ריכוז נתונים'!B59,11)="גיליון הזנה","",'ריכוז נתונים'!B59)</f>
        <v/>
      </c>
      <c r="D73" s="435"/>
      <c r="E73" s="435"/>
      <c r="F73" s="435"/>
      <c r="G73" s="353" t="str">
        <f t="shared" ca="1" si="1"/>
        <v/>
      </c>
      <c r="H73" s="340" t="str">
        <f>IF(IFERROR(VLOOKUP(E73,מרכבה!A:K,4,0),"")=K73,"","no")</f>
        <v/>
      </c>
      <c r="I73" s="340" t="str">
        <f>IFERROR(VLOOKUP(D73,מרכבה!A:K,7,0),"")</f>
        <v/>
      </c>
      <c r="J73" s="340" t="str">
        <f>IFERROR(VLOOKUP(D73,מרכבה!A:K,5,0),"")</f>
        <v/>
      </c>
      <c r="K73" s="340" t="str">
        <f>IFERROR(VLOOKUP(D73,מרכבה!A:K,4,0),"")</f>
        <v/>
      </c>
      <c r="L73" s="340" t="str">
        <f>IFERROR(VLOOKUP(D73,מרכבה!A:K,6,0),"")</f>
        <v/>
      </c>
      <c r="M73" s="340" t="str">
        <f>IFERROR(VLOOKUP(D73,מרכבה!A:K,2,0),"")</f>
        <v/>
      </c>
      <c r="N73" s="354">
        <f>IFERROR(VLOOKUP(E73,מרכבה!A:K,9,0),0)</f>
        <v>0</v>
      </c>
      <c r="O73" s="341" t="str">
        <f>IFERROR(VLOOKUP(D73,מרכבה!A:K,8,0),"")</f>
        <v/>
      </c>
      <c r="P73" s="342" t="str">
        <f t="shared" ca="1" si="2"/>
        <v/>
      </c>
      <c r="Q73" s="343" t="str">
        <f ca="1">'קיזוזים בגין איחורים'!F73</f>
        <v/>
      </c>
      <c r="R73" s="344" t="str">
        <f ca="1">IF(B73="","",'קיזוזים- החלטות ועדה'!E73)</f>
        <v/>
      </c>
      <c r="S73" s="343" t="str">
        <f ca="1">'קיזוזים- החלטות ועדה'!G73</f>
        <v/>
      </c>
      <c r="T73" s="344" t="str">
        <f ca="1">'הגבלה לסכום מבוקש (2)'!W73</f>
        <v/>
      </c>
      <c r="U73" s="345"/>
      <c r="V73" s="346"/>
    </row>
    <row r="74" spans="2:22" x14ac:dyDescent="0.25">
      <c r="B74" s="338" t="str">
        <f t="shared" ca="1" si="0"/>
        <v/>
      </c>
      <c r="C74" s="339" t="str">
        <f ca="1">IF(LEFT('ריכוז נתונים'!B60,11)="גיליון הזנה","",'ריכוז נתונים'!B60)</f>
        <v/>
      </c>
      <c r="D74" s="435"/>
      <c r="E74" s="435"/>
      <c r="F74" s="435"/>
      <c r="G74" s="353" t="str">
        <f t="shared" ca="1" si="1"/>
        <v/>
      </c>
      <c r="H74" s="340" t="str">
        <f>IF(IFERROR(VLOOKUP(E74,מרכבה!A:K,4,0),"")=K74,"","no")</f>
        <v/>
      </c>
      <c r="I74" s="340" t="str">
        <f>IFERROR(VLOOKUP(D74,מרכבה!A:K,7,0),"")</f>
        <v/>
      </c>
      <c r="J74" s="340" t="str">
        <f>IFERROR(VLOOKUP(D74,מרכבה!A:K,5,0),"")</f>
        <v/>
      </c>
      <c r="K74" s="340" t="str">
        <f>IFERROR(VLOOKUP(D74,מרכבה!A:K,4,0),"")</f>
        <v/>
      </c>
      <c r="L74" s="340" t="str">
        <f>IFERROR(VLOOKUP(D74,מרכבה!A:K,6,0),"")</f>
        <v/>
      </c>
      <c r="M74" s="340" t="str">
        <f>IFERROR(VLOOKUP(D74,מרכבה!A:K,2,0),"")</f>
        <v/>
      </c>
      <c r="N74" s="354">
        <f>IFERROR(VLOOKUP(E74,מרכבה!A:K,9,0),0)</f>
        <v>0</v>
      </c>
      <c r="O74" s="341" t="str">
        <f>IFERROR(VLOOKUP(D74,מרכבה!A:K,8,0),"")</f>
        <v/>
      </c>
      <c r="P74" s="342" t="str">
        <f t="shared" ca="1" si="2"/>
        <v/>
      </c>
      <c r="Q74" s="343" t="str">
        <f ca="1">'קיזוזים בגין איחורים'!F74</f>
        <v/>
      </c>
      <c r="R74" s="344" t="str">
        <f ca="1">IF(B74="","",'קיזוזים- החלטות ועדה'!E74)</f>
        <v/>
      </c>
      <c r="S74" s="343" t="str">
        <f ca="1">'קיזוזים- החלטות ועדה'!G74</f>
        <v/>
      </c>
      <c r="T74" s="344" t="str">
        <f ca="1">'הגבלה לסכום מבוקש (2)'!W74</f>
        <v/>
      </c>
      <c r="U74" s="345"/>
      <c r="V74" s="346"/>
    </row>
    <row r="75" spans="2:22" x14ac:dyDescent="0.25">
      <c r="B75" s="338" t="str">
        <f t="shared" ca="1" si="0"/>
        <v/>
      </c>
      <c r="C75" s="339" t="str">
        <f ca="1">IF(LEFT('ריכוז נתונים'!B61,11)="גיליון הזנה","",'ריכוז נתונים'!B61)</f>
        <v/>
      </c>
      <c r="D75" s="435"/>
      <c r="E75" s="435"/>
      <c r="F75" s="435"/>
      <c r="G75" s="353" t="str">
        <f t="shared" ca="1" si="1"/>
        <v/>
      </c>
      <c r="H75" s="340" t="str">
        <f>IF(IFERROR(VLOOKUP(E75,מרכבה!A:K,4,0),"")=K75,"","no")</f>
        <v/>
      </c>
      <c r="I75" s="340" t="str">
        <f>IFERROR(VLOOKUP(D75,מרכבה!A:K,7,0),"")</f>
        <v/>
      </c>
      <c r="J75" s="340" t="str">
        <f>IFERROR(VLOOKUP(D75,מרכבה!A:K,5,0),"")</f>
        <v/>
      </c>
      <c r="K75" s="340" t="str">
        <f>IFERROR(VLOOKUP(D75,מרכבה!A:K,4,0),"")</f>
        <v/>
      </c>
      <c r="L75" s="340" t="str">
        <f>IFERROR(VLOOKUP(D75,מרכבה!A:K,6,0),"")</f>
        <v/>
      </c>
      <c r="M75" s="340" t="str">
        <f>IFERROR(VLOOKUP(D75,מרכבה!A:K,2,0),"")</f>
        <v/>
      </c>
      <c r="N75" s="354">
        <f>IFERROR(VLOOKUP(E75,מרכבה!A:K,9,0),0)</f>
        <v>0</v>
      </c>
      <c r="O75" s="341" t="str">
        <f>IFERROR(VLOOKUP(D75,מרכבה!A:K,8,0),"")</f>
        <v/>
      </c>
      <c r="P75" s="342" t="str">
        <f t="shared" ca="1" si="2"/>
        <v/>
      </c>
      <c r="Q75" s="343" t="str">
        <f ca="1">'קיזוזים בגין איחורים'!F75</f>
        <v/>
      </c>
      <c r="R75" s="344" t="str">
        <f ca="1">IF(B75="","",'קיזוזים- החלטות ועדה'!E75)</f>
        <v/>
      </c>
      <c r="S75" s="343" t="str">
        <f ca="1">'קיזוזים- החלטות ועדה'!G75</f>
        <v/>
      </c>
      <c r="T75" s="344" t="str">
        <f ca="1">'הגבלה לסכום מבוקש (2)'!W75</f>
        <v/>
      </c>
      <c r="U75" s="345"/>
      <c r="V75" s="346"/>
    </row>
    <row r="76" spans="2:22" ht="78.75" x14ac:dyDescent="0.25">
      <c r="B76" s="338">
        <f t="shared" ca="1" si="0"/>
        <v>46</v>
      </c>
      <c r="C76" s="339" t="str">
        <f ca="1">IF(LEFT('ריכוז נתונים'!B62,11)="גיליון הזנה","",'ריכוז נתונים'!B62)</f>
        <v>ענבל מרכז אתני</v>
      </c>
      <c r="D76" s="435">
        <v>1001907656</v>
      </c>
      <c r="E76" s="435">
        <v>1001747586</v>
      </c>
      <c r="F76" s="435">
        <v>2020</v>
      </c>
      <c r="G76" s="353">
        <f t="shared" ca="1" si="1"/>
        <v>1</v>
      </c>
      <c r="H76" s="340" t="str">
        <f>IF(IFERROR(VLOOKUP(E76,מרכבה!A:K,4,0),"")=K76,"","no")</f>
        <v/>
      </c>
      <c r="I76" s="340">
        <f>IFERROR(VLOOKUP(D76,מרכבה!A:K,7,0),"")</f>
        <v>2025</v>
      </c>
      <c r="J76" s="340">
        <f>IFERROR(VLOOKUP(D76,מרכבה!A:K,5,0),"")</f>
        <v>40000458</v>
      </c>
      <c r="K76" s="340">
        <f>IFERROR(VLOOKUP(D76,מרכבה!A:K,4,0),"")</f>
        <v>580094977</v>
      </c>
      <c r="L76" s="340" t="str">
        <f>IFERROR(VLOOKUP(D76,מרכבה!A:K,6,0),"")</f>
        <v>תאטרון מחול ענבל - מרכז אתני רב תחו</v>
      </c>
      <c r="M76" s="340" t="str">
        <f>IFERROR(VLOOKUP(D76,מרכבה!A:K,2,0),"")</f>
        <v>תמיכה שוטפת במרכז האתני הרב תחומי</v>
      </c>
      <c r="N76" s="354">
        <f>IFERROR(VLOOKUP(E76,מרכבה!A:K,9,0),0)</f>
        <v>828405.49</v>
      </c>
      <c r="O76" s="341">
        <f>IFERROR(VLOOKUP(D76,מרכבה!A:K,8,0),"")</f>
        <v>1500000</v>
      </c>
      <c r="P76" s="342">
        <f t="shared" ca="1" si="2"/>
        <v>0.87987511566893628</v>
      </c>
      <c r="Q76" s="343">
        <f ca="1">'קיזוזים בגין איחורים'!F76</f>
        <v>0</v>
      </c>
      <c r="R76" s="344">
        <f ca="1">IF(B76="","",'קיזוזים- החלטות ועדה'!E76)</f>
        <v>0</v>
      </c>
      <c r="S76" s="343">
        <f ca="1">'קיזוזים- החלטות ועדה'!G76</f>
        <v>728893.37633453181</v>
      </c>
      <c r="T76" s="344">
        <f ca="1">'הגבלה לסכום מבוקש (2)'!W76</f>
        <v>728893.37633453181</v>
      </c>
      <c r="U76" s="346"/>
      <c r="V76" s="346" t="s">
        <v>367</v>
      </c>
    </row>
    <row r="77" spans="2:22" ht="63" x14ac:dyDescent="0.25">
      <c r="B77" s="338">
        <f t="shared" ca="1" si="0"/>
        <v>47</v>
      </c>
      <c r="C77" s="339" t="str">
        <f ca="1">IF(LEFT('ריכוז נתונים'!B63,11)="גיליון הזנה","",'ריכוז נתונים'!B63)</f>
        <v>א.ב. חדשות השומרונים</v>
      </c>
      <c r="D77" s="435">
        <v>1001911485</v>
      </c>
      <c r="E77" s="435">
        <v>1001774198</v>
      </c>
      <c r="F77" s="435">
        <v>2020</v>
      </c>
      <c r="G77" s="353">
        <f t="shared" ca="1" si="1"/>
        <v>1</v>
      </c>
      <c r="H77" s="340" t="str">
        <f>IF(IFERROR(VLOOKUP(E77,מרכבה!A:K,4,0),"")=K77,"","no")</f>
        <v/>
      </c>
      <c r="I77" s="340">
        <f>IFERROR(VLOOKUP(D77,מרכבה!A:K,7,0),"")</f>
        <v>2025</v>
      </c>
      <c r="J77" s="340">
        <f>IFERROR(VLOOKUP(D77,מרכבה!A:K,5,0),"")</f>
        <v>40000056</v>
      </c>
      <c r="K77" s="340">
        <f>IFERROR(VLOOKUP(D77,מרכבה!A:K,4,0),"")</f>
        <v>580008027</v>
      </c>
      <c r="L77" s="340" t="str">
        <f>IFERROR(VLOOKUP(D77,מרכבה!A:K,6,0),"")</f>
        <v>"א.ב.- חדשות השומרונים" -דו שבועון,</v>
      </c>
      <c r="M77" s="340" t="str">
        <f>IFERROR(VLOOKUP(D77,מרכבה!A:K,2,0),"")</f>
        <v>תמיכה בהוצאת עיתון א.ב חדשות השומרונים</v>
      </c>
      <c r="N77" s="354">
        <f>IFERROR(VLOOKUP(E77,מרכבה!A:K,9,0),0)</f>
        <v>162810.15</v>
      </c>
      <c r="O77" s="341">
        <f>IFERROR(VLOOKUP(D77,מרכבה!A:K,8,0),"")</f>
        <v>187500</v>
      </c>
      <c r="P77" s="342">
        <f t="shared" ca="1" si="2"/>
        <v>1.1516481005637549</v>
      </c>
      <c r="Q77" s="343">
        <f ca="1">'קיזוזים בגין איחורים'!F77</f>
        <v>0</v>
      </c>
      <c r="R77" s="344">
        <f ca="1">IF(B77="","",'קיזוזים- החלטות ועדה'!E77)</f>
        <v>0</v>
      </c>
      <c r="S77" s="343">
        <f ca="1">'קיזוזים- החלטות ועדה'!G77</f>
        <v>187500</v>
      </c>
      <c r="T77" s="344">
        <f ca="1">'הגבלה לסכום מבוקש (2)'!W77</f>
        <v>187500</v>
      </c>
      <c r="U77" s="346"/>
      <c r="V77" s="346" t="s">
        <v>368</v>
      </c>
    </row>
    <row r="78" spans="2:22" ht="16.5" customHeight="1" x14ac:dyDescent="0.25">
      <c r="B78" s="338" t="str">
        <f t="shared" ca="1" si="0"/>
        <v/>
      </c>
      <c r="C78" s="339" t="str">
        <f ca="1">IF(LEFT('ריכוז נתונים'!B64,11)="גיליון הזנה","",'ריכוז נתונים'!B64)</f>
        <v/>
      </c>
      <c r="D78" s="435"/>
      <c r="E78" s="435"/>
      <c r="F78" s="435"/>
      <c r="G78" s="353" t="str">
        <f t="shared" ca="1" si="1"/>
        <v/>
      </c>
      <c r="H78" s="340" t="str">
        <f>IF(IFERROR(VLOOKUP(E78,מרכבה!A:K,4,0),"")=K78,"","no")</f>
        <v/>
      </c>
      <c r="I78" s="340" t="str">
        <f>IFERROR(VLOOKUP(D78,מרכבה!A:K,7,0),"")</f>
        <v/>
      </c>
      <c r="J78" s="340" t="str">
        <f>IFERROR(VLOOKUP(D78,מרכבה!A:K,5,0),"")</f>
        <v/>
      </c>
      <c r="K78" s="340" t="str">
        <f>IFERROR(VLOOKUP(D78,מרכבה!A:K,4,0),"")</f>
        <v/>
      </c>
      <c r="L78" s="340" t="str">
        <f>IFERROR(VLOOKUP(D78,מרכבה!A:K,6,0),"")</f>
        <v/>
      </c>
      <c r="M78" s="340" t="str">
        <f>IFERROR(VLOOKUP(D78,מרכבה!A:K,2,0),"")</f>
        <v/>
      </c>
      <c r="N78" s="354">
        <f>IFERROR(VLOOKUP(E78,מרכבה!A:K,9,0),0)</f>
        <v>0</v>
      </c>
      <c r="O78" s="341" t="str">
        <f>IFERROR(VLOOKUP(D78,מרכבה!A:K,8,0),"")</f>
        <v/>
      </c>
      <c r="P78" s="342" t="str">
        <f t="shared" ca="1" si="2"/>
        <v/>
      </c>
      <c r="Q78" s="343" t="str">
        <f ca="1">'קיזוזים בגין איחורים'!F78</f>
        <v/>
      </c>
      <c r="R78" s="344" t="str">
        <f ca="1">IF(B78="","",'קיזוזים- החלטות ועדה'!E78)</f>
        <v/>
      </c>
      <c r="S78" s="343" t="str">
        <f ca="1">'קיזוזים- החלטות ועדה'!G78</f>
        <v/>
      </c>
      <c r="T78" s="344" t="str">
        <f ca="1">'הגבלה לסכום מבוקש (2)'!W78</f>
        <v/>
      </c>
      <c r="U78" s="345"/>
      <c r="V78" s="346"/>
    </row>
    <row r="79" spans="2:22" ht="16.5" customHeight="1" x14ac:dyDescent="0.25">
      <c r="B79" s="338" t="str">
        <f t="shared" ca="1" si="0"/>
        <v/>
      </c>
      <c r="C79" s="339" t="str">
        <f ca="1">IF(LEFT('ריכוז נתונים'!B65,11)="גיליון הזנה","",'ריכוז נתונים'!B65)</f>
        <v/>
      </c>
      <c r="D79" s="435"/>
      <c r="E79" s="435"/>
      <c r="F79" s="435"/>
      <c r="G79" s="353" t="str">
        <f t="shared" ca="1" si="1"/>
        <v/>
      </c>
      <c r="H79" s="340" t="str">
        <f>IF(IFERROR(VLOOKUP(E79,מרכבה!A:K,4,0),"")=K79,"","no")</f>
        <v/>
      </c>
      <c r="I79" s="340" t="str">
        <f>IFERROR(VLOOKUP(D79,מרכבה!A:K,7,0),"")</f>
        <v/>
      </c>
      <c r="J79" s="340" t="str">
        <f>IFERROR(VLOOKUP(D79,מרכבה!A:K,5,0),"")</f>
        <v/>
      </c>
      <c r="K79" s="340" t="str">
        <f>IFERROR(VLOOKUP(D79,מרכבה!A:K,4,0),"")</f>
        <v/>
      </c>
      <c r="L79" s="340" t="str">
        <f>IFERROR(VLOOKUP(D79,מרכבה!A:K,6,0),"")</f>
        <v/>
      </c>
      <c r="M79" s="340" t="str">
        <f>IFERROR(VLOOKUP(D79,מרכבה!A:K,2,0),"")</f>
        <v/>
      </c>
      <c r="N79" s="354">
        <f>IFERROR(VLOOKUP(E79,מרכבה!A:K,9,0),0)</f>
        <v>0</v>
      </c>
      <c r="O79" s="341" t="str">
        <f>IFERROR(VLOOKUP(D79,מרכבה!A:K,8,0),"")</f>
        <v/>
      </c>
      <c r="P79" s="342" t="str">
        <f t="shared" ca="1" si="2"/>
        <v/>
      </c>
      <c r="Q79" s="343" t="str">
        <f ca="1">'קיזוזים בגין איחורים'!F79</f>
        <v/>
      </c>
      <c r="R79" s="344" t="str">
        <f ca="1">IF(B79="","",'קיזוזים- החלטות ועדה'!E79)</f>
        <v/>
      </c>
      <c r="S79" s="343" t="str">
        <f ca="1">'קיזוזים- החלטות ועדה'!G79</f>
        <v/>
      </c>
      <c r="T79" s="344" t="str">
        <f ca="1">'הגבלה לסכום מבוקש (2)'!W79</f>
        <v/>
      </c>
      <c r="U79" s="345"/>
      <c r="V79" s="346"/>
    </row>
    <row r="80" spans="2:22" ht="16.5" customHeight="1" x14ac:dyDescent="0.25">
      <c r="B80" s="338" t="str">
        <f t="shared" ca="1" si="0"/>
        <v/>
      </c>
      <c r="C80" s="339" t="str">
        <f ca="1">IF(LEFT('ריכוז נתונים'!B66,11)="גיליון הזנה","",'ריכוז נתונים'!B66)</f>
        <v/>
      </c>
      <c r="D80" s="435"/>
      <c r="E80" s="435"/>
      <c r="F80" s="435"/>
      <c r="G80" s="353" t="str">
        <f t="shared" ca="1" si="1"/>
        <v/>
      </c>
      <c r="H80" s="340" t="str">
        <f>IF(IFERROR(VLOOKUP(E80,מרכבה!A:K,4,0),"")=K80,"","no")</f>
        <v/>
      </c>
      <c r="I80" s="340" t="str">
        <f>IFERROR(VLOOKUP(D80,מרכבה!A:K,7,0),"")</f>
        <v/>
      </c>
      <c r="J80" s="340" t="str">
        <f>IFERROR(VLOOKUP(D80,מרכבה!A:K,5,0),"")</f>
        <v/>
      </c>
      <c r="K80" s="340" t="str">
        <f>IFERROR(VLOOKUP(D80,מרכבה!A:K,4,0),"")</f>
        <v/>
      </c>
      <c r="L80" s="340" t="str">
        <f>IFERROR(VLOOKUP(D80,מרכבה!A:K,6,0),"")</f>
        <v/>
      </c>
      <c r="M80" s="340" t="str">
        <f>IFERROR(VLOOKUP(D80,מרכבה!A:K,2,0),"")</f>
        <v/>
      </c>
      <c r="N80" s="354">
        <f>IFERROR(VLOOKUP(E80,מרכבה!A:K,9,0),0)</f>
        <v>0</v>
      </c>
      <c r="O80" s="341" t="str">
        <f>IFERROR(VLOOKUP(D80,מרכבה!A:K,8,0),"")</f>
        <v/>
      </c>
      <c r="P80" s="342" t="str">
        <f t="shared" ca="1" si="2"/>
        <v/>
      </c>
      <c r="Q80" s="343" t="str">
        <f ca="1">'קיזוזים בגין איחורים'!F80</f>
        <v/>
      </c>
      <c r="R80" s="344" t="str">
        <f ca="1">IF(B80="","",'קיזוזים- החלטות ועדה'!E80)</f>
        <v/>
      </c>
      <c r="S80" s="343" t="str">
        <f ca="1">'קיזוזים- החלטות ועדה'!G80</f>
        <v/>
      </c>
      <c r="T80" s="344" t="str">
        <f ca="1">'הגבלה לסכום מבוקש (2)'!W80</f>
        <v/>
      </c>
      <c r="U80" s="345"/>
      <c r="V80" s="346"/>
    </row>
    <row r="81" spans="2:22" ht="16.5" customHeight="1" x14ac:dyDescent="0.25">
      <c r="B81" s="338" t="str">
        <f t="shared" ca="1" si="0"/>
        <v/>
      </c>
      <c r="C81" s="339" t="str">
        <f ca="1">IF(LEFT('ריכוז נתונים'!B67,11)="גיליון הזנה","",'ריכוז נתונים'!B67)</f>
        <v/>
      </c>
      <c r="D81" s="435"/>
      <c r="E81" s="435"/>
      <c r="F81" s="435"/>
      <c r="G81" s="353" t="str">
        <f t="shared" ca="1" si="1"/>
        <v/>
      </c>
      <c r="H81" s="340" t="str">
        <f>IF(IFERROR(VLOOKUP(E81,מרכבה!A:K,4,0),"")=K81,"","no")</f>
        <v/>
      </c>
      <c r="I81" s="340" t="str">
        <f>IFERROR(VLOOKUP(D81,מרכבה!A:K,7,0),"")</f>
        <v/>
      </c>
      <c r="J81" s="340" t="str">
        <f>IFERROR(VLOOKUP(D81,מרכבה!A:K,5,0),"")</f>
        <v/>
      </c>
      <c r="K81" s="340" t="str">
        <f>IFERROR(VLOOKUP(D81,מרכבה!A:K,4,0),"")</f>
        <v/>
      </c>
      <c r="L81" s="340" t="str">
        <f>IFERROR(VLOOKUP(D81,מרכבה!A:K,6,0),"")</f>
        <v/>
      </c>
      <c r="M81" s="340" t="str">
        <f>IFERROR(VLOOKUP(D81,מרכבה!A:K,2,0),"")</f>
        <v/>
      </c>
      <c r="N81" s="354">
        <f>IFERROR(VLOOKUP(E81,מרכבה!A:K,9,0),0)</f>
        <v>0</v>
      </c>
      <c r="O81" s="341" t="str">
        <f>IFERROR(VLOOKUP(D81,מרכבה!A:K,8,0),"")</f>
        <v/>
      </c>
      <c r="P81" s="342" t="str">
        <f t="shared" ca="1" si="2"/>
        <v/>
      </c>
      <c r="Q81" s="343" t="str">
        <f ca="1">'קיזוזים בגין איחורים'!F81</f>
        <v/>
      </c>
      <c r="R81" s="344" t="str">
        <f ca="1">IF(B81="","",'קיזוזים- החלטות ועדה'!E81)</f>
        <v/>
      </c>
      <c r="S81" s="343" t="str">
        <f ca="1">'קיזוזים- החלטות ועדה'!G81</f>
        <v/>
      </c>
      <c r="T81" s="344" t="str">
        <f ca="1">'הגבלה לסכום מבוקש (2)'!W81</f>
        <v/>
      </c>
      <c r="U81" s="345"/>
      <c r="V81" s="346"/>
    </row>
    <row r="82" spans="2:22" ht="47.25" x14ac:dyDescent="0.25">
      <c r="B82" s="338">
        <f t="shared" ca="1" si="0"/>
        <v>52</v>
      </c>
      <c r="C82" s="339" t="str">
        <f ca="1">IF(LEFT('ריכוז נתונים'!B68,11)="גיליון הזנה","",'ריכוז נתונים'!B68)</f>
        <v>עמותת הנני</v>
      </c>
      <c r="D82" s="435">
        <v>1001907770</v>
      </c>
      <c r="E82" s="435">
        <v>1001775282</v>
      </c>
      <c r="F82" s="435">
        <v>2020</v>
      </c>
      <c r="G82" s="353">
        <f t="shared" ca="1" si="1"/>
        <v>1</v>
      </c>
      <c r="H82" s="340" t="str">
        <f>IF(IFERROR(VLOOKUP(E82,מרכבה!A:K,4,0),"")=K82,"","no")</f>
        <v/>
      </c>
      <c r="I82" s="340">
        <f>IFERROR(VLOOKUP(D82,מרכבה!A:K,7,0),"")</f>
        <v>2025</v>
      </c>
      <c r="J82" s="340">
        <f>IFERROR(VLOOKUP(D82,מרכבה!A:K,5,0),"")</f>
        <v>40016978</v>
      </c>
      <c r="K82" s="340">
        <f>IFERROR(VLOOKUP(D82,מרכבה!A:K,4,0),"")</f>
        <v>580332229</v>
      </c>
      <c r="L82" s="340" t="str">
        <f>IFERROR(VLOOKUP(D82,מרכבה!A:K,6,0),"")</f>
        <v>עמותת הנני - קהילות משימתיות של יוצ</v>
      </c>
      <c r="M82" s="340" t="str">
        <f>IFERROR(VLOOKUP(D82,מרכבה!A:K,2,0),"")</f>
        <v>מורשת עדות כפר ביתא ישראל 2025</v>
      </c>
      <c r="N82" s="354">
        <f>IFERROR(VLOOKUP(E82,מרכבה!A:K,9,0),0)</f>
        <v>440077.17</v>
      </c>
      <c r="O82" s="341">
        <f>IFERROR(VLOOKUP(D82,מרכבה!A:K,8,0),"")</f>
        <v>712500</v>
      </c>
      <c r="P82" s="342">
        <f t="shared" ca="1" si="2"/>
        <v>1.3587487228249677</v>
      </c>
      <c r="Q82" s="343">
        <f ca="1">'קיזוזים בגין איחורים'!F82</f>
        <v>0</v>
      </c>
      <c r="R82" s="344">
        <f ca="1">IF(B82="","",'קיזוזים- החלטות ועדה'!E82)</f>
        <v>0</v>
      </c>
      <c r="S82" s="343">
        <f ca="1">'קיזוזים- החלטות ועדה'!G82</f>
        <v>597954.29268192616</v>
      </c>
      <c r="T82" s="344">
        <f ca="1">'הגבלה לסכום מבוקש (2)'!W82</f>
        <v>597954.29268192616</v>
      </c>
      <c r="U82" s="346"/>
      <c r="V82" s="346" t="s">
        <v>369</v>
      </c>
    </row>
    <row r="83" spans="2:22" ht="16.5" customHeight="1" x14ac:dyDescent="0.25">
      <c r="B83" s="338" t="str">
        <f t="shared" ca="1" si="0"/>
        <v/>
      </c>
      <c r="C83" s="339" t="str">
        <f ca="1">IF(LEFT('ריכוז נתונים'!B69,11)="גיליון הזנה","",'ריכוז נתונים'!B69)</f>
        <v/>
      </c>
      <c r="D83" s="435"/>
      <c r="E83" s="435"/>
      <c r="F83" s="435"/>
      <c r="G83" s="353" t="str">
        <f t="shared" ca="1" si="1"/>
        <v/>
      </c>
      <c r="H83" s="340" t="str">
        <f>IF(IFERROR(VLOOKUP(E83,מרכבה!A:K,4,0),"")=K83,"","no")</f>
        <v/>
      </c>
      <c r="I83" s="340" t="str">
        <f>IFERROR(VLOOKUP(D83,מרכבה!A:K,7,0),"")</f>
        <v/>
      </c>
      <c r="J83" s="340" t="str">
        <f>IFERROR(VLOOKUP(D83,מרכבה!A:K,5,0),"")</f>
        <v/>
      </c>
      <c r="K83" s="340" t="str">
        <f>IFERROR(VLOOKUP(D83,מרכבה!A:K,4,0),"")</f>
        <v/>
      </c>
      <c r="L83" s="340" t="str">
        <f>IFERROR(VLOOKUP(D83,מרכבה!A:K,6,0),"")</f>
        <v/>
      </c>
      <c r="M83" s="340" t="str">
        <f>IFERROR(VLOOKUP(D83,מרכבה!A:K,2,0),"")</f>
        <v/>
      </c>
      <c r="N83" s="354">
        <f>IFERROR(VLOOKUP(E83,מרכבה!A:K,9,0),0)</f>
        <v>0</v>
      </c>
      <c r="O83" s="341" t="str">
        <f>IFERROR(VLOOKUP(D83,מרכבה!A:K,8,0),"")</f>
        <v/>
      </c>
      <c r="P83" s="342" t="str">
        <f t="shared" ca="1" si="2"/>
        <v/>
      </c>
      <c r="Q83" s="343" t="str">
        <f ca="1">'קיזוזים בגין איחורים'!F83</f>
        <v/>
      </c>
      <c r="R83" s="344" t="str">
        <f ca="1">IF(B83="","",'קיזוזים- החלטות ועדה'!E83)</f>
        <v/>
      </c>
      <c r="S83" s="343" t="str">
        <f ca="1">'קיזוזים- החלטות ועדה'!G83</f>
        <v/>
      </c>
      <c r="T83" s="344" t="str">
        <f ca="1">'הגבלה לסכום מבוקש (2)'!W83</f>
        <v/>
      </c>
      <c r="U83" s="345"/>
      <c r="V83" s="346"/>
    </row>
    <row r="84" spans="2:22" ht="16.5" customHeight="1" x14ac:dyDescent="0.25">
      <c r="B84" s="338" t="str">
        <f t="shared" ca="1" si="0"/>
        <v/>
      </c>
      <c r="C84" s="339" t="str">
        <f ca="1">IF(LEFT('ריכוז נתונים'!B70,11)="גיליון הזנה","",'ריכוז נתונים'!B70)</f>
        <v/>
      </c>
      <c r="D84" s="435"/>
      <c r="E84" s="435"/>
      <c r="F84" s="435"/>
      <c r="G84" s="353" t="str">
        <f t="shared" ca="1" si="1"/>
        <v/>
      </c>
      <c r="H84" s="340" t="str">
        <f>IF(IFERROR(VLOOKUP(E84,מרכבה!A:K,4,0),"")=K84,"","no")</f>
        <v/>
      </c>
      <c r="I84" s="340" t="str">
        <f>IFERROR(VLOOKUP(D84,מרכבה!A:K,7,0),"")</f>
        <v/>
      </c>
      <c r="J84" s="340" t="str">
        <f>IFERROR(VLOOKUP(D84,מרכבה!A:K,5,0),"")</f>
        <v/>
      </c>
      <c r="K84" s="340" t="str">
        <f>IFERROR(VLOOKUP(D84,מרכבה!A:K,4,0),"")</f>
        <v/>
      </c>
      <c r="L84" s="340" t="str">
        <f>IFERROR(VLOOKUP(D84,מרכבה!A:K,6,0),"")</f>
        <v/>
      </c>
      <c r="M84" s="340" t="str">
        <f>IFERROR(VLOOKUP(D84,מרכבה!A:K,2,0),"")</f>
        <v/>
      </c>
      <c r="N84" s="354">
        <f>IFERROR(VLOOKUP(E84,מרכבה!A:K,9,0),0)</f>
        <v>0</v>
      </c>
      <c r="O84" s="341" t="str">
        <f>IFERROR(VLOOKUP(D84,מרכבה!A:K,8,0),"")</f>
        <v/>
      </c>
      <c r="P84" s="342" t="str">
        <f t="shared" ca="1" si="2"/>
        <v/>
      </c>
      <c r="Q84" s="343" t="str">
        <f ca="1">'קיזוזים בגין איחורים'!F84</f>
        <v/>
      </c>
      <c r="R84" s="344" t="str">
        <f ca="1">IF(B84="","",'קיזוזים- החלטות ועדה'!E84)</f>
        <v/>
      </c>
      <c r="S84" s="343" t="str">
        <f ca="1">'קיזוזים- החלטות ועדה'!G84</f>
        <v/>
      </c>
      <c r="T84" s="344" t="str">
        <f ca="1">'הגבלה לסכום מבוקש (2)'!W84</f>
        <v/>
      </c>
      <c r="U84" s="345"/>
      <c r="V84" s="346"/>
    </row>
    <row r="85" spans="2:22" ht="16.5" customHeight="1" x14ac:dyDescent="0.25">
      <c r="B85" s="338" t="str">
        <f t="shared" ca="1" si="0"/>
        <v/>
      </c>
      <c r="C85" s="339" t="str">
        <f ca="1">IF(LEFT('ריכוז נתונים'!B71,11)="גיליון הזנה","",'ריכוז נתונים'!B71)</f>
        <v/>
      </c>
      <c r="D85" s="435"/>
      <c r="E85" s="435"/>
      <c r="F85" s="435"/>
      <c r="G85" s="353" t="str">
        <f t="shared" ca="1" si="1"/>
        <v/>
      </c>
      <c r="H85" s="340" t="str">
        <f>IF(IFERROR(VLOOKUP(E85,מרכבה!A:K,4,0),"")=K85,"","no")</f>
        <v/>
      </c>
      <c r="I85" s="340" t="str">
        <f>IFERROR(VLOOKUP(D85,מרכבה!A:K,7,0),"")</f>
        <v/>
      </c>
      <c r="J85" s="340" t="str">
        <f>IFERROR(VLOOKUP(D85,מרכבה!A:K,5,0),"")</f>
        <v/>
      </c>
      <c r="K85" s="340" t="str">
        <f>IFERROR(VLOOKUP(D85,מרכבה!A:K,4,0),"")</f>
        <v/>
      </c>
      <c r="L85" s="340" t="str">
        <f>IFERROR(VLOOKUP(D85,מרכבה!A:K,6,0),"")</f>
        <v/>
      </c>
      <c r="M85" s="340" t="str">
        <f>IFERROR(VLOOKUP(D85,מרכבה!A:K,2,0),"")</f>
        <v/>
      </c>
      <c r="N85" s="354">
        <f>IFERROR(VLOOKUP(E85,מרכבה!A:K,9,0),0)</f>
        <v>0</v>
      </c>
      <c r="O85" s="341" t="str">
        <f>IFERROR(VLOOKUP(D85,מרכבה!A:K,8,0),"")</f>
        <v/>
      </c>
      <c r="P85" s="342" t="str">
        <f t="shared" ca="1" si="2"/>
        <v/>
      </c>
      <c r="Q85" s="343" t="str">
        <f ca="1">'קיזוזים בגין איחורים'!F85</f>
        <v/>
      </c>
      <c r="R85" s="344" t="str">
        <f ca="1">IF(B85="","",'קיזוזים- החלטות ועדה'!E85)</f>
        <v/>
      </c>
      <c r="S85" s="343" t="str">
        <f ca="1">'קיזוזים- החלטות ועדה'!G85</f>
        <v/>
      </c>
      <c r="T85" s="344" t="str">
        <f ca="1">'הגבלה לסכום מבוקש (2)'!W85</f>
        <v/>
      </c>
      <c r="U85" s="345"/>
      <c r="V85" s="346"/>
    </row>
    <row r="86" spans="2:22" ht="16.5" customHeight="1" x14ac:dyDescent="0.25">
      <c r="B86" s="338" t="str">
        <f t="shared" ca="1" si="0"/>
        <v/>
      </c>
      <c r="C86" s="339" t="str">
        <f ca="1">IF(LEFT('ריכוז נתונים'!B72,11)="גיליון הזנה","",'ריכוז נתונים'!B72)</f>
        <v/>
      </c>
      <c r="D86" s="435"/>
      <c r="E86" s="435"/>
      <c r="F86" s="435"/>
      <c r="G86" s="353" t="str">
        <f t="shared" ca="1" si="1"/>
        <v/>
      </c>
      <c r="H86" s="340" t="str">
        <f>IF(IFERROR(VLOOKUP(E86,מרכבה!A:K,4,0),"")=K86,"","no")</f>
        <v/>
      </c>
      <c r="I86" s="340" t="str">
        <f>IFERROR(VLOOKUP(D86,מרכבה!A:K,7,0),"")</f>
        <v/>
      </c>
      <c r="J86" s="340" t="str">
        <f>IFERROR(VLOOKUP(D86,מרכבה!A:K,5,0),"")</f>
        <v/>
      </c>
      <c r="K86" s="340" t="str">
        <f>IFERROR(VLOOKUP(D86,מרכבה!A:K,4,0),"")</f>
        <v/>
      </c>
      <c r="L86" s="340" t="str">
        <f>IFERROR(VLOOKUP(D86,מרכבה!A:K,6,0),"")</f>
        <v/>
      </c>
      <c r="M86" s="340" t="str">
        <f>IFERROR(VLOOKUP(D86,מרכבה!A:K,2,0),"")</f>
        <v/>
      </c>
      <c r="N86" s="354">
        <f>IFERROR(VLOOKUP(E86,מרכבה!A:K,9,0),0)</f>
        <v>0</v>
      </c>
      <c r="O86" s="341" t="str">
        <f>IFERROR(VLOOKUP(D86,מרכבה!A:K,8,0),"")</f>
        <v/>
      </c>
      <c r="P86" s="342" t="str">
        <f t="shared" ca="1" si="2"/>
        <v/>
      </c>
      <c r="Q86" s="343" t="str">
        <f ca="1">'קיזוזים בגין איחורים'!F86</f>
        <v/>
      </c>
      <c r="R86" s="344" t="str">
        <f ca="1">IF(B86="","",'קיזוזים- החלטות ועדה'!E86)</f>
        <v/>
      </c>
      <c r="S86" s="343" t="str">
        <f ca="1">'קיזוזים- החלטות ועדה'!G86</f>
        <v/>
      </c>
      <c r="T86" s="344" t="str">
        <f ca="1">'הגבלה לסכום מבוקש (2)'!W86</f>
        <v/>
      </c>
      <c r="U86" s="345"/>
      <c r="V86" s="346"/>
    </row>
    <row r="87" spans="2:22" ht="16.5" customHeight="1" x14ac:dyDescent="0.25">
      <c r="B87" s="338" t="str">
        <f t="shared" ca="1" si="0"/>
        <v/>
      </c>
      <c r="C87" s="339" t="str">
        <f ca="1">IF(LEFT('ריכוז נתונים'!B73,11)="גיליון הזנה","",'ריכוז נתונים'!B73)</f>
        <v/>
      </c>
      <c r="D87" s="435"/>
      <c r="E87" s="435"/>
      <c r="F87" s="435"/>
      <c r="G87" s="353" t="str">
        <f t="shared" ca="1" si="1"/>
        <v/>
      </c>
      <c r="H87" s="340" t="str">
        <f>IF(IFERROR(VLOOKUP(E87,מרכבה!A:K,4,0),"")=K87,"","no")</f>
        <v/>
      </c>
      <c r="I87" s="340" t="str">
        <f>IFERROR(VLOOKUP(D87,מרכבה!A:K,7,0),"")</f>
        <v/>
      </c>
      <c r="J87" s="340" t="str">
        <f>IFERROR(VLOOKUP(D87,מרכבה!A:K,5,0),"")</f>
        <v/>
      </c>
      <c r="K87" s="340" t="str">
        <f>IFERROR(VLOOKUP(D87,מרכבה!A:K,4,0),"")</f>
        <v/>
      </c>
      <c r="L87" s="340" t="str">
        <f>IFERROR(VLOOKUP(D87,מרכבה!A:K,6,0),"")</f>
        <v/>
      </c>
      <c r="M87" s="340" t="str">
        <f>IFERROR(VLOOKUP(D87,מרכבה!A:K,2,0),"")</f>
        <v/>
      </c>
      <c r="N87" s="354">
        <f>IFERROR(VLOOKUP(E87,מרכבה!A:K,9,0),0)</f>
        <v>0</v>
      </c>
      <c r="O87" s="341" t="str">
        <f>IFERROR(VLOOKUP(D87,מרכבה!A:K,8,0),"")</f>
        <v/>
      </c>
      <c r="P87" s="342" t="str">
        <f t="shared" ca="1" si="2"/>
        <v/>
      </c>
      <c r="Q87" s="343" t="str">
        <f ca="1">'קיזוזים בגין איחורים'!F87</f>
        <v/>
      </c>
      <c r="R87" s="344" t="str">
        <f ca="1">IF(B87="","",'קיזוזים- החלטות ועדה'!E87)</f>
        <v/>
      </c>
      <c r="S87" s="343" t="str">
        <f ca="1">'קיזוזים- החלטות ועדה'!G87</f>
        <v/>
      </c>
      <c r="T87" s="344" t="str">
        <f ca="1">'הגבלה לסכום מבוקש (2)'!W87</f>
        <v/>
      </c>
      <c r="U87" s="345"/>
      <c r="V87" s="346"/>
    </row>
    <row r="88" spans="2:22" ht="16.5" customHeight="1" x14ac:dyDescent="0.25">
      <c r="B88" s="338" t="str">
        <f t="shared" ca="1" si="0"/>
        <v/>
      </c>
      <c r="C88" s="339" t="str">
        <f ca="1">IF(LEFT('ריכוז נתונים'!B74,11)="גיליון הזנה","",'ריכוז נתונים'!B74)</f>
        <v/>
      </c>
      <c r="D88" s="435"/>
      <c r="E88" s="435"/>
      <c r="F88" s="435"/>
      <c r="G88" s="353" t="str">
        <f t="shared" ca="1" si="1"/>
        <v/>
      </c>
      <c r="H88" s="340" t="str">
        <f>IF(IFERROR(VLOOKUP(E88,מרכבה!A:K,4,0),"")=K88,"","no")</f>
        <v/>
      </c>
      <c r="I88" s="340" t="str">
        <f>IFERROR(VLOOKUP(D88,מרכבה!A:K,7,0),"")</f>
        <v/>
      </c>
      <c r="J88" s="340" t="str">
        <f>IFERROR(VLOOKUP(D88,מרכבה!A:K,5,0),"")</f>
        <v/>
      </c>
      <c r="K88" s="340" t="str">
        <f>IFERROR(VLOOKUP(D88,מרכבה!A:K,4,0),"")</f>
        <v/>
      </c>
      <c r="L88" s="340" t="str">
        <f>IFERROR(VLOOKUP(D88,מרכבה!A:K,6,0),"")</f>
        <v/>
      </c>
      <c r="M88" s="340" t="str">
        <f>IFERROR(VLOOKUP(D88,מרכבה!A:K,2,0),"")</f>
        <v/>
      </c>
      <c r="N88" s="354">
        <f>IFERROR(VLOOKUP(E88,מרכבה!A:K,9,0),0)</f>
        <v>0</v>
      </c>
      <c r="O88" s="341" t="str">
        <f>IFERROR(VLOOKUP(D88,מרכבה!A:K,8,0),"")</f>
        <v/>
      </c>
      <c r="P88" s="342" t="str">
        <f t="shared" ca="1" si="2"/>
        <v/>
      </c>
      <c r="Q88" s="343" t="str">
        <f ca="1">'קיזוזים בגין איחורים'!F88</f>
        <v/>
      </c>
      <c r="R88" s="344" t="str">
        <f ca="1">IF(B88="","",'קיזוזים- החלטות ועדה'!E88)</f>
        <v/>
      </c>
      <c r="S88" s="343" t="str">
        <f ca="1">'קיזוזים- החלטות ועדה'!G88</f>
        <v/>
      </c>
      <c r="T88" s="344" t="str">
        <f ca="1">'הגבלה לסכום מבוקש (2)'!W88</f>
        <v/>
      </c>
      <c r="U88" s="345"/>
      <c r="V88" s="346"/>
    </row>
    <row r="89" spans="2:22" ht="16.5" customHeight="1" x14ac:dyDescent="0.25">
      <c r="B89" s="338" t="str">
        <f t="shared" ca="1" si="0"/>
        <v/>
      </c>
      <c r="C89" s="339" t="str">
        <f ca="1">IF(LEFT('ריכוז נתונים'!B75,11)="גיליון הזנה","",'ריכוז נתונים'!B75)</f>
        <v/>
      </c>
      <c r="D89" s="435"/>
      <c r="E89" s="435"/>
      <c r="F89" s="435"/>
      <c r="G89" s="353" t="str">
        <f t="shared" ca="1" si="1"/>
        <v/>
      </c>
      <c r="H89" s="340" t="str">
        <f>IF(IFERROR(VLOOKUP(E89,מרכבה!A:K,4,0),"")=K89,"","no")</f>
        <v/>
      </c>
      <c r="I89" s="340" t="str">
        <f>IFERROR(VLOOKUP(D89,מרכבה!A:K,7,0),"")</f>
        <v/>
      </c>
      <c r="J89" s="340" t="str">
        <f>IFERROR(VLOOKUP(D89,מרכבה!A:K,5,0),"")</f>
        <v/>
      </c>
      <c r="K89" s="340" t="str">
        <f>IFERROR(VLOOKUP(D89,מרכבה!A:K,4,0),"")</f>
        <v/>
      </c>
      <c r="L89" s="340" t="str">
        <f>IFERROR(VLOOKUP(D89,מרכבה!A:K,6,0),"")</f>
        <v/>
      </c>
      <c r="M89" s="340" t="str">
        <f>IFERROR(VLOOKUP(D89,מרכבה!A:K,2,0),"")</f>
        <v/>
      </c>
      <c r="N89" s="354">
        <f>IFERROR(VLOOKUP(E89,מרכבה!A:K,9,0),0)</f>
        <v>0</v>
      </c>
      <c r="O89" s="341" t="str">
        <f>IFERROR(VLOOKUP(D89,מרכבה!A:K,8,0),"")</f>
        <v/>
      </c>
      <c r="P89" s="342" t="str">
        <f t="shared" ca="1" si="2"/>
        <v/>
      </c>
      <c r="Q89" s="343" t="str">
        <f ca="1">'קיזוזים בגין איחורים'!F89</f>
        <v/>
      </c>
      <c r="R89" s="344" t="str">
        <f ca="1">IF(B89="","",'קיזוזים- החלטות ועדה'!E89)</f>
        <v/>
      </c>
      <c r="S89" s="343" t="str">
        <f ca="1">'קיזוזים- החלטות ועדה'!G89</f>
        <v/>
      </c>
      <c r="T89" s="344" t="str">
        <f ca="1">'הגבלה לסכום מבוקש (2)'!W89</f>
        <v/>
      </c>
      <c r="U89" s="345"/>
      <c r="V89" s="346"/>
    </row>
    <row r="90" spans="2:22" x14ac:dyDescent="0.25">
      <c r="B90" s="338">
        <f t="shared" ca="1" si="0"/>
        <v>60</v>
      </c>
      <c r="C90" s="339" t="str">
        <f ca="1">IF(LEFT('ריכוז נתונים'!B76,11)="גיליון הזנה","",'ריכוז נתונים'!B76)</f>
        <v>שרשרת הדורות</v>
      </c>
      <c r="D90" s="435">
        <v>1001911382</v>
      </c>
      <c r="E90" s="435">
        <v>1001722596</v>
      </c>
      <c r="F90" s="435">
        <v>2020</v>
      </c>
      <c r="G90" s="353">
        <f t="shared" ca="1" si="1"/>
        <v>1</v>
      </c>
      <c r="H90" s="340" t="str">
        <f>IF(IFERROR(VLOOKUP(E90,מרכבה!A:K,4,0),"")=K90,"","no")</f>
        <v/>
      </c>
      <c r="I90" s="340">
        <f>IFERROR(VLOOKUP(D90,מרכבה!A:K,7,0),"")</f>
        <v>2025</v>
      </c>
      <c r="J90" s="340">
        <f>IFERROR(VLOOKUP(D90,מרכבה!A:K,5,0),"")</f>
        <v>41496069</v>
      </c>
      <c r="K90" s="340">
        <f>IFERROR(VLOOKUP(D90,מרכבה!A:K,4,0),"")</f>
        <v>514560531</v>
      </c>
      <c r="L90" s="340" t="str">
        <f>IFERROR(VLOOKUP(D90,מרכבה!A:K,6,0),"")</f>
        <v>שרשרת הדורות - דור לדור יביע אומר ב</v>
      </c>
      <c r="M90" s="340" t="str">
        <f>IFERROR(VLOOKUP(D90,מרכבה!A:K,2,0),"")</f>
        <v>שרשרת הדורות שימור מורשת יהדות תימן 2025</v>
      </c>
      <c r="N90" s="354">
        <f>IFERROR(VLOOKUP(E90,מרכבה!A:K,9,0),0)</f>
        <v>89206.74</v>
      </c>
      <c r="O90" s="341">
        <f>IFERROR(VLOOKUP(D90,מרכבה!A:K,8,0),"")</f>
        <v>500000</v>
      </c>
      <c r="P90" s="342">
        <f t="shared" ca="1" si="2"/>
        <v>1.9828347854176123</v>
      </c>
      <c r="Q90" s="343">
        <f ca="1">'קיזוזים בגין איחורים'!F90</f>
        <v>0</v>
      </c>
      <c r="R90" s="344">
        <f ca="1">IF(B90="","",'קיזוזים- החלטות ועדה'!E90)</f>
        <v>0</v>
      </c>
      <c r="S90" s="343">
        <f ca="1">'קיזוזים- החלטות ועדה'!G90</f>
        <v>176882.22716570474</v>
      </c>
      <c r="T90" s="344">
        <f ca="1">'הגבלה לסכום מבוקש (2)'!W90</f>
        <v>176882.22716570474</v>
      </c>
      <c r="U90" s="346"/>
      <c r="V90" s="346" t="s">
        <v>299</v>
      </c>
    </row>
    <row r="91" spans="2:22" ht="47.25" x14ac:dyDescent="0.25">
      <c r="B91" s="338">
        <f t="shared" ref="B91:B92" ca="1" si="3">IF(C91="","",ROW()-30)</f>
        <v>61</v>
      </c>
      <c r="C91" s="339" t="str">
        <f ca="1">IF(LEFT('ריכוז נתונים'!B77,11)="גיליון הזנה","",'ריכוז נתונים'!B77)</f>
        <v>חיבה</v>
      </c>
      <c r="D91" s="435">
        <v>1001907384</v>
      </c>
      <c r="E91" s="435">
        <v>1001774549</v>
      </c>
      <c r="F91" s="435">
        <v>2020</v>
      </c>
      <c r="G91" s="353">
        <f t="shared" ca="1" si="1"/>
        <v>1</v>
      </c>
      <c r="H91" s="340" t="str">
        <f>IF(IFERROR(VLOOKUP(E91,מרכבה!A:K,4,0),"")=K91,"","no")</f>
        <v/>
      </c>
      <c r="I91" s="340">
        <f>IFERROR(VLOOKUP(D91,מרכבה!A:K,7,0),"")</f>
        <v>2025</v>
      </c>
      <c r="J91" s="340">
        <f>IFERROR(VLOOKUP(D91,מרכבה!A:K,5,0),"")</f>
        <v>40471611</v>
      </c>
      <c r="K91" s="340">
        <f>IFERROR(VLOOKUP(D91,מרכבה!A:K,4,0),"")</f>
        <v>580014231</v>
      </c>
      <c r="L91" s="340" t="str">
        <f>IFERROR(VLOOKUP(D91,מרכבה!A:K,6,0),"")</f>
        <v>חיבה - התנועה למורשת ישראל )ע"ר(</v>
      </c>
      <c r="M91" s="340" t="str">
        <f>IFERROR(VLOOKUP(D91,מרכבה!A:K,2,0),"")</f>
        <v>פעילויות מורשת לכלל העדות</v>
      </c>
      <c r="N91" s="354">
        <f>IFERROR(VLOOKUP(E91,מרכבה!A:K,9,0),0)</f>
        <v>248599.4</v>
      </c>
      <c r="O91" s="341">
        <f>IFERROR(VLOOKUP(D91,מרכבה!A:K,8,0),"")</f>
        <v>1608200</v>
      </c>
      <c r="P91" s="342">
        <f t="shared" ca="1" si="2"/>
        <v>1.3638905293912085</v>
      </c>
      <c r="Q91" s="343">
        <f ca="1">'קיזוזים בגין איחורים'!F91</f>
        <v>0</v>
      </c>
      <c r="R91" s="344">
        <f ca="1">IF(B91="","",'קיזוזים- החלטות ועדה'!E91)</f>
        <v>0</v>
      </c>
      <c r="S91" s="343">
        <f ca="1">'קיזוזים- החלטות ועדה'!G91</f>
        <v>339062.36727233679</v>
      </c>
      <c r="T91" s="344">
        <f ca="1">'הגבלה לסכום מבוקש (2)'!W91</f>
        <v>339062.36727233679</v>
      </c>
      <c r="U91" s="346"/>
      <c r="V91" s="346" t="s">
        <v>370</v>
      </c>
    </row>
    <row r="92" spans="2:22" ht="16.5" customHeight="1" x14ac:dyDescent="0.25">
      <c r="B92" s="338" t="str">
        <f t="shared" ca="1" si="3"/>
        <v/>
      </c>
      <c r="C92" s="339" t="str">
        <f ca="1">IF(LEFT('ריכוז נתונים'!B78,11)="גיליון הזנה","",'ריכוז נתונים'!B78)</f>
        <v/>
      </c>
      <c r="D92" s="435"/>
      <c r="E92" s="435"/>
      <c r="F92" s="435"/>
      <c r="G92" s="353" t="str">
        <f t="shared" ca="1" si="1"/>
        <v/>
      </c>
      <c r="H92" s="340" t="str">
        <f>IF(IFERROR(VLOOKUP(E92,מרכבה!A:K,4,0),"")=K92,"","no")</f>
        <v/>
      </c>
      <c r="I92" s="340" t="str">
        <f>IFERROR(VLOOKUP(D92,מרכבה!A:K,7,0),"")</f>
        <v/>
      </c>
      <c r="J92" s="340" t="str">
        <f>IFERROR(VLOOKUP(D92,מרכבה!A:K,5,0),"")</f>
        <v/>
      </c>
      <c r="K92" s="340" t="str">
        <f>IFERROR(VLOOKUP(D92,מרכבה!A:K,4,0),"")</f>
        <v/>
      </c>
      <c r="L92" s="340" t="str">
        <f>IFERROR(VLOOKUP(D92,מרכבה!A:K,6,0),"")</f>
        <v/>
      </c>
      <c r="M92" s="340" t="str">
        <f>IFERROR(VLOOKUP(D92,מרכבה!A:K,2,0),"")</f>
        <v/>
      </c>
      <c r="N92" s="354">
        <f>IFERROR(VLOOKUP(E92,מרכבה!A:K,9,0),0)</f>
        <v>0</v>
      </c>
      <c r="O92" s="341" t="str">
        <f>IFERROR(VLOOKUP(D92,מרכבה!A:K,8,0),"")</f>
        <v/>
      </c>
      <c r="P92" s="342" t="str">
        <f t="shared" si="2"/>
        <v/>
      </c>
      <c r="Q92" s="343"/>
      <c r="R92" s="344"/>
      <c r="S92" s="343"/>
      <c r="T92" s="344"/>
      <c r="U92" s="345"/>
      <c r="V92" s="346"/>
    </row>
    <row r="93" spans="2:22" ht="15.75" customHeight="1" x14ac:dyDescent="0.25">
      <c r="B93" s="338"/>
      <c r="C93" s="339"/>
      <c r="D93" s="435"/>
      <c r="E93" s="435"/>
      <c r="F93" s="435"/>
      <c r="G93" s="353" t="str">
        <f t="shared" si="1"/>
        <v/>
      </c>
      <c r="H93" s="340" t="str">
        <f>IF(IFERROR(VLOOKUP(E93,מרכבה!A:K,4,0),"")=K93,"","no")</f>
        <v/>
      </c>
      <c r="I93" s="340" t="str">
        <f>IFERROR(VLOOKUP(D93,מרכבה!A:K,7,0),"")</f>
        <v/>
      </c>
      <c r="J93" s="340" t="str">
        <f>IFERROR(VLOOKUP(D93,מרכבה!A:K,5,0),"")</f>
        <v/>
      </c>
      <c r="K93" s="340" t="str">
        <f>IFERROR(VLOOKUP(D93,מרכבה!A:K,4,0),"")</f>
        <v/>
      </c>
      <c r="L93" s="340" t="str">
        <f>IFERROR(VLOOKUP(D93,מרכבה!A:K,6,0),"")</f>
        <v/>
      </c>
      <c r="M93" s="340" t="str">
        <f>IFERROR(VLOOKUP(D93,מרכבה!A:K,2,0),"")</f>
        <v/>
      </c>
      <c r="N93" s="354">
        <f>IFERROR(VLOOKUP(E93,מרכבה!A:K,9,0),0)</f>
        <v>0</v>
      </c>
      <c r="O93" s="341" t="str">
        <f>IFERROR(VLOOKUP(D93,מרכבה!A:K,8,0),"")</f>
        <v/>
      </c>
      <c r="P93" s="342" t="str">
        <f t="shared" si="2"/>
        <v/>
      </c>
      <c r="Q93" s="343"/>
      <c r="R93" s="344"/>
      <c r="S93" s="343"/>
      <c r="T93" s="344"/>
      <c r="U93" s="345"/>
      <c r="V93" s="345"/>
    </row>
    <row r="94" spans="2:22" ht="15.75" customHeight="1" x14ac:dyDescent="0.25">
      <c r="B94" s="338"/>
      <c r="C94" s="339"/>
      <c r="D94" s="435"/>
      <c r="E94" s="435"/>
      <c r="F94" s="435"/>
      <c r="G94" s="353" t="str">
        <f t="shared" si="1"/>
        <v/>
      </c>
      <c r="H94" s="340" t="str">
        <f>IF(IFERROR(VLOOKUP(E94,מרכבה!A:K,4,0),"")=K94,"","no")</f>
        <v/>
      </c>
      <c r="I94" s="340" t="str">
        <f>IFERROR(VLOOKUP(D94,מרכבה!A:K,7,0),"")</f>
        <v/>
      </c>
      <c r="J94" s="340" t="str">
        <f>IFERROR(VLOOKUP(D94,מרכבה!A:K,5,0),"")</f>
        <v/>
      </c>
      <c r="K94" s="340" t="str">
        <f>IFERROR(VLOOKUP(D94,מרכבה!A:K,4,0),"")</f>
        <v/>
      </c>
      <c r="L94" s="340" t="str">
        <f>IFERROR(VLOOKUP(D94,מרכבה!A:K,6,0),"")</f>
        <v/>
      </c>
      <c r="M94" s="340" t="str">
        <f>IFERROR(VLOOKUP(D94,מרכבה!A:K,2,0),"")</f>
        <v/>
      </c>
      <c r="N94" s="354">
        <f>IFERROR(VLOOKUP(E94,מרכבה!A:K,9,0),0)</f>
        <v>0</v>
      </c>
      <c r="O94" s="341" t="str">
        <f>IFERROR(VLOOKUP(D94,מרכבה!A:K,8,0),"")</f>
        <v/>
      </c>
      <c r="P94" s="342" t="str">
        <f t="shared" si="2"/>
        <v/>
      </c>
      <c r="Q94" s="343"/>
      <c r="R94" s="344"/>
      <c r="S94" s="343"/>
      <c r="T94" s="344"/>
      <c r="U94" s="345"/>
      <c r="V94" s="345"/>
    </row>
    <row r="95" spans="2:22" ht="15.75" customHeight="1" x14ac:dyDescent="0.25">
      <c r="B95" s="338"/>
      <c r="C95" s="339"/>
      <c r="D95" s="435"/>
      <c r="E95" s="435"/>
      <c r="F95" s="435"/>
      <c r="G95" s="353" t="str">
        <f t="shared" si="1"/>
        <v/>
      </c>
      <c r="H95" s="340" t="str">
        <f>IF(IFERROR(VLOOKUP(E95,מרכבה!A:K,4,0),"")=K95,"","no")</f>
        <v/>
      </c>
      <c r="I95" s="340" t="str">
        <f>IFERROR(VLOOKUP(D95,מרכבה!A:K,7,0),"")</f>
        <v/>
      </c>
      <c r="J95" s="340" t="str">
        <f>IFERROR(VLOOKUP(D95,מרכבה!A:K,5,0),"")</f>
        <v/>
      </c>
      <c r="K95" s="340" t="str">
        <f>IFERROR(VLOOKUP(D95,מרכבה!A:K,4,0),"")</f>
        <v/>
      </c>
      <c r="L95" s="340" t="str">
        <f>IFERROR(VLOOKUP(D95,מרכבה!A:K,6,0),"")</f>
        <v/>
      </c>
      <c r="M95" s="340" t="str">
        <f>IFERROR(VLOOKUP(D95,מרכבה!A:K,2,0),"")</f>
        <v/>
      </c>
      <c r="N95" s="354">
        <f>IFERROR(VLOOKUP(E95,מרכבה!A:K,9,0),0)</f>
        <v>0</v>
      </c>
      <c r="O95" s="341" t="str">
        <f>IFERROR(VLOOKUP(D95,מרכבה!A:K,8,0),"")</f>
        <v/>
      </c>
      <c r="P95" s="342" t="str">
        <f t="shared" si="2"/>
        <v/>
      </c>
      <c r="Q95" s="343"/>
      <c r="R95" s="344"/>
      <c r="S95" s="343"/>
      <c r="T95" s="344"/>
      <c r="U95" s="345"/>
      <c r="V95" s="345"/>
    </row>
    <row r="96" spans="2:22" ht="15.75" customHeight="1" x14ac:dyDescent="0.25">
      <c r="B96" s="338"/>
      <c r="C96" s="339"/>
      <c r="D96" s="435"/>
      <c r="E96" s="435"/>
      <c r="F96" s="435"/>
      <c r="G96" s="353" t="str">
        <f t="shared" ref="G96:G130" si="4">IF(C96="","",IF($C$1&gt;(F96+3),1,0))</f>
        <v/>
      </c>
      <c r="H96" s="340" t="str">
        <f>IF(IFERROR(VLOOKUP(E96,מרכבה!A:K,4,0),"")=K96,"","no")</f>
        <v/>
      </c>
      <c r="I96" s="340" t="str">
        <f>IFERROR(VLOOKUP(D96,מרכבה!A:K,7,0),"")</f>
        <v/>
      </c>
      <c r="J96" s="340" t="str">
        <f>IFERROR(VLOOKUP(D96,מרכבה!A:K,5,0),"")</f>
        <v/>
      </c>
      <c r="K96" s="340" t="str">
        <f>IFERROR(VLOOKUP(D96,מרכבה!A:K,4,0),"")</f>
        <v/>
      </c>
      <c r="L96" s="340" t="str">
        <f>IFERROR(VLOOKUP(D96,מרכבה!A:K,6,0),"")</f>
        <v/>
      </c>
      <c r="M96" s="340" t="str">
        <f>IFERROR(VLOOKUP(D96,מרכבה!A:K,2,0),"")</f>
        <v/>
      </c>
      <c r="N96" s="354">
        <f>IFERROR(VLOOKUP(E96,מרכבה!A:K,9,0),0)</f>
        <v>0</v>
      </c>
      <c r="O96" s="341" t="str">
        <f>IFERROR(VLOOKUP(D96,מרכבה!A:K,8,0),"")</f>
        <v/>
      </c>
      <c r="P96" s="342" t="str">
        <f t="shared" ref="P96:P130" si="5">IFERROR(S96/N96,"")</f>
        <v/>
      </c>
      <c r="Q96" s="343"/>
      <c r="R96" s="344"/>
      <c r="S96" s="343"/>
      <c r="T96" s="344"/>
      <c r="U96" s="345"/>
      <c r="V96" s="345"/>
    </row>
    <row r="97" spans="2:22" ht="15.75" customHeight="1" x14ac:dyDescent="0.25">
      <c r="B97" s="338"/>
      <c r="C97" s="339"/>
      <c r="D97" s="435"/>
      <c r="E97" s="435"/>
      <c r="F97" s="435"/>
      <c r="G97" s="353" t="str">
        <f t="shared" si="4"/>
        <v/>
      </c>
      <c r="H97" s="340" t="str">
        <f>IF(IFERROR(VLOOKUP(E97,מרכבה!A:K,4,0),"")=K97,"","no")</f>
        <v/>
      </c>
      <c r="I97" s="340" t="str">
        <f>IFERROR(VLOOKUP(D97,מרכבה!A:K,7,0),"")</f>
        <v/>
      </c>
      <c r="J97" s="340" t="str">
        <f>IFERROR(VLOOKUP(D97,מרכבה!A:K,5,0),"")</f>
        <v/>
      </c>
      <c r="K97" s="340" t="str">
        <f>IFERROR(VLOOKUP(D97,מרכבה!A:K,4,0),"")</f>
        <v/>
      </c>
      <c r="L97" s="340" t="str">
        <f>IFERROR(VLOOKUP(D97,מרכבה!A:K,6,0),"")</f>
        <v/>
      </c>
      <c r="M97" s="340" t="str">
        <f>IFERROR(VLOOKUP(D97,מרכבה!A:K,2,0),"")</f>
        <v/>
      </c>
      <c r="N97" s="354">
        <f>IFERROR(VLOOKUP(E97,מרכבה!A:K,9,0),0)</f>
        <v>0</v>
      </c>
      <c r="O97" s="341" t="str">
        <f>IFERROR(VLOOKUP(D97,מרכבה!A:K,8,0),"")</f>
        <v/>
      </c>
      <c r="P97" s="342" t="str">
        <f t="shared" si="5"/>
        <v/>
      </c>
      <c r="Q97" s="343"/>
      <c r="R97" s="344"/>
      <c r="S97" s="343"/>
      <c r="T97" s="344"/>
      <c r="U97" s="345"/>
      <c r="V97" s="345"/>
    </row>
    <row r="98" spans="2:22" ht="15.75" customHeight="1" x14ac:dyDescent="0.25">
      <c r="B98" s="338"/>
      <c r="C98" s="339"/>
      <c r="D98" s="435"/>
      <c r="E98" s="435"/>
      <c r="F98" s="435"/>
      <c r="G98" s="353" t="str">
        <f t="shared" si="4"/>
        <v/>
      </c>
      <c r="H98" s="340" t="str">
        <f>IF(IFERROR(VLOOKUP(E98,מרכבה!A:K,4,0),"")=K98,"","no")</f>
        <v/>
      </c>
      <c r="I98" s="340" t="str">
        <f>IFERROR(VLOOKUP(D98,מרכבה!A:K,7,0),"")</f>
        <v/>
      </c>
      <c r="J98" s="340" t="str">
        <f>IFERROR(VLOOKUP(D98,מרכבה!A:K,5,0),"")</f>
        <v/>
      </c>
      <c r="K98" s="340" t="str">
        <f>IFERROR(VLOOKUP(D98,מרכבה!A:K,4,0),"")</f>
        <v/>
      </c>
      <c r="L98" s="340" t="str">
        <f>IFERROR(VLOOKUP(D98,מרכבה!A:K,6,0),"")</f>
        <v/>
      </c>
      <c r="M98" s="340" t="str">
        <f>IFERROR(VLOOKUP(D98,מרכבה!A:K,2,0),"")</f>
        <v/>
      </c>
      <c r="N98" s="354">
        <f>IFERROR(VLOOKUP(E98,מרכבה!A:K,9,0),0)</f>
        <v>0</v>
      </c>
      <c r="O98" s="341" t="str">
        <f>IFERROR(VLOOKUP(D98,מרכבה!A:K,8,0),"")</f>
        <v/>
      </c>
      <c r="P98" s="342" t="str">
        <f t="shared" si="5"/>
        <v/>
      </c>
      <c r="Q98" s="343"/>
      <c r="R98" s="344"/>
      <c r="S98" s="343"/>
      <c r="T98" s="344"/>
      <c r="U98" s="345"/>
      <c r="V98" s="345"/>
    </row>
    <row r="99" spans="2:22" ht="15.75" customHeight="1" x14ac:dyDescent="0.25">
      <c r="B99" s="338"/>
      <c r="C99" s="339"/>
      <c r="D99" s="435"/>
      <c r="E99" s="435"/>
      <c r="F99" s="435"/>
      <c r="G99" s="353" t="str">
        <f t="shared" si="4"/>
        <v/>
      </c>
      <c r="H99" s="340" t="str">
        <f>IF(IFERROR(VLOOKUP(E99,מרכבה!A:K,4,0),"")=K99,"","no")</f>
        <v/>
      </c>
      <c r="I99" s="340" t="str">
        <f>IFERROR(VLOOKUP(D99,מרכבה!A:K,7,0),"")</f>
        <v/>
      </c>
      <c r="J99" s="340" t="str">
        <f>IFERROR(VLOOKUP(D99,מרכבה!A:K,5,0),"")</f>
        <v/>
      </c>
      <c r="K99" s="340" t="str">
        <f>IFERROR(VLOOKUP(D99,מרכבה!A:K,4,0),"")</f>
        <v/>
      </c>
      <c r="L99" s="340" t="str">
        <f>IFERROR(VLOOKUP(D99,מרכבה!A:K,6,0),"")</f>
        <v/>
      </c>
      <c r="M99" s="340" t="str">
        <f>IFERROR(VLOOKUP(D99,מרכבה!A:K,2,0),"")</f>
        <v/>
      </c>
      <c r="N99" s="354">
        <f>IFERROR(VLOOKUP(E99,מרכבה!A:K,9,0),0)</f>
        <v>0</v>
      </c>
      <c r="O99" s="341" t="str">
        <f>IFERROR(VLOOKUP(D99,מרכבה!A:K,8,0),"")</f>
        <v/>
      </c>
      <c r="P99" s="342" t="str">
        <f t="shared" si="5"/>
        <v/>
      </c>
      <c r="Q99" s="343"/>
      <c r="R99" s="344"/>
      <c r="S99" s="343"/>
      <c r="T99" s="344"/>
      <c r="U99" s="345"/>
      <c r="V99" s="345"/>
    </row>
    <row r="100" spans="2:22" ht="15.75" customHeight="1" x14ac:dyDescent="0.25">
      <c r="B100" s="338"/>
      <c r="C100" s="339"/>
      <c r="D100" s="435"/>
      <c r="E100" s="435"/>
      <c r="F100" s="435"/>
      <c r="G100" s="353" t="str">
        <f t="shared" si="4"/>
        <v/>
      </c>
      <c r="H100" s="340" t="str">
        <f>IF(IFERROR(VLOOKUP(E100,מרכבה!A:K,4,0),"")=K100,"","no")</f>
        <v/>
      </c>
      <c r="I100" s="340" t="str">
        <f>IFERROR(VLOOKUP(D100,מרכבה!A:K,7,0),"")</f>
        <v/>
      </c>
      <c r="J100" s="340" t="str">
        <f>IFERROR(VLOOKUP(D100,מרכבה!A:K,5,0),"")</f>
        <v/>
      </c>
      <c r="K100" s="340" t="str">
        <f>IFERROR(VLOOKUP(D100,מרכבה!A:K,4,0),"")</f>
        <v/>
      </c>
      <c r="L100" s="340" t="str">
        <f>IFERROR(VLOOKUP(D100,מרכבה!A:K,6,0),"")</f>
        <v/>
      </c>
      <c r="M100" s="340" t="str">
        <f>IFERROR(VLOOKUP(D100,מרכבה!A:K,2,0),"")</f>
        <v/>
      </c>
      <c r="N100" s="354">
        <f>IFERROR(VLOOKUP(E100,מרכבה!A:K,9,0),0)</f>
        <v>0</v>
      </c>
      <c r="O100" s="341" t="str">
        <f>IFERROR(VLOOKUP(D100,מרכבה!A:K,8,0),"")</f>
        <v/>
      </c>
      <c r="P100" s="342" t="str">
        <f t="shared" si="5"/>
        <v/>
      </c>
      <c r="Q100" s="343"/>
      <c r="R100" s="344"/>
      <c r="S100" s="343"/>
      <c r="T100" s="344"/>
      <c r="U100" s="345"/>
      <c r="V100" s="345"/>
    </row>
    <row r="101" spans="2:22" ht="15.75" customHeight="1" x14ac:dyDescent="0.25">
      <c r="B101" s="338"/>
      <c r="C101" s="339"/>
      <c r="D101" s="435"/>
      <c r="E101" s="435"/>
      <c r="F101" s="435"/>
      <c r="G101" s="353" t="str">
        <f t="shared" si="4"/>
        <v/>
      </c>
      <c r="H101" s="340" t="str">
        <f>IF(IFERROR(VLOOKUP(E101,מרכבה!A:K,4,0),"")=K101,"","no")</f>
        <v/>
      </c>
      <c r="I101" s="340" t="str">
        <f>IFERROR(VLOOKUP(D101,מרכבה!A:K,7,0),"")</f>
        <v/>
      </c>
      <c r="J101" s="340" t="str">
        <f>IFERROR(VLOOKUP(D101,מרכבה!A:K,5,0),"")</f>
        <v/>
      </c>
      <c r="K101" s="340" t="str">
        <f>IFERROR(VLOOKUP(D101,מרכבה!A:K,4,0),"")</f>
        <v/>
      </c>
      <c r="L101" s="340" t="str">
        <f>IFERROR(VLOOKUP(D101,מרכבה!A:K,6,0),"")</f>
        <v/>
      </c>
      <c r="M101" s="340" t="str">
        <f>IFERROR(VLOOKUP(D101,מרכבה!A:K,2,0),"")</f>
        <v/>
      </c>
      <c r="N101" s="354">
        <f>IFERROR(VLOOKUP(E101,מרכבה!A:K,9,0),0)</f>
        <v>0</v>
      </c>
      <c r="O101" s="341" t="str">
        <f>IFERROR(VLOOKUP(D101,מרכבה!A:K,8,0),"")</f>
        <v/>
      </c>
      <c r="P101" s="342" t="str">
        <f t="shared" si="5"/>
        <v/>
      </c>
      <c r="Q101" s="343"/>
      <c r="R101" s="344"/>
      <c r="S101" s="343"/>
      <c r="T101" s="344"/>
      <c r="U101" s="345"/>
      <c r="V101" s="345"/>
    </row>
    <row r="102" spans="2:22" ht="15.75" customHeight="1" x14ac:dyDescent="0.25">
      <c r="B102" s="338"/>
      <c r="C102" s="339"/>
      <c r="D102" s="435"/>
      <c r="E102" s="435"/>
      <c r="F102" s="435"/>
      <c r="G102" s="353" t="str">
        <f t="shared" si="4"/>
        <v/>
      </c>
      <c r="H102" s="340" t="str">
        <f>IF(IFERROR(VLOOKUP(E102,מרכבה!A:K,4,0),"")=K102,"","no")</f>
        <v/>
      </c>
      <c r="I102" s="340" t="str">
        <f>IFERROR(VLOOKUP(D102,מרכבה!A:K,7,0),"")</f>
        <v/>
      </c>
      <c r="J102" s="340" t="str">
        <f>IFERROR(VLOOKUP(D102,מרכבה!A:K,5,0),"")</f>
        <v/>
      </c>
      <c r="K102" s="340" t="str">
        <f>IFERROR(VLOOKUP(D102,מרכבה!A:K,4,0),"")</f>
        <v/>
      </c>
      <c r="L102" s="340" t="str">
        <f>IFERROR(VLOOKUP(D102,מרכבה!A:K,6,0),"")</f>
        <v/>
      </c>
      <c r="M102" s="340" t="str">
        <f>IFERROR(VLOOKUP(D102,מרכבה!A:K,2,0),"")</f>
        <v/>
      </c>
      <c r="N102" s="354">
        <f>IFERROR(VLOOKUP(E102,מרכבה!A:K,9,0),0)</f>
        <v>0</v>
      </c>
      <c r="O102" s="341" t="str">
        <f>IFERROR(VLOOKUP(D102,מרכבה!A:K,8,0),"")</f>
        <v/>
      </c>
      <c r="P102" s="342" t="str">
        <f t="shared" si="5"/>
        <v/>
      </c>
      <c r="Q102" s="343"/>
      <c r="R102" s="344"/>
      <c r="S102" s="343"/>
      <c r="T102" s="344"/>
      <c r="U102" s="345"/>
      <c r="V102" s="345"/>
    </row>
    <row r="103" spans="2:22" ht="15.75" customHeight="1" x14ac:dyDescent="0.25">
      <c r="B103" s="338"/>
      <c r="C103" s="339"/>
      <c r="D103" s="435"/>
      <c r="E103" s="435"/>
      <c r="F103" s="435"/>
      <c r="G103" s="353" t="str">
        <f t="shared" si="4"/>
        <v/>
      </c>
      <c r="H103" s="340" t="str">
        <f>IF(IFERROR(VLOOKUP(E103,מרכבה!A:K,4,0),"")=K103,"","no")</f>
        <v/>
      </c>
      <c r="I103" s="340" t="str">
        <f>IFERROR(VLOOKUP(D103,מרכבה!A:K,7,0),"")</f>
        <v/>
      </c>
      <c r="J103" s="340" t="str">
        <f>IFERROR(VLOOKUP(D103,מרכבה!A:K,5,0),"")</f>
        <v/>
      </c>
      <c r="K103" s="340" t="str">
        <f>IFERROR(VLOOKUP(D103,מרכבה!A:K,4,0),"")</f>
        <v/>
      </c>
      <c r="L103" s="340" t="str">
        <f>IFERROR(VLOOKUP(D103,מרכבה!A:K,6,0),"")</f>
        <v/>
      </c>
      <c r="M103" s="340" t="str">
        <f>IFERROR(VLOOKUP(D103,מרכבה!A:K,2,0),"")</f>
        <v/>
      </c>
      <c r="N103" s="354">
        <f>IFERROR(VLOOKUP(E103,מרכבה!A:K,9,0),0)</f>
        <v>0</v>
      </c>
      <c r="O103" s="341" t="str">
        <f>IFERROR(VLOOKUP(D103,מרכבה!A:K,8,0),"")</f>
        <v/>
      </c>
      <c r="P103" s="342" t="str">
        <f t="shared" si="5"/>
        <v/>
      </c>
      <c r="Q103" s="343"/>
      <c r="R103" s="344"/>
      <c r="S103" s="343"/>
      <c r="T103" s="344"/>
      <c r="U103" s="345"/>
      <c r="V103" s="345"/>
    </row>
    <row r="104" spans="2:22" ht="15.75" customHeight="1" x14ac:dyDescent="0.25">
      <c r="B104" s="338"/>
      <c r="C104" s="339"/>
      <c r="D104" s="435"/>
      <c r="E104" s="435"/>
      <c r="F104" s="435"/>
      <c r="G104" s="353" t="str">
        <f t="shared" si="4"/>
        <v/>
      </c>
      <c r="H104" s="340" t="str">
        <f>IF(IFERROR(VLOOKUP(E104,מרכבה!A:K,4,0),"")=K104,"","no")</f>
        <v/>
      </c>
      <c r="I104" s="340" t="str">
        <f>IFERROR(VLOOKUP(D104,מרכבה!A:K,7,0),"")</f>
        <v/>
      </c>
      <c r="J104" s="340" t="str">
        <f>IFERROR(VLOOKUP(D104,מרכבה!A:K,5,0),"")</f>
        <v/>
      </c>
      <c r="K104" s="340" t="str">
        <f>IFERROR(VLOOKUP(D104,מרכבה!A:K,4,0),"")</f>
        <v/>
      </c>
      <c r="L104" s="340" t="str">
        <f>IFERROR(VLOOKUP(D104,מרכבה!A:K,6,0),"")</f>
        <v/>
      </c>
      <c r="M104" s="340" t="str">
        <f>IFERROR(VLOOKUP(D104,מרכבה!A:K,2,0),"")</f>
        <v/>
      </c>
      <c r="N104" s="354">
        <f>IFERROR(VLOOKUP(E104,מרכבה!A:K,9,0),0)</f>
        <v>0</v>
      </c>
      <c r="O104" s="341" t="str">
        <f>IFERROR(VLOOKUP(D104,מרכבה!A:K,8,0),"")</f>
        <v/>
      </c>
      <c r="P104" s="342" t="str">
        <f t="shared" si="5"/>
        <v/>
      </c>
      <c r="Q104" s="343"/>
      <c r="R104" s="344"/>
      <c r="S104" s="343"/>
      <c r="T104" s="344"/>
      <c r="U104" s="345"/>
      <c r="V104" s="345"/>
    </row>
    <row r="105" spans="2:22" ht="15.75" customHeight="1" x14ac:dyDescent="0.25">
      <c r="B105" s="338"/>
      <c r="C105" s="339"/>
      <c r="D105" s="435"/>
      <c r="E105" s="435"/>
      <c r="F105" s="435"/>
      <c r="G105" s="353" t="str">
        <f t="shared" si="4"/>
        <v/>
      </c>
      <c r="H105" s="340" t="str">
        <f>IF(IFERROR(VLOOKUP(E105,מרכבה!A:K,4,0),"")=K105,"","no")</f>
        <v/>
      </c>
      <c r="I105" s="340" t="str">
        <f>IFERROR(VLOOKUP(D105,מרכבה!A:K,7,0),"")</f>
        <v/>
      </c>
      <c r="J105" s="340" t="str">
        <f>IFERROR(VLOOKUP(D105,מרכבה!A:K,5,0),"")</f>
        <v/>
      </c>
      <c r="K105" s="340" t="str">
        <f>IFERROR(VLOOKUP(D105,מרכבה!A:K,4,0),"")</f>
        <v/>
      </c>
      <c r="L105" s="340" t="str">
        <f>IFERROR(VLOOKUP(D105,מרכבה!A:K,6,0),"")</f>
        <v/>
      </c>
      <c r="M105" s="340" t="str">
        <f>IFERROR(VLOOKUP(D105,מרכבה!A:K,2,0),"")</f>
        <v/>
      </c>
      <c r="N105" s="354">
        <f>IFERROR(VLOOKUP(E105,מרכבה!A:K,9,0),0)</f>
        <v>0</v>
      </c>
      <c r="O105" s="341" t="str">
        <f>IFERROR(VLOOKUP(D105,מרכבה!A:K,8,0),"")</f>
        <v/>
      </c>
      <c r="P105" s="342" t="str">
        <f t="shared" si="5"/>
        <v/>
      </c>
      <c r="Q105" s="343"/>
      <c r="R105" s="344"/>
      <c r="S105" s="343"/>
      <c r="T105" s="344"/>
      <c r="U105" s="345"/>
      <c r="V105" s="345"/>
    </row>
    <row r="106" spans="2:22" ht="15.75" customHeight="1" x14ac:dyDescent="0.25">
      <c r="B106" s="338"/>
      <c r="C106" s="339"/>
      <c r="D106" s="435"/>
      <c r="E106" s="435"/>
      <c r="F106" s="435"/>
      <c r="G106" s="353" t="str">
        <f t="shared" si="4"/>
        <v/>
      </c>
      <c r="H106" s="340" t="str">
        <f>IF(IFERROR(VLOOKUP(E106,מרכבה!A:K,4,0),"")=K106,"","no")</f>
        <v/>
      </c>
      <c r="I106" s="340" t="str">
        <f>IFERROR(VLOOKUP(D106,מרכבה!A:K,7,0),"")</f>
        <v/>
      </c>
      <c r="J106" s="340" t="str">
        <f>IFERROR(VLOOKUP(D106,מרכבה!A:K,5,0),"")</f>
        <v/>
      </c>
      <c r="K106" s="340" t="str">
        <f>IFERROR(VLOOKUP(D106,מרכבה!A:K,4,0),"")</f>
        <v/>
      </c>
      <c r="L106" s="340" t="str">
        <f>IFERROR(VLOOKUP(D106,מרכבה!A:K,6,0),"")</f>
        <v/>
      </c>
      <c r="M106" s="340" t="str">
        <f>IFERROR(VLOOKUP(D106,מרכבה!A:K,2,0),"")</f>
        <v/>
      </c>
      <c r="N106" s="354">
        <f>IFERROR(VLOOKUP(E106,מרכבה!A:K,9,0),0)</f>
        <v>0</v>
      </c>
      <c r="O106" s="341" t="str">
        <f>IFERROR(VLOOKUP(D106,מרכבה!A:K,8,0),"")</f>
        <v/>
      </c>
      <c r="P106" s="342" t="str">
        <f t="shared" si="5"/>
        <v/>
      </c>
      <c r="Q106" s="343"/>
      <c r="R106" s="344"/>
      <c r="S106" s="343"/>
      <c r="T106" s="344"/>
      <c r="U106" s="345"/>
      <c r="V106" s="345"/>
    </row>
    <row r="107" spans="2:22" ht="15.75" customHeight="1" x14ac:dyDescent="0.25">
      <c r="B107" s="338"/>
      <c r="C107" s="339"/>
      <c r="D107" s="435"/>
      <c r="E107" s="435"/>
      <c r="F107" s="435"/>
      <c r="G107" s="353" t="str">
        <f t="shared" si="4"/>
        <v/>
      </c>
      <c r="H107" s="340" t="str">
        <f>IF(IFERROR(VLOOKUP(E107,מרכבה!A:K,4,0),"")=K107,"","no")</f>
        <v/>
      </c>
      <c r="I107" s="340" t="str">
        <f>IFERROR(VLOOKUP(D107,מרכבה!A:K,7,0),"")</f>
        <v/>
      </c>
      <c r="J107" s="340" t="str">
        <f>IFERROR(VLOOKUP(D107,מרכבה!A:K,5,0),"")</f>
        <v/>
      </c>
      <c r="K107" s="340" t="str">
        <f>IFERROR(VLOOKUP(D107,מרכבה!A:K,4,0),"")</f>
        <v/>
      </c>
      <c r="L107" s="340" t="str">
        <f>IFERROR(VLOOKUP(D107,מרכבה!A:K,6,0),"")</f>
        <v/>
      </c>
      <c r="M107" s="340" t="str">
        <f>IFERROR(VLOOKUP(D107,מרכבה!A:K,2,0),"")</f>
        <v/>
      </c>
      <c r="N107" s="354">
        <f>IFERROR(VLOOKUP(E107,מרכבה!A:K,9,0),0)</f>
        <v>0</v>
      </c>
      <c r="O107" s="341" t="str">
        <f>IFERROR(VLOOKUP(D107,מרכבה!A:K,8,0),"")</f>
        <v/>
      </c>
      <c r="P107" s="342" t="str">
        <f t="shared" si="5"/>
        <v/>
      </c>
      <c r="Q107" s="343"/>
      <c r="R107" s="344"/>
      <c r="S107" s="343"/>
      <c r="T107" s="344"/>
      <c r="U107" s="345"/>
      <c r="V107" s="345"/>
    </row>
    <row r="108" spans="2:22" ht="15.75" customHeight="1" x14ac:dyDescent="0.25">
      <c r="B108" s="338"/>
      <c r="C108" s="339"/>
      <c r="D108" s="435"/>
      <c r="E108" s="435"/>
      <c r="F108" s="435"/>
      <c r="G108" s="353" t="str">
        <f t="shared" si="4"/>
        <v/>
      </c>
      <c r="H108" s="340" t="str">
        <f>IF(IFERROR(VLOOKUP(E108,מרכבה!A:K,4,0),"")=K108,"","no")</f>
        <v/>
      </c>
      <c r="I108" s="340" t="str">
        <f>IFERROR(VLOOKUP(D108,מרכבה!A:K,7,0),"")</f>
        <v/>
      </c>
      <c r="J108" s="340" t="str">
        <f>IFERROR(VLOOKUP(D108,מרכבה!A:K,5,0),"")</f>
        <v/>
      </c>
      <c r="K108" s="340" t="str">
        <f>IFERROR(VLOOKUP(D108,מרכבה!A:K,4,0),"")</f>
        <v/>
      </c>
      <c r="L108" s="340" t="str">
        <f>IFERROR(VLOOKUP(D108,מרכבה!A:K,6,0),"")</f>
        <v/>
      </c>
      <c r="M108" s="340" t="str">
        <f>IFERROR(VLOOKUP(D108,מרכבה!A:K,2,0),"")</f>
        <v/>
      </c>
      <c r="N108" s="354">
        <f>IFERROR(VLOOKUP(E108,מרכבה!A:K,9,0),0)</f>
        <v>0</v>
      </c>
      <c r="O108" s="341" t="str">
        <f>IFERROR(VLOOKUP(D108,מרכבה!A:K,8,0),"")</f>
        <v/>
      </c>
      <c r="P108" s="342" t="str">
        <f t="shared" si="5"/>
        <v/>
      </c>
      <c r="Q108" s="343"/>
      <c r="R108" s="344"/>
      <c r="S108" s="343"/>
      <c r="T108" s="344"/>
      <c r="U108" s="345"/>
      <c r="V108" s="345"/>
    </row>
    <row r="109" spans="2:22" ht="15.75" customHeight="1" x14ac:dyDescent="0.25">
      <c r="B109" s="338"/>
      <c r="C109" s="339"/>
      <c r="D109" s="435"/>
      <c r="E109" s="435"/>
      <c r="F109" s="435"/>
      <c r="G109" s="353" t="str">
        <f t="shared" si="4"/>
        <v/>
      </c>
      <c r="H109" s="340" t="str">
        <f>IF(IFERROR(VLOOKUP(E109,מרכבה!A:K,4,0),"")=K109,"","no")</f>
        <v/>
      </c>
      <c r="I109" s="340" t="str">
        <f>IFERROR(VLOOKUP(D109,מרכבה!A:K,7,0),"")</f>
        <v/>
      </c>
      <c r="J109" s="340" t="str">
        <f>IFERROR(VLOOKUP(D109,מרכבה!A:K,5,0),"")</f>
        <v/>
      </c>
      <c r="K109" s="340" t="str">
        <f>IFERROR(VLOOKUP(D109,מרכבה!A:K,4,0),"")</f>
        <v/>
      </c>
      <c r="L109" s="340" t="str">
        <f>IFERROR(VLOOKUP(D109,מרכבה!A:K,6,0),"")</f>
        <v/>
      </c>
      <c r="M109" s="340" t="str">
        <f>IFERROR(VLOOKUP(D109,מרכבה!A:K,2,0),"")</f>
        <v/>
      </c>
      <c r="N109" s="354">
        <f>IFERROR(VLOOKUP(E109,מרכבה!A:K,9,0),0)</f>
        <v>0</v>
      </c>
      <c r="O109" s="341" t="str">
        <f>IFERROR(VLOOKUP(D109,מרכבה!A:K,8,0),"")</f>
        <v/>
      </c>
      <c r="P109" s="342" t="str">
        <f t="shared" si="5"/>
        <v/>
      </c>
      <c r="Q109" s="343"/>
      <c r="R109" s="344"/>
      <c r="S109" s="343"/>
      <c r="T109" s="344"/>
      <c r="U109" s="345"/>
      <c r="V109" s="345"/>
    </row>
    <row r="110" spans="2:22" ht="15.75" customHeight="1" x14ac:dyDescent="0.25">
      <c r="B110" s="338"/>
      <c r="C110" s="339"/>
      <c r="D110" s="435"/>
      <c r="E110" s="435"/>
      <c r="F110" s="435"/>
      <c r="G110" s="353" t="str">
        <f t="shared" si="4"/>
        <v/>
      </c>
      <c r="H110" s="340" t="str">
        <f>IF(IFERROR(VLOOKUP(E110,מרכבה!A:K,4,0),"")=K110,"","no")</f>
        <v/>
      </c>
      <c r="I110" s="340" t="str">
        <f>IFERROR(VLOOKUP(D110,מרכבה!A:K,7,0),"")</f>
        <v/>
      </c>
      <c r="J110" s="340" t="str">
        <f>IFERROR(VLOOKUP(D110,מרכבה!A:K,5,0),"")</f>
        <v/>
      </c>
      <c r="K110" s="340" t="str">
        <f>IFERROR(VLOOKUP(D110,מרכבה!A:K,4,0),"")</f>
        <v/>
      </c>
      <c r="L110" s="340" t="str">
        <f>IFERROR(VLOOKUP(D110,מרכבה!A:K,6,0),"")</f>
        <v/>
      </c>
      <c r="M110" s="340" t="str">
        <f>IFERROR(VLOOKUP(D110,מרכבה!A:K,2,0),"")</f>
        <v/>
      </c>
      <c r="N110" s="354">
        <f>IFERROR(VLOOKUP(E110,מרכבה!A:K,9,0),0)</f>
        <v>0</v>
      </c>
      <c r="O110" s="341" t="str">
        <f>IFERROR(VLOOKUP(D110,מרכבה!A:K,8,0),"")</f>
        <v/>
      </c>
      <c r="P110" s="342" t="str">
        <f t="shared" si="5"/>
        <v/>
      </c>
      <c r="Q110" s="343"/>
      <c r="R110" s="344"/>
      <c r="S110" s="343"/>
      <c r="T110" s="344"/>
      <c r="U110" s="345"/>
      <c r="V110" s="345"/>
    </row>
    <row r="111" spans="2:22" ht="15.75" customHeight="1" x14ac:dyDescent="0.25">
      <c r="B111" s="338"/>
      <c r="C111" s="339"/>
      <c r="D111" s="435"/>
      <c r="E111" s="435"/>
      <c r="F111" s="435"/>
      <c r="G111" s="353" t="str">
        <f t="shared" si="4"/>
        <v/>
      </c>
      <c r="H111" s="340" t="str">
        <f>IF(IFERROR(VLOOKUP(E111,מרכבה!A:K,4,0),"")=K111,"","no")</f>
        <v/>
      </c>
      <c r="I111" s="340" t="str">
        <f>IFERROR(VLOOKUP(D111,מרכבה!A:K,7,0),"")</f>
        <v/>
      </c>
      <c r="J111" s="340" t="str">
        <f>IFERROR(VLOOKUP(D111,מרכבה!A:K,5,0),"")</f>
        <v/>
      </c>
      <c r="K111" s="340" t="str">
        <f>IFERROR(VLOOKUP(D111,מרכבה!A:K,4,0),"")</f>
        <v/>
      </c>
      <c r="L111" s="340" t="str">
        <f>IFERROR(VLOOKUP(D111,מרכבה!A:K,6,0),"")</f>
        <v/>
      </c>
      <c r="M111" s="340" t="str">
        <f>IFERROR(VLOOKUP(D111,מרכבה!A:K,2,0),"")</f>
        <v/>
      </c>
      <c r="N111" s="354">
        <f>IFERROR(VLOOKUP(E111,מרכבה!A:K,9,0),0)</f>
        <v>0</v>
      </c>
      <c r="O111" s="341" t="str">
        <f>IFERROR(VLOOKUP(D111,מרכבה!A:K,8,0),"")</f>
        <v/>
      </c>
      <c r="P111" s="342" t="str">
        <f t="shared" si="5"/>
        <v/>
      </c>
      <c r="Q111" s="343"/>
      <c r="R111" s="344"/>
      <c r="S111" s="343"/>
      <c r="T111" s="344"/>
      <c r="U111" s="345"/>
      <c r="V111" s="345"/>
    </row>
    <row r="112" spans="2:22" ht="15.75" customHeight="1" x14ac:dyDescent="0.25">
      <c r="B112" s="338"/>
      <c r="C112" s="339"/>
      <c r="D112" s="435"/>
      <c r="E112" s="435"/>
      <c r="F112" s="435"/>
      <c r="G112" s="353" t="str">
        <f t="shared" si="4"/>
        <v/>
      </c>
      <c r="H112" s="340" t="str">
        <f>IF(IFERROR(VLOOKUP(E112,מרכבה!A:K,4,0),"")=K112,"","no")</f>
        <v/>
      </c>
      <c r="I112" s="340" t="str">
        <f>IFERROR(VLOOKUP(D112,מרכבה!A:K,7,0),"")</f>
        <v/>
      </c>
      <c r="J112" s="340" t="str">
        <f>IFERROR(VLOOKUP(D112,מרכבה!A:K,5,0),"")</f>
        <v/>
      </c>
      <c r="K112" s="340" t="str">
        <f>IFERROR(VLOOKUP(D112,מרכבה!A:K,4,0),"")</f>
        <v/>
      </c>
      <c r="L112" s="340" t="str">
        <f>IFERROR(VLOOKUP(D112,מרכבה!A:K,6,0),"")</f>
        <v/>
      </c>
      <c r="M112" s="340" t="str">
        <f>IFERROR(VLOOKUP(D112,מרכבה!A:K,2,0),"")</f>
        <v/>
      </c>
      <c r="N112" s="354">
        <f>IFERROR(VLOOKUP(E112,מרכבה!A:K,9,0),0)</f>
        <v>0</v>
      </c>
      <c r="O112" s="341" t="str">
        <f>IFERROR(VLOOKUP(D112,מרכבה!A:K,8,0),"")</f>
        <v/>
      </c>
      <c r="P112" s="342" t="str">
        <f t="shared" si="5"/>
        <v/>
      </c>
      <c r="Q112" s="343"/>
      <c r="R112" s="344"/>
      <c r="S112" s="343"/>
      <c r="T112" s="344"/>
      <c r="U112" s="345"/>
      <c r="V112" s="345"/>
    </row>
    <row r="113" spans="2:22" ht="15.75" customHeight="1" x14ac:dyDescent="0.25">
      <c r="B113" s="338"/>
      <c r="C113" s="339"/>
      <c r="D113" s="435"/>
      <c r="E113" s="435"/>
      <c r="F113" s="435"/>
      <c r="G113" s="353" t="str">
        <f t="shared" si="4"/>
        <v/>
      </c>
      <c r="H113" s="340" t="str">
        <f>IF(IFERROR(VLOOKUP(E113,מרכבה!A:K,4,0),"")=K113,"","no")</f>
        <v/>
      </c>
      <c r="I113" s="340" t="str">
        <f>IFERROR(VLOOKUP(D113,מרכבה!A:K,7,0),"")</f>
        <v/>
      </c>
      <c r="J113" s="340" t="str">
        <f>IFERROR(VLOOKUP(D113,מרכבה!A:K,5,0),"")</f>
        <v/>
      </c>
      <c r="K113" s="340" t="str">
        <f>IFERROR(VLOOKUP(D113,מרכבה!A:K,4,0),"")</f>
        <v/>
      </c>
      <c r="L113" s="340" t="str">
        <f>IFERROR(VLOOKUP(D113,מרכבה!A:K,6,0),"")</f>
        <v/>
      </c>
      <c r="M113" s="340" t="str">
        <f>IFERROR(VLOOKUP(D113,מרכבה!A:K,2,0),"")</f>
        <v/>
      </c>
      <c r="N113" s="354">
        <f>IFERROR(VLOOKUP(E113,מרכבה!A:K,9,0),0)</f>
        <v>0</v>
      </c>
      <c r="O113" s="341" t="str">
        <f>IFERROR(VLOOKUP(D113,מרכבה!A:K,8,0),"")</f>
        <v/>
      </c>
      <c r="P113" s="342" t="str">
        <f t="shared" si="5"/>
        <v/>
      </c>
      <c r="Q113" s="343"/>
      <c r="R113" s="344"/>
      <c r="S113" s="343"/>
      <c r="T113" s="344"/>
      <c r="U113" s="345"/>
      <c r="V113" s="345"/>
    </row>
    <row r="114" spans="2:22" ht="15.75" customHeight="1" x14ac:dyDescent="0.25">
      <c r="B114" s="338"/>
      <c r="C114" s="339"/>
      <c r="D114" s="435"/>
      <c r="E114" s="435"/>
      <c r="F114" s="435"/>
      <c r="G114" s="353" t="str">
        <f t="shared" si="4"/>
        <v/>
      </c>
      <c r="H114" s="340" t="str">
        <f>IF(IFERROR(VLOOKUP(E114,מרכבה!A:K,4,0),"")=K114,"","no")</f>
        <v/>
      </c>
      <c r="I114" s="340" t="str">
        <f>IFERROR(VLOOKUP(D114,מרכבה!A:K,7,0),"")</f>
        <v/>
      </c>
      <c r="J114" s="340" t="str">
        <f>IFERROR(VLOOKUP(D114,מרכבה!A:K,5,0),"")</f>
        <v/>
      </c>
      <c r="K114" s="340" t="str">
        <f>IFERROR(VLOOKUP(D114,מרכבה!A:K,4,0),"")</f>
        <v/>
      </c>
      <c r="L114" s="340" t="str">
        <f>IFERROR(VLOOKUP(D114,מרכבה!A:K,6,0),"")</f>
        <v/>
      </c>
      <c r="M114" s="340" t="str">
        <f>IFERROR(VLOOKUP(D114,מרכבה!A:K,2,0),"")</f>
        <v/>
      </c>
      <c r="N114" s="354">
        <f>IFERROR(VLOOKUP(E114,מרכבה!A:K,9,0),0)</f>
        <v>0</v>
      </c>
      <c r="O114" s="341" t="str">
        <f>IFERROR(VLOOKUP(D114,מרכבה!A:K,8,0),"")</f>
        <v/>
      </c>
      <c r="P114" s="342" t="str">
        <f t="shared" si="5"/>
        <v/>
      </c>
      <c r="Q114" s="343"/>
      <c r="R114" s="344"/>
      <c r="S114" s="343"/>
      <c r="T114" s="344"/>
      <c r="U114" s="345"/>
      <c r="V114" s="345"/>
    </row>
    <row r="115" spans="2:22" ht="15.75" customHeight="1" x14ac:dyDescent="0.25">
      <c r="B115" s="338"/>
      <c r="C115" s="339"/>
      <c r="D115" s="435"/>
      <c r="E115" s="435"/>
      <c r="F115" s="435"/>
      <c r="G115" s="353" t="str">
        <f t="shared" si="4"/>
        <v/>
      </c>
      <c r="H115" s="340" t="str">
        <f>IF(IFERROR(VLOOKUP(E115,מרכבה!A:K,4,0),"")=K115,"","no")</f>
        <v/>
      </c>
      <c r="I115" s="340" t="str">
        <f>IFERROR(VLOOKUP(D115,מרכבה!A:K,7,0),"")</f>
        <v/>
      </c>
      <c r="J115" s="340" t="str">
        <f>IFERROR(VLOOKUP(D115,מרכבה!A:K,5,0),"")</f>
        <v/>
      </c>
      <c r="K115" s="340" t="str">
        <f>IFERROR(VLOOKUP(D115,מרכבה!A:K,4,0),"")</f>
        <v/>
      </c>
      <c r="L115" s="340" t="str">
        <f>IFERROR(VLOOKUP(D115,מרכבה!A:K,6,0),"")</f>
        <v/>
      </c>
      <c r="M115" s="340" t="str">
        <f>IFERROR(VLOOKUP(D115,מרכבה!A:K,2,0),"")</f>
        <v/>
      </c>
      <c r="N115" s="354">
        <f>IFERROR(VLOOKUP(E115,מרכבה!A:K,9,0),0)</f>
        <v>0</v>
      </c>
      <c r="O115" s="341" t="str">
        <f>IFERROR(VLOOKUP(D115,מרכבה!A:K,8,0),"")</f>
        <v/>
      </c>
      <c r="P115" s="342" t="str">
        <f t="shared" si="5"/>
        <v/>
      </c>
      <c r="Q115" s="343"/>
      <c r="R115" s="344"/>
      <c r="S115" s="343"/>
      <c r="T115" s="344"/>
      <c r="U115" s="345"/>
      <c r="V115" s="345"/>
    </row>
    <row r="116" spans="2:22" ht="15.75" customHeight="1" x14ac:dyDescent="0.25">
      <c r="B116" s="338"/>
      <c r="C116" s="339"/>
      <c r="D116" s="435"/>
      <c r="E116" s="435"/>
      <c r="F116" s="435"/>
      <c r="G116" s="353" t="str">
        <f t="shared" si="4"/>
        <v/>
      </c>
      <c r="H116" s="340" t="str">
        <f>IF(IFERROR(VLOOKUP(E116,מרכבה!A:K,4,0),"")=K116,"","no")</f>
        <v/>
      </c>
      <c r="I116" s="340" t="str">
        <f>IFERROR(VLOOKUP(D116,מרכבה!A:K,7,0),"")</f>
        <v/>
      </c>
      <c r="J116" s="340" t="str">
        <f>IFERROR(VLOOKUP(D116,מרכבה!A:K,5,0),"")</f>
        <v/>
      </c>
      <c r="K116" s="340" t="str">
        <f>IFERROR(VLOOKUP(D116,מרכבה!A:K,4,0),"")</f>
        <v/>
      </c>
      <c r="L116" s="340" t="str">
        <f>IFERROR(VLOOKUP(D116,מרכבה!A:K,6,0),"")</f>
        <v/>
      </c>
      <c r="M116" s="340" t="str">
        <f>IFERROR(VLOOKUP(D116,מרכבה!A:K,2,0),"")</f>
        <v/>
      </c>
      <c r="N116" s="354">
        <f>IFERROR(VLOOKUP(E116,מרכבה!A:K,9,0),0)</f>
        <v>0</v>
      </c>
      <c r="O116" s="341" t="str">
        <f>IFERROR(VLOOKUP(D116,מרכבה!A:K,8,0),"")</f>
        <v/>
      </c>
      <c r="P116" s="342" t="str">
        <f t="shared" si="5"/>
        <v/>
      </c>
      <c r="Q116" s="343"/>
      <c r="R116" s="344"/>
      <c r="S116" s="343"/>
      <c r="T116" s="344"/>
      <c r="U116" s="345"/>
      <c r="V116" s="345"/>
    </row>
    <row r="117" spans="2:22" ht="15.75" customHeight="1" x14ac:dyDescent="0.25">
      <c r="B117" s="338"/>
      <c r="C117" s="339"/>
      <c r="D117" s="435"/>
      <c r="E117" s="435"/>
      <c r="F117" s="435"/>
      <c r="G117" s="353" t="str">
        <f t="shared" si="4"/>
        <v/>
      </c>
      <c r="H117" s="340" t="str">
        <f>IF(IFERROR(VLOOKUP(E117,מרכבה!A:K,4,0),"")=K117,"","no")</f>
        <v/>
      </c>
      <c r="I117" s="340" t="str">
        <f>IFERROR(VLOOKUP(D117,מרכבה!A:K,7,0),"")</f>
        <v/>
      </c>
      <c r="J117" s="340" t="str">
        <f>IFERROR(VLOOKUP(D117,מרכבה!A:K,5,0),"")</f>
        <v/>
      </c>
      <c r="K117" s="340" t="str">
        <f>IFERROR(VLOOKUP(D117,מרכבה!A:K,4,0),"")</f>
        <v/>
      </c>
      <c r="L117" s="340" t="str">
        <f>IFERROR(VLOOKUP(D117,מרכבה!A:K,6,0),"")</f>
        <v/>
      </c>
      <c r="M117" s="340" t="str">
        <f>IFERROR(VLOOKUP(D117,מרכבה!A:K,2,0),"")</f>
        <v/>
      </c>
      <c r="N117" s="354">
        <f>IFERROR(VLOOKUP(E117,מרכבה!A:K,9,0),0)</f>
        <v>0</v>
      </c>
      <c r="O117" s="341" t="str">
        <f>IFERROR(VLOOKUP(D117,מרכבה!A:K,8,0),"")</f>
        <v/>
      </c>
      <c r="P117" s="342" t="str">
        <f t="shared" si="5"/>
        <v/>
      </c>
      <c r="Q117" s="343"/>
      <c r="R117" s="344"/>
      <c r="S117" s="343"/>
      <c r="T117" s="344"/>
      <c r="U117" s="345"/>
      <c r="V117" s="345"/>
    </row>
    <row r="118" spans="2:22" ht="15.75" customHeight="1" x14ac:dyDescent="0.25">
      <c r="B118" s="338"/>
      <c r="C118" s="339"/>
      <c r="D118" s="435"/>
      <c r="E118" s="435"/>
      <c r="F118" s="435"/>
      <c r="G118" s="353" t="str">
        <f t="shared" si="4"/>
        <v/>
      </c>
      <c r="H118" s="340" t="str">
        <f>IF(IFERROR(VLOOKUP(E118,מרכבה!A:K,4,0),"")=K118,"","no")</f>
        <v/>
      </c>
      <c r="I118" s="340" t="str">
        <f>IFERROR(VLOOKUP(D118,מרכבה!A:K,7,0),"")</f>
        <v/>
      </c>
      <c r="J118" s="340" t="str">
        <f>IFERROR(VLOOKUP(D118,מרכבה!A:K,5,0),"")</f>
        <v/>
      </c>
      <c r="K118" s="340" t="str">
        <f>IFERROR(VLOOKUP(D118,מרכבה!A:K,4,0),"")</f>
        <v/>
      </c>
      <c r="L118" s="340" t="str">
        <f>IFERROR(VLOOKUP(D118,מרכבה!A:K,6,0),"")</f>
        <v/>
      </c>
      <c r="M118" s="340" t="str">
        <f>IFERROR(VLOOKUP(D118,מרכבה!A:K,2,0),"")</f>
        <v/>
      </c>
      <c r="N118" s="354">
        <f>IFERROR(VLOOKUP(E118,מרכבה!A:K,9,0),0)</f>
        <v>0</v>
      </c>
      <c r="O118" s="341" t="str">
        <f>IFERROR(VLOOKUP(D118,מרכבה!A:K,8,0),"")</f>
        <v/>
      </c>
      <c r="P118" s="342" t="str">
        <f t="shared" si="5"/>
        <v/>
      </c>
      <c r="Q118" s="343"/>
      <c r="R118" s="344"/>
      <c r="S118" s="343"/>
      <c r="T118" s="344"/>
      <c r="U118" s="345"/>
      <c r="V118" s="345"/>
    </row>
    <row r="119" spans="2:22" ht="15.75" customHeight="1" x14ac:dyDescent="0.25">
      <c r="B119" s="338"/>
      <c r="C119" s="339"/>
      <c r="D119" s="435"/>
      <c r="E119" s="435"/>
      <c r="F119" s="435"/>
      <c r="G119" s="353" t="str">
        <f t="shared" si="4"/>
        <v/>
      </c>
      <c r="H119" s="340" t="str">
        <f>IF(IFERROR(VLOOKUP(E119,מרכבה!A:K,4,0),"")=K119,"","no")</f>
        <v/>
      </c>
      <c r="I119" s="340" t="str">
        <f>IFERROR(VLOOKUP(D119,מרכבה!A:K,7,0),"")</f>
        <v/>
      </c>
      <c r="J119" s="340" t="str">
        <f>IFERROR(VLOOKUP(D119,מרכבה!A:K,5,0),"")</f>
        <v/>
      </c>
      <c r="K119" s="340" t="str">
        <f>IFERROR(VLOOKUP(D119,מרכבה!A:K,4,0),"")</f>
        <v/>
      </c>
      <c r="L119" s="340" t="str">
        <f>IFERROR(VLOOKUP(D119,מרכבה!A:K,6,0),"")</f>
        <v/>
      </c>
      <c r="M119" s="340" t="str">
        <f>IFERROR(VLOOKUP(D119,מרכבה!A:K,2,0),"")</f>
        <v/>
      </c>
      <c r="N119" s="354">
        <f>IFERROR(VLOOKUP(E119,מרכבה!A:K,9,0),0)</f>
        <v>0</v>
      </c>
      <c r="O119" s="341" t="str">
        <f>IFERROR(VLOOKUP(D119,מרכבה!A:K,8,0),"")</f>
        <v/>
      </c>
      <c r="P119" s="342" t="str">
        <f t="shared" si="5"/>
        <v/>
      </c>
      <c r="Q119" s="343"/>
      <c r="R119" s="344"/>
      <c r="S119" s="343"/>
      <c r="T119" s="344"/>
      <c r="U119" s="345"/>
      <c r="V119" s="345"/>
    </row>
    <row r="120" spans="2:22" ht="15.75" customHeight="1" x14ac:dyDescent="0.25">
      <c r="B120" s="338"/>
      <c r="C120" s="339"/>
      <c r="D120" s="435"/>
      <c r="E120" s="435"/>
      <c r="F120" s="435"/>
      <c r="G120" s="353" t="str">
        <f t="shared" si="4"/>
        <v/>
      </c>
      <c r="H120" s="340" t="str">
        <f>IF(IFERROR(VLOOKUP(E120,מרכבה!A:K,4,0),"")=K120,"","no")</f>
        <v/>
      </c>
      <c r="I120" s="340" t="str">
        <f>IFERROR(VLOOKUP(D120,מרכבה!A:K,7,0),"")</f>
        <v/>
      </c>
      <c r="J120" s="340" t="str">
        <f>IFERROR(VLOOKUP(D120,מרכבה!A:K,5,0),"")</f>
        <v/>
      </c>
      <c r="K120" s="340" t="str">
        <f>IFERROR(VLOOKUP(D120,מרכבה!A:K,4,0),"")</f>
        <v/>
      </c>
      <c r="L120" s="340" t="str">
        <f>IFERROR(VLOOKUP(D120,מרכבה!A:K,6,0),"")</f>
        <v/>
      </c>
      <c r="M120" s="340" t="str">
        <f>IFERROR(VLOOKUP(D120,מרכבה!A:K,2,0),"")</f>
        <v/>
      </c>
      <c r="N120" s="354">
        <f>IFERROR(VLOOKUP(E120,מרכבה!A:K,9,0),0)</f>
        <v>0</v>
      </c>
      <c r="O120" s="341" t="str">
        <f>IFERROR(VLOOKUP(D120,מרכבה!A:K,8,0),"")</f>
        <v/>
      </c>
      <c r="P120" s="342" t="str">
        <f t="shared" si="5"/>
        <v/>
      </c>
      <c r="Q120" s="343"/>
      <c r="R120" s="344"/>
      <c r="S120" s="343"/>
      <c r="T120" s="344"/>
      <c r="U120" s="345"/>
      <c r="V120" s="345"/>
    </row>
    <row r="121" spans="2:22" ht="15.75" customHeight="1" x14ac:dyDescent="0.25">
      <c r="B121" s="338"/>
      <c r="C121" s="339"/>
      <c r="D121" s="435"/>
      <c r="E121" s="435"/>
      <c r="F121" s="435"/>
      <c r="G121" s="353" t="str">
        <f t="shared" si="4"/>
        <v/>
      </c>
      <c r="H121" s="340" t="str">
        <f>IF(IFERROR(VLOOKUP(E121,מרכבה!A:K,4,0),"")=K121,"","no")</f>
        <v/>
      </c>
      <c r="I121" s="340" t="str">
        <f>IFERROR(VLOOKUP(D121,מרכבה!A:K,7,0),"")</f>
        <v/>
      </c>
      <c r="J121" s="340" t="str">
        <f>IFERROR(VLOOKUP(D121,מרכבה!A:K,5,0),"")</f>
        <v/>
      </c>
      <c r="K121" s="340" t="str">
        <f>IFERROR(VLOOKUP(D121,מרכבה!A:K,4,0),"")</f>
        <v/>
      </c>
      <c r="L121" s="340" t="str">
        <f>IFERROR(VLOOKUP(D121,מרכבה!A:K,6,0),"")</f>
        <v/>
      </c>
      <c r="M121" s="340" t="str">
        <f>IFERROR(VLOOKUP(D121,מרכבה!A:K,2,0),"")</f>
        <v/>
      </c>
      <c r="N121" s="354">
        <f>IFERROR(VLOOKUP(E121,מרכבה!A:K,9,0),0)</f>
        <v>0</v>
      </c>
      <c r="O121" s="341" t="str">
        <f>IFERROR(VLOOKUP(D121,מרכבה!A:K,8,0),"")</f>
        <v/>
      </c>
      <c r="P121" s="342" t="str">
        <f t="shared" si="5"/>
        <v/>
      </c>
      <c r="Q121" s="343"/>
      <c r="R121" s="344"/>
      <c r="S121" s="343"/>
      <c r="T121" s="344"/>
      <c r="U121" s="345"/>
      <c r="V121" s="345"/>
    </row>
    <row r="122" spans="2:22" ht="15.75" customHeight="1" x14ac:dyDescent="0.25">
      <c r="B122" s="338"/>
      <c r="C122" s="339"/>
      <c r="D122" s="435"/>
      <c r="E122" s="435"/>
      <c r="F122" s="435"/>
      <c r="G122" s="353" t="str">
        <f t="shared" si="4"/>
        <v/>
      </c>
      <c r="H122" s="340" t="str">
        <f>IF(IFERROR(VLOOKUP(E122,מרכבה!A:K,4,0),"")=K122,"","no")</f>
        <v/>
      </c>
      <c r="I122" s="340" t="str">
        <f>IFERROR(VLOOKUP(D122,מרכבה!A:K,7,0),"")</f>
        <v/>
      </c>
      <c r="J122" s="340" t="str">
        <f>IFERROR(VLOOKUP(D122,מרכבה!A:K,5,0),"")</f>
        <v/>
      </c>
      <c r="K122" s="340" t="str">
        <f>IFERROR(VLOOKUP(D122,מרכבה!A:K,4,0),"")</f>
        <v/>
      </c>
      <c r="L122" s="340" t="str">
        <f>IFERROR(VLOOKUP(D122,מרכבה!A:K,6,0),"")</f>
        <v/>
      </c>
      <c r="M122" s="340" t="str">
        <f>IFERROR(VLOOKUP(D122,מרכבה!A:K,2,0),"")</f>
        <v/>
      </c>
      <c r="N122" s="354">
        <f>IFERROR(VLOOKUP(E122,מרכבה!A:K,9,0),0)</f>
        <v>0</v>
      </c>
      <c r="O122" s="341" t="str">
        <f>IFERROR(VLOOKUP(D122,מרכבה!A:K,8,0),"")</f>
        <v/>
      </c>
      <c r="P122" s="342" t="str">
        <f t="shared" si="5"/>
        <v/>
      </c>
      <c r="Q122" s="343"/>
      <c r="R122" s="344"/>
      <c r="S122" s="343"/>
      <c r="T122" s="344"/>
      <c r="U122" s="345"/>
      <c r="V122" s="345"/>
    </row>
    <row r="123" spans="2:22" ht="15.75" customHeight="1" x14ac:dyDescent="0.25">
      <c r="B123" s="338"/>
      <c r="C123" s="339"/>
      <c r="D123" s="435"/>
      <c r="E123" s="435"/>
      <c r="F123" s="435"/>
      <c r="G123" s="353" t="str">
        <f t="shared" si="4"/>
        <v/>
      </c>
      <c r="H123" s="340" t="str">
        <f>IF(IFERROR(VLOOKUP(E123,מרכבה!A:K,4,0),"")=K123,"","no")</f>
        <v/>
      </c>
      <c r="I123" s="340" t="str">
        <f>IFERROR(VLOOKUP(D123,מרכבה!A:K,7,0),"")</f>
        <v/>
      </c>
      <c r="J123" s="340" t="str">
        <f>IFERROR(VLOOKUP(D123,מרכבה!A:K,5,0),"")</f>
        <v/>
      </c>
      <c r="K123" s="340" t="str">
        <f>IFERROR(VLOOKUP(D123,מרכבה!A:K,4,0),"")</f>
        <v/>
      </c>
      <c r="L123" s="340" t="str">
        <f>IFERROR(VLOOKUP(D123,מרכבה!A:K,6,0),"")</f>
        <v/>
      </c>
      <c r="M123" s="340" t="str">
        <f>IFERROR(VLOOKUP(D123,מרכבה!A:K,2,0),"")</f>
        <v/>
      </c>
      <c r="N123" s="354">
        <f>IFERROR(VLOOKUP(E123,מרכבה!A:K,9,0),0)</f>
        <v>0</v>
      </c>
      <c r="O123" s="341" t="str">
        <f>IFERROR(VLOOKUP(D123,מרכבה!A:K,8,0),"")</f>
        <v/>
      </c>
      <c r="P123" s="342" t="str">
        <f t="shared" si="5"/>
        <v/>
      </c>
      <c r="Q123" s="343"/>
      <c r="R123" s="344"/>
      <c r="S123" s="343"/>
      <c r="T123" s="344"/>
      <c r="U123" s="345"/>
      <c r="V123" s="345"/>
    </row>
    <row r="124" spans="2:22" ht="15.75" customHeight="1" x14ac:dyDescent="0.25">
      <c r="B124" s="338"/>
      <c r="C124" s="339"/>
      <c r="D124" s="435"/>
      <c r="E124" s="435"/>
      <c r="F124" s="435"/>
      <c r="G124" s="353" t="str">
        <f t="shared" si="4"/>
        <v/>
      </c>
      <c r="H124" s="340" t="str">
        <f>IF(IFERROR(VLOOKUP(E124,מרכבה!A:K,4,0),"")=K124,"","no")</f>
        <v/>
      </c>
      <c r="I124" s="340" t="str">
        <f>IFERROR(VLOOKUP(D124,מרכבה!A:K,7,0),"")</f>
        <v/>
      </c>
      <c r="J124" s="340" t="str">
        <f>IFERROR(VLOOKUP(D124,מרכבה!A:K,5,0),"")</f>
        <v/>
      </c>
      <c r="K124" s="340" t="str">
        <f>IFERROR(VLOOKUP(D124,מרכבה!A:K,4,0),"")</f>
        <v/>
      </c>
      <c r="L124" s="340" t="str">
        <f>IFERROR(VLOOKUP(D124,מרכבה!A:K,6,0),"")</f>
        <v/>
      </c>
      <c r="M124" s="340" t="str">
        <f>IFERROR(VLOOKUP(D124,מרכבה!A:K,2,0),"")</f>
        <v/>
      </c>
      <c r="N124" s="354">
        <f>IFERROR(VLOOKUP(E124,מרכבה!A:K,9,0),0)</f>
        <v>0</v>
      </c>
      <c r="O124" s="341" t="str">
        <f>IFERROR(VLOOKUP(D124,מרכבה!A:K,8,0),"")</f>
        <v/>
      </c>
      <c r="P124" s="342" t="str">
        <f t="shared" si="5"/>
        <v/>
      </c>
      <c r="Q124" s="343"/>
      <c r="R124" s="344"/>
      <c r="S124" s="343"/>
      <c r="T124" s="344"/>
      <c r="U124" s="345"/>
      <c r="V124" s="345"/>
    </row>
    <row r="125" spans="2:22" ht="15.75" customHeight="1" x14ac:dyDescent="0.25">
      <c r="B125" s="338"/>
      <c r="C125" s="339"/>
      <c r="D125" s="435"/>
      <c r="E125" s="435"/>
      <c r="F125" s="435"/>
      <c r="G125" s="353" t="str">
        <f t="shared" si="4"/>
        <v/>
      </c>
      <c r="H125" s="340" t="str">
        <f>IF(IFERROR(VLOOKUP(E125,מרכבה!A:K,4,0),"")=K125,"","no")</f>
        <v/>
      </c>
      <c r="I125" s="340" t="str">
        <f>IFERROR(VLOOKUP(D125,מרכבה!A:K,7,0),"")</f>
        <v/>
      </c>
      <c r="J125" s="340" t="str">
        <f>IFERROR(VLOOKUP(D125,מרכבה!A:K,5,0),"")</f>
        <v/>
      </c>
      <c r="K125" s="340" t="str">
        <f>IFERROR(VLOOKUP(D125,מרכבה!A:K,4,0),"")</f>
        <v/>
      </c>
      <c r="L125" s="340" t="str">
        <f>IFERROR(VLOOKUP(D125,מרכבה!A:K,6,0),"")</f>
        <v/>
      </c>
      <c r="M125" s="340" t="str">
        <f>IFERROR(VLOOKUP(D125,מרכבה!A:K,2,0),"")</f>
        <v/>
      </c>
      <c r="N125" s="354">
        <f>IFERROR(VLOOKUP(E125,מרכבה!A:K,9,0),0)</f>
        <v>0</v>
      </c>
      <c r="O125" s="341" t="str">
        <f>IFERROR(VLOOKUP(D125,מרכבה!A:K,8,0),"")</f>
        <v/>
      </c>
      <c r="P125" s="342" t="str">
        <f t="shared" si="5"/>
        <v/>
      </c>
      <c r="Q125" s="343"/>
      <c r="R125" s="344"/>
      <c r="S125" s="343"/>
      <c r="T125" s="344"/>
      <c r="U125" s="345"/>
      <c r="V125" s="345"/>
    </row>
    <row r="126" spans="2:22" ht="15.75" customHeight="1" x14ac:dyDescent="0.25">
      <c r="B126" s="338"/>
      <c r="C126" s="339"/>
      <c r="D126" s="435"/>
      <c r="E126" s="435"/>
      <c r="F126" s="435"/>
      <c r="G126" s="353" t="str">
        <f t="shared" si="4"/>
        <v/>
      </c>
      <c r="H126" s="340" t="str">
        <f>IF(IFERROR(VLOOKUP(E126,מרכבה!A:K,4,0),"")=K126,"","no")</f>
        <v/>
      </c>
      <c r="I126" s="340" t="str">
        <f>IFERROR(VLOOKUP(D126,מרכבה!A:K,7,0),"")</f>
        <v/>
      </c>
      <c r="J126" s="340" t="str">
        <f>IFERROR(VLOOKUP(D126,מרכבה!A:K,5,0),"")</f>
        <v/>
      </c>
      <c r="K126" s="340" t="str">
        <f>IFERROR(VLOOKUP(D126,מרכבה!A:K,4,0),"")</f>
        <v/>
      </c>
      <c r="L126" s="340" t="str">
        <f>IFERROR(VLOOKUP(D126,מרכבה!A:K,6,0),"")</f>
        <v/>
      </c>
      <c r="M126" s="340" t="str">
        <f>IFERROR(VLOOKUP(D126,מרכבה!A:K,2,0),"")</f>
        <v/>
      </c>
      <c r="N126" s="354">
        <f>IFERROR(VLOOKUP(E126,מרכבה!A:K,9,0),0)</f>
        <v>0</v>
      </c>
      <c r="O126" s="341" t="str">
        <f>IFERROR(VLOOKUP(D126,מרכבה!A:K,8,0),"")</f>
        <v/>
      </c>
      <c r="P126" s="342" t="str">
        <f t="shared" si="5"/>
        <v/>
      </c>
      <c r="Q126" s="343"/>
      <c r="R126" s="344"/>
      <c r="S126" s="343"/>
      <c r="T126" s="344"/>
      <c r="U126" s="345"/>
      <c r="V126" s="345"/>
    </row>
    <row r="127" spans="2:22" ht="15.75" customHeight="1" x14ac:dyDescent="0.25">
      <c r="B127" s="338"/>
      <c r="C127" s="339"/>
      <c r="D127" s="435"/>
      <c r="E127" s="435"/>
      <c r="F127" s="435"/>
      <c r="G127" s="353" t="str">
        <f t="shared" si="4"/>
        <v/>
      </c>
      <c r="H127" s="340" t="str">
        <f>IF(IFERROR(VLOOKUP(E127,מרכבה!A:K,4,0),"")=K127,"","no")</f>
        <v/>
      </c>
      <c r="I127" s="340" t="str">
        <f>IFERROR(VLOOKUP(D127,מרכבה!A:K,7,0),"")</f>
        <v/>
      </c>
      <c r="J127" s="340" t="str">
        <f>IFERROR(VLOOKUP(D127,מרכבה!A:K,5,0),"")</f>
        <v/>
      </c>
      <c r="K127" s="340" t="str">
        <f>IFERROR(VLOOKUP(D127,מרכבה!A:K,4,0),"")</f>
        <v/>
      </c>
      <c r="L127" s="340" t="str">
        <f>IFERROR(VLOOKUP(D127,מרכבה!A:K,6,0),"")</f>
        <v/>
      </c>
      <c r="M127" s="340" t="str">
        <f>IFERROR(VLOOKUP(D127,מרכבה!A:K,2,0),"")</f>
        <v/>
      </c>
      <c r="N127" s="354">
        <f>IFERROR(VLOOKUP(E127,מרכבה!A:K,9,0),0)</f>
        <v>0</v>
      </c>
      <c r="O127" s="341" t="str">
        <f>IFERROR(VLOOKUP(D127,מרכבה!A:K,8,0),"")</f>
        <v/>
      </c>
      <c r="P127" s="342" t="str">
        <f t="shared" si="5"/>
        <v/>
      </c>
      <c r="Q127" s="343"/>
      <c r="R127" s="344"/>
      <c r="S127" s="343"/>
      <c r="T127" s="344"/>
      <c r="U127" s="345"/>
      <c r="V127" s="345"/>
    </row>
    <row r="128" spans="2:22" ht="15.75" customHeight="1" x14ac:dyDescent="0.25">
      <c r="B128" s="338"/>
      <c r="C128" s="339"/>
      <c r="D128" s="435"/>
      <c r="E128" s="435"/>
      <c r="F128" s="435"/>
      <c r="G128" s="353" t="str">
        <f t="shared" si="4"/>
        <v/>
      </c>
      <c r="H128" s="340" t="str">
        <f>IF(IFERROR(VLOOKUP(E128,מרכבה!A:K,4,0),"")=K128,"","no")</f>
        <v/>
      </c>
      <c r="I128" s="340" t="str">
        <f>IFERROR(VLOOKUP(D128,מרכבה!A:K,7,0),"")</f>
        <v/>
      </c>
      <c r="J128" s="340" t="str">
        <f>IFERROR(VLOOKUP(D128,מרכבה!A:K,5,0),"")</f>
        <v/>
      </c>
      <c r="K128" s="340" t="str">
        <f>IFERROR(VLOOKUP(D128,מרכבה!A:K,4,0),"")</f>
        <v/>
      </c>
      <c r="L128" s="340" t="str">
        <f>IFERROR(VLOOKUP(D128,מרכבה!A:K,6,0),"")</f>
        <v/>
      </c>
      <c r="M128" s="340" t="str">
        <f>IFERROR(VLOOKUP(D128,מרכבה!A:K,2,0),"")</f>
        <v/>
      </c>
      <c r="N128" s="354">
        <f>IFERROR(VLOOKUP(E128,מרכבה!A:K,9,0),0)</f>
        <v>0</v>
      </c>
      <c r="O128" s="341" t="str">
        <f>IFERROR(VLOOKUP(D128,מרכבה!A:K,8,0),"")</f>
        <v/>
      </c>
      <c r="P128" s="342" t="str">
        <f t="shared" si="5"/>
        <v/>
      </c>
      <c r="Q128" s="343"/>
      <c r="R128" s="344"/>
      <c r="S128" s="343"/>
      <c r="T128" s="344"/>
      <c r="U128" s="345"/>
      <c r="V128" s="345"/>
    </row>
    <row r="129" spans="2:22" ht="15.75" customHeight="1" x14ac:dyDescent="0.25">
      <c r="B129" s="338"/>
      <c r="C129" s="339"/>
      <c r="D129" s="435"/>
      <c r="E129" s="435"/>
      <c r="F129" s="435"/>
      <c r="G129" s="353" t="str">
        <f t="shared" si="4"/>
        <v/>
      </c>
      <c r="H129" s="340" t="str">
        <f>IF(IFERROR(VLOOKUP(E129,מרכבה!A:K,4,0),"")=K129,"","no")</f>
        <v/>
      </c>
      <c r="I129" s="340" t="str">
        <f>IFERROR(VLOOKUP(D129,מרכבה!A:K,7,0),"")</f>
        <v/>
      </c>
      <c r="J129" s="340" t="str">
        <f>IFERROR(VLOOKUP(D129,מרכבה!A:K,5,0),"")</f>
        <v/>
      </c>
      <c r="K129" s="340" t="str">
        <f>IFERROR(VLOOKUP(D129,מרכבה!A:K,4,0),"")</f>
        <v/>
      </c>
      <c r="L129" s="340" t="str">
        <f>IFERROR(VLOOKUP(D129,מרכבה!A:K,6,0),"")</f>
        <v/>
      </c>
      <c r="M129" s="340" t="str">
        <f>IFERROR(VLOOKUP(D129,מרכבה!A:K,2,0),"")</f>
        <v/>
      </c>
      <c r="N129" s="354">
        <f>IFERROR(VLOOKUP(E129,מרכבה!A:K,9,0),0)</f>
        <v>0</v>
      </c>
      <c r="O129" s="341" t="str">
        <f>IFERROR(VLOOKUP(D129,מרכבה!A:K,8,0),"")</f>
        <v/>
      </c>
      <c r="P129" s="342" t="str">
        <f t="shared" si="5"/>
        <v/>
      </c>
      <c r="Q129" s="343"/>
      <c r="R129" s="344"/>
      <c r="S129" s="343"/>
      <c r="T129" s="344"/>
      <c r="U129" s="345"/>
      <c r="V129" s="345"/>
    </row>
    <row r="130" spans="2:22" ht="16.5" customHeight="1" x14ac:dyDescent="0.25">
      <c r="B130" s="338"/>
      <c r="C130" s="339"/>
      <c r="D130" s="435"/>
      <c r="E130" s="435"/>
      <c r="F130" s="435"/>
      <c r="G130" s="353" t="str">
        <f t="shared" si="4"/>
        <v/>
      </c>
      <c r="H130" s="340" t="str">
        <f>IF(IFERROR(VLOOKUP(E130,מרכבה!A:K,4,0),"")=K130,"","no")</f>
        <v/>
      </c>
      <c r="I130" s="340" t="str">
        <f>IFERROR(VLOOKUP(D130,מרכבה!A:K,7,0),"")</f>
        <v/>
      </c>
      <c r="J130" s="340" t="str">
        <f>IFERROR(VLOOKUP(D130,מרכבה!A:K,5,0),"")</f>
        <v/>
      </c>
      <c r="K130" s="340" t="str">
        <f>IFERROR(VLOOKUP(D130,מרכבה!A:K,4,0),"")</f>
        <v/>
      </c>
      <c r="L130" s="340" t="str">
        <f>IFERROR(VLOOKUP(D130,מרכבה!A:K,6,0),"")</f>
        <v/>
      </c>
      <c r="M130" s="340" t="str">
        <f>IFERROR(VLOOKUP(D130,מרכבה!A:K,2,0),"")</f>
        <v/>
      </c>
      <c r="N130" s="354">
        <f>IFERROR(VLOOKUP(E130,מרכבה!A:K,9,0),0)</f>
        <v>0</v>
      </c>
      <c r="O130" s="341" t="str">
        <f>IFERROR(VLOOKUP(D130,מרכבה!A:K,8,0),"")</f>
        <v/>
      </c>
      <c r="P130" s="342" t="str">
        <f t="shared" si="5"/>
        <v/>
      </c>
      <c r="Q130" s="343"/>
      <c r="R130" s="344"/>
      <c r="S130" s="343"/>
      <c r="T130" s="344"/>
      <c r="U130" s="345"/>
      <c r="V130" s="345"/>
    </row>
    <row r="131" spans="2:22" ht="19.5" thickBot="1" x14ac:dyDescent="0.3">
      <c r="B131" s="613" t="s">
        <v>187</v>
      </c>
      <c r="C131" s="613"/>
      <c r="D131" s="335"/>
      <c r="E131" s="335"/>
      <c r="F131" s="335"/>
      <c r="G131" s="335"/>
      <c r="H131" s="335"/>
      <c r="I131" s="335"/>
      <c r="J131" s="335"/>
      <c r="K131" s="335"/>
      <c r="L131" s="335"/>
      <c r="M131" s="336"/>
      <c r="N131" s="337">
        <f>SUM(N31:N130)</f>
        <v>11658629.93</v>
      </c>
      <c r="O131" s="337">
        <f>SUM(O31:O130)</f>
        <v>26113200</v>
      </c>
      <c r="P131" s="337"/>
      <c r="Q131" s="337">
        <f ca="1">SUM(Q31:Q130)</f>
        <v>0</v>
      </c>
      <c r="R131" s="337">
        <f ca="1">SUM(R31:R130)</f>
        <v>0</v>
      </c>
      <c r="S131" s="337">
        <f ca="1">SUM(S31:S130)</f>
        <v>15000000</v>
      </c>
      <c r="T131" s="337">
        <f ca="1">SUM(T31:T130)</f>
        <v>15000000</v>
      </c>
    </row>
    <row r="132" spans="2:22" ht="16.5" thickTop="1" x14ac:dyDescent="0.25"/>
  </sheetData>
  <sheetProtection algorithmName="SHA-512" hashValue="sF66nc7Kdzl+YK7sOnwopKZ9BtK5IFhiAOz/YDzAilQ5zh54z1jI56ZDTpDJI7SBBNdki14uXkd1wTjuHc1eCg==" saltValue="FxA4ZXuFONl7Tyqvi+pmFA==" spinCount="100000" sheet="1" scenarios="1" formatColumns="0" formatRows="0" autoFilter="0"/>
  <autoFilter ref="A30:V131" xr:uid="{00000000-0001-0000-1900-000000000000}"/>
  <mergeCells count="1">
    <mergeCell ref="B131:C131"/>
  </mergeCells>
  <conditionalFormatting sqref="B31:C130">
    <cfRule type="containsBlanks" dxfId="195" priority="81">
      <formula>LEN(TRIM(B31))=0</formula>
    </cfRule>
  </conditionalFormatting>
  <conditionalFormatting sqref="C1:C2">
    <cfRule type="containsBlanks" dxfId="194" priority="563">
      <formula>LEN(TRIM(C1))=0</formula>
    </cfRule>
  </conditionalFormatting>
  <conditionalFormatting sqref="D31:F31 D31:D121 D122:F130">
    <cfRule type="expression" dxfId="193" priority="80">
      <formula>IF($C31="",0,1)</formula>
    </cfRule>
  </conditionalFormatting>
  <conditionalFormatting sqref="E32:F121">
    <cfRule type="expression" dxfId="192" priority="71">
      <formula>IF($C32="",0,1)</formula>
    </cfRule>
  </conditionalFormatting>
  <conditionalFormatting sqref="G31:G130">
    <cfRule type="containsBlanks" dxfId="191" priority="83">
      <formula>LEN(TRIM(G31))=0</formula>
    </cfRule>
  </conditionalFormatting>
  <conditionalFormatting sqref="I31:T130">
    <cfRule type="containsBlanks" dxfId="190" priority="82">
      <formula>LEN(TRIM(I31))=0</formula>
    </cfRule>
  </conditionalFormatting>
  <conditionalFormatting sqref="U42:U44">
    <cfRule type="expression" dxfId="189" priority="227">
      <formula>IF($C42="",0,1)</formula>
    </cfRule>
  </conditionalFormatting>
  <conditionalFormatting sqref="U59:U60 U62:U75 U78:U81">
    <cfRule type="expression" dxfId="188" priority="112">
      <formula>IF($C59="",0,1)</formula>
    </cfRule>
  </conditionalFormatting>
  <conditionalFormatting sqref="U48:V48">
    <cfRule type="expression" dxfId="187" priority="174">
      <formula>IF($C48="",0,1)</formula>
    </cfRule>
  </conditionalFormatting>
  <conditionalFormatting sqref="U55:V56 U58:V58 U49:V50 U47:V47 V34">
    <cfRule type="expression" dxfId="186" priority="378">
      <formula>IF($C34="",0,1)</formula>
    </cfRule>
  </conditionalFormatting>
  <conditionalFormatting sqref="U57:V57">
    <cfRule type="expression" dxfId="185" priority="194">
      <formula>IF($C57="",0,1)</formula>
    </cfRule>
  </conditionalFormatting>
  <conditionalFormatting sqref="U92:V130 V78:V79 V60 U83:V89 V43 V69:V71 V74 V62:V66">
    <cfRule type="expression" dxfId="184" priority="568">
      <formula>IF($C43="",0,1)</formula>
    </cfRule>
  </conditionalFormatting>
  <conditionalFormatting sqref="V31">
    <cfRule type="expression" dxfId="183" priority="170">
      <formula>IF($C31="",0,1)</formula>
    </cfRule>
    <cfRule type="containsBlanks" dxfId="182" priority="171">
      <formula>LEN(TRIM(V31))=0</formula>
    </cfRule>
  </conditionalFormatting>
  <conditionalFormatting sqref="V31:V32">
    <cfRule type="containsBlanks" dxfId="181" priority="167">
      <formula>LEN(TRIM(V31))=0</formula>
    </cfRule>
  </conditionalFormatting>
  <conditionalFormatting sqref="V32">
    <cfRule type="expression" dxfId="180" priority="166">
      <formula>IF($C32="",0,1)</formula>
    </cfRule>
  </conditionalFormatting>
  <conditionalFormatting sqref="V32:V34">
    <cfRule type="containsBlanks" dxfId="179" priority="163">
      <formula>LEN(TRIM(V32))=0</formula>
    </cfRule>
  </conditionalFormatting>
  <conditionalFormatting sqref="V33">
    <cfRule type="expression" dxfId="178" priority="162">
      <formula>IF($C33="",0,1)</formula>
    </cfRule>
    <cfRule type="containsBlanks" dxfId="177" priority="161">
      <formula>LEN(TRIM(V33))=0</formula>
    </cfRule>
  </conditionalFormatting>
  <conditionalFormatting sqref="V35">
    <cfRule type="expression" dxfId="176" priority="158">
      <formula>IF($C35="",0,1)</formula>
    </cfRule>
    <cfRule type="containsBlanks" dxfId="175" priority="159">
      <formula>LEN(TRIM(V35))=0</formula>
    </cfRule>
  </conditionalFormatting>
  <conditionalFormatting sqref="V35:V36">
    <cfRule type="containsBlanks" dxfId="174" priority="155">
      <formula>LEN(TRIM(V35))=0</formula>
    </cfRule>
  </conditionalFormatting>
  <conditionalFormatting sqref="V36">
    <cfRule type="expression" dxfId="173" priority="154">
      <formula>IF($C36="",0,1)</formula>
    </cfRule>
  </conditionalFormatting>
  <conditionalFormatting sqref="V36:V37">
    <cfRule type="containsBlanks" dxfId="172" priority="151">
      <formula>LEN(TRIM(V36))=0</formula>
    </cfRule>
  </conditionalFormatting>
  <conditionalFormatting sqref="V37">
    <cfRule type="expression" dxfId="171" priority="150">
      <formula>IF($C37="",0,1)</formula>
    </cfRule>
  </conditionalFormatting>
  <conditionalFormatting sqref="V37:V38">
    <cfRule type="containsBlanks" dxfId="170" priority="147">
      <formula>LEN(TRIM(V37))=0</formula>
    </cfRule>
  </conditionalFormatting>
  <conditionalFormatting sqref="V38">
    <cfRule type="expression" dxfId="169" priority="146">
      <formula>IF($C38="",0,1)</formula>
    </cfRule>
  </conditionalFormatting>
  <conditionalFormatting sqref="V38:V39">
    <cfRule type="containsBlanks" dxfId="168" priority="143">
      <formula>LEN(TRIM(V38))=0</formula>
    </cfRule>
  </conditionalFormatting>
  <conditionalFormatting sqref="V39">
    <cfRule type="expression" dxfId="167" priority="142">
      <formula>IF($C39="",0,1)</formula>
    </cfRule>
  </conditionalFormatting>
  <conditionalFormatting sqref="V39:V40">
    <cfRule type="containsBlanks" dxfId="166" priority="139">
      <formula>LEN(TRIM(V39))=0</formula>
    </cfRule>
  </conditionalFormatting>
  <conditionalFormatting sqref="V40">
    <cfRule type="expression" dxfId="165" priority="138">
      <formula>IF($C40="",0,1)</formula>
    </cfRule>
  </conditionalFormatting>
  <conditionalFormatting sqref="V40:V41">
    <cfRule type="containsBlanks" dxfId="164" priority="135">
      <formula>LEN(TRIM(V40))=0</formula>
    </cfRule>
  </conditionalFormatting>
  <conditionalFormatting sqref="V41">
    <cfRule type="expression" dxfId="163" priority="134">
      <formula>IF($C41="",0,1)</formula>
    </cfRule>
  </conditionalFormatting>
  <conditionalFormatting sqref="V41:V42">
    <cfRule type="containsBlanks" dxfId="162" priority="131">
      <formula>LEN(TRIM(V41))=0</formula>
    </cfRule>
  </conditionalFormatting>
  <conditionalFormatting sqref="V42">
    <cfRule type="expression" dxfId="161" priority="130">
      <formula>IF($C42="",0,1)</formula>
    </cfRule>
    <cfRule type="containsBlanks" dxfId="160" priority="129">
      <formula>LEN(TRIM(V42))=0</formula>
    </cfRule>
  </conditionalFormatting>
  <conditionalFormatting sqref="V43:V44">
    <cfRule type="containsBlanks" dxfId="159" priority="456">
      <formula>LEN(TRIM(V43))=0</formula>
    </cfRule>
  </conditionalFormatting>
  <conditionalFormatting sqref="V44">
    <cfRule type="expression" dxfId="158" priority="455">
      <formula>IF($C44="",0,1)</formula>
    </cfRule>
  </conditionalFormatting>
  <conditionalFormatting sqref="V44:V45">
    <cfRule type="containsBlanks" dxfId="157" priority="127">
      <formula>LEN(TRIM(V44))=0</formula>
    </cfRule>
  </conditionalFormatting>
  <conditionalFormatting sqref="V45">
    <cfRule type="expression" dxfId="156" priority="126">
      <formula>IF($C45="",0,1)</formula>
    </cfRule>
  </conditionalFormatting>
  <conditionalFormatting sqref="V45:V46">
    <cfRule type="containsBlanks" dxfId="155" priority="123">
      <formula>LEN(TRIM(V45))=0</formula>
    </cfRule>
  </conditionalFormatting>
  <conditionalFormatting sqref="V46">
    <cfRule type="containsBlanks" dxfId="154" priority="121">
      <formula>LEN(TRIM(V46))=0</formula>
    </cfRule>
    <cfRule type="expression" dxfId="153" priority="122">
      <formula>IF($C46="",0,1)</formula>
    </cfRule>
  </conditionalFormatting>
  <conditionalFormatting sqref="V47">
    <cfRule type="containsBlanks" dxfId="152" priority="482">
      <formula>LEN(TRIM(V47))=0</formula>
    </cfRule>
  </conditionalFormatting>
  <conditionalFormatting sqref="V47:V48">
    <cfRule type="containsBlanks" dxfId="151" priority="175">
      <formula>LEN(TRIM(V47))=0</formula>
    </cfRule>
  </conditionalFormatting>
  <conditionalFormatting sqref="V48">
    <cfRule type="containsBlanks" dxfId="150" priority="173">
      <formula>LEN(TRIM(V48))=0</formula>
    </cfRule>
  </conditionalFormatting>
  <conditionalFormatting sqref="V49:V52">
    <cfRule type="containsBlanks" dxfId="149" priority="179">
      <formula>LEN(TRIM(V49))=0</formula>
    </cfRule>
  </conditionalFormatting>
  <conditionalFormatting sqref="V51">
    <cfRule type="containsBlanks" dxfId="148" priority="177">
      <formula>LEN(TRIM(V51))=0</formula>
    </cfRule>
    <cfRule type="expression" dxfId="147" priority="178">
      <formula>IF($C51="",0,1)</formula>
    </cfRule>
  </conditionalFormatting>
  <conditionalFormatting sqref="V52">
    <cfRule type="expression" dxfId="146" priority="182">
      <formula>IF($C52="",0,1)</formula>
    </cfRule>
  </conditionalFormatting>
  <conditionalFormatting sqref="V52:V53">
    <cfRule type="containsBlanks" dxfId="145" priority="183">
      <formula>LEN(TRIM(V52))=0</formula>
    </cfRule>
  </conditionalFormatting>
  <conditionalFormatting sqref="V53">
    <cfRule type="expression" dxfId="144" priority="186">
      <formula>IF($C53="",0,1)</formula>
    </cfRule>
  </conditionalFormatting>
  <conditionalFormatting sqref="V53:V54">
    <cfRule type="containsBlanks" dxfId="143" priority="187">
      <formula>LEN(TRIM(V53))=0</formula>
    </cfRule>
  </conditionalFormatting>
  <conditionalFormatting sqref="V54">
    <cfRule type="expression" dxfId="142" priority="190">
      <formula>IF($C54="",0,1)</formula>
    </cfRule>
    <cfRule type="containsBlanks" dxfId="141" priority="191">
      <formula>LEN(TRIM(V54))=0</formula>
    </cfRule>
  </conditionalFormatting>
  <conditionalFormatting sqref="V55:V58">
    <cfRule type="containsBlanks" dxfId="140" priority="195">
      <formula>LEN(TRIM(V55))=0</formula>
    </cfRule>
  </conditionalFormatting>
  <conditionalFormatting sqref="V57">
    <cfRule type="containsBlanks" dxfId="139" priority="193">
      <formula>LEN(TRIM(V57))=0</formula>
    </cfRule>
  </conditionalFormatting>
  <conditionalFormatting sqref="V59">
    <cfRule type="expression" dxfId="138" priority="95">
      <formula>IF($C59="",0,1)</formula>
    </cfRule>
    <cfRule type="containsBlanks" dxfId="137" priority="96">
      <formula>LEN(TRIM(V59))=0</formula>
    </cfRule>
    <cfRule type="containsBlanks" dxfId="136" priority="94">
      <formula>LEN(TRIM(V59))=0</formula>
    </cfRule>
  </conditionalFormatting>
  <conditionalFormatting sqref="V60 V62:V66">
    <cfRule type="containsBlanks" dxfId="135" priority="532">
      <formula>LEN(TRIM(V60))=0</formula>
    </cfRule>
  </conditionalFormatting>
  <conditionalFormatting sqref="V62">
    <cfRule type="containsBlanks" dxfId="134" priority="512">
      <formula>LEN(TRIM(V62))=0</formula>
    </cfRule>
  </conditionalFormatting>
  <conditionalFormatting sqref="V66">
    <cfRule type="expression" dxfId="133" priority="531">
      <formula>IF($C66="",0,1)</formula>
    </cfRule>
    <cfRule type="containsBlanks" dxfId="132" priority="409">
      <formula>LEN(TRIM(V66))=0</formula>
    </cfRule>
    <cfRule type="expression" dxfId="131" priority="408">
      <formula>IF($C66="",0,1)</formula>
    </cfRule>
  </conditionalFormatting>
  <conditionalFormatting sqref="V66:V67">
    <cfRule type="containsBlanks" dxfId="130" priority="110">
      <formula>LEN(TRIM(V66))=0</formula>
    </cfRule>
  </conditionalFormatting>
  <conditionalFormatting sqref="V67">
    <cfRule type="expression" dxfId="129" priority="109">
      <formula>IF($C67="",0,1)</formula>
    </cfRule>
  </conditionalFormatting>
  <conditionalFormatting sqref="V67:V68">
    <cfRule type="containsBlanks" dxfId="128" priority="106">
      <formula>LEN(TRIM(V67))=0</formula>
    </cfRule>
  </conditionalFormatting>
  <conditionalFormatting sqref="V68">
    <cfRule type="containsBlanks" dxfId="127" priority="104">
      <formula>LEN(TRIM(V68))=0</formula>
    </cfRule>
    <cfRule type="expression" dxfId="126" priority="105">
      <formula>IF($C68="",0,1)</formula>
    </cfRule>
  </conditionalFormatting>
  <conditionalFormatting sqref="V69:V76">
    <cfRule type="containsBlanks" dxfId="125" priority="199">
      <formula>LEN(TRIM(V69))=0</formula>
    </cfRule>
  </conditionalFormatting>
  <conditionalFormatting sqref="V75">
    <cfRule type="expression" dxfId="124" priority="198">
      <formula>IF($C75="",0,1)</formula>
    </cfRule>
    <cfRule type="containsBlanks" dxfId="123" priority="197">
      <formula>LEN(TRIM(V75))=0</formula>
    </cfRule>
  </conditionalFormatting>
  <conditionalFormatting sqref="V76">
    <cfRule type="expression" dxfId="122" priority="202">
      <formula>IF($C76="",0,1)</formula>
    </cfRule>
  </conditionalFormatting>
  <conditionalFormatting sqref="V76:V77">
    <cfRule type="containsBlanks" dxfId="121" priority="203">
      <formula>LEN(TRIM(V76))=0</formula>
    </cfRule>
  </conditionalFormatting>
  <conditionalFormatting sqref="V77">
    <cfRule type="containsBlanks" dxfId="120" priority="207">
      <formula>LEN(TRIM(V77))=0</formula>
    </cfRule>
    <cfRule type="expression" dxfId="119" priority="206">
      <formula>IF($C77="",0,1)</formula>
    </cfRule>
  </conditionalFormatting>
  <conditionalFormatting sqref="V78:V81">
    <cfRule type="containsBlanks" dxfId="118" priority="537">
      <formula>LEN(TRIM(V78))=0</formula>
    </cfRule>
  </conditionalFormatting>
  <conditionalFormatting sqref="V80">
    <cfRule type="containsBlanks" dxfId="117" priority="398">
      <formula>LEN(TRIM(V80))=0</formula>
    </cfRule>
    <cfRule type="expression" dxfId="116" priority="399">
      <formula>IF($C80="",0,1)</formula>
    </cfRule>
    <cfRule type="containsBlanks" dxfId="115" priority="400">
      <formula>LEN(TRIM(V80))=0</formula>
    </cfRule>
    <cfRule type="expression" dxfId="114" priority="505">
      <formula>IF($C80="",0,1)</formula>
    </cfRule>
  </conditionalFormatting>
  <conditionalFormatting sqref="V82">
    <cfRule type="containsBlanks" dxfId="113" priority="211">
      <formula>LEN(TRIM(V82))=0</formula>
    </cfRule>
    <cfRule type="expression" dxfId="112" priority="210">
      <formula>IF($C82="",0,1)</formula>
    </cfRule>
    <cfRule type="containsBlanks" dxfId="111" priority="209">
      <formula>LEN(TRIM(V82))=0</formula>
    </cfRule>
  </conditionalFormatting>
  <conditionalFormatting sqref="V83:V89 V92">
    <cfRule type="containsBlanks" dxfId="110" priority="569">
      <formula>LEN(TRIM(V83))=0</formula>
    </cfRule>
  </conditionalFormatting>
  <conditionalFormatting sqref="V84">
    <cfRule type="containsBlanks" dxfId="109" priority="501">
      <formula>LEN(TRIM(V84))=0</formula>
    </cfRule>
  </conditionalFormatting>
  <conditionalFormatting sqref="V90">
    <cfRule type="expression" dxfId="108" priority="214">
      <formula>IF($C90="",0,1)</formula>
    </cfRule>
    <cfRule type="containsBlanks" dxfId="107" priority="213">
      <formula>LEN(TRIM(V90))=0</formula>
    </cfRule>
  </conditionalFormatting>
  <conditionalFormatting sqref="V90:V91">
    <cfRule type="containsBlanks" dxfId="106" priority="215">
      <formula>LEN(TRIM(V90))=0</formula>
    </cfRule>
  </conditionalFormatting>
  <conditionalFormatting sqref="V91">
    <cfRule type="expression" dxfId="105" priority="240">
      <formula>IF($C91="",0,1)</formula>
    </cfRule>
  </conditionalFormatting>
  <conditionalFormatting sqref="V91:V92">
    <cfRule type="containsBlanks" dxfId="104" priority="241">
      <formula>LEN(TRIM(V91))=0</formula>
    </cfRule>
  </conditionalFormatting>
  <conditionalFormatting sqref="V92">
    <cfRule type="expression" dxfId="103" priority="393">
      <formula>IF($C90="",0,1)</formula>
    </cfRule>
    <cfRule type="containsBlanks" dxfId="102" priority="394">
      <formula>LEN(TRIM(V92))=0</formula>
    </cfRule>
    <cfRule type="expression" dxfId="101" priority="500">
      <formula>IF($C90="",0,1)</formula>
    </cfRule>
    <cfRule type="containsBlanks" dxfId="100" priority="548">
      <formula>LEN(TRIM(V92))=0</formula>
    </cfRule>
  </conditionalFormatting>
  <conditionalFormatting sqref="V61">
    <cfRule type="containsBlanks" dxfId="99" priority="68">
      <formula>LEN(TRIM(V61))=0</formula>
    </cfRule>
  </conditionalFormatting>
  <conditionalFormatting sqref="V61">
    <cfRule type="expression" dxfId="98" priority="69">
      <formula>IF($C61="",0,1)</formula>
    </cfRule>
    <cfRule type="containsBlanks" dxfId="97" priority="70">
      <formula>LEN(TRIM(V61))=0</formula>
    </cfRule>
  </conditionalFormatting>
  <conditionalFormatting sqref="U31">
    <cfRule type="expression" dxfId="96" priority="66">
      <formula>IF($C31="",0,1)</formula>
    </cfRule>
    <cfRule type="containsBlanks" dxfId="95" priority="67">
      <formula>LEN(TRIM(U31))=0</formula>
    </cfRule>
  </conditionalFormatting>
  <conditionalFormatting sqref="U31">
    <cfRule type="containsBlanks" dxfId="94" priority="65">
      <formula>LEN(TRIM(U31))=0</formula>
    </cfRule>
  </conditionalFormatting>
  <conditionalFormatting sqref="U32:U34">
    <cfRule type="containsBlanks" dxfId="93" priority="64">
      <formula>LEN(TRIM(U32))=0</formula>
    </cfRule>
  </conditionalFormatting>
  <conditionalFormatting sqref="U32:U34">
    <cfRule type="expression" dxfId="92" priority="63">
      <formula>IF($C32="",0,1)</formula>
    </cfRule>
  </conditionalFormatting>
  <conditionalFormatting sqref="U32:U34">
    <cfRule type="containsBlanks" dxfId="91" priority="62">
      <formula>LEN(TRIM(U32))=0</formula>
    </cfRule>
  </conditionalFormatting>
  <conditionalFormatting sqref="U35">
    <cfRule type="expression" dxfId="90" priority="60">
      <formula>IF($C35="",0,1)</formula>
    </cfRule>
    <cfRule type="containsBlanks" dxfId="89" priority="61">
      <formula>LEN(TRIM(U35))=0</formula>
    </cfRule>
  </conditionalFormatting>
  <conditionalFormatting sqref="U35">
    <cfRule type="containsBlanks" dxfId="88" priority="59">
      <formula>LEN(TRIM(U35))=0</formula>
    </cfRule>
  </conditionalFormatting>
  <conditionalFormatting sqref="U36">
    <cfRule type="containsBlanks" dxfId="87" priority="58">
      <formula>LEN(TRIM(U36))=0</formula>
    </cfRule>
  </conditionalFormatting>
  <conditionalFormatting sqref="U36">
    <cfRule type="expression" dxfId="86" priority="57">
      <formula>IF($C36="",0,1)</formula>
    </cfRule>
  </conditionalFormatting>
  <conditionalFormatting sqref="U36">
    <cfRule type="containsBlanks" dxfId="85" priority="56">
      <formula>LEN(TRIM(U36))=0</formula>
    </cfRule>
  </conditionalFormatting>
  <conditionalFormatting sqref="U37">
    <cfRule type="containsBlanks" dxfId="84" priority="55">
      <formula>LEN(TRIM(U37))=0</formula>
    </cfRule>
  </conditionalFormatting>
  <conditionalFormatting sqref="U37">
    <cfRule type="expression" dxfId="83" priority="54">
      <formula>IF($C37="",0,1)</formula>
    </cfRule>
  </conditionalFormatting>
  <conditionalFormatting sqref="U37">
    <cfRule type="containsBlanks" dxfId="82" priority="53">
      <formula>LEN(TRIM(U37))=0</formula>
    </cfRule>
  </conditionalFormatting>
  <conditionalFormatting sqref="U38">
    <cfRule type="containsBlanks" dxfId="81" priority="52">
      <formula>LEN(TRIM(U38))=0</formula>
    </cfRule>
  </conditionalFormatting>
  <conditionalFormatting sqref="U38">
    <cfRule type="expression" dxfId="80" priority="51">
      <formula>IF($C38="",0,1)</formula>
    </cfRule>
  </conditionalFormatting>
  <conditionalFormatting sqref="U38">
    <cfRule type="containsBlanks" dxfId="79" priority="50">
      <formula>LEN(TRIM(U38))=0</formula>
    </cfRule>
  </conditionalFormatting>
  <conditionalFormatting sqref="U39">
    <cfRule type="containsBlanks" dxfId="78" priority="49">
      <formula>LEN(TRIM(U39))=0</formula>
    </cfRule>
  </conditionalFormatting>
  <conditionalFormatting sqref="U39">
    <cfRule type="expression" dxfId="77" priority="48">
      <formula>IF($C39="",0,1)</formula>
    </cfRule>
  </conditionalFormatting>
  <conditionalFormatting sqref="U39">
    <cfRule type="containsBlanks" dxfId="76" priority="47">
      <formula>LEN(TRIM(U39))=0</formula>
    </cfRule>
  </conditionalFormatting>
  <conditionalFormatting sqref="U40">
    <cfRule type="containsBlanks" dxfId="75" priority="46">
      <formula>LEN(TRIM(U40))=0</formula>
    </cfRule>
  </conditionalFormatting>
  <conditionalFormatting sqref="U40">
    <cfRule type="expression" dxfId="74" priority="45">
      <formula>IF($C40="",0,1)</formula>
    </cfRule>
  </conditionalFormatting>
  <conditionalFormatting sqref="U40">
    <cfRule type="containsBlanks" dxfId="73" priority="44">
      <formula>LEN(TRIM(U40))=0</formula>
    </cfRule>
  </conditionalFormatting>
  <conditionalFormatting sqref="U41">
    <cfRule type="containsBlanks" dxfId="72" priority="43">
      <formula>LEN(TRIM(U41))=0</formula>
    </cfRule>
  </conditionalFormatting>
  <conditionalFormatting sqref="U41">
    <cfRule type="expression" dxfId="71" priority="42">
      <formula>IF($C41="",0,1)</formula>
    </cfRule>
  </conditionalFormatting>
  <conditionalFormatting sqref="U41">
    <cfRule type="containsBlanks" dxfId="70" priority="41">
      <formula>LEN(TRIM(U41))=0</formula>
    </cfRule>
  </conditionalFormatting>
  <conditionalFormatting sqref="U45">
    <cfRule type="containsBlanks" dxfId="69" priority="40">
      <formula>LEN(TRIM(U45))=0</formula>
    </cfRule>
  </conditionalFormatting>
  <conditionalFormatting sqref="U45">
    <cfRule type="expression" dxfId="68" priority="39">
      <formula>IF($C45="",0,1)</formula>
    </cfRule>
  </conditionalFormatting>
  <conditionalFormatting sqref="U45">
    <cfRule type="containsBlanks" dxfId="67" priority="38">
      <formula>LEN(TRIM(U45))=0</formula>
    </cfRule>
  </conditionalFormatting>
  <conditionalFormatting sqref="U46">
    <cfRule type="containsBlanks" dxfId="66" priority="37">
      <formula>LEN(TRIM(U46))=0</formula>
    </cfRule>
  </conditionalFormatting>
  <conditionalFormatting sqref="U46">
    <cfRule type="containsBlanks" dxfId="65" priority="35">
      <formula>LEN(TRIM(U46))=0</formula>
    </cfRule>
    <cfRule type="expression" dxfId="64" priority="36">
      <formula>IF($C46="",0,1)</formula>
    </cfRule>
  </conditionalFormatting>
  <conditionalFormatting sqref="U48">
    <cfRule type="containsBlanks" dxfId="63" priority="34">
      <formula>LEN(TRIM(U48))=0</formula>
    </cfRule>
  </conditionalFormatting>
  <conditionalFormatting sqref="U48">
    <cfRule type="containsBlanks" dxfId="62" priority="33">
      <formula>LEN(TRIM(U48))=0</formula>
    </cfRule>
  </conditionalFormatting>
  <conditionalFormatting sqref="U51">
    <cfRule type="containsBlanks" dxfId="61" priority="32">
      <formula>LEN(TRIM(U51))=0</formula>
    </cfRule>
  </conditionalFormatting>
  <conditionalFormatting sqref="U51">
    <cfRule type="containsBlanks" dxfId="60" priority="30">
      <formula>LEN(TRIM(U51))=0</formula>
    </cfRule>
    <cfRule type="expression" dxfId="59" priority="31">
      <formula>IF($C51="",0,1)</formula>
    </cfRule>
  </conditionalFormatting>
  <conditionalFormatting sqref="U52">
    <cfRule type="containsBlanks" dxfId="58" priority="27">
      <formula>LEN(TRIM(U52))=0</formula>
    </cfRule>
  </conditionalFormatting>
  <conditionalFormatting sqref="U52">
    <cfRule type="expression" dxfId="57" priority="28">
      <formula>IF($C52="",0,1)</formula>
    </cfRule>
  </conditionalFormatting>
  <conditionalFormatting sqref="U52">
    <cfRule type="containsBlanks" dxfId="56" priority="29">
      <formula>LEN(TRIM(U52))=0</formula>
    </cfRule>
  </conditionalFormatting>
  <conditionalFormatting sqref="U53">
    <cfRule type="containsBlanks" dxfId="55" priority="24">
      <formula>LEN(TRIM(U53))=0</formula>
    </cfRule>
  </conditionalFormatting>
  <conditionalFormatting sqref="U53">
    <cfRule type="expression" dxfId="54" priority="25">
      <formula>IF($C53="",0,1)</formula>
    </cfRule>
  </conditionalFormatting>
  <conditionalFormatting sqref="U53">
    <cfRule type="containsBlanks" dxfId="53" priority="26">
      <formula>LEN(TRIM(U53))=0</formula>
    </cfRule>
  </conditionalFormatting>
  <conditionalFormatting sqref="U54">
    <cfRule type="containsBlanks" dxfId="52" priority="21">
      <formula>LEN(TRIM(U54))=0</formula>
    </cfRule>
  </conditionalFormatting>
  <conditionalFormatting sqref="U54">
    <cfRule type="expression" dxfId="51" priority="22">
      <formula>IF($C54="",0,1)</formula>
    </cfRule>
    <cfRule type="containsBlanks" dxfId="50" priority="23">
      <formula>LEN(TRIM(U54))=0</formula>
    </cfRule>
  </conditionalFormatting>
  <conditionalFormatting sqref="U57">
    <cfRule type="containsBlanks" dxfId="49" priority="20">
      <formula>LEN(TRIM(U57))=0</formula>
    </cfRule>
  </conditionalFormatting>
  <conditionalFormatting sqref="U57">
    <cfRule type="containsBlanks" dxfId="48" priority="19">
      <formula>LEN(TRIM(U57))=0</formula>
    </cfRule>
  </conditionalFormatting>
  <conditionalFormatting sqref="U61">
    <cfRule type="containsBlanks" dxfId="47" priority="16">
      <formula>LEN(TRIM(U61))=0</formula>
    </cfRule>
  </conditionalFormatting>
  <conditionalFormatting sqref="U61">
    <cfRule type="expression" dxfId="46" priority="17">
      <formula>IF($C61="",0,1)</formula>
    </cfRule>
    <cfRule type="containsBlanks" dxfId="45" priority="18">
      <formula>LEN(TRIM(U61))=0</formula>
    </cfRule>
  </conditionalFormatting>
  <conditionalFormatting sqref="U76">
    <cfRule type="containsBlanks" dxfId="44" priority="13">
      <formula>LEN(TRIM(U76))=0</formula>
    </cfRule>
  </conditionalFormatting>
  <conditionalFormatting sqref="U76">
    <cfRule type="expression" dxfId="43" priority="14">
      <formula>IF($C76="",0,1)</formula>
    </cfRule>
  </conditionalFormatting>
  <conditionalFormatting sqref="U76">
    <cfRule type="containsBlanks" dxfId="42" priority="15">
      <formula>LEN(TRIM(U76))=0</formula>
    </cfRule>
  </conditionalFormatting>
  <conditionalFormatting sqref="U77">
    <cfRule type="containsBlanks" dxfId="41" priority="10">
      <formula>LEN(TRIM(U77))=0</formula>
    </cfRule>
  </conditionalFormatting>
  <conditionalFormatting sqref="U77">
    <cfRule type="expression" dxfId="40" priority="11">
      <formula>IF($C77="",0,1)</formula>
    </cfRule>
    <cfRule type="containsBlanks" dxfId="39" priority="12">
      <formula>LEN(TRIM(U77))=0</formula>
    </cfRule>
  </conditionalFormatting>
  <conditionalFormatting sqref="U82">
    <cfRule type="containsBlanks" dxfId="38" priority="7">
      <formula>LEN(TRIM(U82))=0</formula>
    </cfRule>
    <cfRule type="expression" dxfId="37" priority="8">
      <formula>IF($C82="",0,1)</formula>
    </cfRule>
    <cfRule type="containsBlanks" dxfId="36" priority="9">
      <formula>LEN(TRIM(U82))=0</formula>
    </cfRule>
  </conditionalFormatting>
  <conditionalFormatting sqref="U90">
    <cfRule type="containsBlanks" dxfId="35" priority="4">
      <formula>LEN(TRIM(U90))=0</formula>
    </cfRule>
    <cfRule type="expression" dxfId="34" priority="5">
      <formula>IF($C90="",0,1)</formula>
    </cfRule>
  </conditionalFormatting>
  <conditionalFormatting sqref="U90">
    <cfRule type="containsBlanks" dxfId="33" priority="6">
      <formula>LEN(TRIM(U90))=0</formula>
    </cfRule>
  </conditionalFormatting>
  <conditionalFormatting sqref="U91">
    <cfRule type="containsBlanks" dxfId="32" priority="1">
      <formula>LEN(TRIM(U91))=0</formula>
    </cfRule>
  </conditionalFormatting>
  <conditionalFormatting sqref="U91">
    <cfRule type="expression" dxfId="31" priority="2">
      <formula>IF($C91="",0,1)</formula>
    </cfRule>
  </conditionalFormatting>
  <conditionalFormatting sqref="U91">
    <cfRule type="containsBlanks" dxfId="30" priority="3">
      <formula>LEN(TRIM(U91))=0</formula>
    </cfRule>
  </conditionalFormatting>
  <printOptions horizontalCentered="1"/>
  <pageMargins left="0.51181102362204722" right="0.51181102362204722" top="0.74803149606299213" bottom="0.74803149606299213" header="0.31496062992125984" footer="0.31496062992125984"/>
  <pageSetup paperSize="9" scale="28" orientation="landscape" r:id="rId1"/>
  <headerFooter>
    <oddHeader>&amp;C&amp;"-,מודגש"&amp;Uמבחנים לתמיכה של משרד התרבות והספורט</oddHeader>
    <oddFooter>&amp;Lא. חפץ ושות'
יעוץ כלכלי&amp;C&amp;P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7" filterMode="1">
    <tabColor theme="5" tint="-0.249977111117893"/>
    <pageSetUpPr fitToPage="1"/>
  </sheetPr>
  <dimension ref="A1:AZ132"/>
  <sheetViews>
    <sheetView rightToLeft="1" tabSelected="1" view="pageBreakPreview" topLeftCell="B1" zoomScale="70" zoomScaleNormal="70" zoomScaleSheetLayoutView="70" workbookViewId="0">
      <pane xSplit="2" ySplit="30" topLeftCell="D31" activePane="bottomRight" state="frozen"/>
      <selection pane="topRight" activeCell="M88" sqref="M88"/>
      <selection pane="bottomLeft" activeCell="M88" sqref="M88"/>
      <selection pane="bottomRight" activeCell="I2" sqref="I2"/>
    </sheetView>
  </sheetViews>
  <sheetFormatPr defaultColWidth="9" defaultRowHeight="15.75" x14ac:dyDescent="0.25"/>
  <cols>
    <col min="1" max="1" width="2.5703125" hidden="1" customWidth="1"/>
    <col min="2" max="2" width="10.140625" customWidth="1"/>
    <col min="3" max="3" width="34.85546875" bestFit="1" customWidth="1"/>
    <col min="4" max="4" width="19.85546875" customWidth="1"/>
    <col min="5" max="5" width="17.5703125" customWidth="1"/>
    <col min="6" max="6" width="18.85546875" hidden="1" customWidth="1"/>
    <col min="7" max="7" width="36" style="190" hidden="1" customWidth="1"/>
    <col min="8" max="8" width="42.85546875" hidden="1" customWidth="1"/>
    <col min="9" max="9" width="20.5703125" customWidth="1"/>
    <col min="10" max="10" width="19.85546875" customWidth="1"/>
    <col min="11" max="11" width="18.5703125" bestFit="1" customWidth="1"/>
    <col min="12" max="12" width="38.7109375" customWidth="1"/>
    <col min="13" max="13" width="44.7109375" bestFit="1" customWidth="1"/>
    <col min="14" max="14" width="15" style="347" customWidth="1"/>
    <col min="15" max="15" width="15.140625" style="347" customWidth="1"/>
    <col min="16" max="16" width="17.85546875" style="325" customWidth="1"/>
    <col min="17" max="17" width="22.85546875" style="347" hidden="1" customWidth="1"/>
    <col min="18" max="18" width="16.5703125" style="347" hidden="1" customWidth="1"/>
    <col min="19" max="19" width="17.7109375" style="347" hidden="1" customWidth="1"/>
    <col min="20" max="20" width="17.7109375" style="347" bestFit="1" customWidth="1"/>
    <col min="21" max="21" width="49.5703125" style="190" hidden="1" customWidth="1"/>
    <col min="22" max="22" width="49.5703125" style="190" customWidth="1"/>
    <col min="23" max="50" width="9.140625" hidden="1" customWidth="1"/>
    <col min="51" max="51" width="16.140625" hidden="1" customWidth="1"/>
    <col min="52" max="52" width="11.42578125" hidden="1" customWidth="1"/>
    <col min="53" max="200" width="0" hidden="1" customWidth="1"/>
  </cols>
  <sheetData>
    <row r="1" spans="2:3" ht="37.5" x14ac:dyDescent="0.25">
      <c r="B1" s="137" t="str">
        <f>פרמטרים!B3</f>
        <v>שנת תקציב</v>
      </c>
      <c r="C1" s="138">
        <f>פרמטרים!C3</f>
        <v>2025</v>
      </c>
    </row>
    <row r="2" spans="2:3" ht="38.25" thickBot="1" x14ac:dyDescent="0.3">
      <c r="B2" s="140" t="str">
        <f>פרמטרים!B4</f>
        <v xml:space="preserve">גובה תמיכה </v>
      </c>
      <c r="C2" s="141">
        <f>פרמטרים!C4</f>
        <v>15000000</v>
      </c>
    </row>
    <row r="4" spans="2:3" hidden="1" x14ac:dyDescent="0.25">
      <c r="B4" s="174"/>
      <c r="C4" s="174"/>
    </row>
    <row r="5" spans="2:3" hidden="1" x14ac:dyDescent="0.25">
      <c r="B5" s="174"/>
      <c r="C5" s="174"/>
    </row>
    <row r="6" spans="2:3" hidden="1" x14ac:dyDescent="0.25">
      <c r="B6" s="174"/>
      <c r="C6" s="174"/>
    </row>
    <row r="7" spans="2:3" hidden="1" x14ac:dyDescent="0.25">
      <c r="B7" s="174"/>
      <c r="C7" s="174"/>
    </row>
    <row r="8" spans="2:3" hidden="1" x14ac:dyDescent="0.25">
      <c r="B8" s="174"/>
      <c r="C8" s="174"/>
    </row>
    <row r="9" spans="2:3" hidden="1" x14ac:dyDescent="0.25">
      <c r="B9" s="174"/>
      <c r="C9" s="174"/>
    </row>
    <row r="10" spans="2:3" hidden="1" x14ac:dyDescent="0.25">
      <c r="B10" s="174"/>
      <c r="C10" s="174"/>
    </row>
    <row r="11" spans="2:3" hidden="1" x14ac:dyDescent="0.25">
      <c r="B11" s="174"/>
      <c r="C11" s="174"/>
    </row>
    <row r="12" spans="2:3" hidden="1" x14ac:dyDescent="0.25">
      <c r="B12" s="174"/>
      <c r="C12" s="174"/>
    </row>
    <row r="13" spans="2:3" hidden="1" x14ac:dyDescent="0.25">
      <c r="B13" s="174"/>
      <c r="C13" s="174"/>
    </row>
    <row r="14" spans="2:3" hidden="1" x14ac:dyDescent="0.25">
      <c r="B14" s="174"/>
      <c r="C14" s="174"/>
    </row>
    <row r="15" spans="2:3" hidden="1" x14ac:dyDescent="0.25">
      <c r="B15" s="174"/>
      <c r="C15" s="174"/>
    </row>
    <row r="16" spans="2:3" hidden="1" x14ac:dyDescent="0.25">
      <c r="B16" s="174"/>
      <c r="C16" s="174"/>
    </row>
    <row r="17" spans="2:52" hidden="1" x14ac:dyDescent="0.25">
      <c r="B17" s="174"/>
      <c r="C17" s="174"/>
      <c r="D17" s="174"/>
      <c r="E17" s="174"/>
      <c r="F17" s="174"/>
      <c r="G17" s="191"/>
      <c r="H17" s="174"/>
      <c r="I17" s="174"/>
      <c r="J17" s="174"/>
      <c r="K17" s="174"/>
      <c r="L17" s="174"/>
      <c r="M17" s="174"/>
      <c r="N17" s="348"/>
      <c r="O17" s="348"/>
      <c r="P17" s="443"/>
      <c r="Q17" s="348"/>
      <c r="R17" s="348"/>
      <c r="S17" s="348"/>
      <c r="T17" s="348"/>
      <c r="U17" s="191"/>
      <c r="V17" s="191"/>
      <c r="W17" s="174"/>
      <c r="X17" s="174"/>
      <c r="Y17" s="174"/>
      <c r="Z17" s="174"/>
      <c r="AA17" s="174"/>
      <c r="AB17" s="174"/>
      <c r="AC17" s="174"/>
      <c r="AD17" s="174"/>
      <c r="AE17" s="174"/>
      <c r="AF17" s="174"/>
      <c r="AG17" s="174"/>
      <c r="AH17" s="174"/>
      <c r="AI17" s="174"/>
      <c r="AJ17" s="174"/>
      <c r="AK17" s="174"/>
      <c r="AL17" s="174"/>
      <c r="AM17" s="174"/>
      <c r="AN17" s="174"/>
      <c r="AO17" s="174"/>
      <c r="AP17" s="174"/>
      <c r="AQ17" s="174"/>
      <c r="AR17" s="174"/>
      <c r="AS17" s="174"/>
      <c r="AT17" s="174"/>
      <c r="AU17" s="174"/>
      <c r="AV17" s="174"/>
      <c r="AW17" s="174"/>
      <c r="AX17" s="174"/>
      <c r="AY17" s="174"/>
      <c r="AZ17" s="174"/>
    </row>
    <row r="18" spans="2:52" hidden="1" x14ac:dyDescent="0.25">
      <c r="B18" s="174"/>
      <c r="C18" s="174"/>
      <c r="D18" s="174"/>
      <c r="E18" s="174"/>
      <c r="F18" s="174"/>
      <c r="G18" s="191"/>
      <c r="H18" s="174"/>
      <c r="I18" s="174"/>
      <c r="J18" s="174"/>
      <c r="K18" s="174"/>
      <c r="L18" s="174"/>
      <c r="M18" s="174"/>
      <c r="N18" s="348"/>
      <c r="O18" s="348"/>
      <c r="P18" s="443"/>
      <c r="Q18" s="348"/>
      <c r="R18" s="348"/>
      <c r="S18" s="348"/>
      <c r="T18" s="348"/>
      <c r="U18" s="191"/>
      <c r="V18" s="191"/>
      <c r="W18" s="174"/>
      <c r="X18" s="174"/>
      <c r="Y18" s="174"/>
      <c r="Z18" s="174"/>
      <c r="AA18" s="174"/>
      <c r="AB18" s="174"/>
      <c r="AC18" s="174"/>
      <c r="AD18" s="174"/>
      <c r="AE18" s="174"/>
      <c r="AF18" s="174"/>
      <c r="AG18" s="174"/>
      <c r="AH18" s="174"/>
      <c r="AI18" s="174"/>
      <c r="AJ18" s="174"/>
      <c r="AK18" s="174"/>
      <c r="AL18" s="174"/>
      <c r="AM18" s="174"/>
      <c r="AN18" s="174"/>
      <c r="AO18" s="174"/>
      <c r="AP18" s="174"/>
      <c r="AQ18" s="174"/>
      <c r="AR18" s="174"/>
      <c r="AS18" s="174"/>
      <c r="AT18" s="174"/>
      <c r="AU18" s="174"/>
      <c r="AV18" s="174"/>
      <c r="AW18" s="174"/>
      <c r="AX18" s="174"/>
      <c r="AY18" s="174"/>
      <c r="AZ18" s="174"/>
    </row>
    <row r="19" spans="2:52" hidden="1" x14ac:dyDescent="0.25">
      <c r="B19" s="174"/>
      <c r="C19" s="174"/>
      <c r="D19" s="174"/>
      <c r="E19" s="174"/>
      <c r="F19" s="174"/>
      <c r="G19" s="191"/>
      <c r="H19" s="174"/>
      <c r="I19" s="174"/>
      <c r="J19" s="174"/>
      <c r="K19" s="174"/>
      <c r="L19" s="174"/>
      <c r="M19" s="174"/>
      <c r="N19" s="348"/>
      <c r="O19" s="348"/>
      <c r="P19" s="443"/>
      <c r="Q19" s="348"/>
      <c r="R19" s="348"/>
      <c r="S19" s="348"/>
      <c r="T19" s="348"/>
      <c r="U19" s="191"/>
      <c r="V19" s="191"/>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c r="AV19" s="174"/>
      <c r="AW19" s="174"/>
      <c r="AX19" s="174"/>
      <c r="AY19" s="174"/>
      <c r="AZ19" s="174"/>
    </row>
    <row r="20" spans="2:52" hidden="1" x14ac:dyDescent="0.25">
      <c r="B20" s="174"/>
      <c r="C20" s="174"/>
      <c r="D20" s="174"/>
      <c r="E20" s="174"/>
      <c r="F20" s="174"/>
      <c r="G20" s="191"/>
      <c r="H20" s="174"/>
      <c r="I20" s="174"/>
      <c r="J20" s="174"/>
      <c r="K20" s="174"/>
      <c r="L20" s="174"/>
      <c r="M20" s="174"/>
      <c r="N20" s="348"/>
      <c r="O20" s="348"/>
      <c r="P20" s="443"/>
      <c r="Q20" s="348"/>
      <c r="R20" s="348"/>
      <c r="S20" s="348"/>
      <c r="T20" s="348"/>
      <c r="U20" s="191"/>
      <c r="V20" s="191"/>
      <c r="W20" s="174"/>
      <c r="X20" s="174"/>
      <c r="Y20" s="174"/>
      <c r="Z20" s="174"/>
      <c r="AA20" s="174"/>
      <c r="AB20" s="174"/>
      <c r="AC20" s="174"/>
      <c r="AD20" s="174"/>
      <c r="AE20" s="174"/>
      <c r="AF20" s="174"/>
      <c r="AG20" s="174"/>
      <c r="AH20" s="174"/>
      <c r="AI20" s="174"/>
      <c r="AJ20" s="174"/>
      <c r="AK20" s="174"/>
      <c r="AL20" s="174"/>
      <c r="AM20" s="174"/>
      <c r="AN20" s="174"/>
      <c r="AO20" s="174"/>
      <c r="AP20" s="174"/>
      <c r="AQ20" s="174"/>
      <c r="AR20" s="174"/>
      <c r="AS20" s="174"/>
      <c r="AT20" s="174"/>
      <c r="AU20" s="174"/>
      <c r="AV20" s="174"/>
      <c r="AW20" s="174"/>
      <c r="AX20" s="174"/>
      <c r="AY20" s="174"/>
      <c r="AZ20" s="174"/>
    </row>
    <row r="21" spans="2:52" hidden="1" x14ac:dyDescent="0.25">
      <c r="B21" s="174"/>
      <c r="C21" s="174"/>
      <c r="D21" s="174"/>
      <c r="E21" s="174"/>
      <c r="F21" s="174"/>
      <c r="G21" s="191"/>
      <c r="H21" s="174"/>
      <c r="I21" s="174"/>
      <c r="J21" s="174"/>
      <c r="K21" s="174"/>
      <c r="L21" s="174"/>
      <c r="M21" s="174"/>
      <c r="N21" s="348"/>
      <c r="O21" s="348"/>
      <c r="P21" s="443"/>
      <c r="Q21" s="348"/>
      <c r="R21" s="348"/>
      <c r="S21" s="348"/>
      <c r="T21" s="348"/>
      <c r="U21" s="191"/>
      <c r="V21" s="191"/>
      <c r="W21" s="174"/>
      <c r="X21" s="174"/>
      <c r="Y21" s="174"/>
      <c r="Z21" s="174"/>
      <c r="AA21" s="174"/>
      <c r="AB21" s="174"/>
      <c r="AC21" s="174"/>
      <c r="AD21" s="174"/>
      <c r="AE21" s="174"/>
      <c r="AF21" s="174"/>
      <c r="AG21" s="174"/>
      <c r="AH21" s="174"/>
      <c r="AI21" s="174"/>
      <c r="AJ21" s="174"/>
      <c r="AK21" s="174"/>
      <c r="AL21" s="174"/>
      <c r="AM21" s="174"/>
      <c r="AN21" s="174"/>
      <c r="AO21" s="174"/>
      <c r="AP21" s="174"/>
      <c r="AQ21" s="174"/>
      <c r="AR21" s="174"/>
      <c r="AS21" s="174"/>
      <c r="AT21" s="174"/>
      <c r="AU21" s="174"/>
      <c r="AV21" s="174"/>
      <c r="AW21" s="174"/>
      <c r="AX21" s="174"/>
      <c r="AY21" s="174"/>
      <c r="AZ21" s="174"/>
    </row>
    <row r="22" spans="2:52" hidden="1" x14ac:dyDescent="0.25">
      <c r="B22" s="174"/>
      <c r="C22" s="174"/>
      <c r="D22" s="174"/>
      <c r="E22" s="174"/>
      <c r="F22" s="174"/>
      <c r="G22" s="191"/>
      <c r="H22" s="174"/>
      <c r="I22" s="174"/>
      <c r="J22" s="174"/>
      <c r="K22" s="174"/>
      <c r="L22" s="174"/>
      <c r="M22" s="174"/>
      <c r="N22" s="348"/>
      <c r="O22" s="348"/>
      <c r="P22" s="443"/>
      <c r="Q22" s="348"/>
      <c r="R22" s="348"/>
      <c r="S22" s="348"/>
      <c r="T22" s="348"/>
      <c r="U22" s="191"/>
      <c r="V22" s="191"/>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row>
    <row r="23" spans="2:52" hidden="1" x14ac:dyDescent="0.25">
      <c r="B23" s="174"/>
      <c r="C23" s="174"/>
      <c r="D23" s="174"/>
      <c r="E23" s="174"/>
      <c r="F23" s="174"/>
      <c r="G23" s="191"/>
      <c r="H23" s="174"/>
      <c r="I23" s="174"/>
      <c r="J23" s="174"/>
      <c r="K23" s="174"/>
      <c r="L23" s="174"/>
      <c r="M23" s="174"/>
      <c r="N23" s="348"/>
      <c r="O23" s="348"/>
      <c r="P23" s="443"/>
      <c r="Q23" s="348"/>
      <c r="R23" s="348"/>
      <c r="S23" s="348"/>
      <c r="T23" s="348"/>
      <c r="U23" s="191"/>
      <c r="V23" s="191"/>
      <c r="W23" s="174"/>
      <c r="X23" s="174"/>
      <c r="Y23" s="174"/>
      <c r="Z23" s="174"/>
      <c r="AA23" s="174"/>
      <c r="AB23" s="174"/>
      <c r="AC23" s="174"/>
      <c r="AD23" s="174"/>
      <c r="AE23" s="174"/>
      <c r="AF23" s="174"/>
      <c r="AG23" s="174"/>
      <c r="AH23" s="174"/>
      <c r="AI23" s="174"/>
      <c r="AJ23" s="174"/>
      <c r="AK23" s="174"/>
      <c r="AL23" s="174"/>
      <c r="AM23" s="174"/>
      <c r="AN23" s="174"/>
      <c r="AO23" s="174"/>
      <c r="AP23" s="174"/>
      <c r="AQ23" s="174"/>
      <c r="AR23" s="174"/>
      <c r="AS23" s="174"/>
      <c r="AT23" s="174"/>
      <c r="AU23" s="174"/>
      <c r="AV23" s="174"/>
      <c r="AW23" s="174"/>
      <c r="AX23" s="174"/>
      <c r="AY23" s="174"/>
      <c r="AZ23" s="174"/>
    </row>
    <row r="24" spans="2:52" hidden="1" x14ac:dyDescent="0.25">
      <c r="B24" s="174"/>
      <c r="C24" s="174"/>
      <c r="D24" s="174"/>
      <c r="E24" s="174"/>
      <c r="F24" s="174"/>
      <c r="G24" s="191"/>
      <c r="H24" s="174"/>
      <c r="I24" s="174"/>
      <c r="J24" s="174"/>
      <c r="K24" s="174"/>
      <c r="L24" s="174"/>
      <c r="M24" s="174"/>
      <c r="N24" s="348"/>
      <c r="O24" s="348"/>
      <c r="P24" s="443"/>
      <c r="Q24" s="348"/>
      <c r="R24" s="348"/>
      <c r="S24" s="348"/>
      <c r="T24" s="348"/>
      <c r="U24" s="191"/>
      <c r="V24" s="191"/>
      <c r="W24" s="174"/>
      <c r="X24" s="174"/>
      <c r="Y24" s="174"/>
      <c r="Z24" s="174"/>
      <c r="AA24" s="174"/>
      <c r="AB24" s="174"/>
      <c r="AC24" s="174"/>
      <c r="AD24" s="174"/>
      <c r="AE24" s="174"/>
      <c r="AF24" s="174"/>
      <c r="AG24" s="174"/>
      <c r="AH24" s="174"/>
      <c r="AI24" s="174"/>
      <c r="AJ24" s="174"/>
      <c r="AK24" s="174"/>
      <c r="AL24" s="174"/>
      <c r="AM24" s="174"/>
      <c r="AN24" s="174"/>
      <c r="AO24" s="174"/>
      <c r="AP24" s="174"/>
      <c r="AQ24" s="174"/>
      <c r="AR24" s="174"/>
      <c r="AS24" s="174"/>
      <c r="AT24" s="174"/>
      <c r="AU24" s="174"/>
      <c r="AV24" s="174"/>
      <c r="AW24" s="174"/>
      <c r="AX24" s="174"/>
      <c r="AY24" s="174"/>
      <c r="AZ24" s="174"/>
    </row>
    <row r="25" spans="2:52" hidden="1" x14ac:dyDescent="0.25">
      <c r="B25" s="174"/>
      <c r="C25" s="174"/>
      <c r="D25" s="174"/>
      <c r="E25" s="174"/>
      <c r="F25" s="174"/>
      <c r="G25" s="191"/>
      <c r="H25" s="174"/>
      <c r="I25" s="174"/>
      <c r="J25" s="174"/>
      <c r="K25" s="174"/>
      <c r="L25" s="174"/>
      <c r="M25" s="174"/>
      <c r="N25" s="348"/>
      <c r="O25" s="348"/>
      <c r="P25" s="443"/>
      <c r="Q25" s="348"/>
      <c r="R25" s="348"/>
      <c r="S25" s="348"/>
      <c r="T25" s="348"/>
      <c r="U25" s="191"/>
      <c r="V25" s="191"/>
      <c r="W25" s="174"/>
      <c r="X25" s="174"/>
      <c r="Y25" s="174"/>
      <c r="Z25" s="174"/>
      <c r="AA25" s="174"/>
      <c r="AB25" s="174"/>
      <c r="AC25" s="174"/>
      <c r="AD25" s="174"/>
      <c r="AE25" s="174"/>
      <c r="AF25" s="174"/>
      <c r="AG25" s="174"/>
      <c r="AH25" s="174"/>
      <c r="AI25" s="174"/>
      <c r="AJ25" s="174"/>
      <c r="AK25" s="174"/>
      <c r="AL25" s="174"/>
      <c r="AM25" s="174"/>
      <c r="AN25" s="174"/>
      <c r="AO25" s="174"/>
      <c r="AP25" s="174"/>
      <c r="AQ25" s="174"/>
      <c r="AR25" s="174"/>
      <c r="AS25" s="174"/>
      <c r="AT25" s="174"/>
      <c r="AU25" s="174"/>
      <c r="AV25" s="174"/>
      <c r="AW25" s="174"/>
      <c r="AX25" s="174"/>
      <c r="AY25" s="174"/>
      <c r="AZ25" s="174"/>
    </row>
    <row r="26" spans="2:52" hidden="1" x14ac:dyDescent="0.25">
      <c r="B26" s="174"/>
      <c r="C26" s="174"/>
      <c r="D26" s="174"/>
      <c r="E26" s="174"/>
      <c r="F26" s="174"/>
      <c r="G26" s="191"/>
      <c r="H26" s="174"/>
      <c r="I26" s="174"/>
      <c r="J26" s="174"/>
      <c r="K26" s="174"/>
      <c r="L26" s="174"/>
      <c r="M26" s="174"/>
      <c r="N26" s="348"/>
      <c r="O26" s="348"/>
      <c r="P26" s="443"/>
      <c r="Q26" s="348"/>
      <c r="R26" s="348"/>
      <c r="S26" s="348"/>
      <c r="T26" s="348"/>
      <c r="U26" s="191"/>
      <c r="V26" s="191"/>
      <c r="W26" s="174"/>
      <c r="X26" s="174"/>
      <c r="Y26" s="174"/>
      <c r="Z26" s="174"/>
      <c r="AA26" s="174"/>
      <c r="AB26" s="174"/>
      <c r="AC26" s="174"/>
      <c r="AD26" s="174"/>
      <c r="AE26" s="174"/>
      <c r="AF26" s="174"/>
      <c r="AG26" s="174"/>
      <c r="AH26" s="174"/>
      <c r="AI26" s="174"/>
      <c r="AJ26" s="174"/>
      <c r="AK26" s="174"/>
      <c r="AL26" s="174"/>
      <c r="AM26" s="174"/>
      <c r="AN26" s="174"/>
      <c r="AO26" s="174"/>
      <c r="AP26" s="174"/>
      <c r="AQ26" s="174"/>
      <c r="AR26" s="174"/>
      <c r="AS26" s="174"/>
      <c r="AT26" s="174"/>
      <c r="AU26" s="174"/>
      <c r="AV26" s="174"/>
      <c r="AW26" s="174"/>
      <c r="AX26" s="174"/>
      <c r="AY26" s="174"/>
      <c r="AZ26" s="174"/>
    </row>
    <row r="27" spans="2:52" hidden="1" x14ac:dyDescent="0.25">
      <c r="B27" s="174"/>
      <c r="C27" s="174"/>
      <c r="D27" s="174"/>
      <c r="E27" s="174"/>
      <c r="F27" s="174"/>
      <c r="G27" s="191"/>
      <c r="H27" s="174"/>
      <c r="I27" s="174"/>
      <c r="J27" s="174"/>
      <c r="K27" s="174"/>
      <c r="L27" s="174"/>
      <c r="M27" s="174"/>
      <c r="N27" s="348"/>
      <c r="O27" s="348"/>
      <c r="P27" s="443"/>
      <c r="Q27" s="348"/>
      <c r="R27" s="348"/>
      <c r="S27" s="348"/>
      <c r="T27" s="348"/>
      <c r="U27" s="191"/>
      <c r="V27" s="191"/>
      <c r="W27" s="174"/>
      <c r="X27" s="174"/>
      <c r="Y27" s="174"/>
      <c r="Z27" s="174"/>
      <c r="AA27" s="174"/>
      <c r="AB27" s="174"/>
      <c r="AC27" s="174"/>
      <c r="AD27" s="174"/>
      <c r="AE27" s="174"/>
      <c r="AF27" s="174"/>
      <c r="AG27" s="174"/>
      <c r="AH27" s="174"/>
      <c r="AI27" s="174"/>
      <c r="AJ27" s="174"/>
      <c r="AK27" s="174"/>
      <c r="AL27" s="174"/>
      <c r="AM27" s="174"/>
      <c r="AN27" s="174"/>
      <c r="AO27" s="174"/>
      <c r="AP27" s="174"/>
      <c r="AQ27" s="174"/>
      <c r="AR27" s="174"/>
      <c r="AS27" s="174"/>
      <c r="AT27" s="174"/>
      <c r="AU27" s="174"/>
      <c r="AV27" s="174"/>
      <c r="AW27" s="174"/>
      <c r="AX27" s="174"/>
      <c r="AY27" s="174"/>
      <c r="AZ27" s="174"/>
    </row>
    <row r="28" spans="2:52" hidden="1" x14ac:dyDescent="0.25">
      <c r="B28" s="174"/>
      <c r="C28" s="174"/>
      <c r="D28" s="166"/>
      <c r="E28" s="166"/>
      <c r="F28" s="174"/>
      <c r="G28" s="191"/>
      <c r="H28" s="174"/>
      <c r="I28" s="174"/>
      <c r="J28" s="174"/>
      <c r="K28" s="174"/>
      <c r="L28" s="174"/>
      <c r="M28" s="174"/>
      <c r="N28" s="348"/>
      <c r="O28" s="348"/>
      <c r="P28" s="443"/>
      <c r="Q28" s="348"/>
      <c r="R28" s="348"/>
      <c r="S28" s="348"/>
      <c r="T28" s="348"/>
      <c r="U28" s="191"/>
      <c r="V28" s="191"/>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row>
    <row r="29" spans="2:52" ht="16.5" customHeight="1" x14ac:dyDescent="0.25">
      <c r="B29" s="174"/>
      <c r="C29" s="174"/>
      <c r="D29" s="174"/>
      <c r="E29" s="174"/>
      <c r="F29" s="174"/>
      <c r="G29" s="191"/>
      <c r="H29" s="174"/>
      <c r="I29" s="174"/>
      <c r="J29" s="174"/>
      <c r="K29" s="174"/>
      <c r="L29" s="174"/>
      <c r="M29" s="174"/>
      <c r="N29" s="348"/>
      <c r="O29" s="348"/>
      <c r="P29" s="443"/>
      <c r="Q29" s="348"/>
      <c r="R29" s="348"/>
      <c r="S29" s="348"/>
      <c r="T29" s="348"/>
      <c r="U29" s="191"/>
      <c r="V29" s="191"/>
      <c r="W29" s="174"/>
      <c r="X29" s="174"/>
      <c r="Y29" s="176"/>
      <c r="Z29" s="177"/>
      <c r="AA29" s="174"/>
      <c r="AB29" s="174"/>
      <c r="AC29" s="174"/>
      <c r="AD29" s="174"/>
      <c r="AE29" s="174"/>
      <c r="AF29" s="174"/>
      <c r="AG29" s="174"/>
      <c r="AH29" s="174"/>
      <c r="AI29" s="174"/>
      <c r="AJ29" s="174"/>
      <c r="AK29" s="174"/>
      <c r="AL29" s="174"/>
      <c r="AM29" s="174"/>
      <c r="AN29" s="174"/>
      <c r="AO29" s="174"/>
      <c r="AP29" s="174"/>
      <c r="AQ29" s="174"/>
      <c r="AR29" s="174"/>
      <c r="AS29" s="174"/>
      <c r="AT29" s="174"/>
      <c r="AU29" s="174"/>
      <c r="AV29" s="174"/>
      <c r="AW29" s="174"/>
      <c r="AX29" s="174"/>
      <c r="AY29" s="174"/>
      <c r="AZ29" s="174"/>
    </row>
    <row r="30" spans="2:52" ht="46.5" customHeight="1" x14ac:dyDescent="0.25">
      <c r="B30" s="333" t="str">
        <f>'סיכום לועדה- הזנת נתונים'!B30</f>
        <v>מספר סידורי</v>
      </c>
      <c r="C30" s="334" t="str">
        <f>'סיכום לועדה- הזנת נתונים'!C30</f>
        <v>שם המוסד</v>
      </c>
      <c r="D30" s="333" t="str">
        <f>'סיכום לועדה- הזנת נתונים'!D30</f>
        <v>מס' בקשה שנת תמיכה</v>
      </c>
      <c r="E30" s="333" t="str">
        <f>'סיכום לועדה- הזנת נתונים'!E30</f>
        <v>מס' בקשה שנה קודמת</v>
      </c>
      <c r="F30" s="333" t="str">
        <f>'סיכום לועדה- הזנת נתונים'!F30</f>
        <v>השנה האחרונה בה ניתנה הגנה לצורך 80% (מנגנון הגנה ביחס לשנה קודמת)</v>
      </c>
      <c r="G30" s="333" t="str">
        <f>'סיכום לועדה- הזנת נתונים'!G30</f>
        <v>זכאות להגנה של 80% (מנגנון הגנה ביחס לשנה קודמת)</v>
      </c>
      <c r="H30" s="333" t="str">
        <f>'סיכום לועדה- הזנת נתונים'!H30</f>
        <v>זיהוי מספר הבקשה לאותו גוף</v>
      </c>
      <c r="I30" s="333" t="str">
        <f>'סיכום לועדה- הזנת נתונים'!I30</f>
        <v>שנת בקשה</v>
      </c>
      <c r="J30" s="333" t="str">
        <f>'סיכום לועדה- הזנת נתונים'!J30</f>
        <v>מגיש בקשה</v>
      </c>
      <c r="K30" s="333" t="str">
        <f>'סיכום לועדה- הזנת נתונים'!K30</f>
        <v>מספר העמותה</v>
      </c>
      <c r="L30" s="333" t="str">
        <f>'סיכום לועדה- הזנת נתונים'!L30</f>
        <v>שם הגוף</v>
      </c>
      <c r="M30" s="333" t="str">
        <f>'סיכום לועדה- הזנת נתונים'!M30</f>
        <v>מהות הבקשה</v>
      </c>
      <c r="N30" s="349" t="str">
        <f>'סיכום לועדה- הזנת נתונים'!N30</f>
        <v>סכום תמיכה בשנה קודמת</v>
      </c>
      <c r="O30" s="349" t="str">
        <f>'סיכום לועדה- הזנת נתונים'!O30</f>
        <v>סכום מבוקש</v>
      </c>
      <c r="P30" s="444" t="str">
        <f>'סיכום לועדה- הזנת נתונים'!P30</f>
        <v>שיעור שינוי מו שנה קודמת</v>
      </c>
      <c r="Q30" s="349" t="str">
        <f>'סיכום לועדה- הזנת נתונים'!Q30</f>
        <v>קיזוזים בגין ימי איחור</v>
      </c>
      <c r="R30" s="349" t="str">
        <f>'סיכום לועדה- הזנת נתונים'!R30</f>
        <v>קיזוזים בגין החלטות ועדה</v>
      </c>
      <c r="S30" s="349" t="str">
        <f>'סיכום לועדה- הזנת נתונים'!S30</f>
        <v>סכום התמיכה המומלץ אחרי קיזוז</v>
      </c>
      <c r="T30" s="349" t="str">
        <f>'סיכום לועדה- הזנת נתונים'!T30</f>
        <v>סכום תמיכה מומלץ</v>
      </c>
      <c r="U30" s="333" t="str">
        <f>'סיכום לועדה- הזנת נתונים'!U30</f>
        <v>סיבות לשינוי מול שנה קודמת</v>
      </c>
      <c r="V30" s="333" t="str">
        <f>'סיכום לועדה- הזנת נתונים'!V30</f>
        <v>נימוקים</v>
      </c>
      <c r="W30" s="323" t="s">
        <v>300</v>
      </c>
      <c r="X30" s="323" t="s">
        <v>301</v>
      </c>
      <c r="Y30" s="323" t="s">
        <v>302</v>
      </c>
      <c r="Z30" s="323" t="s">
        <v>303</v>
      </c>
      <c r="AA30" s="323" t="s">
        <v>204</v>
      </c>
      <c r="AB30" s="323">
        <f>COLUMN()</f>
        <v>28</v>
      </c>
      <c r="AC30" s="323">
        <f>COLUMN()</f>
        <v>29</v>
      </c>
      <c r="AD30" s="323">
        <f>COLUMN()</f>
        <v>30</v>
      </c>
      <c r="AE30" s="323">
        <f>COLUMN()</f>
        <v>31</v>
      </c>
      <c r="AF30" s="323">
        <f>COLUMN()</f>
        <v>32</v>
      </c>
      <c r="AG30" s="323">
        <f>COLUMN()</f>
        <v>33</v>
      </c>
      <c r="AH30" s="323">
        <f>COLUMN()</f>
        <v>34</v>
      </c>
      <c r="AI30" s="323">
        <f>COLUMN()</f>
        <v>35</v>
      </c>
      <c r="AJ30" s="323">
        <f>COLUMN()</f>
        <v>36</v>
      </c>
      <c r="AK30" s="323">
        <f>COLUMN()</f>
        <v>37</v>
      </c>
      <c r="AL30" s="323">
        <f>COLUMN()</f>
        <v>38</v>
      </c>
      <c r="AM30" s="323">
        <f>COLUMN()</f>
        <v>39</v>
      </c>
      <c r="AN30" s="323">
        <f>COLUMN()</f>
        <v>40</v>
      </c>
      <c r="AO30" s="323">
        <f>COLUMN()</f>
        <v>41</v>
      </c>
      <c r="AP30" s="323">
        <f>COLUMN()</f>
        <v>42</v>
      </c>
      <c r="AQ30" s="323">
        <f>COLUMN()</f>
        <v>43</v>
      </c>
      <c r="AR30" s="323">
        <f>COLUMN()</f>
        <v>44</v>
      </c>
      <c r="AS30" s="323">
        <f>COLUMN()</f>
        <v>45</v>
      </c>
      <c r="AT30" s="323">
        <f>COLUMN()</f>
        <v>46</v>
      </c>
      <c r="AU30" s="323">
        <f>COLUMN()</f>
        <v>47</v>
      </c>
      <c r="AV30" s="323">
        <f>COLUMN()</f>
        <v>48</v>
      </c>
      <c r="AW30" s="323">
        <f>COLUMN()</f>
        <v>49</v>
      </c>
      <c r="AX30" s="323" t="s">
        <v>304</v>
      </c>
      <c r="AY30" s="323">
        <f>COLUMN()</f>
        <v>51</v>
      </c>
      <c r="AZ30" s="323" t="s">
        <v>305</v>
      </c>
    </row>
    <row r="31" spans="2:52" s="175" customFormat="1" ht="63" x14ac:dyDescent="0.25">
      <c r="B31" s="340">
        <f ca="1">'סיכום לועדה- הזנת נתונים'!B31</f>
        <v>1</v>
      </c>
      <c r="C31" s="340" t="str">
        <f ca="1">'סיכום לועדה- הזנת נתונים'!C31</f>
        <v>מרכז מורשת בבל</v>
      </c>
      <c r="D31" s="340">
        <f>'סיכום לועדה- הזנת נתונים'!D31</f>
        <v>1001906873</v>
      </c>
      <c r="E31" s="340">
        <f>'סיכום לועדה- הזנת נתונים'!E31</f>
        <v>1001779292</v>
      </c>
      <c r="F31" s="340">
        <f>'סיכום לועדה- הזנת נתונים'!F31</f>
        <v>2020</v>
      </c>
      <c r="G31" s="340">
        <f ca="1">'סיכום לועדה- הזנת נתונים'!G31</f>
        <v>1</v>
      </c>
      <c r="H31" s="340" t="str">
        <f>'סיכום לועדה- הזנת נתונים'!H31</f>
        <v/>
      </c>
      <c r="I31" s="340">
        <f>'סיכום לועדה- הזנת נתונים'!I31</f>
        <v>2025</v>
      </c>
      <c r="J31" s="340">
        <f>'סיכום לועדה- הזנת נתונים'!J31</f>
        <v>40000365</v>
      </c>
      <c r="K31" s="340">
        <f>'סיכום לועדה- הזנת נתונים'!K31</f>
        <v>580029866</v>
      </c>
      <c r="L31" s="340" t="str">
        <f>'סיכום לועדה- הזנת נתונים'!L31</f>
        <v>מרכז מורשת יהדות בבל</v>
      </c>
      <c r="M31" s="340" t="str">
        <f>'סיכום לועדה- הזנת נתונים'!M31</f>
        <v>תמיכה כללית</v>
      </c>
      <c r="N31" s="341">
        <f>'סיכום לועדה- הזנת נתונים'!N31</f>
        <v>656553.68000000005</v>
      </c>
      <c r="O31" s="341">
        <f>'סיכום לועדה- הזנת נתונים'!O31</f>
        <v>1500000</v>
      </c>
      <c r="P31" s="445">
        <f ca="1">'סיכום לועדה- הזנת נתונים'!P31</f>
        <v>1.2842072894454521</v>
      </c>
      <c r="Q31" s="341">
        <f ca="1">'סיכום לועדה- הזנת נתונים'!Q31</f>
        <v>0</v>
      </c>
      <c r="R31" s="341">
        <f ca="1">'סיכום לועדה- הזנת נתונים'!R31</f>
        <v>0</v>
      </c>
      <c r="S31" s="341">
        <f ca="1">'סיכום לועדה- הזנת נתונים'!S31</f>
        <v>843151.02176823688</v>
      </c>
      <c r="T31" s="341">
        <f ca="1">'סיכום לועדה- הזנת נתונים'!T31</f>
        <v>843151.02176823688</v>
      </c>
      <c r="U31" s="447">
        <f>'סיכום לועדה- הזנת נתונים'!U31</f>
        <v>0</v>
      </c>
      <c r="V31" s="447" t="str">
        <f>'סיכום לועדה- הזנת נתונים'!V31</f>
        <v>מאושר בהתאם למבחן התמיכה. שינוי בתחשיב הבסיסי מושפע מירידה בהכנסות עצמיות ומשינויים שערך המוסד בתחום שימור חומר ארכיוני ובתחום הוצאת עלונים.</v>
      </c>
      <c r="W31" s="178" t="e">
        <f ca="1">IF($C31="","",L31-I31)</f>
        <v>#VALUE!</v>
      </c>
      <c r="X31" s="179">
        <f ca="1">IF($C31="","",IFERROR(Q31/I31-1,0))</f>
        <v>-1</v>
      </c>
      <c r="Y31" s="175" t="e">
        <f ca="1">IF($C31="","",IF(ABS(W31)&gt;=$Y$29,"הצג חריגים","הצג לא חריגים"))</f>
        <v>#VALUE!</v>
      </c>
      <c r="Z31" s="175" t="str">
        <f ca="1">IF($C31="","",IF(ABS(X31)&gt;=$Z$29,"הצג חריגים","הצג לא חריגים"))</f>
        <v>הצג חריגים</v>
      </c>
      <c r="AA31" s="180">
        <f t="shared" ref="AA31:AA94" ca="1" si="0">IF(C31="","",Q31/$C$2)</f>
        <v>0</v>
      </c>
      <c r="AX31" s="175" t="b">
        <f ca="1">C31&lt;&gt;""</f>
        <v>1</v>
      </c>
      <c r="AY31" s="181"/>
      <c r="AZ31" s="182">
        <f t="shared" ref="AZ31:AZ94" si="1">$C$2</f>
        <v>15000000</v>
      </c>
    </row>
    <row r="32" spans="2:52" ht="47.25" x14ac:dyDescent="0.25">
      <c r="B32" s="340">
        <f ca="1">'סיכום לועדה- הזנת נתונים'!B32</f>
        <v>2</v>
      </c>
      <c r="C32" s="340" t="str">
        <f ca="1">'סיכום לועדה- הזנת נתונים'!C32</f>
        <v>מורשת יהודי צפון  אפריקה</v>
      </c>
      <c r="D32" s="340">
        <f>'סיכום לועדה- הזנת נתונים'!D32</f>
        <v>1001908297</v>
      </c>
      <c r="E32" s="340">
        <f>'סיכום לועדה- הזנת נתונים'!E32</f>
        <v>1001789357</v>
      </c>
      <c r="F32" s="340">
        <f>'סיכום לועדה- הזנת נתונים'!F32</f>
        <v>2020</v>
      </c>
      <c r="G32" s="340">
        <f ca="1">'סיכום לועדה- הזנת נתונים'!G32</f>
        <v>1</v>
      </c>
      <c r="H32" s="340" t="str">
        <f>'סיכום לועדה- הזנת נתונים'!H32</f>
        <v/>
      </c>
      <c r="I32" s="340">
        <f>'סיכום לועדה- הזנת נתונים'!I32</f>
        <v>2025</v>
      </c>
      <c r="J32" s="340">
        <f>'סיכום לועדה- הזנת נתונים'!J32</f>
        <v>40000151</v>
      </c>
      <c r="K32" s="340">
        <f>'סיכום לועדה- הזנת נתונים'!K32</f>
        <v>580145381</v>
      </c>
      <c r="L32" s="340" t="str">
        <f>'סיכום לועדה- הזנת נתונים'!L32</f>
        <v>קרן המרכז העולמי לקהילות יהודי צפון</v>
      </c>
      <c r="M32" s="340" t="str">
        <f>'סיכום לועדה- הזנת נתונים'!M32</f>
        <v>הנצחת מורשת התרבותית של יהודי צפ"א</v>
      </c>
      <c r="N32" s="341">
        <f>'סיכום לועדה- הזנת נתונים'!N32</f>
        <v>242368.27</v>
      </c>
      <c r="O32" s="341">
        <f>'סיכום לועדה- הזנת נתונים'!O32</f>
        <v>300000</v>
      </c>
      <c r="P32" s="445">
        <f ca="1">'סיכום לועדה- הזנת נתונים'!P32</f>
        <v>1.2377857877188299</v>
      </c>
      <c r="Q32" s="341">
        <f ca="1">'סיכום לועדה- הזנת נתונים'!Q32</f>
        <v>0</v>
      </c>
      <c r="R32" s="341">
        <f ca="1">'סיכום לועדה- הזנת נתונים'!R32</f>
        <v>0</v>
      </c>
      <c r="S32" s="341">
        <f ca="1">'סיכום לועדה- הזנת נתונים'!S32</f>
        <v>300000</v>
      </c>
      <c r="T32" s="341">
        <f ca="1">'סיכום לועדה- הזנת נתונים'!T32</f>
        <v>300000</v>
      </c>
      <c r="U32" s="447">
        <f>'סיכום לועדה- הזנת נתונים'!U32</f>
        <v>0</v>
      </c>
      <c r="V32" s="447" t="str">
        <f>'סיכום לועדה- הזנת נתונים'!V32</f>
        <v>מאושר בהתאם למבחן התמיכה. שינוי בתחשיב הבסיסי מושפע מירידה בהכנסות עצמיות ומשינויים שערך המוסד בתחום שימור חומר ארכיוני.</v>
      </c>
      <c r="W32" s="178" t="e">
        <f t="shared" ref="W32:W95" ca="1" si="2">IF($C32="","",L32-I32)</f>
        <v>#VALUE!</v>
      </c>
      <c r="X32" s="179">
        <f t="shared" ref="X32:X95" ca="1" si="3">IF($C32="","",IFERROR(Q32/I32-1,0))</f>
        <v>-1</v>
      </c>
      <c r="Y32" s="175" t="e">
        <f t="shared" ref="Y32:Y95" ca="1" si="4">IF($C32="","",IF(ABS(W32)&gt;=$Y$29,"הצג חריגים","הצג לא חריגים"))</f>
        <v>#VALUE!</v>
      </c>
      <c r="Z32" s="175" t="str">
        <f t="shared" ref="Z32:Z95" ca="1" si="5">IF($C32="","",IF(ABS(X32)&gt;=$Z$29,"הצג חריגים","הצג לא חריגים"))</f>
        <v>הצג חריגים</v>
      </c>
      <c r="AA32" s="180">
        <f t="shared" ca="1" si="0"/>
        <v>0</v>
      </c>
      <c r="AB32" s="174"/>
      <c r="AC32" s="174"/>
      <c r="AD32" s="174"/>
      <c r="AE32" s="174"/>
      <c r="AF32" s="174"/>
      <c r="AG32" s="174"/>
      <c r="AH32" s="174"/>
      <c r="AI32" s="174"/>
      <c r="AJ32" s="174"/>
      <c r="AK32" s="174"/>
      <c r="AL32" s="174"/>
      <c r="AM32" s="174"/>
      <c r="AN32" s="174"/>
      <c r="AO32" s="174"/>
      <c r="AP32" s="174"/>
      <c r="AQ32" s="174"/>
      <c r="AR32" s="174"/>
      <c r="AS32" s="174"/>
      <c r="AT32" s="174"/>
      <c r="AU32" s="174"/>
      <c r="AV32" s="174"/>
      <c r="AW32" s="174"/>
      <c r="AX32" s="175" t="b">
        <f t="shared" ref="AX32:AX95" ca="1" si="6">C32&lt;&gt;""</f>
        <v>1</v>
      </c>
      <c r="AY32" s="181"/>
      <c r="AZ32" s="182">
        <f t="shared" si="1"/>
        <v>15000000</v>
      </c>
    </row>
    <row r="33" spans="2:52" ht="94.5" x14ac:dyDescent="0.25">
      <c r="B33" s="340">
        <f ca="1">'סיכום לועדה- הזנת נתונים'!B33</f>
        <v>3</v>
      </c>
      <c r="C33" s="340" t="str">
        <f ca="1">'סיכום לועדה- הזנת נתונים'!C33</f>
        <v>מורשת יהדות קוצין</v>
      </c>
      <c r="D33" s="340">
        <f>'סיכום לועדה- הזנת נתונים'!D33</f>
        <v>1001933290</v>
      </c>
      <c r="E33" s="340">
        <f>'סיכום לועדה- הזנת נתונים'!E33</f>
        <v>1001745312</v>
      </c>
      <c r="F33" s="340">
        <f>'סיכום לועדה- הזנת נתונים'!F33</f>
        <v>2020</v>
      </c>
      <c r="G33" s="340">
        <f ca="1">'סיכום לועדה- הזנת נתונים'!G33</f>
        <v>1</v>
      </c>
      <c r="H33" s="340" t="str">
        <f>'סיכום לועדה- הזנת נתונים'!H33</f>
        <v/>
      </c>
      <c r="I33" s="340">
        <f>'סיכום לועדה- הזנת נתונים'!I33</f>
        <v>2025</v>
      </c>
      <c r="J33" s="340">
        <f>'סיכום לועדה- הזנת נתונים'!J33</f>
        <v>40000574</v>
      </c>
      <c r="K33" s="340">
        <f>'סיכום לועדה- הזנת נתונים'!K33</f>
        <v>580222552</v>
      </c>
      <c r="L33" s="340" t="str">
        <f>'סיכום לועדה- הזנת נתונים'!L33</f>
        <v>מרכז לתרבות ולשימור מורשת יהדות קוצ</v>
      </c>
      <c r="M33" s="340" t="str">
        <f>'סיכום לועדה- הזנת נתונים'!M33</f>
        <v>תמיכה במרכז מורשת יהדות קוצ'ין</v>
      </c>
      <c r="N33" s="341">
        <f>'סיכום לועדה- הזנת נתונים'!N33</f>
        <v>387242.95</v>
      </c>
      <c r="O33" s="341">
        <f>'סיכום לועדה- הזנת נתונים'!O33</f>
        <v>700000</v>
      </c>
      <c r="P33" s="445">
        <f ca="1">'סיכום לועדה- הזנת נתונים'!P33</f>
        <v>1.376138198965035</v>
      </c>
      <c r="Q33" s="341">
        <f ca="1">'סיכום לועדה- הזנת נתונים'!Q33</f>
        <v>0</v>
      </c>
      <c r="R33" s="341">
        <f ca="1">'סיכום לועדה- הזנת נתונים'!R33</f>
        <v>0</v>
      </c>
      <c r="S33" s="341">
        <f ca="1">'סיכום לועדה- הזנת נתונים'!S33</f>
        <v>532899.81577490713</v>
      </c>
      <c r="T33" s="341">
        <f ca="1">'סיכום לועדה- הזנת נתונים'!T33</f>
        <v>532899.81577490713</v>
      </c>
      <c r="U33" s="447">
        <f>'סיכום לועדה- הזנת נתונים'!U33</f>
        <v>0</v>
      </c>
      <c r="V33" s="447" t="str">
        <f>'סיכום לועדה- הזנת נתונים'!V33</f>
        <v>מאושר בהתאם למבחן התמיכה. שינוי בתחשיב הבסיסי מושפע מירידה במשתנה הוצאה לאור ומעלייה במשתנה תיעוד ושימור חומר ארכיוני. מאושרת תמיכה בגוף בהתאם למבחן התמיכה, אך תשלום התמיכה מוקפא עד להחלטה אחרת של הוועדה.  החלטת הוועדה מפורטת בסיכום דיון הוועדה ותומצא לידיעת הגוף.</v>
      </c>
      <c r="W33" s="178" t="e">
        <f t="shared" ca="1" si="2"/>
        <v>#VALUE!</v>
      </c>
      <c r="X33" s="179">
        <f t="shared" ca="1" si="3"/>
        <v>-1</v>
      </c>
      <c r="Y33" s="175" t="e">
        <f t="shared" ca="1" si="4"/>
        <v>#VALUE!</v>
      </c>
      <c r="Z33" s="175" t="str">
        <f t="shared" ca="1" si="5"/>
        <v>הצג חריגים</v>
      </c>
      <c r="AA33" s="180">
        <f t="shared" ca="1" si="0"/>
        <v>0</v>
      </c>
      <c r="AB33" s="174"/>
      <c r="AC33" s="174"/>
      <c r="AD33" s="174"/>
      <c r="AE33" s="174"/>
      <c r="AF33" s="174"/>
      <c r="AG33" s="174"/>
      <c r="AH33" s="174"/>
      <c r="AI33" s="174"/>
      <c r="AJ33" s="174"/>
      <c r="AK33" s="174"/>
      <c r="AL33" s="174"/>
      <c r="AM33" s="174"/>
      <c r="AN33" s="174"/>
      <c r="AO33" s="174"/>
      <c r="AP33" s="174"/>
      <c r="AQ33" s="174"/>
      <c r="AR33" s="174"/>
      <c r="AS33" s="174"/>
      <c r="AT33" s="174"/>
      <c r="AU33" s="174"/>
      <c r="AV33" s="174"/>
      <c r="AW33" s="174"/>
      <c r="AX33" s="175" t="b">
        <f t="shared" ca="1" si="6"/>
        <v>1</v>
      </c>
      <c r="AY33" s="181"/>
      <c r="AZ33" s="182">
        <f t="shared" si="1"/>
        <v>15000000</v>
      </c>
    </row>
    <row r="34" spans="2:52" x14ac:dyDescent="0.25">
      <c r="B34" s="340">
        <f ca="1">'סיכום לועדה- הזנת נתונים'!B34</f>
        <v>4</v>
      </c>
      <c r="C34" s="340" t="str">
        <f ca="1">'סיכום לועדה- הזנת נתונים'!C34</f>
        <v>הפדרציה העולמית של יהדות תוניס</v>
      </c>
      <c r="D34" s="340">
        <f>'סיכום לועדה- הזנת נתונים'!D34</f>
        <v>1001960875</v>
      </c>
      <c r="E34" s="340">
        <f>'סיכום לועדה- הזנת נתונים'!E34</f>
        <v>1001780695</v>
      </c>
      <c r="F34" s="340">
        <f>'סיכום לועדה- הזנת נתונים'!F34</f>
        <v>0</v>
      </c>
      <c r="G34" s="340">
        <f ca="1">'סיכום לועדה- הזנת נתונים'!G34</f>
        <v>1</v>
      </c>
      <c r="H34" s="340" t="str">
        <f>'סיכום לועדה- הזנת נתונים'!H34</f>
        <v/>
      </c>
      <c r="I34" s="340">
        <f>'סיכום לועדה- הזנת נתונים'!I34</f>
        <v>2025</v>
      </c>
      <c r="J34" s="340">
        <f>'סיכום לועדה- הזנת נתונים'!J34</f>
        <v>41482887</v>
      </c>
      <c r="K34" s="340">
        <f>'סיכום לועדה- הזנת נתונים'!K34</f>
        <v>580567212</v>
      </c>
      <c r="L34" s="340" t="str">
        <f>'סיכום לועדה- הזנת נתונים'!L34</f>
        <v>הפדרציה העולמית של יהדות תוניסיה בי</v>
      </c>
      <c r="M34" s="340" t="str">
        <f>'סיכום לועדה- הזנת נתונים'!M34</f>
        <v>תמיכה שוטפת</v>
      </c>
      <c r="N34" s="341">
        <f>'סיכום לועדה- הזנת נתונים'!N34</f>
        <v>137789.1</v>
      </c>
      <c r="O34" s="341">
        <f>'סיכום לועדה- הזנת נתונים'!O34</f>
        <v>200000</v>
      </c>
      <c r="P34" s="445">
        <f ca="1">'סיכום לועדה- הזנת נתונים'!P34</f>
        <v>0.65987797930919434</v>
      </c>
      <c r="Q34" s="341">
        <f ca="1">'סיכום לועדה- הזנת נתונים'!Q34</f>
        <v>0</v>
      </c>
      <c r="R34" s="341">
        <f ca="1">'סיכום לועדה- הזנת נתונים'!R34</f>
        <v>0</v>
      </c>
      <c r="S34" s="341">
        <f ca="1">'סיכום לועדה- הזנת נתונים'!S34</f>
        <v>90923.99287883252</v>
      </c>
      <c r="T34" s="341">
        <f ca="1">'סיכום לועדה- הזנת נתונים'!T34</f>
        <v>90923.99287883252</v>
      </c>
      <c r="U34" s="447">
        <f>'סיכום לועדה- הזנת נתונים'!U34</f>
        <v>0</v>
      </c>
      <c r="V34" s="447" t="str">
        <f>'סיכום לועדה- הזנת נתונים'!V34</f>
        <v>מאושר בהתאם להחלטת ועדת התמיכות.</v>
      </c>
      <c r="W34" s="178" t="e">
        <f t="shared" ca="1" si="2"/>
        <v>#VALUE!</v>
      </c>
      <c r="X34" s="179">
        <f t="shared" ca="1" si="3"/>
        <v>-1</v>
      </c>
      <c r="Y34" s="175" t="e">
        <f t="shared" ca="1" si="4"/>
        <v>#VALUE!</v>
      </c>
      <c r="Z34" s="175" t="str">
        <f t="shared" ca="1" si="5"/>
        <v>הצג חריגים</v>
      </c>
      <c r="AA34" s="180">
        <f t="shared" ca="1" si="0"/>
        <v>0</v>
      </c>
      <c r="AB34" s="174"/>
      <c r="AC34" s="174"/>
      <c r="AD34" s="174"/>
      <c r="AE34" s="174"/>
      <c r="AF34" s="174"/>
      <c r="AG34" s="174"/>
      <c r="AH34" s="174"/>
      <c r="AI34" s="174"/>
      <c r="AJ34" s="174"/>
      <c r="AK34" s="174"/>
      <c r="AL34" s="174"/>
      <c r="AM34" s="174"/>
      <c r="AN34" s="174"/>
      <c r="AO34" s="174"/>
      <c r="AP34" s="174"/>
      <c r="AQ34" s="174"/>
      <c r="AR34" s="174"/>
      <c r="AS34" s="174"/>
      <c r="AT34" s="174"/>
      <c r="AU34" s="174"/>
      <c r="AV34" s="174"/>
      <c r="AW34" s="174"/>
      <c r="AX34" s="175" t="b">
        <f t="shared" ca="1" si="6"/>
        <v>1</v>
      </c>
      <c r="AY34" s="181"/>
      <c r="AZ34" s="182">
        <f t="shared" si="1"/>
        <v>15000000</v>
      </c>
    </row>
    <row r="35" spans="2:52" ht="63" x14ac:dyDescent="0.25">
      <c r="B35" s="340">
        <f ca="1">'סיכום לועדה- הזנת נתונים'!B35</f>
        <v>5</v>
      </c>
      <c r="C35" s="340" t="str">
        <f ca="1">'סיכום לועדה- הזנת נתונים'!C35</f>
        <v>התאחדות עולי מצרים</v>
      </c>
      <c r="D35" s="340">
        <f>'סיכום לועדה- הזנת נתונים'!D35</f>
        <v>1001913827</v>
      </c>
      <c r="E35" s="340">
        <f>'סיכום לועדה- הזנת נתונים'!E35</f>
        <v>1001736685</v>
      </c>
      <c r="F35" s="340">
        <f>'סיכום לועדה- הזנת נתונים'!F35</f>
        <v>2020</v>
      </c>
      <c r="G35" s="340">
        <f ca="1">'סיכום לועדה- הזנת נתונים'!G35</f>
        <v>1</v>
      </c>
      <c r="H35" s="340" t="str">
        <f>'סיכום לועדה- הזנת נתונים'!H35</f>
        <v/>
      </c>
      <c r="I35" s="340">
        <f>'סיכום לועדה- הזנת נתונים'!I35</f>
        <v>2025</v>
      </c>
      <c r="J35" s="340">
        <f>'סיכום לועדה- הזנת נתונים'!J35</f>
        <v>40000417</v>
      </c>
      <c r="K35" s="340">
        <f>'סיכום לועדה- הזנת נתונים'!K35</f>
        <v>580065167</v>
      </c>
      <c r="L35" s="340" t="str">
        <f>'סיכום לועדה- הזנת נתונים'!L35</f>
        <v>התאחדות עולי מצרים בישראל )ע"ר(</v>
      </c>
      <c r="M35" s="340" t="str">
        <f>'סיכום לועדה- הזנת נתונים'!M35</f>
        <v>מורשת עדות ישראל</v>
      </c>
      <c r="N35" s="341">
        <f>'סיכום לועדה- הזנת נתונים'!N35</f>
        <v>192461.67</v>
      </c>
      <c r="O35" s="341">
        <f>'סיכום לועדה- הזנת נתונים'!O35</f>
        <v>250000</v>
      </c>
      <c r="P35" s="445">
        <f ca="1">'סיכום לועדה- הזנת נתונים'!P35</f>
        <v>1.2989599435565533</v>
      </c>
      <c r="Q35" s="341">
        <f ca="1">'סיכום לועדה- הזנת נתונים'!Q35</f>
        <v>0</v>
      </c>
      <c r="R35" s="341">
        <f ca="1">'סיכום לועדה- הזנת נתונים'!R35</f>
        <v>0</v>
      </c>
      <c r="S35" s="341">
        <f ca="1">'סיכום לועדה- הזנת נתונים'!S35</f>
        <v>250000</v>
      </c>
      <c r="T35" s="341">
        <f ca="1">'סיכום לועדה- הזנת נתונים'!T35</f>
        <v>250000</v>
      </c>
      <c r="U35" s="447">
        <f>'סיכום לועדה- הזנת נתונים'!U35</f>
        <v>0</v>
      </c>
      <c r="V35" s="447" t="str">
        <f>'סיכום לועדה- הזנת נתונים'!V35</f>
        <v>מאושר בהתאם למבחן התמיכה. שינוי בתחשיב הבסיס מושפע מירידה בשנת ההערכה בפעילות הוצאת עלונים ובמשתנה שימור חומר ארכיוני, לצד עלייה במשתנה הוצאה לאור של ספרי עיון.</v>
      </c>
      <c r="W35" s="178" t="e">
        <f t="shared" ca="1" si="2"/>
        <v>#VALUE!</v>
      </c>
      <c r="X35" s="179">
        <f t="shared" ca="1" si="3"/>
        <v>-1</v>
      </c>
      <c r="Y35" s="175" t="e">
        <f t="shared" ca="1" si="4"/>
        <v>#VALUE!</v>
      </c>
      <c r="Z35" s="175" t="str">
        <f t="shared" ca="1" si="5"/>
        <v>הצג חריגים</v>
      </c>
      <c r="AA35" s="180">
        <f t="shared" ca="1" si="0"/>
        <v>0</v>
      </c>
      <c r="AB35" s="174"/>
      <c r="AC35" s="174"/>
      <c r="AD35" s="174"/>
      <c r="AE35" s="174"/>
      <c r="AF35" s="174"/>
      <c r="AG35" s="174"/>
      <c r="AH35" s="174"/>
      <c r="AI35" s="174"/>
      <c r="AJ35" s="174"/>
      <c r="AK35" s="174"/>
      <c r="AL35" s="174"/>
      <c r="AM35" s="174"/>
      <c r="AN35" s="174"/>
      <c r="AO35" s="174"/>
      <c r="AP35" s="174"/>
      <c r="AQ35" s="174"/>
      <c r="AR35" s="174"/>
      <c r="AS35" s="174"/>
      <c r="AT35" s="174"/>
      <c r="AU35" s="174"/>
      <c r="AV35" s="174"/>
      <c r="AW35" s="174"/>
      <c r="AX35" s="175" t="b">
        <f t="shared" ca="1" si="6"/>
        <v>1</v>
      </c>
      <c r="AY35" s="181"/>
      <c r="AZ35" s="182">
        <f t="shared" si="1"/>
        <v>15000000</v>
      </c>
    </row>
    <row r="36" spans="2:52" ht="63" x14ac:dyDescent="0.25">
      <c r="B36" s="340">
        <f ca="1">'סיכום לועדה- הזנת נתונים'!B36</f>
        <v>6</v>
      </c>
      <c r="C36" s="340" t="str">
        <f ca="1">'סיכום לועדה- הזנת נתונים'!C36</f>
        <v>יהודים יוצאי לוב</v>
      </c>
      <c r="D36" s="340">
        <f>'סיכום לועדה- הזנת נתונים'!D36</f>
        <v>1001914229</v>
      </c>
      <c r="E36" s="340">
        <f>'סיכום לועדה- הזנת נתונים'!E36</f>
        <v>1001777835</v>
      </c>
      <c r="F36" s="340">
        <f>'סיכום לועדה- הזנת נתונים'!F36</f>
        <v>2020</v>
      </c>
      <c r="G36" s="340">
        <f ca="1">'סיכום לועדה- הזנת נתונים'!G36</f>
        <v>1</v>
      </c>
      <c r="H36" s="340" t="str">
        <f>'סיכום לועדה- הזנת נתונים'!H36</f>
        <v/>
      </c>
      <c r="I36" s="340">
        <f>'סיכום לועדה- הזנת נתונים'!I36</f>
        <v>2025</v>
      </c>
      <c r="J36" s="340">
        <f>'סיכום לועדה- הזנת נתונים'!J36</f>
        <v>40216034</v>
      </c>
      <c r="K36" s="340">
        <f>'סיכום לועדה- הזנת נתונים'!K36</f>
        <v>580135903</v>
      </c>
      <c r="L36" s="340" t="str">
        <f>'סיכום לועדה- הזנת נתונים'!L36</f>
        <v>הארגון העולמי של יהודים יוצאי לוב (</v>
      </c>
      <c r="M36" s="340" t="str">
        <f>'סיכום לועדה- הזנת נתונים'!M36</f>
        <v>מורשת יהדות לוב</v>
      </c>
      <c r="N36" s="341">
        <f>'סיכום לועדה- הזנת נתונים'!N36</f>
        <v>501135.74</v>
      </c>
      <c r="O36" s="341">
        <f>'סיכום לועדה- הזנת נתונים'!O36</f>
        <v>1200000</v>
      </c>
      <c r="P36" s="445">
        <f ca="1">'סיכום לועדה- הזנת נתונים'!P36</f>
        <v>1.0242052902976908</v>
      </c>
      <c r="Q36" s="341">
        <f ca="1">'סיכום לועדה- הזנת נתונים'!Q36</f>
        <v>0</v>
      </c>
      <c r="R36" s="341">
        <f ca="1">'סיכום לועדה- הזנת נתונים'!R36</f>
        <v>0</v>
      </c>
      <c r="S36" s="341">
        <f ca="1">'סיכום לועדה- הזנת נתונים'!S36</f>
        <v>513265.8760652481</v>
      </c>
      <c r="T36" s="341">
        <f ca="1">'סיכום לועדה- הזנת נתונים'!T36</f>
        <v>513265.87606524804</v>
      </c>
      <c r="U36" s="447">
        <f>'סיכום לועדה- הזנת נתונים'!U36</f>
        <v>0</v>
      </c>
      <c r="V36" s="447" t="str">
        <f>'סיכום לועדה- הזנת נתונים'!V36</f>
        <v>מאושר בהתאם למבחן התמיכה. שינוי בתחשיב הבסיס מושפע מעלייה בשנת ההערכה במשתנה תיעוד חומר ארכיוני, הוצאה לאור של ספרי עיון והוצאה לאור של עלונים, לצד ירידה במשתנה תערוכות.</v>
      </c>
      <c r="W36" s="178" t="e">
        <f t="shared" ca="1" si="2"/>
        <v>#VALUE!</v>
      </c>
      <c r="X36" s="179">
        <f t="shared" ca="1" si="3"/>
        <v>-1</v>
      </c>
      <c r="Y36" s="175" t="e">
        <f t="shared" ca="1" si="4"/>
        <v>#VALUE!</v>
      </c>
      <c r="Z36" s="175" t="str">
        <f t="shared" ca="1" si="5"/>
        <v>הצג חריגים</v>
      </c>
      <c r="AA36" s="180">
        <f t="shared" ca="1" si="0"/>
        <v>0</v>
      </c>
      <c r="AB36" s="174"/>
      <c r="AC36" s="174"/>
      <c r="AD36" s="174"/>
      <c r="AE36" s="174"/>
      <c r="AF36" s="174"/>
      <c r="AG36" s="174"/>
      <c r="AH36" s="174"/>
      <c r="AI36" s="174"/>
      <c r="AJ36" s="174"/>
      <c r="AK36" s="174"/>
      <c r="AL36" s="174"/>
      <c r="AM36" s="174"/>
      <c r="AN36" s="174"/>
      <c r="AO36" s="174"/>
      <c r="AP36" s="174"/>
      <c r="AQ36" s="174"/>
      <c r="AR36" s="174"/>
      <c r="AS36" s="174"/>
      <c r="AT36" s="174"/>
      <c r="AU36" s="174"/>
      <c r="AV36" s="174"/>
      <c r="AW36" s="174"/>
      <c r="AX36" s="175" t="b">
        <f t="shared" ca="1" si="6"/>
        <v>1</v>
      </c>
      <c r="AY36" s="181"/>
      <c r="AZ36" s="182">
        <f t="shared" si="1"/>
        <v>15000000</v>
      </c>
    </row>
    <row r="37" spans="2:52" ht="110.25" x14ac:dyDescent="0.25">
      <c r="B37" s="340">
        <f ca="1">'סיכום לועדה- הזנת נתונים'!B37</f>
        <v>7</v>
      </c>
      <c r="C37" s="340" t="str">
        <f ca="1">'סיכום לועדה- הזנת נתונים'!C37</f>
        <v>הפדרציה העולמית של יהדות מרוקו</v>
      </c>
      <c r="D37" s="340">
        <f>'סיכום לועדה- הזנת נתונים'!D37</f>
        <v>1001914441</v>
      </c>
      <c r="E37" s="340">
        <f>'סיכום לועדה- הזנת נתונים'!E37</f>
        <v>1001745797</v>
      </c>
      <c r="F37" s="340">
        <f>'סיכום לועדה- הזנת נתונים'!F37</f>
        <v>2020</v>
      </c>
      <c r="G37" s="340">
        <f ca="1">'סיכום לועדה- הזנת נתונים'!G37</f>
        <v>1</v>
      </c>
      <c r="H37" s="340" t="str">
        <f>'סיכום לועדה- הזנת נתונים'!H37</f>
        <v/>
      </c>
      <c r="I37" s="340">
        <f>'סיכום לועדה- הזנת נתונים'!I37</f>
        <v>2025</v>
      </c>
      <c r="J37" s="340">
        <f>'סיכום לועדה- הזנת נתונים'!J37</f>
        <v>40132386</v>
      </c>
      <c r="K37" s="340">
        <f>'סיכום לועדה- הזנת נתונים'!K37</f>
        <v>580370344</v>
      </c>
      <c r="L37" s="340" t="str">
        <f>'סיכום לועדה- הזנת נתונים'!L37</f>
        <v>הפדרציה העולמית של יהדות מרוקו (ע"ר</v>
      </c>
      <c r="M37" s="340" t="str">
        <f>'סיכום לועדה- הזנת נתונים'!M37</f>
        <v>תמיכה באירועי תרבות ומורשת עדות</v>
      </c>
      <c r="N37" s="341">
        <f>'סיכום לועדה- הזנת נתונים'!N37</f>
        <v>308058</v>
      </c>
      <c r="O37" s="341">
        <f>'סיכום לועדה- הזנת נתונים'!O37</f>
        <v>1500000</v>
      </c>
      <c r="P37" s="445">
        <f ca="1">'סיכום לועדה- הזנת נתונים'!P37</f>
        <v>1.0343822392218347</v>
      </c>
      <c r="Q37" s="341">
        <f ca="1">'סיכום לועדה- הזנת נתונים'!Q37</f>
        <v>0</v>
      </c>
      <c r="R37" s="341">
        <f ca="1">'סיכום לועדה- הזנת נתונים'!R37</f>
        <v>0</v>
      </c>
      <c r="S37" s="341">
        <f ca="1">'סיכום לועדה- הזנת נתונים'!S37</f>
        <v>318649.72385019995</v>
      </c>
      <c r="T37" s="341">
        <f ca="1">'סיכום לועדה- הזנת נתונים'!T37</f>
        <v>318649.72385019995</v>
      </c>
      <c r="U37" s="447">
        <f>'סיכום לועדה- הזנת נתונים'!U37</f>
        <v>0</v>
      </c>
      <c r="V37" s="447" t="str">
        <f>'סיכום לועדה- הזנת נתונים'!V37</f>
        <v>מאושר בהתאם למבחן התמיכה. שינוי בתחשיב הבסיס מושפע מירידה בשנת ההערכה בהכנסות עצמיות ובמשתנה תיעוד חומר ארכיוני, לצד עלייה במשתנה הוצאת עלונים. מאושרת תמיכה בגוף בהתאם למבחן התמיכה, אך תשלום התמיכה מוקפא עד להחלטה אחרת של הוועדה.  החלטת הוועדה מפורטת בסיכום דיון הוועדה ותומצא לידיעת הגוף.</v>
      </c>
      <c r="W37" s="178" t="e">
        <f t="shared" ca="1" si="2"/>
        <v>#VALUE!</v>
      </c>
      <c r="X37" s="179">
        <f t="shared" ca="1" si="3"/>
        <v>-1</v>
      </c>
      <c r="Y37" s="175" t="e">
        <f t="shared" ca="1" si="4"/>
        <v>#VALUE!</v>
      </c>
      <c r="Z37" s="175" t="str">
        <f t="shared" ca="1" si="5"/>
        <v>הצג חריגים</v>
      </c>
      <c r="AA37" s="180">
        <f t="shared" ca="1" si="0"/>
        <v>0</v>
      </c>
      <c r="AB37" s="174"/>
      <c r="AC37" s="174"/>
      <c r="AD37" s="174"/>
      <c r="AE37" s="174"/>
      <c r="AF37" s="174"/>
      <c r="AG37" s="174"/>
      <c r="AH37" s="174"/>
      <c r="AI37" s="174"/>
      <c r="AJ37" s="174"/>
      <c r="AK37" s="174"/>
      <c r="AL37" s="174"/>
      <c r="AM37" s="174"/>
      <c r="AN37" s="174"/>
      <c r="AO37" s="174"/>
      <c r="AP37" s="174"/>
      <c r="AQ37" s="174"/>
      <c r="AR37" s="174"/>
      <c r="AS37" s="174"/>
      <c r="AT37" s="174"/>
      <c r="AU37" s="174"/>
      <c r="AV37" s="174"/>
      <c r="AW37" s="174"/>
      <c r="AX37" s="175" t="b">
        <f t="shared" ca="1" si="6"/>
        <v>1</v>
      </c>
      <c r="AY37" s="181"/>
      <c r="AZ37" s="182">
        <f t="shared" si="1"/>
        <v>15000000</v>
      </c>
    </row>
    <row r="38" spans="2:52" ht="31.5" x14ac:dyDescent="0.25">
      <c r="B38" s="340">
        <f ca="1">'סיכום לועדה- הזנת נתונים'!B38</f>
        <v>8</v>
      </c>
      <c r="C38" s="340" t="str">
        <f ca="1">'סיכום לועדה- הזנת נתונים'!C38</f>
        <v>אורות הגליל</v>
      </c>
      <c r="D38" s="340">
        <f>'סיכום לועדה- הזנת נתונים'!D38</f>
        <v>1001911972</v>
      </c>
      <c r="E38" s="340">
        <f>'סיכום לועדה- הזנת נתונים'!E38</f>
        <v>1001746503</v>
      </c>
      <c r="F38" s="340">
        <f>'סיכום לועדה- הזנת נתונים'!F38</f>
        <v>2020</v>
      </c>
      <c r="G38" s="340">
        <f ca="1">'סיכום לועדה- הזנת נתונים'!G38</f>
        <v>1</v>
      </c>
      <c r="H38" s="340" t="str">
        <f>'סיכום לועדה- הזנת נתונים'!H38</f>
        <v/>
      </c>
      <c r="I38" s="340">
        <f>'סיכום לועדה- הזנת נתונים'!I38</f>
        <v>2025</v>
      </c>
      <c r="J38" s="340">
        <f>'סיכום לועדה- הזנת נתונים'!J38</f>
        <v>40299606</v>
      </c>
      <c r="K38" s="340">
        <f>'סיכום לועדה- הזנת נתונים'!K38</f>
        <v>580041770</v>
      </c>
      <c r="L38" s="340" t="str">
        <f>'סיכום לועדה- הזנת נתונים'!L38</f>
        <v>אורות הגליל</v>
      </c>
      <c r="M38" s="340" t="str">
        <f>'סיכום לועדה- הזנת נתונים'!M38</f>
        <v>מורשת עדות ישראל 2025</v>
      </c>
      <c r="N38" s="341">
        <f>'סיכום לועדה- הזנת נתונים'!N38</f>
        <v>295429.61</v>
      </c>
      <c r="O38" s="341">
        <f>'סיכום לועדה- הזנת נתונים'!O38</f>
        <v>450000</v>
      </c>
      <c r="P38" s="445">
        <f ca="1">'סיכום לועדה- הזנת נתונים'!P38</f>
        <v>1.4966441930689134</v>
      </c>
      <c r="Q38" s="341">
        <f ca="1">'סיכום לועדה- הזנת נתונים'!Q38</f>
        <v>0</v>
      </c>
      <c r="R38" s="341">
        <f ca="1">'סיכום לועדה- הזנת נתונים'!R38</f>
        <v>0</v>
      </c>
      <c r="S38" s="341">
        <f ca="1">'סיכום לועדה- הזנת נתונים'!S38</f>
        <v>442153.01026711374</v>
      </c>
      <c r="T38" s="341">
        <f ca="1">'סיכום לועדה- הזנת נתונים'!T38</f>
        <v>442153.01026711374</v>
      </c>
      <c r="U38" s="447">
        <f>'סיכום לועדה- הזנת נתונים'!U38</f>
        <v>0</v>
      </c>
      <c r="V38" s="447" t="str">
        <f>'סיכום לועדה- הזנת נתונים'!V38</f>
        <v>מאושר בהתאם להחלטת וועדת תמיכות ובהתאם למבחן התמיכה.</v>
      </c>
      <c r="W38" s="178" t="e">
        <f t="shared" ca="1" si="2"/>
        <v>#VALUE!</v>
      </c>
      <c r="X38" s="179">
        <f t="shared" ca="1" si="3"/>
        <v>-1</v>
      </c>
      <c r="Y38" s="175" t="e">
        <f t="shared" ca="1" si="4"/>
        <v>#VALUE!</v>
      </c>
      <c r="Z38" s="175" t="str">
        <f t="shared" ca="1" si="5"/>
        <v>הצג חריגים</v>
      </c>
      <c r="AA38" s="180">
        <f t="shared" ca="1" si="0"/>
        <v>0</v>
      </c>
      <c r="AB38" s="174"/>
      <c r="AC38" s="174"/>
      <c r="AD38" s="174"/>
      <c r="AE38" s="174"/>
      <c r="AF38" s="174"/>
      <c r="AG38" s="174"/>
      <c r="AH38" s="174"/>
      <c r="AI38" s="174"/>
      <c r="AJ38" s="174"/>
      <c r="AK38" s="174"/>
      <c r="AL38" s="174"/>
      <c r="AM38" s="174"/>
      <c r="AN38" s="174"/>
      <c r="AO38" s="174"/>
      <c r="AP38" s="174"/>
      <c r="AQ38" s="174"/>
      <c r="AR38" s="174"/>
      <c r="AS38" s="174"/>
      <c r="AT38" s="174"/>
      <c r="AU38" s="174"/>
      <c r="AV38" s="174"/>
      <c r="AW38" s="174"/>
      <c r="AX38" s="175" t="b">
        <f t="shared" ca="1" si="6"/>
        <v>1</v>
      </c>
      <c r="AY38" s="181"/>
      <c r="AZ38" s="182">
        <f t="shared" si="1"/>
        <v>15000000</v>
      </c>
    </row>
    <row r="39" spans="2:52" x14ac:dyDescent="0.25">
      <c r="B39" s="340">
        <f ca="1">'סיכום לועדה- הזנת נתונים'!B39</f>
        <v>9</v>
      </c>
      <c r="C39" s="340" t="str">
        <f ca="1">'סיכום לועדה- הזנת נתונים'!C39</f>
        <v>אלמז</v>
      </c>
      <c r="D39" s="340">
        <f>'סיכום לועדה- הזנת נתונים'!D39</f>
        <v>1001910373</v>
      </c>
      <c r="E39" s="340">
        <f>'סיכום לועדה- הזנת נתונים'!E39</f>
        <v>1001722703</v>
      </c>
      <c r="F39" s="340">
        <f>'סיכום לועדה- הזנת נתונים'!F39</f>
        <v>2020</v>
      </c>
      <c r="G39" s="340">
        <f ca="1">'סיכום לועדה- הזנת נתונים'!G39</f>
        <v>1</v>
      </c>
      <c r="H39" s="340" t="str">
        <f>'סיכום לועדה- הזנת נתונים'!H39</f>
        <v/>
      </c>
      <c r="I39" s="340">
        <f>'סיכום לועדה- הזנת נתונים'!I39</f>
        <v>2025</v>
      </c>
      <c r="J39" s="340">
        <f>'סיכום לועדה- הזנת נתונים'!J39</f>
        <v>40970756</v>
      </c>
      <c r="K39" s="340">
        <f>'סיכום לועדה- הזנת נתונים'!K39</f>
        <v>580571206</v>
      </c>
      <c r="L39" s="340" t="str">
        <f>'סיכום לועדה- הזנת נתונים'!L39</f>
        <v>אלמז אמנות בישראל )ע"ר(</v>
      </c>
      <c r="M39" s="340" t="str">
        <f>'סיכום לועדה- הזנת נתונים'!M39</f>
        <v>אלמז שימור מורשת יהדות אתיופיה 2025</v>
      </c>
      <c r="N39" s="341">
        <f>'סיכום לועדה- הזנת נתונים'!N39</f>
        <v>103736.29</v>
      </c>
      <c r="O39" s="341">
        <f>'סיכום לועדה- הזנת נתונים'!O39</f>
        <v>300000</v>
      </c>
      <c r="P39" s="445">
        <f ca="1">'סיכום לועדה- הזנת נתונים'!P39</f>
        <v>1.367264786423517</v>
      </c>
      <c r="Q39" s="341">
        <f ca="1">'סיכום לועדה- הזנת נתונים'!Q39</f>
        <v>0</v>
      </c>
      <c r="R39" s="341">
        <f ca="1">'סיכום לועדה- הזנת נתונים'!R39</f>
        <v>0</v>
      </c>
      <c r="S39" s="341">
        <f ca="1">'סיכום לועדה- הזנת נתונים'!S39</f>
        <v>141834.97639121802</v>
      </c>
      <c r="T39" s="341">
        <f ca="1">'סיכום לועדה- הזנת נתונים'!T39</f>
        <v>141834.97639121802</v>
      </c>
      <c r="U39" s="447">
        <f>'סיכום לועדה- הזנת נתונים'!U39</f>
        <v>0</v>
      </c>
      <c r="V39" s="447" t="str">
        <f>'סיכום לועדה- הזנת נתונים'!V39</f>
        <v>מאושר בהתאם למבחן התמיכה</v>
      </c>
      <c r="W39" s="178" t="e">
        <f t="shared" ca="1" si="2"/>
        <v>#VALUE!</v>
      </c>
      <c r="X39" s="179">
        <f t="shared" ca="1" si="3"/>
        <v>-1</v>
      </c>
      <c r="Y39" s="175" t="e">
        <f t="shared" ca="1" si="4"/>
        <v>#VALUE!</v>
      </c>
      <c r="Z39" s="175" t="str">
        <f t="shared" ca="1" si="5"/>
        <v>הצג חריגים</v>
      </c>
      <c r="AA39" s="180">
        <f t="shared" ca="1" si="0"/>
        <v>0</v>
      </c>
      <c r="AB39" s="174"/>
      <c r="AC39" s="174"/>
      <c r="AD39" s="174"/>
      <c r="AE39" s="174"/>
      <c r="AF39" s="174"/>
      <c r="AG39" s="174"/>
      <c r="AH39" s="174"/>
      <c r="AI39" s="174"/>
      <c r="AJ39" s="174"/>
      <c r="AK39" s="174"/>
      <c r="AL39" s="174"/>
      <c r="AM39" s="174"/>
      <c r="AN39" s="174"/>
      <c r="AO39" s="174"/>
      <c r="AP39" s="174"/>
      <c r="AQ39" s="174"/>
      <c r="AR39" s="174"/>
      <c r="AS39" s="174"/>
      <c r="AT39" s="174"/>
      <c r="AU39" s="174"/>
      <c r="AV39" s="174"/>
      <c r="AW39" s="174"/>
      <c r="AX39" s="175" t="b">
        <f t="shared" ca="1" si="6"/>
        <v>1</v>
      </c>
      <c r="AY39" s="181"/>
      <c r="AZ39" s="182">
        <f t="shared" si="1"/>
        <v>15000000</v>
      </c>
    </row>
    <row r="40" spans="2:52" ht="47.25" x14ac:dyDescent="0.25">
      <c r="B40" s="340">
        <f ca="1">'סיכום לועדה- הזנת נתונים'!B40</f>
        <v>10</v>
      </c>
      <c r="C40" s="340" t="str">
        <f ca="1">'סיכום לועדה- הזנת נתונים'!C40</f>
        <v>קונגרס יהודי בוכרה</v>
      </c>
      <c r="D40" s="340">
        <f>'סיכום לועדה- הזנת נתונים'!D40</f>
        <v>1001910973</v>
      </c>
      <c r="E40" s="340">
        <f>'סיכום לועדה- הזנת נתונים'!E40</f>
        <v>1001745303</v>
      </c>
      <c r="F40" s="340">
        <f>'סיכום לועדה- הזנת נתונים'!F40</f>
        <v>2020</v>
      </c>
      <c r="G40" s="340">
        <f ca="1">'סיכום לועדה- הזנת נתונים'!G40</f>
        <v>1</v>
      </c>
      <c r="H40" s="340" t="str">
        <f>'סיכום לועדה- הזנת נתונים'!H40</f>
        <v/>
      </c>
      <c r="I40" s="340">
        <f>'סיכום לועדה- הזנת נתונים'!I40</f>
        <v>2025</v>
      </c>
      <c r="J40" s="340">
        <f>'סיכום לועדה- הזנת נתונים'!J40</f>
        <v>40016837</v>
      </c>
      <c r="K40" s="340">
        <f>'סיכום לועדה- הזנת נתונים'!K40</f>
        <v>580361285</v>
      </c>
      <c r="L40" s="340" t="str">
        <f>'סיכום לועדה- הזנת נתונים'!L40</f>
        <v>קונגרס יהודי בוכרה (ע"ר)</v>
      </c>
      <c r="M40" s="340" t="str">
        <f>'סיכום לועדה- הזנת נתונים'!M40</f>
        <v>שימור המורשת המופלאה של יהדות בוכרה בישר</v>
      </c>
      <c r="N40" s="341">
        <f>'סיכום לועדה- הזנת נתונים'!N40</f>
        <v>1071864</v>
      </c>
      <c r="O40" s="341">
        <f>'סיכום לועדה- הזנת נתונים'!O40</f>
        <v>1800000</v>
      </c>
      <c r="P40" s="445">
        <f ca="1">'סיכום לועדה- הזנת נתונים'!P40</f>
        <v>1.4403032736069186</v>
      </c>
      <c r="Q40" s="341">
        <f ca="1">'סיכום לועדה- הזנת נתונים'!Q40</f>
        <v>0</v>
      </c>
      <c r="R40" s="341">
        <f ca="1">'סיכום לועדה- הזנת נתונים'!R40</f>
        <v>0</v>
      </c>
      <c r="S40" s="341">
        <f ca="1">'סיכום לועדה- הזנת נתונים'!S40</f>
        <v>1543809.2280614062</v>
      </c>
      <c r="T40" s="341">
        <f ca="1">'סיכום לועדה- הזנת נתונים'!T40</f>
        <v>1543809.2280614062</v>
      </c>
      <c r="U40" s="447">
        <f>'סיכום לועדה- הזנת נתונים'!U40</f>
        <v>0</v>
      </c>
      <c r="V40" s="447" t="str">
        <f>'סיכום לועדה- הזנת נתונים'!V40</f>
        <v>מאושר בהתאם למבחן התמיכה. שינוי בתחשיב הבסיס מושפע מירידה בשנת ההערכה בתחום אתר האינטרנט ובמשתנה הוצאת עלונים.</v>
      </c>
      <c r="W40" s="178" t="e">
        <f t="shared" ca="1" si="2"/>
        <v>#VALUE!</v>
      </c>
      <c r="X40" s="179">
        <f t="shared" ca="1" si="3"/>
        <v>-1</v>
      </c>
      <c r="Y40" s="175" t="e">
        <f t="shared" ca="1" si="4"/>
        <v>#VALUE!</v>
      </c>
      <c r="Z40" s="175" t="str">
        <f t="shared" ca="1" si="5"/>
        <v>הצג חריגים</v>
      </c>
      <c r="AA40" s="180">
        <f t="shared" ca="1" si="0"/>
        <v>0</v>
      </c>
      <c r="AB40" s="174"/>
      <c r="AC40" s="174"/>
      <c r="AD40" s="174"/>
      <c r="AE40" s="174"/>
      <c r="AF40" s="174"/>
      <c r="AG40" s="174"/>
      <c r="AH40" s="174"/>
      <c r="AI40" s="174"/>
      <c r="AJ40" s="174"/>
      <c r="AK40" s="174"/>
      <c r="AL40" s="174"/>
      <c r="AM40" s="174"/>
      <c r="AN40" s="174"/>
      <c r="AO40" s="174"/>
      <c r="AP40" s="174"/>
      <c r="AQ40" s="174"/>
      <c r="AR40" s="174"/>
      <c r="AS40" s="174"/>
      <c r="AT40" s="174"/>
      <c r="AU40" s="174"/>
      <c r="AV40" s="174"/>
      <c r="AW40" s="174"/>
      <c r="AX40" s="175" t="b">
        <f t="shared" ca="1" si="6"/>
        <v>1</v>
      </c>
      <c r="AY40" s="181"/>
      <c r="AZ40" s="182">
        <f t="shared" si="1"/>
        <v>15000000</v>
      </c>
    </row>
    <row r="41" spans="2:52" ht="110.25" x14ac:dyDescent="0.25">
      <c r="B41" s="340">
        <f ca="1">'סיכום לועדה- הזנת נתונים'!B41</f>
        <v>11</v>
      </c>
      <c r="C41" s="340" t="str">
        <f ca="1">'סיכום לועדה- הזנת נתונים'!C41</f>
        <v>יהדות שאלוניקי יוון</v>
      </c>
      <c r="D41" s="340">
        <f>'סיכום לועדה- הזנת נתונים'!D41</f>
        <v>1001933178</v>
      </c>
      <c r="E41" s="340">
        <f>'סיכום לועדה- הזנת נתונים'!E41</f>
        <v>1001784375</v>
      </c>
      <c r="F41" s="340">
        <f>'סיכום לועדה- הזנת נתונים'!F41</f>
        <v>2020</v>
      </c>
      <c r="G41" s="340">
        <f ca="1">'סיכום לועדה- הזנת נתונים'!G41</f>
        <v>1</v>
      </c>
      <c r="H41" s="340" t="str">
        <f>'סיכום לועדה- הזנת נתונים'!H41</f>
        <v/>
      </c>
      <c r="I41" s="340">
        <f>'סיכום לועדה- הזנת נתונים'!I41</f>
        <v>2025</v>
      </c>
      <c r="J41" s="340">
        <f>'סיכום לועדה- הזנת נתונים'!J41</f>
        <v>41493956</v>
      </c>
      <c r="K41" s="340">
        <f>'סיכום לועדה- הזנת נתונים'!K41</f>
        <v>580542637</v>
      </c>
      <c r="L41" s="340" t="str">
        <f>'סיכום לועדה- הזנת נתונים'!L41</f>
        <v>המרכז למורשת יהדות שאלוניקי ויוון ע</v>
      </c>
      <c r="M41" s="340" t="str">
        <f>'סיכום לועדה- הזנת נתונים'!M41</f>
        <v>תמיכה בפעילות המרכז לשנת העבודה 2025</v>
      </c>
      <c r="N41" s="341">
        <f>'סיכום לועדה- הזנת נתונים'!N41</f>
        <v>264243.15000000002</v>
      </c>
      <c r="O41" s="341">
        <f>'סיכום לועדה- הזנת נתונים'!O41</f>
        <v>2700000</v>
      </c>
      <c r="P41" s="445">
        <f ca="1">'סיכום לועדה- הזנת נתונים'!P41</f>
        <v>1.3042219867481502</v>
      </c>
      <c r="Q41" s="341">
        <f ca="1">'סיכום לועדה- הזנת נתונים'!Q41</f>
        <v>0</v>
      </c>
      <c r="R41" s="341">
        <f ca="1">'סיכום לועדה- הזנת נתונים'!R41</f>
        <v>0</v>
      </c>
      <c r="S41" s="341">
        <f ca="1">'סיכום לועדה- הזנת נתונים'!S41</f>
        <v>344631.7260775895</v>
      </c>
      <c r="T41" s="341">
        <f ca="1">'סיכום לועדה- הזנת נתונים'!T41</f>
        <v>344631.7260775895</v>
      </c>
      <c r="U41" s="447">
        <f>'סיכום לועדה- הזנת נתונים'!U41</f>
        <v>0</v>
      </c>
      <c r="V41" s="447" t="str">
        <f>'סיכום לועדה- הזנת נתונים'!V41</f>
        <v>מאושר בהתאם למבחן התמיכה. שינוי בתחשיב הבסיס מושפע מירידה בשנת הערכה במשתנה תערוכות ובתחום הוצאת עלונים, לצד עלייה במשתנה קיום ארועי תרבות. מאושרת תמיכה בגוף בהתאם למבחן התמיכה, אך תשלום התמיכה מוקפא עד להחלטה אחרת של הוועדה.  החלטת הוועדה מפורטת בסיכום דיון הוועדה ותומצא לידיעת הגוף.</v>
      </c>
      <c r="W41" s="178" t="e">
        <f t="shared" ca="1" si="2"/>
        <v>#VALUE!</v>
      </c>
      <c r="X41" s="179">
        <f t="shared" ca="1" si="3"/>
        <v>-1</v>
      </c>
      <c r="Y41" s="175" t="e">
        <f t="shared" ca="1" si="4"/>
        <v>#VALUE!</v>
      </c>
      <c r="Z41" s="175" t="str">
        <f t="shared" ca="1" si="5"/>
        <v>הצג חריגים</v>
      </c>
      <c r="AA41" s="180">
        <f t="shared" ca="1" si="0"/>
        <v>0</v>
      </c>
      <c r="AB41" s="174"/>
      <c r="AC41" s="174"/>
      <c r="AD41" s="174"/>
      <c r="AE41" s="174"/>
      <c r="AF41" s="174"/>
      <c r="AG41" s="174"/>
      <c r="AH41" s="174"/>
      <c r="AI41" s="174"/>
      <c r="AJ41" s="174"/>
      <c r="AK41" s="174"/>
      <c r="AL41" s="174"/>
      <c r="AM41" s="174"/>
      <c r="AN41" s="174"/>
      <c r="AO41" s="174"/>
      <c r="AP41" s="174"/>
      <c r="AQ41" s="174"/>
      <c r="AR41" s="174"/>
      <c r="AS41" s="174"/>
      <c r="AT41" s="174"/>
      <c r="AU41" s="174"/>
      <c r="AV41" s="174"/>
      <c r="AW41" s="174"/>
      <c r="AX41" s="175" t="b">
        <f t="shared" ca="1" si="6"/>
        <v>1</v>
      </c>
      <c r="AY41" s="181"/>
      <c r="AZ41" s="182">
        <f t="shared" si="1"/>
        <v>15000000</v>
      </c>
    </row>
    <row r="42" spans="2:52" hidden="1" x14ac:dyDescent="0.25">
      <c r="B42" s="340" t="str">
        <f ca="1">'סיכום לועדה- הזנת נתונים'!B42</f>
        <v/>
      </c>
      <c r="C42" s="340" t="str">
        <f ca="1">'סיכום לועדה- הזנת נתונים'!C42</f>
        <v/>
      </c>
      <c r="D42" s="340">
        <f>'סיכום לועדה- הזנת נתונים'!D42</f>
        <v>0</v>
      </c>
      <c r="E42" s="340">
        <f>'סיכום לועדה- הזנת נתונים'!E42</f>
        <v>0</v>
      </c>
      <c r="F42" s="340">
        <f>'סיכום לועדה- הזנת נתונים'!F42</f>
        <v>0</v>
      </c>
      <c r="G42" s="340" t="str">
        <f ca="1">'סיכום לועדה- הזנת נתונים'!G42</f>
        <v/>
      </c>
      <c r="H42" s="340" t="str">
        <f>'סיכום לועדה- הזנת נתונים'!H42</f>
        <v/>
      </c>
      <c r="I42" s="340" t="str">
        <f>'סיכום לועדה- הזנת נתונים'!I42</f>
        <v/>
      </c>
      <c r="J42" s="340" t="str">
        <f>'סיכום לועדה- הזנת נתונים'!J42</f>
        <v/>
      </c>
      <c r="K42" s="340" t="str">
        <f>'סיכום לועדה- הזנת נתונים'!K42</f>
        <v/>
      </c>
      <c r="L42" s="340" t="str">
        <f>'סיכום לועדה- הזנת נתונים'!L42</f>
        <v/>
      </c>
      <c r="M42" s="340" t="str">
        <f>'סיכום לועדה- הזנת נתונים'!M42</f>
        <v/>
      </c>
      <c r="N42" s="341">
        <f>'סיכום לועדה- הזנת נתונים'!N42</f>
        <v>0</v>
      </c>
      <c r="O42" s="341" t="str">
        <f>'סיכום לועדה- הזנת נתונים'!O42</f>
        <v/>
      </c>
      <c r="P42" s="445" t="str">
        <f ca="1">'סיכום לועדה- הזנת נתונים'!P42</f>
        <v/>
      </c>
      <c r="Q42" s="341" t="str">
        <f ca="1">'סיכום לועדה- הזנת נתונים'!Q42</f>
        <v/>
      </c>
      <c r="R42" s="341" t="str">
        <f ca="1">'סיכום לועדה- הזנת נתונים'!R42</f>
        <v/>
      </c>
      <c r="S42" s="341" t="str">
        <f ca="1">'סיכום לועדה- הזנת נתונים'!S42</f>
        <v/>
      </c>
      <c r="T42" s="341" t="str">
        <f ca="1">'סיכום לועדה- הזנת נתונים'!T42</f>
        <v/>
      </c>
      <c r="U42" s="447">
        <f>'סיכום לועדה- הזנת נתונים'!U42</f>
        <v>0</v>
      </c>
      <c r="V42" s="447">
        <f>'סיכום לועדה- הזנת נתונים'!V42</f>
        <v>0</v>
      </c>
      <c r="W42" s="178" t="str">
        <f t="shared" ca="1" si="2"/>
        <v/>
      </c>
      <c r="X42" s="179" t="str">
        <f t="shared" ca="1" si="3"/>
        <v/>
      </c>
      <c r="Y42" s="175" t="str">
        <f t="shared" ca="1" si="4"/>
        <v/>
      </c>
      <c r="Z42" s="175" t="str">
        <f t="shared" ca="1" si="5"/>
        <v/>
      </c>
      <c r="AA42" s="180" t="str">
        <f t="shared" ca="1" si="0"/>
        <v/>
      </c>
      <c r="AB42" s="174"/>
      <c r="AC42" s="174"/>
      <c r="AD42" s="174"/>
      <c r="AE42" s="174"/>
      <c r="AF42" s="174"/>
      <c r="AG42" s="174"/>
      <c r="AH42" s="174"/>
      <c r="AI42" s="174"/>
      <c r="AJ42" s="174"/>
      <c r="AK42" s="174"/>
      <c r="AL42" s="174"/>
      <c r="AM42" s="174"/>
      <c r="AN42" s="174"/>
      <c r="AO42" s="174"/>
      <c r="AP42" s="174"/>
      <c r="AQ42" s="174"/>
      <c r="AR42" s="174"/>
      <c r="AS42" s="174"/>
      <c r="AT42" s="174"/>
      <c r="AU42" s="174"/>
      <c r="AV42" s="174"/>
      <c r="AW42" s="174"/>
      <c r="AX42" s="175" t="b">
        <f t="shared" ca="1" si="6"/>
        <v>0</v>
      </c>
      <c r="AY42" s="181"/>
      <c r="AZ42" s="182">
        <f t="shared" si="1"/>
        <v>15000000</v>
      </c>
    </row>
    <row r="43" spans="2:52" s="200" customFormat="1" hidden="1" x14ac:dyDescent="0.25">
      <c r="B43" s="340" t="str">
        <f ca="1">'סיכום לועדה- הזנת נתונים'!B43</f>
        <v/>
      </c>
      <c r="C43" s="340" t="str">
        <f ca="1">'סיכום לועדה- הזנת נתונים'!C43</f>
        <v/>
      </c>
      <c r="D43" s="340">
        <f>'סיכום לועדה- הזנת נתונים'!D43</f>
        <v>0</v>
      </c>
      <c r="E43" s="340">
        <f>'סיכום לועדה- הזנת נתונים'!E43</f>
        <v>0</v>
      </c>
      <c r="F43" s="340">
        <f>'סיכום לועדה- הזנת נתונים'!F43</f>
        <v>0</v>
      </c>
      <c r="G43" s="340" t="str">
        <f ca="1">'סיכום לועדה- הזנת נתונים'!G43</f>
        <v/>
      </c>
      <c r="H43" s="340" t="str">
        <f>'סיכום לועדה- הזנת נתונים'!H43</f>
        <v/>
      </c>
      <c r="I43" s="340" t="str">
        <f>'סיכום לועדה- הזנת נתונים'!I43</f>
        <v/>
      </c>
      <c r="J43" s="340" t="str">
        <f>'סיכום לועדה- הזנת נתונים'!J43</f>
        <v/>
      </c>
      <c r="K43" s="340" t="str">
        <f>'סיכום לועדה- הזנת נתונים'!K43</f>
        <v/>
      </c>
      <c r="L43" s="340" t="str">
        <f>'סיכום לועדה- הזנת נתונים'!L43</f>
        <v/>
      </c>
      <c r="M43" s="340" t="str">
        <f>'סיכום לועדה- הזנת נתונים'!M43</f>
        <v/>
      </c>
      <c r="N43" s="341">
        <f>'סיכום לועדה- הזנת נתונים'!N43</f>
        <v>0</v>
      </c>
      <c r="O43" s="341" t="str">
        <f>'סיכום לועדה- הזנת נתונים'!O43</f>
        <v/>
      </c>
      <c r="P43" s="445" t="str">
        <f ca="1">'סיכום לועדה- הזנת נתונים'!P43</f>
        <v/>
      </c>
      <c r="Q43" s="341" t="str">
        <f ca="1">'סיכום לועדה- הזנת נתונים'!Q43</f>
        <v/>
      </c>
      <c r="R43" s="341" t="str">
        <f ca="1">'סיכום לועדה- הזנת נתונים'!R43</f>
        <v/>
      </c>
      <c r="S43" s="341" t="str">
        <f ca="1">'סיכום לועדה- הזנת נתונים'!S43</f>
        <v/>
      </c>
      <c r="T43" s="341" t="str">
        <f ca="1">'סיכום לועדה- הזנת נתונים'!T43</f>
        <v/>
      </c>
      <c r="U43" s="447">
        <f>'סיכום לועדה- הזנת נתונים'!U43</f>
        <v>0</v>
      </c>
      <c r="V43" s="447">
        <f>'סיכום לועדה- הזנת נתונים'!V43</f>
        <v>0</v>
      </c>
      <c r="W43" s="193" t="str">
        <f t="shared" ca="1" si="2"/>
        <v/>
      </c>
      <c r="X43" s="194" t="str">
        <f t="shared" ca="1" si="3"/>
        <v/>
      </c>
      <c r="Y43" s="195" t="str">
        <f t="shared" ca="1" si="4"/>
        <v/>
      </c>
      <c r="Z43" s="195" t="str">
        <f t="shared" ca="1" si="5"/>
        <v/>
      </c>
      <c r="AA43" s="196" t="str">
        <f t="shared" ca="1" si="0"/>
        <v/>
      </c>
      <c r="AB43" s="197"/>
      <c r="AC43" s="197"/>
      <c r="AD43" s="197"/>
      <c r="AE43" s="197"/>
      <c r="AF43" s="197"/>
      <c r="AG43" s="197"/>
      <c r="AH43" s="197"/>
      <c r="AI43" s="197"/>
      <c r="AJ43" s="197"/>
      <c r="AK43" s="197"/>
      <c r="AL43" s="197"/>
      <c r="AM43" s="197"/>
      <c r="AN43" s="197"/>
      <c r="AO43" s="197"/>
      <c r="AP43" s="197"/>
      <c r="AQ43" s="197"/>
      <c r="AR43" s="197"/>
      <c r="AS43" s="197"/>
      <c r="AT43" s="197"/>
      <c r="AU43" s="197"/>
      <c r="AV43" s="197"/>
      <c r="AW43" s="197"/>
      <c r="AX43" s="195" t="b">
        <f t="shared" ca="1" si="6"/>
        <v>0</v>
      </c>
      <c r="AY43" s="198"/>
      <c r="AZ43" s="199">
        <f t="shared" si="1"/>
        <v>15000000</v>
      </c>
    </row>
    <row r="44" spans="2:52" hidden="1" x14ac:dyDescent="0.25">
      <c r="B44" s="340" t="str">
        <f ca="1">'סיכום לועדה- הזנת נתונים'!B44</f>
        <v/>
      </c>
      <c r="C44" s="340" t="str">
        <f ca="1">'סיכום לועדה- הזנת נתונים'!C44</f>
        <v/>
      </c>
      <c r="D44" s="340">
        <f>'סיכום לועדה- הזנת נתונים'!D44</f>
        <v>0</v>
      </c>
      <c r="E44" s="340">
        <f>'סיכום לועדה- הזנת נתונים'!E44</f>
        <v>0</v>
      </c>
      <c r="F44" s="340">
        <f>'סיכום לועדה- הזנת נתונים'!F44</f>
        <v>0</v>
      </c>
      <c r="G44" s="340" t="str">
        <f ca="1">'סיכום לועדה- הזנת נתונים'!G44</f>
        <v/>
      </c>
      <c r="H44" s="340" t="str">
        <f>'סיכום לועדה- הזנת נתונים'!H44</f>
        <v/>
      </c>
      <c r="I44" s="340" t="str">
        <f>'סיכום לועדה- הזנת נתונים'!I44</f>
        <v/>
      </c>
      <c r="J44" s="340" t="str">
        <f>'סיכום לועדה- הזנת נתונים'!J44</f>
        <v/>
      </c>
      <c r="K44" s="340" t="str">
        <f>'סיכום לועדה- הזנת נתונים'!K44</f>
        <v/>
      </c>
      <c r="L44" s="340" t="str">
        <f>'סיכום לועדה- הזנת נתונים'!L44</f>
        <v/>
      </c>
      <c r="M44" s="340" t="str">
        <f>'סיכום לועדה- הזנת נתונים'!M44</f>
        <v/>
      </c>
      <c r="N44" s="341">
        <f>'סיכום לועדה- הזנת נתונים'!N44</f>
        <v>0</v>
      </c>
      <c r="O44" s="341" t="str">
        <f>'סיכום לועדה- הזנת נתונים'!O44</f>
        <v/>
      </c>
      <c r="P44" s="445" t="str">
        <f ca="1">'סיכום לועדה- הזנת נתונים'!P44</f>
        <v/>
      </c>
      <c r="Q44" s="341" t="str">
        <f ca="1">'סיכום לועדה- הזנת נתונים'!Q44</f>
        <v/>
      </c>
      <c r="R44" s="341" t="str">
        <f ca="1">'סיכום לועדה- הזנת נתונים'!R44</f>
        <v/>
      </c>
      <c r="S44" s="341" t="str">
        <f ca="1">'סיכום לועדה- הזנת נתונים'!S44</f>
        <v/>
      </c>
      <c r="T44" s="341" t="str">
        <f ca="1">'סיכום לועדה- הזנת נתונים'!T44</f>
        <v/>
      </c>
      <c r="U44" s="447">
        <f>'סיכום לועדה- הזנת נתונים'!U44</f>
        <v>0</v>
      </c>
      <c r="V44" s="447">
        <f>'סיכום לועדה- הזנת נתונים'!V44</f>
        <v>0</v>
      </c>
      <c r="W44" s="178" t="str">
        <f t="shared" ca="1" si="2"/>
        <v/>
      </c>
      <c r="X44" s="179" t="str">
        <f t="shared" ca="1" si="3"/>
        <v/>
      </c>
      <c r="Y44" s="175" t="str">
        <f t="shared" ca="1" si="4"/>
        <v/>
      </c>
      <c r="Z44" s="175" t="str">
        <f t="shared" ca="1" si="5"/>
        <v/>
      </c>
      <c r="AA44" s="180" t="str">
        <f t="shared" ca="1" si="0"/>
        <v/>
      </c>
      <c r="AB44" s="174"/>
      <c r="AC44" s="174"/>
      <c r="AD44" s="174"/>
      <c r="AE44" s="174"/>
      <c r="AF44" s="174"/>
      <c r="AG44" s="174"/>
      <c r="AH44" s="174"/>
      <c r="AI44" s="174"/>
      <c r="AJ44" s="174"/>
      <c r="AK44" s="174"/>
      <c r="AL44" s="174"/>
      <c r="AM44" s="174"/>
      <c r="AN44" s="174"/>
      <c r="AO44" s="174"/>
      <c r="AP44" s="174"/>
      <c r="AQ44" s="174"/>
      <c r="AR44" s="174"/>
      <c r="AS44" s="174"/>
      <c r="AT44" s="174"/>
      <c r="AU44" s="174"/>
      <c r="AV44" s="174"/>
      <c r="AW44" s="174"/>
      <c r="AX44" s="175" t="b">
        <f t="shared" ca="1" si="6"/>
        <v>0</v>
      </c>
      <c r="AY44" s="181"/>
      <c r="AZ44" s="182">
        <f t="shared" si="1"/>
        <v>15000000</v>
      </c>
    </row>
    <row r="45" spans="2:52" ht="63" x14ac:dyDescent="0.25">
      <c r="B45" s="340">
        <f ca="1">'סיכום לועדה- הזנת נתונים'!B45</f>
        <v>15</v>
      </c>
      <c r="C45" s="340" t="str">
        <f ca="1">'סיכום לועדה- הזנת נתונים'!C45</f>
        <v xml:space="preserve">החברה לטיפוח חברה תרבות תיעוד </v>
      </c>
      <c r="D45" s="340">
        <f>'סיכום לועדה- הזנת נתונים'!D45</f>
        <v>1001913646</v>
      </c>
      <c r="E45" s="340">
        <f>'סיכום לועדה- הזנת נתונים'!E45</f>
        <v>1001745370</v>
      </c>
      <c r="F45" s="340">
        <f>'סיכום לועדה- הזנת נתונים'!F45</f>
        <v>2020</v>
      </c>
      <c r="G45" s="340">
        <f ca="1">'סיכום לועדה- הזנת נתונים'!G45</f>
        <v>1</v>
      </c>
      <c r="H45" s="340" t="str">
        <f>'סיכום לועדה- הזנת נתונים'!H45</f>
        <v/>
      </c>
      <c r="I45" s="340">
        <f>'סיכום לועדה- הזנת נתונים'!I45</f>
        <v>2025</v>
      </c>
      <c r="J45" s="340">
        <f>'סיכום לועדה- הזנת נתונים'!J45</f>
        <v>40000333</v>
      </c>
      <c r="K45" s="340">
        <f>'סיכום לועדה- הזנת נתונים'!K45</f>
        <v>580013522</v>
      </c>
      <c r="L45" s="340" t="str">
        <f>'סיכום לועדה- הזנת נתונים'!L45</f>
        <v>האגודה לטיפוח חברה ותרבות, תיעוד ומ</v>
      </c>
      <c r="M45" s="340" t="str">
        <f>'סיכום לועדה- הזנת נתונים'!M45</f>
        <v>פיתוח והנחלת מורשת יהודי תימן</v>
      </c>
      <c r="N45" s="341">
        <f>'סיכום לועדה- הזנת נתונים'!N45</f>
        <v>1514521.42</v>
      </c>
      <c r="O45" s="341">
        <f>'סיכום לועדה- הזנת נתונים'!O45</f>
        <v>2400000</v>
      </c>
      <c r="P45" s="445">
        <f ca="1">'סיכום לועדה- הזנת נתונים'!P45</f>
        <v>1.5846590007290884</v>
      </c>
      <c r="Q45" s="341">
        <f ca="1">'סיכום לועדה- הזנת נתונים'!Q45</f>
        <v>0</v>
      </c>
      <c r="R45" s="341">
        <f ca="1">'סיכום לועדה- הזנת נתונים'!R45</f>
        <v>0</v>
      </c>
      <c r="S45" s="341">
        <f ca="1">'סיכום לועדה- הזנת נתונים'!S45</f>
        <v>2400000</v>
      </c>
      <c r="T45" s="341">
        <f ca="1">'סיכום לועדה- הזנת נתונים'!T45</f>
        <v>2400000</v>
      </c>
      <c r="U45" s="447">
        <f>'סיכום לועדה- הזנת נתונים'!U45</f>
        <v>0</v>
      </c>
      <c r="V45" s="447" t="str">
        <f>'סיכום לועדה- הזנת נתונים'!V45</f>
        <v>מאושר בהתאם למבחן התמיכה. שינוי בתחשיב הבסיס מושפע מירידה בשנת ההערכה במשתני הוצאת ספרי עיון, הוצאת עלונים ותיעוד ושימור חומר ארכיוני, לצד עלייה בקיום ארועי תרבות ובהכנסות עצמיות.</v>
      </c>
      <c r="W45" s="178" t="e">
        <f t="shared" ca="1" si="2"/>
        <v>#VALUE!</v>
      </c>
      <c r="X45" s="179">
        <f t="shared" ca="1" si="3"/>
        <v>-1</v>
      </c>
      <c r="Y45" s="175" t="e">
        <f t="shared" ca="1" si="4"/>
        <v>#VALUE!</v>
      </c>
      <c r="Z45" s="175" t="str">
        <f t="shared" ca="1" si="5"/>
        <v>הצג חריגים</v>
      </c>
      <c r="AA45" s="180">
        <f t="shared" ca="1" si="0"/>
        <v>0</v>
      </c>
      <c r="AB45" s="174"/>
      <c r="AC45" s="174"/>
      <c r="AD45" s="174"/>
      <c r="AE45" s="174"/>
      <c r="AF45" s="174"/>
      <c r="AG45" s="174"/>
      <c r="AH45" s="174"/>
      <c r="AI45" s="174"/>
      <c r="AJ45" s="174"/>
      <c r="AK45" s="174"/>
      <c r="AL45" s="174"/>
      <c r="AM45" s="174"/>
      <c r="AN45" s="174"/>
      <c r="AO45" s="174"/>
      <c r="AP45" s="174"/>
      <c r="AQ45" s="174"/>
      <c r="AR45" s="174"/>
      <c r="AS45" s="174"/>
      <c r="AT45" s="174"/>
      <c r="AU45" s="174"/>
      <c r="AV45" s="174"/>
      <c r="AW45" s="174"/>
      <c r="AX45" s="175" t="b">
        <f t="shared" ca="1" si="6"/>
        <v>1</v>
      </c>
      <c r="AY45" s="181"/>
      <c r="AZ45" s="182">
        <f t="shared" si="1"/>
        <v>15000000</v>
      </c>
    </row>
    <row r="46" spans="2:52" ht="63" x14ac:dyDescent="0.25">
      <c r="B46" s="340">
        <f ca="1">'סיכום לועדה- הזנת נתונים'!B46</f>
        <v>16</v>
      </c>
      <c r="C46" s="340" t="str">
        <f ca="1">'סיכום לועדה- הזנת נתונים'!C46</f>
        <v>עמותת אור שלום</v>
      </c>
      <c r="D46" s="340">
        <f>'סיכום לועדה- הזנת נתונים'!D46</f>
        <v>1001907862</v>
      </c>
      <c r="E46" s="340">
        <f>'סיכום לועדה- הזנת נתונים'!E46</f>
        <v>1001745378</v>
      </c>
      <c r="F46" s="340">
        <f>'סיכום לועדה- הזנת נתונים'!F46</f>
        <v>2020</v>
      </c>
      <c r="G46" s="340">
        <f ca="1">'סיכום לועדה- הזנת נתונים'!G46</f>
        <v>1</v>
      </c>
      <c r="H46" s="340" t="str">
        <f>'סיכום לועדה- הזנת נתונים'!H46</f>
        <v/>
      </c>
      <c r="I46" s="340">
        <f>'סיכום לועדה- הזנת נתונים'!I46</f>
        <v>2025</v>
      </c>
      <c r="J46" s="340">
        <f>'סיכום לועדה- הזנת נתונים'!J46</f>
        <v>40221530</v>
      </c>
      <c r="K46" s="340">
        <f>'סיכום לועדה- הזנת נתונים'!K46</f>
        <v>580281095</v>
      </c>
      <c r="L46" s="340" t="str">
        <f>'סיכום לועדה- הזנת נתונים'!L46</f>
        <v>"אור שלום" ע"ש ר' שלום טייאר זצוק"ל</v>
      </c>
      <c r="M46" s="340" t="str">
        <f>'סיכום לועדה- הזנת נתונים'!M46</f>
        <v>תמיכה שוטפת</v>
      </c>
      <c r="N46" s="341">
        <f>'סיכום לועדה- הזנת נתונים'!N46</f>
        <v>510958.73</v>
      </c>
      <c r="O46" s="341">
        <f>'סיכום לועדה- הזנת נתונים'!O46</f>
        <v>680000</v>
      </c>
      <c r="P46" s="445">
        <f ca="1">'סיכום לועדה- הזנת נתונים'!P46</f>
        <v>1.2758000662020343</v>
      </c>
      <c r="Q46" s="341">
        <f ca="1">'סיכום לועדה- הזנת נתונים'!Q46</f>
        <v>0</v>
      </c>
      <c r="R46" s="341">
        <f ca="1">'סיכום לועדה- הזנת נתונים'!R46</f>
        <v>0</v>
      </c>
      <c r="S46" s="341">
        <f ca="1">'סיכום לועדה- הזנת נתונים'!S46</f>
        <v>651881.18156050739</v>
      </c>
      <c r="T46" s="341">
        <f ca="1">'סיכום לועדה- הזנת נתונים'!T46</f>
        <v>651881.18156050739</v>
      </c>
      <c r="U46" s="447">
        <f>'סיכום לועדה- הזנת נתונים'!U46</f>
        <v>0</v>
      </c>
      <c r="V46" s="447" t="str">
        <f>'סיכום לועדה- הזנת נתונים'!V46</f>
        <v>מאושר בהתאם למבחן התמיכה. שינוי בתחשיב הבסיס מושפע מירידה בשנת ההערכה בתחום הוצאת ספרי עיון והוצאת עלונים, לצד עלייה במשתנה קיום ארועי תרבות ובמשתנה הכנסות עצמיות.</v>
      </c>
      <c r="W46" s="178" t="e">
        <f t="shared" ca="1" si="2"/>
        <v>#VALUE!</v>
      </c>
      <c r="X46" s="179">
        <f t="shared" ca="1" si="3"/>
        <v>-1</v>
      </c>
      <c r="Y46" s="175" t="e">
        <f t="shared" ca="1" si="4"/>
        <v>#VALUE!</v>
      </c>
      <c r="Z46" s="175" t="str">
        <f t="shared" ca="1" si="5"/>
        <v>הצג חריגים</v>
      </c>
      <c r="AA46" s="180">
        <f t="shared" ca="1" si="0"/>
        <v>0</v>
      </c>
      <c r="AB46" s="174"/>
      <c r="AC46" s="174"/>
      <c r="AD46" s="174"/>
      <c r="AE46" s="174"/>
      <c r="AF46" s="174"/>
      <c r="AG46" s="174"/>
      <c r="AH46" s="174"/>
      <c r="AI46" s="174"/>
      <c r="AJ46" s="174"/>
      <c r="AK46" s="174"/>
      <c r="AL46" s="174"/>
      <c r="AM46" s="174"/>
      <c r="AN46" s="174"/>
      <c r="AO46" s="174"/>
      <c r="AP46" s="174"/>
      <c r="AQ46" s="174"/>
      <c r="AR46" s="174"/>
      <c r="AS46" s="174"/>
      <c r="AT46" s="174"/>
      <c r="AU46" s="174"/>
      <c r="AV46" s="174"/>
      <c r="AW46" s="174"/>
      <c r="AX46" s="175" t="b">
        <f t="shared" ca="1" si="6"/>
        <v>1</v>
      </c>
      <c r="AY46" s="181"/>
      <c r="AZ46" s="182">
        <f t="shared" si="1"/>
        <v>15000000</v>
      </c>
    </row>
    <row r="47" spans="2:52" hidden="1" x14ac:dyDescent="0.25">
      <c r="B47" s="340" t="str">
        <f ca="1">'סיכום לועדה- הזנת נתונים'!B47</f>
        <v/>
      </c>
      <c r="C47" s="340" t="str">
        <f ca="1">'סיכום לועדה- הזנת נתונים'!C47</f>
        <v/>
      </c>
      <c r="D47" s="340">
        <f>'סיכום לועדה- הזנת נתונים'!D47</f>
        <v>0</v>
      </c>
      <c r="E47" s="340">
        <f>'סיכום לועדה- הזנת נתונים'!E47</f>
        <v>0</v>
      </c>
      <c r="F47" s="340">
        <f>'סיכום לועדה- הזנת נתונים'!F47</f>
        <v>0</v>
      </c>
      <c r="G47" s="340" t="str">
        <f ca="1">'סיכום לועדה- הזנת נתונים'!G47</f>
        <v/>
      </c>
      <c r="H47" s="340" t="str">
        <f>'סיכום לועדה- הזנת נתונים'!H47</f>
        <v/>
      </c>
      <c r="I47" s="340" t="str">
        <f>'סיכום לועדה- הזנת נתונים'!I47</f>
        <v/>
      </c>
      <c r="J47" s="340" t="str">
        <f>'סיכום לועדה- הזנת נתונים'!J47</f>
        <v/>
      </c>
      <c r="K47" s="340" t="str">
        <f>'סיכום לועדה- הזנת נתונים'!K47</f>
        <v/>
      </c>
      <c r="L47" s="340" t="str">
        <f>'סיכום לועדה- הזנת נתונים'!L47</f>
        <v/>
      </c>
      <c r="M47" s="340" t="str">
        <f>'סיכום לועדה- הזנת נתונים'!M47</f>
        <v/>
      </c>
      <c r="N47" s="341">
        <f>'סיכום לועדה- הזנת נתונים'!N47</f>
        <v>0</v>
      </c>
      <c r="O47" s="341" t="str">
        <f>'סיכום לועדה- הזנת נתונים'!O47</f>
        <v/>
      </c>
      <c r="P47" s="445" t="str">
        <f ca="1">'סיכום לועדה- הזנת נתונים'!P47</f>
        <v/>
      </c>
      <c r="Q47" s="341" t="str">
        <f ca="1">'סיכום לועדה- הזנת נתונים'!Q47</f>
        <v/>
      </c>
      <c r="R47" s="341" t="str">
        <f ca="1">'סיכום לועדה- הזנת נתונים'!R47</f>
        <v/>
      </c>
      <c r="S47" s="341" t="str">
        <f ca="1">'סיכום לועדה- הזנת נתונים'!S47</f>
        <v/>
      </c>
      <c r="T47" s="341" t="str">
        <f ca="1">'סיכום לועדה- הזנת נתונים'!T47</f>
        <v/>
      </c>
      <c r="U47" s="447">
        <f>'סיכום לועדה- הזנת נתונים'!U47</f>
        <v>0</v>
      </c>
      <c r="V47" s="447">
        <f>'סיכום לועדה- הזנת נתונים'!V47</f>
        <v>0</v>
      </c>
      <c r="W47" s="178" t="str">
        <f t="shared" ca="1" si="2"/>
        <v/>
      </c>
      <c r="X47" s="179" t="str">
        <f t="shared" ca="1" si="3"/>
        <v/>
      </c>
      <c r="Y47" s="175" t="str">
        <f t="shared" ca="1" si="4"/>
        <v/>
      </c>
      <c r="Z47" s="175" t="str">
        <f t="shared" ca="1" si="5"/>
        <v/>
      </c>
      <c r="AA47" s="180" t="str">
        <f t="shared" ca="1" si="0"/>
        <v/>
      </c>
      <c r="AB47" s="174"/>
      <c r="AC47" s="174"/>
      <c r="AD47" s="174"/>
      <c r="AE47" s="174"/>
      <c r="AF47" s="174"/>
      <c r="AG47" s="174"/>
      <c r="AH47" s="174"/>
      <c r="AI47" s="174"/>
      <c r="AJ47" s="174"/>
      <c r="AK47" s="174"/>
      <c r="AL47" s="174"/>
      <c r="AM47" s="174"/>
      <c r="AN47" s="174"/>
      <c r="AO47" s="174"/>
      <c r="AP47" s="174"/>
      <c r="AQ47" s="174"/>
      <c r="AR47" s="174"/>
      <c r="AS47" s="174"/>
      <c r="AT47" s="174"/>
      <c r="AU47" s="174"/>
      <c r="AV47" s="174"/>
      <c r="AW47" s="174"/>
      <c r="AX47" s="175" t="b">
        <f t="shared" ca="1" si="6"/>
        <v>0</v>
      </c>
      <c r="AY47" s="181"/>
      <c r="AZ47" s="182">
        <f t="shared" si="1"/>
        <v>15000000</v>
      </c>
    </row>
    <row r="48" spans="2:52" ht="47.25" x14ac:dyDescent="0.25">
      <c r="B48" s="340">
        <f ca="1">'סיכום לועדה- הזנת נתונים'!B48</f>
        <v>18</v>
      </c>
      <c r="C48" s="340" t="str">
        <f ca="1">'סיכום לועדה- הזנת נתונים'!C48</f>
        <v>ישיבת קרלין סטולין</v>
      </c>
      <c r="D48" s="340">
        <f>'סיכום לועדה- הזנת נתונים'!D48</f>
        <v>1001908702</v>
      </c>
      <c r="E48" s="340">
        <f>'סיכום לועדה- הזנת נתונים'!E48</f>
        <v>1001746495</v>
      </c>
      <c r="F48" s="340">
        <f>'סיכום לועדה- הזנת נתונים'!F48</f>
        <v>2020</v>
      </c>
      <c r="G48" s="340">
        <f ca="1">'סיכום לועדה- הזנת נתונים'!G48</f>
        <v>1</v>
      </c>
      <c r="H48" s="340" t="str">
        <f>'סיכום לועדה- הזנת נתונים'!H48</f>
        <v/>
      </c>
      <c r="I48" s="340">
        <f>'סיכום לועדה- הזנת נתונים'!I48</f>
        <v>2025</v>
      </c>
      <c r="J48" s="340">
        <f>'סיכום לועדה- הזנת נתונים'!J48</f>
        <v>40188794</v>
      </c>
      <c r="K48" s="340">
        <f>'סיכום לועדה- הזנת נתונים'!K48</f>
        <v>580002996</v>
      </c>
      <c r="L48" s="340" t="str">
        <f>'סיכום לועדה- הזנת נתונים'!L48</f>
        <v>אגודת ישיבת קרלין סטולין בית אהרון</v>
      </c>
      <c r="M48" s="340" t="str">
        <f>'סיכום לועדה- הזנת נתונים'!M48</f>
        <v>בקשת תמיכה לשימור מורשת 2025</v>
      </c>
      <c r="N48" s="341">
        <f>'סיכום לועדה- הזנת נתונים'!N48</f>
        <v>375308.62</v>
      </c>
      <c r="O48" s="341">
        <f>'סיכום לועדה- הזנת נתונים'!O48</f>
        <v>700000</v>
      </c>
      <c r="P48" s="445">
        <f ca="1">'סיכום לועדה- הזנת נתונים'!P48</f>
        <v>1.098911212536104</v>
      </c>
      <c r="Q48" s="341">
        <f ca="1">'סיכום לועדה- הזנת נתונים'!Q48</f>
        <v>0</v>
      </c>
      <c r="R48" s="341">
        <f ca="1">'סיכום לועדה- הזנת נתונים'!R48</f>
        <v>0</v>
      </c>
      <c r="S48" s="341">
        <f ca="1">'סיכום לועדה- הזנת נתונים'!S48</f>
        <v>412430.85067945189</v>
      </c>
      <c r="T48" s="341">
        <f ca="1">'סיכום לועדה- הזנת נתונים'!T48</f>
        <v>412430.85067945189</v>
      </c>
      <c r="U48" s="447">
        <f>'סיכום לועדה- הזנת נתונים'!U48</f>
        <v>0</v>
      </c>
      <c r="V48" s="447" t="str">
        <f>'סיכום לועדה- הזנת נתונים'!V48</f>
        <v>מאושר בהתאם למבחן התמיכה. שינוי בתחשיב הבסיס מושפע מעלייה בשנת ההערכה במשתנה הוצאת עלונים ובמשתנה הכנסות עצמיות.</v>
      </c>
      <c r="W48" s="178" t="e">
        <f t="shared" ca="1" si="2"/>
        <v>#VALUE!</v>
      </c>
      <c r="X48" s="179">
        <f t="shared" ca="1" si="3"/>
        <v>-1</v>
      </c>
      <c r="Y48" s="175" t="e">
        <f t="shared" ca="1" si="4"/>
        <v>#VALUE!</v>
      </c>
      <c r="Z48" s="175" t="str">
        <f t="shared" ca="1" si="5"/>
        <v>הצג חריגים</v>
      </c>
      <c r="AA48" s="180">
        <f t="shared" ca="1" si="0"/>
        <v>0</v>
      </c>
      <c r="AB48" s="174"/>
      <c r="AC48" s="174"/>
      <c r="AD48" s="174"/>
      <c r="AE48" s="174"/>
      <c r="AF48" s="174"/>
      <c r="AG48" s="174"/>
      <c r="AH48" s="174"/>
      <c r="AI48" s="174"/>
      <c r="AJ48" s="174"/>
      <c r="AK48" s="174"/>
      <c r="AL48" s="174"/>
      <c r="AM48" s="174"/>
      <c r="AN48" s="174"/>
      <c r="AO48" s="174"/>
      <c r="AP48" s="174"/>
      <c r="AQ48" s="174"/>
      <c r="AR48" s="174"/>
      <c r="AS48" s="174"/>
      <c r="AT48" s="174"/>
      <c r="AU48" s="174"/>
      <c r="AV48" s="174"/>
      <c r="AW48" s="174"/>
      <c r="AX48" s="175" t="b">
        <f t="shared" ca="1" si="6"/>
        <v>1</v>
      </c>
      <c r="AY48" s="181"/>
      <c r="AZ48" s="182">
        <f t="shared" si="1"/>
        <v>15000000</v>
      </c>
    </row>
    <row r="49" spans="2:52" hidden="1" x14ac:dyDescent="0.25">
      <c r="B49" s="340" t="str">
        <f ca="1">'סיכום לועדה- הזנת נתונים'!B49</f>
        <v/>
      </c>
      <c r="C49" s="340" t="str">
        <f ca="1">'סיכום לועדה- הזנת נתונים'!C49</f>
        <v/>
      </c>
      <c r="D49" s="340">
        <f>'סיכום לועדה- הזנת נתונים'!D49</f>
        <v>0</v>
      </c>
      <c r="E49" s="340">
        <f>'סיכום לועדה- הזנת נתונים'!E49</f>
        <v>0</v>
      </c>
      <c r="F49" s="340">
        <f>'סיכום לועדה- הזנת נתונים'!F49</f>
        <v>0</v>
      </c>
      <c r="G49" s="340" t="str">
        <f ca="1">'סיכום לועדה- הזנת נתונים'!G49</f>
        <v/>
      </c>
      <c r="H49" s="340" t="str">
        <f>'סיכום לועדה- הזנת נתונים'!H49</f>
        <v/>
      </c>
      <c r="I49" s="340" t="str">
        <f>'סיכום לועדה- הזנת נתונים'!I49</f>
        <v/>
      </c>
      <c r="J49" s="340" t="str">
        <f>'סיכום לועדה- הזנת נתונים'!J49</f>
        <v/>
      </c>
      <c r="K49" s="340" t="str">
        <f>'סיכום לועדה- הזנת נתונים'!K49</f>
        <v/>
      </c>
      <c r="L49" s="340" t="str">
        <f>'סיכום לועדה- הזנת נתונים'!L49</f>
        <v/>
      </c>
      <c r="M49" s="340" t="str">
        <f>'סיכום לועדה- הזנת נתונים'!M49</f>
        <v/>
      </c>
      <c r="N49" s="341">
        <f>'סיכום לועדה- הזנת נתונים'!N49</f>
        <v>0</v>
      </c>
      <c r="O49" s="341" t="str">
        <f>'סיכום לועדה- הזנת נתונים'!O49</f>
        <v/>
      </c>
      <c r="P49" s="445" t="str">
        <f ca="1">'סיכום לועדה- הזנת נתונים'!P49</f>
        <v/>
      </c>
      <c r="Q49" s="341" t="str">
        <f ca="1">'סיכום לועדה- הזנת נתונים'!Q49</f>
        <v/>
      </c>
      <c r="R49" s="341" t="str">
        <f ca="1">'סיכום לועדה- הזנת נתונים'!R49</f>
        <v/>
      </c>
      <c r="S49" s="341" t="str">
        <f ca="1">'סיכום לועדה- הזנת נתונים'!S49</f>
        <v/>
      </c>
      <c r="T49" s="341" t="str">
        <f ca="1">'סיכום לועדה- הזנת נתונים'!T49</f>
        <v/>
      </c>
      <c r="U49" s="447">
        <f>'סיכום לועדה- הזנת נתונים'!U49</f>
        <v>0</v>
      </c>
      <c r="V49" s="447">
        <f>'סיכום לועדה- הזנת נתונים'!V49</f>
        <v>0</v>
      </c>
      <c r="W49" s="178" t="str">
        <f t="shared" ca="1" si="2"/>
        <v/>
      </c>
      <c r="X49" s="179" t="str">
        <f t="shared" ca="1" si="3"/>
        <v/>
      </c>
      <c r="Y49" s="175" t="str">
        <f t="shared" ca="1" si="4"/>
        <v/>
      </c>
      <c r="Z49" s="175" t="str">
        <f t="shared" ca="1" si="5"/>
        <v/>
      </c>
      <c r="AA49" s="180" t="str">
        <f t="shared" ca="1" si="0"/>
        <v/>
      </c>
      <c r="AB49" s="174"/>
      <c r="AC49" s="174"/>
      <c r="AD49" s="174"/>
      <c r="AE49" s="174"/>
      <c r="AF49" s="174"/>
      <c r="AG49" s="174"/>
      <c r="AH49" s="174"/>
      <c r="AI49" s="174"/>
      <c r="AJ49" s="174"/>
      <c r="AK49" s="174"/>
      <c r="AL49" s="174"/>
      <c r="AM49" s="174"/>
      <c r="AN49" s="174"/>
      <c r="AO49" s="174"/>
      <c r="AP49" s="174"/>
      <c r="AQ49" s="174"/>
      <c r="AR49" s="174"/>
      <c r="AS49" s="174"/>
      <c r="AT49" s="174"/>
      <c r="AU49" s="174"/>
      <c r="AV49" s="174"/>
      <c r="AW49" s="174"/>
      <c r="AX49" s="175" t="b">
        <f t="shared" ca="1" si="6"/>
        <v>0</v>
      </c>
      <c r="AY49" s="181"/>
      <c r="AZ49" s="182">
        <f t="shared" si="1"/>
        <v>15000000</v>
      </c>
    </row>
    <row r="50" spans="2:52" hidden="1" x14ac:dyDescent="0.25">
      <c r="B50" s="340" t="str">
        <f ca="1">'סיכום לועדה- הזנת נתונים'!B50</f>
        <v/>
      </c>
      <c r="C50" s="340" t="str">
        <f ca="1">'סיכום לועדה- הזנת נתונים'!C50</f>
        <v/>
      </c>
      <c r="D50" s="340">
        <f>'סיכום לועדה- הזנת נתונים'!D50</f>
        <v>0</v>
      </c>
      <c r="E50" s="340">
        <f>'סיכום לועדה- הזנת נתונים'!E50</f>
        <v>0</v>
      </c>
      <c r="F50" s="340">
        <f>'סיכום לועדה- הזנת נתונים'!F50</f>
        <v>0</v>
      </c>
      <c r="G50" s="340" t="str">
        <f ca="1">'סיכום לועדה- הזנת נתונים'!G50</f>
        <v/>
      </c>
      <c r="H50" s="340" t="str">
        <f>'סיכום לועדה- הזנת נתונים'!H50</f>
        <v/>
      </c>
      <c r="I50" s="340" t="str">
        <f>'סיכום לועדה- הזנת נתונים'!I50</f>
        <v/>
      </c>
      <c r="J50" s="340" t="str">
        <f>'סיכום לועדה- הזנת נתונים'!J50</f>
        <v/>
      </c>
      <c r="K50" s="340" t="str">
        <f>'סיכום לועדה- הזנת נתונים'!K50</f>
        <v/>
      </c>
      <c r="L50" s="340" t="str">
        <f>'סיכום לועדה- הזנת נתונים'!L50</f>
        <v/>
      </c>
      <c r="M50" s="340" t="str">
        <f>'סיכום לועדה- הזנת נתונים'!M50</f>
        <v/>
      </c>
      <c r="N50" s="341">
        <f>'סיכום לועדה- הזנת נתונים'!N50</f>
        <v>0</v>
      </c>
      <c r="O50" s="341" t="str">
        <f>'סיכום לועדה- הזנת נתונים'!O50</f>
        <v/>
      </c>
      <c r="P50" s="445" t="str">
        <f ca="1">'סיכום לועדה- הזנת נתונים'!P50</f>
        <v/>
      </c>
      <c r="Q50" s="341" t="str">
        <f ca="1">'סיכום לועדה- הזנת נתונים'!Q50</f>
        <v/>
      </c>
      <c r="R50" s="341" t="str">
        <f ca="1">'סיכום לועדה- הזנת נתונים'!R50</f>
        <v/>
      </c>
      <c r="S50" s="341" t="str">
        <f ca="1">'סיכום לועדה- הזנת נתונים'!S50</f>
        <v/>
      </c>
      <c r="T50" s="341" t="str">
        <f ca="1">'סיכום לועדה- הזנת נתונים'!T50</f>
        <v/>
      </c>
      <c r="U50" s="447">
        <f>'סיכום לועדה- הזנת נתונים'!U50</f>
        <v>0</v>
      </c>
      <c r="V50" s="447">
        <f>'סיכום לועדה- הזנת נתונים'!V50</f>
        <v>0</v>
      </c>
      <c r="W50" s="178" t="str">
        <f t="shared" ca="1" si="2"/>
        <v/>
      </c>
      <c r="X50" s="179" t="str">
        <f t="shared" ca="1" si="3"/>
        <v/>
      </c>
      <c r="Y50" s="175" t="str">
        <f t="shared" ca="1" si="4"/>
        <v/>
      </c>
      <c r="Z50" s="175" t="str">
        <f t="shared" ca="1" si="5"/>
        <v/>
      </c>
      <c r="AA50" s="180" t="str">
        <f t="shared" ca="1" si="0"/>
        <v/>
      </c>
      <c r="AB50" s="174"/>
      <c r="AC50" s="174"/>
      <c r="AD50" s="174"/>
      <c r="AE50" s="174"/>
      <c r="AF50" s="174"/>
      <c r="AG50" s="174"/>
      <c r="AH50" s="174"/>
      <c r="AI50" s="174"/>
      <c r="AJ50" s="174"/>
      <c r="AK50" s="174"/>
      <c r="AL50" s="174"/>
      <c r="AM50" s="174"/>
      <c r="AN50" s="174"/>
      <c r="AO50" s="174"/>
      <c r="AP50" s="174"/>
      <c r="AQ50" s="174"/>
      <c r="AR50" s="174"/>
      <c r="AS50" s="174"/>
      <c r="AT50" s="174"/>
      <c r="AU50" s="174"/>
      <c r="AV50" s="174"/>
      <c r="AW50" s="174"/>
      <c r="AX50" s="175" t="b">
        <f t="shared" ca="1" si="6"/>
        <v>0</v>
      </c>
      <c r="AY50" s="181"/>
      <c r="AZ50" s="182">
        <f t="shared" si="1"/>
        <v>15000000</v>
      </c>
    </row>
    <row r="51" spans="2:52" ht="63" x14ac:dyDescent="0.25">
      <c r="B51" s="340">
        <f ca="1">'סיכום לועדה- הזנת נתונים'!B51</f>
        <v>21</v>
      </c>
      <c r="C51" s="340" t="str">
        <f ca="1">'סיכום לועדה- הזנת נתונים'!C51</f>
        <v>ברית יוצאי מרוקו</v>
      </c>
      <c r="D51" s="340">
        <f>'סיכום לועדה- הזנת נתונים'!D51</f>
        <v>1001914329</v>
      </c>
      <c r="E51" s="340">
        <f>'סיכום לועדה- הזנת נתונים'!E51</f>
        <v>1001779761</v>
      </c>
      <c r="F51" s="340">
        <f>'סיכום לועדה- הזנת נתונים'!F51</f>
        <v>2020</v>
      </c>
      <c r="G51" s="340">
        <f ca="1">'סיכום לועדה- הזנת נתונים'!G51</f>
        <v>1</v>
      </c>
      <c r="H51" s="340" t="str">
        <f>'סיכום לועדה- הזנת נתונים'!H51</f>
        <v/>
      </c>
      <c r="I51" s="340">
        <f>'סיכום לועדה- הזנת נתונים'!I51</f>
        <v>2025</v>
      </c>
      <c r="J51" s="340">
        <f>'סיכום לועדה- הזנת נתונים'!J51</f>
        <v>40000102</v>
      </c>
      <c r="K51" s="340">
        <f>'סיכום לועדה- הזנת נתונים'!K51</f>
        <v>580041887</v>
      </c>
      <c r="L51" s="340" t="str">
        <f>'סיכום לועדה- הזנת נתונים'!L51</f>
        <v>ברית יוצאי מרוקו בישראל )ע"ר(</v>
      </c>
      <c r="M51" s="340" t="str">
        <f>'סיכום לועדה- הזנת נתונים'!M51</f>
        <v>בקשת תמיכה 2025</v>
      </c>
      <c r="N51" s="341">
        <f>'סיכום לועדה- הזנת נתונים'!N51</f>
        <v>182409</v>
      </c>
      <c r="O51" s="341">
        <f>'סיכום לועדה- הזנת נתונים'!O51</f>
        <v>200000</v>
      </c>
      <c r="P51" s="445">
        <f ca="1">'סיכום לועדה- הזנת נתונים'!P51</f>
        <v>1.0964371275540132</v>
      </c>
      <c r="Q51" s="341">
        <f ca="1">'סיכום לועדה- הזנת נתונים'!Q51</f>
        <v>0</v>
      </c>
      <c r="R51" s="341">
        <f ca="1">'סיכום לועדה- הזנת נתונים'!R51</f>
        <v>0</v>
      </c>
      <c r="S51" s="341">
        <f ca="1">'סיכום לועדה- הזנת נתונים'!S51</f>
        <v>200000</v>
      </c>
      <c r="T51" s="341">
        <f ca="1">'סיכום לועדה- הזנת נתונים'!T51</f>
        <v>200000</v>
      </c>
      <c r="U51" s="447">
        <f>'סיכום לועדה- הזנת נתונים'!U51</f>
        <v>0</v>
      </c>
      <c r="V51" s="447" t="str">
        <f>'סיכום לועדה- הזנת נתונים'!V51</f>
        <v>מאושר בהתאם למבחן התמיכה. שינוי בתחשיב הבסיס מושפע מעלייה בשנת ההערכה במשתנה הכנסות עצמיות ובשמתנה קיום תערוכות, לצד ירידה במשתנה הוצאת עלונים.</v>
      </c>
      <c r="W51" s="178" t="e">
        <f t="shared" ca="1" si="2"/>
        <v>#VALUE!</v>
      </c>
      <c r="X51" s="179">
        <f t="shared" ca="1" si="3"/>
        <v>-1</v>
      </c>
      <c r="Y51" s="175" t="e">
        <f t="shared" ca="1" si="4"/>
        <v>#VALUE!</v>
      </c>
      <c r="Z51" s="175" t="str">
        <f t="shared" ca="1" si="5"/>
        <v>הצג חריגים</v>
      </c>
      <c r="AA51" s="180">
        <f t="shared" ca="1" si="0"/>
        <v>0</v>
      </c>
      <c r="AB51" s="174"/>
      <c r="AC51" s="174"/>
      <c r="AD51" s="174"/>
      <c r="AE51" s="174"/>
      <c r="AF51" s="174"/>
      <c r="AG51" s="174"/>
      <c r="AH51" s="174"/>
      <c r="AI51" s="174"/>
      <c r="AJ51" s="174"/>
      <c r="AK51" s="174"/>
      <c r="AL51" s="174"/>
      <c r="AM51" s="174"/>
      <c r="AN51" s="174"/>
      <c r="AO51" s="174"/>
      <c r="AP51" s="174"/>
      <c r="AQ51" s="174"/>
      <c r="AR51" s="174"/>
      <c r="AS51" s="174"/>
      <c r="AT51" s="174"/>
      <c r="AU51" s="174"/>
      <c r="AV51" s="174"/>
      <c r="AW51" s="174"/>
      <c r="AX51" s="175" t="b">
        <f t="shared" ca="1" si="6"/>
        <v>1</v>
      </c>
      <c r="AY51" s="181"/>
      <c r="AZ51" s="182">
        <f t="shared" si="1"/>
        <v>15000000</v>
      </c>
    </row>
    <row r="52" spans="2:52" ht="47.25" x14ac:dyDescent="0.25">
      <c r="B52" s="340">
        <f ca="1">'סיכום לועדה- הזנת נתונים'!B52</f>
        <v>22</v>
      </c>
      <c r="C52" s="340" t="str">
        <f ca="1">'סיכום לועדה- הזנת נתונים'!C52</f>
        <v>הקם - בית הקונפדרציה</v>
      </c>
      <c r="D52" s="340">
        <f>'סיכום לועדה- הזנת נתונים'!D52</f>
        <v>1001907627</v>
      </c>
      <c r="E52" s="340">
        <f>'סיכום לועדה- הזנת נתונים'!E52</f>
        <v>1001720680</v>
      </c>
      <c r="F52" s="340">
        <f>'סיכום לועדה- הזנת נתונים'!F52</f>
        <v>2020</v>
      </c>
      <c r="G52" s="340">
        <f ca="1">'סיכום לועדה- הזנת נתונים'!G52</f>
        <v>1</v>
      </c>
      <c r="H52" s="340" t="str">
        <f>'סיכום לועדה- הזנת נתונים'!H52</f>
        <v/>
      </c>
      <c r="I52" s="340">
        <f>'סיכום לועדה- הזנת נתונים'!I52</f>
        <v>2025</v>
      </c>
      <c r="J52" s="340">
        <f>'סיכום לועדה- הזנת נתונים'!J52</f>
        <v>40000028</v>
      </c>
      <c r="K52" s="340">
        <f>'סיכום לועדה- הזנת נתונים'!K52</f>
        <v>510748734</v>
      </c>
      <c r="L52" s="340" t="str">
        <f>'סיכום לועדה- הזנת נתונים'!L52</f>
        <v>הקם (חל"צ)</v>
      </c>
      <c r="M52" s="340" t="str">
        <f>'סיכום לועדה- הזנת נתונים'!M52</f>
        <v>מרכז למורשת עדות ומסורות ישראל</v>
      </c>
      <c r="N52" s="341">
        <f>'סיכום לועדה- הזנת נתונים'!N52</f>
        <v>612871.59</v>
      </c>
      <c r="O52" s="341">
        <f>'סיכום לועדה- הזנת נתונים'!O52</f>
        <v>1400000</v>
      </c>
      <c r="P52" s="445">
        <f ca="1">'סיכום לועדה- הזנת נתונים'!P52</f>
        <v>1.0328104962298417</v>
      </c>
      <c r="Q52" s="341">
        <f ca="1">'סיכום לועדה- הזנת נתונים'!Q52</f>
        <v>0</v>
      </c>
      <c r="R52" s="341">
        <f ca="1">'סיכום לועדה- הזנת נתונים'!R52</f>
        <v>0</v>
      </c>
      <c r="S52" s="341">
        <f ca="1">'סיכום לועדה- הזנת נתונים'!S52</f>
        <v>632980.21099307202</v>
      </c>
      <c r="T52" s="341">
        <f ca="1">'סיכום לועדה- הזנת נתונים'!T52</f>
        <v>632980.21099307202</v>
      </c>
      <c r="U52" s="447">
        <f>'סיכום לועדה- הזנת נתונים'!U52</f>
        <v>0</v>
      </c>
      <c r="V52" s="447" t="str">
        <f>'סיכום לועדה- הזנת נתונים'!V52</f>
        <v>מאושר בהתאם למבחן התמיכה. שינוי בתחשיב הבסיס מושפע מהיעדר קיומו של אתר אינטרנט שעיקרו מורשת עדות ישראל.</v>
      </c>
      <c r="W52" s="178" t="e">
        <f t="shared" ca="1" si="2"/>
        <v>#VALUE!</v>
      </c>
      <c r="X52" s="179">
        <f t="shared" ca="1" si="3"/>
        <v>-1</v>
      </c>
      <c r="Y52" s="175" t="e">
        <f t="shared" ca="1" si="4"/>
        <v>#VALUE!</v>
      </c>
      <c r="Z52" s="175" t="str">
        <f t="shared" ca="1" si="5"/>
        <v>הצג חריגים</v>
      </c>
      <c r="AA52" s="180">
        <f t="shared" ca="1" si="0"/>
        <v>0</v>
      </c>
      <c r="AB52" s="174"/>
      <c r="AC52" s="174"/>
      <c r="AD52" s="174"/>
      <c r="AE52" s="174"/>
      <c r="AF52" s="174"/>
      <c r="AG52" s="174"/>
      <c r="AH52" s="174"/>
      <c r="AI52" s="174"/>
      <c r="AJ52" s="174"/>
      <c r="AK52" s="174"/>
      <c r="AL52" s="174"/>
      <c r="AM52" s="174"/>
      <c r="AN52" s="174"/>
      <c r="AO52" s="174"/>
      <c r="AP52" s="174"/>
      <c r="AQ52" s="174"/>
      <c r="AR52" s="174"/>
      <c r="AS52" s="174"/>
      <c r="AT52" s="174"/>
      <c r="AU52" s="174"/>
      <c r="AV52" s="174"/>
      <c r="AW52" s="174"/>
      <c r="AX52" s="175" t="b">
        <f t="shared" ca="1" si="6"/>
        <v>1</v>
      </c>
      <c r="AY52" s="181"/>
      <c r="AZ52" s="182">
        <f t="shared" si="1"/>
        <v>15000000</v>
      </c>
    </row>
    <row r="53" spans="2:52" ht="63" x14ac:dyDescent="0.25">
      <c r="B53" s="340">
        <f ca="1">'סיכום לועדה- הזנת נתונים'!B53</f>
        <v>23</v>
      </c>
      <c r="C53" s="340" t="str">
        <f ca="1">'סיכום לועדה- הזנת נתונים'!C53</f>
        <v>מוסיקה מזרח מערב</v>
      </c>
      <c r="D53" s="340">
        <f>'סיכום לועדה- הזנת נתונים'!D53</f>
        <v>1001907504</v>
      </c>
      <c r="E53" s="340">
        <f>'סיכום לועדה- הזנת נתונים'!E53</f>
        <v>1001722595</v>
      </c>
      <c r="F53" s="340">
        <f>'סיכום לועדה- הזנת נתונים'!F53</f>
        <v>2020</v>
      </c>
      <c r="G53" s="340">
        <f ca="1">'סיכום לועדה- הזנת נתונים'!G53</f>
        <v>1</v>
      </c>
      <c r="H53" s="340" t="str">
        <f>'סיכום לועדה- הזנת נתונים'!H53</f>
        <v/>
      </c>
      <c r="I53" s="340">
        <f>'סיכום לועדה- הזנת נתונים'!I53</f>
        <v>2025</v>
      </c>
      <c r="J53" s="340">
        <f>'סיכום לועדה- הזנת נתונים'!J53</f>
        <v>40000541</v>
      </c>
      <c r="K53" s="340">
        <f>'סיכום לועדה- הזנת נתונים'!K53</f>
        <v>580186278</v>
      </c>
      <c r="L53" s="340" t="str">
        <f>'סיכום לועדה- הזנת נתונים'!L53</f>
        <v>מוסיקה מזרח-מערב }ע"ר{</v>
      </c>
      <c r="M53" s="340" t="str">
        <f>'סיכום לועדה- הזנת נתונים'!M53</f>
        <v>פעילות 2025 תרבות מורשת עדות ישראל</v>
      </c>
      <c r="N53" s="341">
        <f>'סיכום לועדה- הזנת נתונים'!N53</f>
        <v>690258.18</v>
      </c>
      <c r="O53" s="341">
        <f>'סיכום לועדה- הזנת נתונים'!O53</f>
        <v>1600000</v>
      </c>
      <c r="P53" s="445">
        <f ca="1">'סיכום לועדה- הזנת נתונים'!P53</f>
        <v>1.401319646925778</v>
      </c>
      <c r="Q53" s="341">
        <f ca="1">'סיכום לועדה- הזנת נתונים'!Q53</f>
        <v>0</v>
      </c>
      <c r="R53" s="341">
        <f ca="1">'סיכום לועדה- הזנת נתונים'!R53</f>
        <v>0</v>
      </c>
      <c r="S53" s="341">
        <f ca="1">'סיכום לועדה- הזנת נתונים'!S53</f>
        <v>967272.34908523015</v>
      </c>
      <c r="T53" s="341">
        <f ca="1">'סיכום לועדה- הזנת נתונים'!T53</f>
        <v>967272.34908523026</v>
      </c>
      <c r="U53" s="447">
        <f>'סיכום לועדה- הזנת נתונים'!U53</f>
        <v>0</v>
      </c>
      <c r="V53" s="447" t="str">
        <f>'סיכום לועדה- הזנת נתונים'!V53</f>
        <v>מאושר בהתאם למבחן התמיכה. שינוי בתחשיב הבסיס מושפע מעלייה בשנת ההערכה במשתנה אתר אינטרנט ובמשתנה קיום תערוכות, לצד ירידה במשתנה קיום ארועי תרבות ובמשתנה שימור חומר ארכיוני.</v>
      </c>
      <c r="W53" s="178" t="e">
        <f t="shared" ca="1" si="2"/>
        <v>#VALUE!</v>
      </c>
      <c r="X53" s="179">
        <f t="shared" ca="1" si="3"/>
        <v>-1</v>
      </c>
      <c r="Y53" s="175" t="e">
        <f t="shared" ca="1" si="4"/>
        <v>#VALUE!</v>
      </c>
      <c r="Z53" s="175" t="str">
        <f t="shared" ca="1" si="5"/>
        <v>הצג חריגים</v>
      </c>
      <c r="AA53" s="180">
        <f t="shared" ca="1" si="0"/>
        <v>0</v>
      </c>
      <c r="AB53" s="174"/>
      <c r="AC53" s="174"/>
      <c r="AD53" s="174"/>
      <c r="AE53" s="174"/>
      <c r="AF53" s="174"/>
      <c r="AG53" s="174"/>
      <c r="AH53" s="174"/>
      <c r="AI53" s="174"/>
      <c r="AJ53" s="174"/>
      <c r="AK53" s="174"/>
      <c r="AL53" s="174"/>
      <c r="AM53" s="174"/>
      <c r="AN53" s="174"/>
      <c r="AO53" s="174"/>
      <c r="AP53" s="174"/>
      <c r="AQ53" s="174"/>
      <c r="AR53" s="174"/>
      <c r="AS53" s="174"/>
      <c r="AT53" s="174"/>
      <c r="AU53" s="174"/>
      <c r="AV53" s="174"/>
      <c r="AW53" s="174"/>
      <c r="AX53" s="175" t="b">
        <f t="shared" ca="1" si="6"/>
        <v>1</v>
      </c>
      <c r="AY53" s="181"/>
      <c r="AZ53" s="182">
        <f t="shared" si="1"/>
        <v>15000000</v>
      </c>
    </row>
    <row r="54" spans="2:52" ht="47.25" x14ac:dyDescent="0.25">
      <c r="B54" s="340">
        <f ca="1">'סיכום לועדה- הזנת נתונים'!B54</f>
        <v>24</v>
      </c>
      <c r="C54" s="340" t="str">
        <f ca="1">'סיכום לועדה- הזנת נתונים'!C54</f>
        <v>אעלה בתמר</v>
      </c>
      <c r="D54" s="340">
        <f>'סיכום לועדה- הזנת נתונים'!D54</f>
        <v>1001911063</v>
      </c>
      <c r="E54" s="340">
        <f>'סיכום לועדה- הזנת נתונים'!E54</f>
        <v>1001754442</v>
      </c>
      <c r="F54" s="340">
        <f>'סיכום לועדה- הזנת נתונים'!F54</f>
        <v>2020</v>
      </c>
      <c r="G54" s="340">
        <f ca="1">'סיכום לועדה- הזנת נתונים'!G54</f>
        <v>1</v>
      </c>
      <c r="H54" s="340" t="str">
        <f>'סיכום לועדה- הזנת נתונים'!H54</f>
        <v/>
      </c>
      <c r="I54" s="340">
        <f>'סיכום לועדה- הזנת נתונים'!I54</f>
        <v>2025</v>
      </c>
      <c r="J54" s="340">
        <f>'סיכום לועדה- הזנת נתונים'!J54</f>
        <v>40000094</v>
      </c>
      <c r="K54" s="340">
        <f>'סיכום לועדה- הזנת נתונים'!K54</f>
        <v>580037596</v>
      </c>
      <c r="L54" s="340" t="str">
        <f>'סיכום לועדה- הזנת נתונים'!L54</f>
        <v>"אעלה בתמר"</v>
      </c>
      <c r="M54" s="340" t="str">
        <f>'סיכום לועדה- הזנת נתונים'!M54</f>
        <v>תמיכה שוטפת עבור מחקר , שימור והפצת מורש</v>
      </c>
      <c r="N54" s="341">
        <f>'סיכום לועדה- הזנת נתונים'!N54</f>
        <v>1206197.58</v>
      </c>
      <c r="O54" s="341">
        <f>'סיכום לועדה- הזנת נתונים'!O54</f>
        <v>1500000</v>
      </c>
      <c r="P54" s="445">
        <f ca="1">'סיכום לועדה- הזנת נתונים'!P54</f>
        <v>1.2435773581969878</v>
      </c>
      <c r="Q54" s="341">
        <f ca="1">'סיכום לועדה- הזנת נתונים'!Q54</f>
        <v>0</v>
      </c>
      <c r="R54" s="341">
        <f ca="1">'סיכום לועדה- הזנת נתונים'!R54</f>
        <v>0</v>
      </c>
      <c r="S54" s="341">
        <f ca="1">'סיכום לועדה- הזנת נתונים'!S54</f>
        <v>1500000</v>
      </c>
      <c r="T54" s="341">
        <f ca="1">'סיכום לועדה- הזנת נתונים'!T54</f>
        <v>1500000</v>
      </c>
      <c r="U54" s="447">
        <f>'סיכום לועדה- הזנת נתונים'!U54</f>
        <v>0</v>
      </c>
      <c r="V54" s="447" t="str">
        <f>'סיכום לועדה- הזנת נתונים'!V54</f>
        <v>מאושר בהתאם למבחן התמיכה. שינוי בתחשיב הבסיס מושפע מעלייה בשנת ההערכה בכלל המשתנים הנבחנים.</v>
      </c>
      <c r="W54" s="178" t="e">
        <f t="shared" ca="1" si="2"/>
        <v>#VALUE!</v>
      </c>
      <c r="X54" s="179">
        <f t="shared" ca="1" si="3"/>
        <v>-1</v>
      </c>
      <c r="Y54" s="175" t="e">
        <f t="shared" ca="1" si="4"/>
        <v>#VALUE!</v>
      </c>
      <c r="Z54" s="175" t="str">
        <f t="shared" ca="1" si="5"/>
        <v>הצג חריגים</v>
      </c>
      <c r="AA54" s="180">
        <f t="shared" ca="1" si="0"/>
        <v>0</v>
      </c>
      <c r="AB54" s="174"/>
      <c r="AC54" s="174"/>
      <c r="AD54" s="174"/>
      <c r="AE54" s="174"/>
      <c r="AF54" s="174"/>
      <c r="AG54" s="174"/>
      <c r="AH54" s="174"/>
      <c r="AI54" s="174"/>
      <c r="AJ54" s="174"/>
      <c r="AK54" s="174"/>
      <c r="AL54" s="174"/>
      <c r="AM54" s="174"/>
      <c r="AN54" s="174"/>
      <c r="AO54" s="174"/>
      <c r="AP54" s="174"/>
      <c r="AQ54" s="174"/>
      <c r="AR54" s="174"/>
      <c r="AS54" s="174"/>
      <c r="AT54" s="174"/>
      <c r="AU54" s="174"/>
      <c r="AV54" s="174"/>
      <c r="AW54" s="174"/>
      <c r="AX54" s="175" t="b">
        <f t="shared" ca="1" si="6"/>
        <v>1</v>
      </c>
      <c r="AY54" s="181"/>
      <c r="AZ54" s="182">
        <f t="shared" si="1"/>
        <v>15000000</v>
      </c>
    </row>
    <row r="55" spans="2:52" hidden="1" x14ac:dyDescent="0.25">
      <c r="B55" s="340" t="str">
        <f ca="1">'סיכום לועדה- הזנת נתונים'!B55</f>
        <v/>
      </c>
      <c r="C55" s="340" t="str">
        <f ca="1">'סיכום לועדה- הזנת נתונים'!C55</f>
        <v/>
      </c>
      <c r="D55" s="340">
        <f>'סיכום לועדה- הזנת נתונים'!D55</f>
        <v>0</v>
      </c>
      <c r="E55" s="340">
        <f>'סיכום לועדה- הזנת נתונים'!E55</f>
        <v>0</v>
      </c>
      <c r="F55" s="340">
        <f>'סיכום לועדה- הזנת נתונים'!F55</f>
        <v>0</v>
      </c>
      <c r="G55" s="340" t="str">
        <f ca="1">'סיכום לועדה- הזנת נתונים'!G55</f>
        <v/>
      </c>
      <c r="H55" s="340" t="str">
        <f>'סיכום לועדה- הזנת נתונים'!H55</f>
        <v/>
      </c>
      <c r="I55" s="340" t="str">
        <f>'סיכום לועדה- הזנת נתונים'!I55</f>
        <v/>
      </c>
      <c r="J55" s="340" t="str">
        <f>'סיכום לועדה- הזנת נתונים'!J55</f>
        <v/>
      </c>
      <c r="K55" s="340" t="str">
        <f>'סיכום לועדה- הזנת נתונים'!K55</f>
        <v/>
      </c>
      <c r="L55" s="340" t="str">
        <f>'סיכום לועדה- הזנת נתונים'!L55</f>
        <v/>
      </c>
      <c r="M55" s="340" t="str">
        <f>'סיכום לועדה- הזנת נתונים'!M55</f>
        <v/>
      </c>
      <c r="N55" s="341">
        <f>'סיכום לועדה- הזנת נתונים'!N55</f>
        <v>0</v>
      </c>
      <c r="O55" s="341" t="str">
        <f>'סיכום לועדה- הזנת נתונים'!O55</f>
        <v/>
      </c>
      <c r="P55" s="445" t="str">
        <f ca="1">'סיכום לועדה- הזנת נתונים'!P55</f>
        <v/>
      </c>
      <c r="Q55" s="341" t="str">
        <f ca="1">'סיכום לועדה- הזנת נתונים'!Q55</f>
        <v/>
      </c>
      <c r="R55" s="341" t="str">
        <f ca="1">'סיכום לועדה- הזנת נתונים'!R55</f>
        <v/>
      </c>
      <c r="S55" s="341" t="str">
        <f ca="1">'סיכום לועדה- הזנת נתונים'!S55</f>
        <v/>
      </c>
      <c r="T55" s="341" t="str">
        <f ca="1">'סיכום לועדה- הזנת נתונים'!T55</f>
        <v/>
      </c>
      <c r="U55" s="447">
        <f>'סיכום לועדה- הזנת נתונים'!U55</f>
        <v>0</v>
      </c>
      <c r="V55" s="447">
        <f>'סיכום לועדה- הזנת נתונים'!V55</f>
        <v>0</v>
      </c>
      <c r="W55" s="178" t="str">
        <f t="shared" ca="1" si="2"/>
        <v/>
      </c>
      <c r="X55" s="179" t="str">
        <f t="shared" ca="1" si="3"/>
        <v/>
      </c>
      <c r="Y55" s="175" t="str">
        <f t="shared" ca="1" si="4"/>
        <v/>
      </c>
      <c r="Z55" s="175" t="str">
        <f t="shared" ca="1" si="5"/>
        <v/>
      </c>
      <c r="AA55" s="180" t="str">
        <f t="shared" ca="1" si="0"/>
        <v/>
      </c>
      <c r="AB55" s="174"/>
      <c r="AC55" s="174"/>
      <c r="AD55" s="174"/>
      <c r="AE55" s="174"/>
      <c r="AF55" s="174"/>
      <c r="AG55" s="174"/>
      <c r="AH55" s="174"/>
      <c r="AI55" s="174"/>
      <c r="AJ55" s="174"/>
      <c r="AK55" s="174"/>
      <c r="AL55" s="174"/>
      <c r="AM55" s="174"/>
      <c r="AN55" s="174"/>
      <c r="AO55" s="174"/>
      <c r="AP55" s="174"/>
      <c r="AQ55" s="174"/>
      <c r="AR55" s="174"/>
      <c r="AS55" s="174"/>
      <c r="AT55" s="174"/>
      <c r="AU55" s="174"/>
      <c r="AV55" s="174"/>
      <c r="AW55" s="174"/>
      <c r="AX55" s="175" t="b">
        <f t="shared" ca="1" si="6"/>
        <v>0</v>
      </c>
      <c r="AY55" s="181"/>
      <c r="AZ55" s="182">
        <f t="shared" si="1"/>
        <v>15000000</v>
      </c>
    </row>
    <row r="56" spans="2:52" hidden="1" x14ac:dyDescent="0.25">
      <c r="B56" s="340" t="str">
        <f ca="1">'סיכום לועדה- הזנת נתונים'!B56</f>
        <v/>
      </c>
      <c r="C56" s="340" t="str">
        <f ca="1">'סיכום לועדה- הזנת נתונים'!C56</f>
        <v/>
      </c>
      <c r="D56" s="340">
        <f>'סיכום לועדה- הזנת נתונים'!D56</f>
        <v>0</v>
      </c>
      <c r="E56" s="340">
        <f>'סיכום לועדה- הזנת נתונים'!E56</f>
        <v>0</v>
      </c>
      <c r="F56" s="340">
        <f>'סיכום לועדה- הזנת נתונים'!F56</f>
        <v>0</v>
      </c>
      <c r="G56" s="340" t="str">
        <f ca="1">'סיכום לועדה- הזנת נתונים'!G56</f>
        <v/>
      </c>
      <c r="H56" s="340" t="str">
        <f>'סיכום לועדה- הזנת נתונים'!H56</f>
        <v/>
      </c>
      <c r="I56" s="340" t="str">
        <f>'סיכום לועדה- הזנת נתונים'!I56</f>
        <v/>
      </c>
      <c r="J56" s="340" t="str">
        <f>'סיכום לועדה- הזנת נתונים'!J56</f>
        <v/>
      </c>
      <c r="K56" s="340" t="str">
        <f>'סיכום לועדה- הזנת נתונים'!K56</f>
        <v/>
      </c>
      <c r="L56" s="340" t="str">
        <f>'סיכום לועדה- הזנת נתונים'!L56</f>
        <v/>
      </c>
      <c r="M56" s="340" t="str">
        <f>'סיכום לועדה- הזנת נתונים'!M56</f>
        <v/>
      </c>
      <c r="N56" s="341">
        <f>'סיכום לועדה- הזנת נתונים'!N56</f>
        <v>0</v>
      </c>
      <c r="O56" s="341" t="str">
        <f>'סיכום לועדה- הזנת נתונים'!O56</f>
        <v/>
      </c>
      <c r="P56" s="445" t="str">
        <f ca="1">'סיכום לועדה- הזנת נתונים'!P56</f>
        <v/>
      </c>
      <c r="Q56" s="341" t="str">
        <f ca="1">'סיכום לועדה- הזנת נתונים'!Q56</f>
        <v/>
      </c>
      <c r="R56" s="341" t="str">
        <f ca="1">'סיכום לועדה- הזנת נתונים'!R56</f>
        <v/>
      </c>
      <c r="S56" s="341" t="str">
        <f ca="1">'סיכום לועדה- הזנת נתונים'!S56</f>
        <v/>
      </c>
      <c r="T56" s="341" t="str">
        <f ca="1">'סיכום לועדה- הזנת נתונים'!T56</f>
        <v/>
      </c>
      <c r="U56" s="447">
        <f>'סיכום לועדה- הזנת נתונים'!U56</f>
        <v>0</v>
      </c>
      <c r="V56" s="447">
        <f>'סיכום לועדה- הזנת נתונים'!V56</f>
        <v>0</v>
      </c>
      <c r="W56" s="178" t="str">
        <f t="shared" ca="1" si="2"/>
        <v/>
      </c>
      <c r="X56" s="179" t="str">
        <f t="shared" ca="1" si="3"/>
        <v/>
      </c>
      <c r="Y56" s="175" t="str">
        <f t="shared" ca="1" si="4"/>
        <v/>
      </c>
      <c r="Z56" s="175" t="str">
        <f t="shared" ca="1" si="5"/>
        <v/>
      </c>
      <c r="AA56" s="180" t="str">
        <f t="shared" ca="1" si="0"/>
        <v/>
      </c>
      <c r="AB56" s="174"/>
      <c r="AC56" s="174"/>
      <c r="AD56" s="174"/>
      <c r="AE56" s="174"/>
      <c r="AF56" s="174"/>
      <c r="AG56" s="174"/>
      <c r="AH56" s="174"/>
      <c r="AI56" s="174"/>
      <c r="AJ56" s="174"/>
      <c r="AK56" s="174"/>
      <c r="AL56" s="174"/>
      <c r="AM56" s="174"/>
      <c r="AN56" s="174"/>
      <c r="AO56" s="174"/>
      <c r="AP56" s="174"/>
      <c r="AQ56" s="174"/>
      <c r="AR56" s="174"/>
      <c r="AS56" s="174"/>
      <c r="AT56" s="174"/>
      <c r="AU56" s="174"/>
      <c r="AV56" s="174"/>
      <c r="AW56" s="174"/>
      <c r="AX56" s="175" t="b">
        <f t="shared" ca="1" si="6"/>
        <v>0</v>
      </c>
      <c r="AY56" s="181"/>
      <c r="AZ56" s="182">
        <f t="shared" si="1"/>
        <v>15000000</v>
      </c>
    </row>
    <row r="57" spans="2:52" ht="63" x14ac:dyDescent="0.25">
      <c r="B57" s="340">
        <f ca="1">'סיכום לועדה- הזנת נתונים'!B57</f>
        <v>27</v>
      </c>
      <c r="C57" s="340" t="str">
        <f ca="1">'סיכום לועדה- הזנת נתונים'!C57</f>
        <v>מכון הברמן</v>
      </c>
      <c r="D57" s="340">
        <f>'סיכום לועדה- הזנת נתונים'!D57</f>
        <v>1001910979</v>
      </c>
      <c r="E57" s="340">
        <f>'סיכום לועדה- הזנת נתונים'!E57</f>
        <v>1001746369</v>
      </c>
      <c r="F57" s="340">
        <f>'סיכום לועדה- הזנת נתונים'!F57</f>
        <v>2020</v>
      </c>
      <c r="G57" s="340">
        <f ca="1">'סיכום לועדה- הזנת נתונים'!G57</f>
        <v>1</v>
      </c>
      <c r="H57" s="340" t="str">
        <f>'סיכום לועדה- הזנת נתונים'!H57</f>
        <v/>
      </c>
      <c r="I57" s="340">
        <f>'סיכום לועדה- הזנת נתונים'!I57</f>
        <v>2025</v>
      </c>
      <c r="J57" s="340">
        <f>'סיכום לועדה- הזנת נתונים'!J57</f>
        <v>40000188</v>
      </c>
      <c r="K57" s="340">
        <f>'סיכום לועדה- הזנת נתונים'!K57</f>
        <v>580229771</v>
      </c>
      <c r="L57" s="340" t="str">
        <f>'סיכום לועדה- הזנת נתונים'!L57</f>
        <v>מכון הברמן למחקרי ספרות )ע"ר(</v>
      </c>
      <c r="M57" s="340" t="str">
        <f>'סיכום לועדה- הזנת נתונים'!M57</f>
        <v>מכון הברמן למחקרי ספרות תמיכה שוטפת</v>
      </c>
      <c r="N57" s="341">
        <f>'סיכום לועדה- הזנת נתונים'!N57</f>
        <v>268632.15999999997</v>
      </c>
      <c r="O57" s="341">
        <f>'סיכום לועדה- הזנת נתונים'!O57</f>
        <v>725000</v>
      </c>
      <c r="P57" s="445">
        <f ca="1">'סיכום לועדה- הזנת נתונים'!P57</f>
        <v>1.2499412422572262</v>
      </c>
      <c r="Q57" s="341">
        <f ca="1">'סיכום לועדה- הזנת נתונים'!Q57</f>
        <v>0</v>
      </c>
      <c r="R57" s="341">
        <f ca="1">'סיכום לועדה- הזנת נתונים'!R57</f>
        <v>0</v>
      </c>
      <c r="S57" s="341">
        <f ca="1">'סיכום לועדה- הזנת נתונים'!S57</f>
        <v>335774.41578064195</v>
      </c>
      <c r="T57" s="341">
        <f ca="1">'סיכום לועדה- הזנת נתונים'!T57</f>
        <v>335774.41578064195</v>
      </c>
      <c r="U57" s="447">
        <f>'סיכום לועדה- הזנת נתונים'!U57</f>
        <v>0</v>
      </c>
      <c r="V57" s="447" t="str">
        <f>'סיכום לועדה- הזנת נתונים'!V57</f>
        <v>מאושר בהתאם למבחן התמיכה. שינוי בתחשיב הבסיס מושפע מירידה בשנת ההערכה בתחום הוצאת ספרי עיון ומהיעדרו של אתר אינטרנט, לצד עלייה בתחום קיום ארועי תרבות.</v>
      </c>
      <c r="W57" s="178" t="e">
        <f t="shared" ca="1" si="2"/>
        <v>#VALUE!</v>
      </c>
      <c r="X57" s="179">
        <f t="shared" ca="1" si="3"/>
        <v>-1</v>
      </c>
      <c r="Y57" s="175" t="e">
        <f t="shared" ca="1" si="4"/>
        <v>#VALUE!</v>
      </c>
      <c r="Z57" s="175" t="str">
        <f t="shared" ca="1" si="5"/>
        <v>הצג חריגים</v>
      </c>
      <c r="AA57" s="180">
        <f t="shared" ca="1" si="0"/>
        <v>0</v>
      </c>
      <c r="AB57" s="174"/>
      <c r="AC57" s="174"/>
      <c r="AD57" s="174"/>
      <c r="AE57" s="174"/>
      <c r="AF57" s="174"/>
      <c r="AG57" s="174"/>
      <c r="AH57" s="174"/>
      <c r="AI57" s="174"/>
      <c r="AJ57" s="174"/>
      <c r="AK57" s="174"/>
      <c r="AL57" s="174"/>
      <c r="AM57" s="174"/>
      <c r="AN57" s="174"/>
      <c r="AO57" s="174"/>
      <c r="AP57" s="174"/>
      <c r="AQ57" s="174"/>
      <c r="AR57" s="174"/>
      <c r="AS57" s="174"/>
      <c r="AT57" s="174"/>
      <c r="AU57" s="174"/>
      <c r="AV57" s="174"/>
      <c r="AW57" s="174"/>
      <c r="AX57" s="175" t="b">
        <f t="shared" ca="1" si="6"/>
        <v>1</v>
      </c>
      <c r="AY57" s="181"/>
      <c r="AZ57" s="182">
        <f t="shared" si="1"/>
        <v>15000000</v>
      </c>
    </row>
    <row r="58" spans="2:52" hidden="1" x14ac:dyDescent="0.25">
      <c r="B58" s="340" t="str">
        <f ca="1">'סיכום לועדה- הזנת נתונים'!B58</f>
        <v/>
      </c>
      <c r="C58" s="340" t="str">
        <f ca="1">'סיכום לועדה- הזנת נתונים'!C58</f>
        <v/>
      </c>
      <c r="D58" s="340">
        <f>'סיכום לועדה- הזנת נתונים'!D58</f>
        <v>0</v>
      </c>
      <c r="E58" s="340">
        <f>'סיכום לועדה- הזנת נתונים'!E58</f>
        <v>0</v>
      </c>
      <c r="F58" s="340">
        <f>'סיכום לועדה- הזנת נתונים'!F58</f>
        <v>0</v>
      </c>
      <c r="G58" s="340" t="str">
        <f ca="1">'סיכום לועדה- הזנת נתונים'!G58</f>
        <v/>
      </c>
      <c r="H58" s="340" t="str">
        <f>'סיכום לועדה- הזנת נתונים'!H58</f>
        <v/>
      </c>
      <c r="I58" s="340" t="str">
        <f>'סיכום לועדה- הזנת נתונים'!I58</f>
        <v/>
      </c>
      <c r="J58" s="340" t="str">
        <f>'סיכום לועדה- הזנת נתונים'!J58</f>
        <v/>
      </c>
      <c r="K58" s="340" t="str">
        <f>'סיכום לועדה- הזנת נתונים'!K58</f>
        <v/>
      </c>
      <c r="L58" s="340" t="str">
        <f>'סיכום לועדה- הזנת נתונים'!L58</f>
        <v/>
      </c>
      <c r="M58" s="340" t="str">
        <f>'סיכום לועדה- הזנת נתונים'!M58</f>
        <v/>
      </c>
      <c r="N58" s="341">
        <f>'סיכום לועדה- הזנת נתונים'!N58</f>
        <v>0</v>
      </c>
      <c r="O58" s="341" t="str">
        <f>'סיכום לועדה- הזנת נתונים'!O58</f>
        <v/>
      </c>
      <c r="P58" s="445" t="str">
        <f ca="1">'סיכום לועדה- הזנת נתונים'!P58</f>
        <v/>
      </c>
      <c r="Q58" s="341" t="str">
        <f ca="1">'סיכום לועדה- הזנת נתונים'!Q58</f>
        <v/>
      </c>
      <c r="R58" s="341" t="str">
        <f ca="1">'סיכום לועדה- הזנת נתונים'!R58</f>
        <v/>
      </c>
      <c r="S58" s="341" t="str">
        <f ca="1">'סיכום לועדה- הזנת נתונים'!S58</f>
        <v/>
      </c>
      <c r="T58" s="341" t="str">
        <f ca="1">'סיכום לועדה- הזנת נתונים'!T58</f>
        <v/>
      </c>
      <c r="U58" s="447">
        <f>'סיכום לועדה- הזנת נתונים'!U58</f>
        <v>0</v>
      </c>
      <c r="V58" s="447">
        <f>'סיכום לועדה- הזנת נתונים'!V58</f>
        <v>0</v>
      </c>
      <c r="W58" s="178" t="str">
        <f t="shared" ca="1" si="2"/>
        <v/>
      </c>
      <c r="X58" s="179" t="str">
        <f t="shared" ca="1" si="3"/>
        <v/>
      </c>
      <c r="Y58" s="175" t="str">
        <f t="shared" ca="1" si="4"/>
        <v/>
      </c>
      <c r="Z58" s="175" t="str">
        <f t="shared" ca="1" si="5"/>
        <v/>
      </c>
      <c r="AA58" s="180" t="str">
        <f t="shared" ca="1" si="0"/>
        <v/>
      </c>
      <c r="AB58" s="174"/>
      <c r="AC58" s="174"/>
      <c r="AD58" s="174"/>
      <c r="AE58" s="174"/>
      <c r="AF58" s="174"/>
      <c r="AG58" s="174"/>
      <c r="AH58" s="174"/>
      <c r="AI58" s="174"/>
      <c r="AJ58" s="174"/>
      <c r="AK58" s="174"/>
      <c r="AL58" s="174"/>
      <c r="AM58" s="174"/>
      <c r="AN58" s="174"/>
      <c r="AO58" s="174"/>
      <c r="AP58" s="174"/>
      <c r="AQ58" s="174"/>
      <c r="AR58" s="174"/>
      <c r="AS58" s="174"/>
      <c r="AT58" s="174"/>
      <c r="AU58" s="174"/>
      <c r="AV58" s="174"/>
      <c r="AW58" s="174"/>
      <c r="AX58" s="175" t="b">
        <f t="shared" ca="1" si="6"/>
        <v>0</v>
      </c>
      <c r="AY58" s="181"/>
      <c r="AZ58" s="182">
        <f t="shared" si="1"/>
        <v>15000000</v>
      </c>
    </row>
    <row r="59" spans="2:52" hidden="1" x14ac:dyDescent="0.25">
      <c r="B59" s="340" t="str">
        <f ca="1">'סיכום לועדה- הזנת נתונים'!B59</f>
        <v/>
      </c>
      <c r="C59" s="340" t="str">
        <f ca="1">'סיכום לועדה- הזנת נתונים'!C59</f>
        <v/>
      </c>
      <c r="D59" s="340">
        <f>'סיכום לועדה- הזנת נתונים'!D59</f>
        <v>0</v>
      </c>
      <c r="E59" s="340">
        <f>'סיכום לועדה- הזנת נתונים'!E59</f>
        <v>0</v>
      </c>
      <c r="F59" s="340">
        <f>'סיכום לועדה- הזנת נתונים'!F59</f>
        <v>0</v>
      </c>
      <c r="G59" s="340" t="str">
        <f ca="1">'סיכום לועדה- הזנת נתונים'!G59</f>
        <v/>
      </c>
      <c r="H59" s="340" t="str">
        <f>'סיכום לועדה- הזנת נתונים'!H59</f>
        <v/>
      </c>
      <c r="I59" s="340" t="str">
        <f>'סיכום לועדה- הזנת נתונים'!I59</f>
        <v/>
      </c>
      <c r="J59" s="340" t="str">
        <f>'סיכום לועדה- הזנת נתונים'!J59</f>
        <v/>
      </c>
      <c r="K59" s="340" t="str">
        <f>'סיכום לועדה- הזנת נתונים'!K59</f>
        <v/>
      </c>
      <c r="L59" s="340" t="str">
        <f>'סיכום לועדה- הזנת נתונים'!L59</f>
        <v/>
      </c>
      <c r="M59" s="340" t="str">
        <f>'סיכום לועדה- הזנת נתונים'!M59</f>
        <v/>
      </c>
      <c r="N59" s="341">
        <f>'סיכום לועדה- הזנת נתונים'!N59</f>
        <v>0</v>
      </c>
      <c r="O59" s="341" t="str">
        <f>'סיכום לועדה- הזנת נתונים'!O59</f>
        <v/>
      </c>
      <c r="P59" s="445" t="str">
        <f ca="1">'סיכום לועדה- הזנת נתונים'!P59</f>
        <v/>
      </c>
      <c r="Q59" s="341" t="str">
        <f ca="1">'סיכום לועדה- הזנת נתונים'!Q59</f>
        <v/>
      </c>
      <c r="R59" s="341" t="str">
        <f ca="1">'סיכום לועדה- הזנת נתונים'!R59</f>
        <v/>
      </c>
      <c r="S59" s="341" t="str">
        <f ca="1">'סיכום לועדה- הזנת נתונים'!S59</f>
        <v/>
      </c>
      <c r="T59" s="341" t="str">
        <f ca="1">'סיכום לועדה- הזנת נתונים'!T59</f>
        <v/>
      </c>
      <c r="U59" s="447">
        <f>'סיכום לועדה- הזנת נתונים'!U59</f>
        <v>0</v>
      </c>
      <c r="V59" s="447">
        <f>'סיכום לועדה- הזנת נתונים'!V59</f>
        <v>0</v>
      </c>
      <c r="W59" s="178" t="str">
        <f t="shared" ca="1" si="2"/>
        <v/>
      </c>
      <c r="X59" s="179" t="str">
        <f t="shared" ca="1" si="3"/>
        <v/>
      </c>
      <c r="Y59" s="175" t="str">
        <f t="shared" ca="1" si="4"/>
        <v/>
      </c>
      <c r="Z59" s="175" t="str">
        <f t="shared" ca="1" si="5"/>
        <v/>
      </c>
      <c r="AA59" s="180" t="str">
        <f t="shared" ca="1" si="0"/>
        <v/>
      </c>
      <c r="AB59" s="174"/>
      <c r="AC59" s="174"/>
      <c r="AD59" s="174"/>
      <c r="AE59" s="174"/>
      <c r="AF59" s="174"/>
      <c r="AG59" s="174"/>
      <c r="AH59" s="174"/>
      <c r="AI59" s="174"/>
      <c r="AJ59" s="174"/>
      <c r="AK59" s="174"/>
      <c r="AL59" s="174"/>
      <c r="AM59" s="174"/>
      <c r="AN59" s="174"/>
      <c r="AO59" s="174"/>
      <c r="AP59" s="174"/>
      <c r="AQ59" s="174"/>
      <c r="AR59" s="174"/>
      <c r="AS59" s="174"/>
      <c r="AT59" s="174"/>
      <c r="AU59" s="174"/>
      <c r="AV59" s="174"/>
      <c r="AW59" s="174"/>
      <c r="AX59" s="175" t="b">
        <f t="shared" ca="1" si="6"/>
        <v>0</v>
      </c>
      <c r="AY59" s="181"/>
      <c r="AZ59" s="182">
        <f t="shared" si="1"/>
        <v>15000000</v>
      </c>
    </row>
    <row r="60" spans="2:52" hidden="1" x14ac:dyDescent="0.25">
      <c r="B60" s="340" t="str">
        <f ca="1">'סיכום לועדה- הזנת נתונים'!B60</f>
        <v/>
      </c>
      <c r="C60" s="340" t="str">
        <f ca="1">'סיכום לועדה- הזנת נתונים'!C60</f>
        <v/>
      </c>
      <c r="D60" s="340">
        <f>'סיכום לועדה- הזנת נתונים'!D60</f>
        <v>0</v>
      </c>
      <c r="E60" s="340">
        <f>'סיכום לועדה- הזנת נתונים'!E60</f>
        <v>0</v>
      </c>
      <c r="F60" s="340">
        <f>'סיכום לועדה- הזנת נתונים'!F60</f>
        <v>0</v>
      </c>
      <c r="G60" s="340" t="str">
        <f ca="1">'סיכום לועדה- הזנת נתונים'!G60</f>
        <v/>
      </c>
      <c r="H60" s="340" t="str">
        <f>'סיכום לועדה- הזנת נתונים'!H60</f>
        <v/>
      </c>
      <c r="I60" s="340" t="str">
        <f>'סיכום לועדה- הזנת נתונים'!I60</f>
        <v/>
      </c>
      <c r="J60" s="340" t="str">
        <f>'סיכום לועדה- הזנת נתונים'!J60</f>
        <v/>
      </c>
      <c r="K60" s="340" t="str">
        <f>'סיכום לועדה- הזנת נתונים'!K60</f>
        <v/>
      </c>
      <c r="L60" s="340" t="str">
        <f>'סיכום לועדה- הזנת נתונים'!L60</f>
        <v/>
      </c>
      <c r="M60" s="340" t="str">
        <f>'סיכום לועדה- הזנת נתונים'!M60</f>
        <v/>
      </c>
      <c r="N60" s="341">
        <f>'סיכום לועדה- הזנת נתונים'!N60</f>
        <v>0</v>
      </c>
      <c r="O60" s="341" t="str">
        <f>'סיכום לועדה- הזנת נתונים'!O60</f>
        <v/>
      </c>
      <c r="P60" s="445" t="str">
        <f ca="1">'סיכום לועדה- הזנת נתונים'!P60</f>
        <v/>
      </c>
      <c r="Q60" s="341" t="str">
        <f ca="1">'סיכום לועדה- הזנת נתונים'!Q60</f>
        <v/>
      </c>
      <c r="R60" s="341" t="str">
        <f ca="1">'סיכום לועדה- הזנת נתונים'!R60</f>
        <v/>
      </c>
      <c r="S60" s="341" t="str">
        <f ca="1">'סיכום לועדה- הזנת נתונים'!S60</f>
        <v/>
      </c>
      <c r="T60" s="341" t="str">
        <f ca="1">'סיכום לועדה- הזנת נתונים'!T60</f>
        <v/>
      </c>
      <c r="U60" s="447">
        <f>'סיכום לועדה- הזנת נתונים'!U60</f>
        <v>0</v>
      </c>
      <c r="V60" s="447">
        <f>'סיכום לועדה- הזנת נתונים'!V60</f>
        <v>0</v>
      </c>
      <c r="W60" s="178" t="str">
        <f t="shared" ca="1" si="2"/>
        <v/>
      </c>
      <c r="X60" s="179" t="str">
        <f t="shared" ca="1" si="3"/>
        <v/>
      </c>
      <c r="Y60" s="175" t="str">
        <f t="shared" ca="1" si="4"/>
        <v/>
      </c>
      <c r="Z60" s="175" t="str">
        <f t="shared" ca="1" si="5"/>
        <v/>
      </c>
      <c r="AA60" s="180" t="str">
        <f t="shared" ca="1" si="0"/>
        <v/>
      </c>
      <c r="AB60" s="174"/>
      <c r="AC60" s="174"/>
      <c r="AD60" s="174"/>
      <c r="AE60" s="174"/>
      <c r="AF60" s="174"/>
      <c r="AG60" s="174"/>
      <c r="AH60" s="174"/>
      <c r="AI60" s="174"/>
      <c r="AJ60" s="174"/>
      <c r="AK60" s="174"/>
      <c r="AL60" s="174"/>
      <c r="AM60" s="174"/>
      <c r="AN60" s="174"/>
      <c r="AO60" s="174"/>
      <c r="AP60" s="174"/>
      <c r="AQ60" s="174"/>
      <c r="AR60" s="174"/>
      <c r="AS60" s="174"/>
      <c r="AT60" s="174"/>
      <c r="AU60" s="174"/>
      <c r="AV60" s="174"/>
      <c r="AW60" s="174"/>
      <c r="AX60" s="175" t="b">
        <f t="shared" ca="1" si="6"/>
        <v>0</v>
      </c>
      <c r="AY60" s="181"/>
      <c r="AZ60" s="182">
        <f t="shared" si="1"/>
        <v>15000000</v>
      </c>
    </row>
    <row r="61" spans="2:52" ht="47.25" x14ac:dyDescent="0.25">
      <c r="B61" s="340">
        <f ca="1">'סיכום לועדה- הזנת נתונים'!B61</f>
        <v>31</v>
      </c>
      <c r="C61" s="340" t="str">
        <f ca="1">'סיכום לועדה- הזנת נתונים'!C61</f>
        <v>כולנא</v>
      </c>
      <c r="D61" s="340">
        <f>'סיכום לועדה- הזנת נתונים'!D61</f>
        <v>1001910978</v>
      </c>
      <c r="E61" s="340">
        <f>'סיכום לועדה- הזנת נתונים'!E61</f>
        <v>1001776903</v>
      </c>
      <c r="F61" s="340">
        <f>'סיכום לועדה- הזנת נתונים'!F61</f>
        <v>2020</v>
      </c>
      <c r="G61" s="340">
        <f ca="1">'סיכום לועדה- הזנת נתונים'!G61</f>
        <v>1</v>
      </c>
      <c r="H61" s="340" t="str">
        <f>'סיכום לועדה- הזנת נתונים'!H61</f>
        <v/>
      </c>
      <c r="I61" s="340">
        <f>'סיכום לועדה- הזנת נתונים'!I61</f>
        <v>2025</v>
      </c>
      <c r="J61" s="340">
        <f>'סיכום לועדה- הזנת נתונים'!J61</f>
        <v>40988882</v>
      </c>
      <c r="K61" s="340">
        <f>'סיכום לועדה- הזנת נתונים'!K61</f>
        <v>580450146</v>
      </c>
      <c r="L61" s="340" t="str">
        <f>'סיכום לועדה- הזנת נתונים'!L61</f>
        <v>צעירים בירוחם )ע"ר(</v>
      </c>
      <c r="M61" s="340" t="str">
        <f>'סיכום לועדה- הזנת נתונים'!M61</f>
        <v>כולנא בית למורשת</v>
      </c>
      <c r="N61" s="341">
        <f>'סיכום לועדה- הזנת נתונים'!N61</f>
        <v>367491.24</v>
      </c>
      <c r="O61" s="341">
        <f>'סיכום לועדה- הזנת נתונים'!O61</f>
        <v>1500000</v>
      </c>
      <c r="P61" s="445">
        <f ca="1">'סיכום לועדה- הזנת נתונים'!P61</f>
        <v>1.4913263165452486</v>
      </c>
      <c r="Q61" s="341">
        <f ca="1">'סיכום לועדה- הזנת נתונים'!Q61</f>
        <v>0</v>
      </c>
      <c r="R61" s="341">
        <f ca="1">'סיכום לועדה- הזנת נתונים'!R61</f>
        <v>0</v>
      </c>
      <c r="S61" s="341">
        <f ca="1">'סיכום לועדה- הזנת נתונים'!S61</f>
        <v>548049.35731184587</v>
      </c>
      <c r="T61" s="341">
        <f ca="1">'סיכום לועדה- הזנת נתונים'!T61</f>
        <v>548049.35731184587</v>
      </c>
      <c r="U61" s="447">
        <f>'סיכום לועדה- הזנת נתונים'!U61</f>
        <v>0</v>
      </c>
      <c r="V61" s="447" t="str">
        <f>'סיכום לועדה- הזנת נתונים'!V61</f>
        <v>מאושר בהתאם למבחן התמיכה. שינוי בתחשיב הבסיס מושפע מעלייה בשנת ההערכה בכלל המשתנים הנבחנים.</v>
      </c>
      <c r="W61" s="178" t="e">
        <f t="shared" ca="1" si="2"/>
        <v>#VALUE!</v>
      </c>
      <c r="X61" s="179">
        <f t="shared" ca="1" si="3"/>
        <v>-1</v>
      </c>
      <c r="Y61" s="175" t="e">
        <f t="shared" ca="1" si="4"/>
        <v>#VALUE!</v>
      </c>
      <c r="Z61" s="175" t="str">
        <f t="shared" ca="1" si="5"/>
        <v>הצג חריגים</v>
      </c>
      <c r="AA61" s="180">
        <f t="shared" ca="1" si="0"/>
        <v>0</v>
      </c>
      <c r="AB61" s="174"/>
      <c r="AC61" s="174"/>
      <c r="AD61" s="174"/>
      <c r="AE61" s="174"/>
      <c r="AF61" s="174"/>
      <c r="AG61" s="174"/>
      <c r="AH61" s="174"/>
      <c r="AI61" s="174"/>
      <c r="AJ61" s="174"/>
      <c r="AK61" s="174"/>
      <c r="AL61" s="174"/>
      <c r="AM61" s="174"/>
      <c r="AN61" s="174"/>
      <c r="AO61" s="174"/>
      <c r="AP61" s="174"/>
      <c r="AQ61" s="174"/>
      <c r="AR61" s="174"/>
      <c r="AS61" s="174"/>
      <c r="AT61" s="174"/>
      <c r="AU61" s="174"/>
      <c r="AV61" s="174"/>
      <c r="AW61" s="174"/>
      <c r="AX61" s="175" t="b">
        <f t="shared" ca="1" si="6"/>
        <v>1</v>
      </c>
      <c r="AY61" s="181"/>
      <c r="AZ61" s="182">
        <f t="shared" si="1"/>
        <v>15000000</v>
      </c>
    </row>
    <row r="62" spans="2:52" hidden="1" x14ac:dyDescent="0.25">
      <c r="B62" s="340" t="str">
        <f ca="1">'סיכום לועדה- הזנת נתונים'!B62</f>
        <v/>
      </c>
      <c r="C62" s="340" t="str">
        <f ca="1">'סיכום לועדה- הזנת נתונים'!C62</f>
        <v/>
      </c>
      <c r="D62" s="340">
        <f>'סיכום לועדה- הזנת נתונים'!D62</f>
        <v>0</v>
      </c>
      <c r="E62" s="340">
        <f>'סיכום לועדה- הזנת נתונים'!E62</f>
        <v>0</v>
      </c>
      <c r="F62" s="340">
        <f>'סיכום לועדה- הזנת נתונים'!F62</f>
        <v>0</v>
      </c>
      <c r="G62" s="340" t="str">
        <f ca="1">'סיכום לועדה- הזנת נתונים'!G62</f>
        <v/>
      </c>
      <c r="H62" s="340" t="str">
        <f>'סיכום לועדה- הזנת נתונים'!H62</f>
        <v/>
      </c>
      <c r="I62" s="340" t="str">
        <f>'סיכום לועדה- הזנת נתונים'!I62</f>
        <v/>
      </c>
      <c r="J62" s="340" t="str">
        <f>'סיכום לועדה- הזנת נתונים'!J62</f>
        <v/>
      </c>
      <c r="K62" s="340" t="str">
        <f>'סיכום לועדה- הזנת נתונים'!K62</f>
        <v/>
      </c>
      <c r="L62" s="340" t="str">
        <f>'סיכום לועדה- הזנת נתונים'!L62</f>
        <v/>
      </c>
      <c r="M62" s="340" t="str">
        <f>'סיכום לועדה- הזנת נתונים'!M62</f>
        <v/>
      </c>
      <c r="N62" s="341">
        <f>'סיכום לועדה- הזנת נתונים'!N62</f>
        <v>0</v>
      </c>
      <c r="O62" s="341" t="str">
        <f>'סיכום לועדה- הזנת נתונים'!O62</f>
        <v/>
      </c>
      <c r="P62" s="445" t="str">
        <f ca="1">'סיכום לועדה- הזנת נתונים'!P62</f>
        <v/>
      </c>
      <c r="Q62" s="341" t="str">
        <f ca="1">'סיכום לועדה- הזנת נתונים'!Q62</f>
        <v/>
      </c>
      <c r="R62" s="341" t="str">
        <f ca="1">'סיכום לועדה- הזנת נתונים'!R62</f>
        <v/>
      </c>
      <c r="S62" s="341" t="str">
        <f ca="1">'סיכום לועדה- הזנת נתונים'!S62</f>
        <v/>
      </c>
      <c r="T62" s="341" t="str">
        <f ca="1">'סיכום לועדה- הזנת נתונים'!T62</f>
        <v/>
      </c>
      <c r="U62" s="447">
        <f>'סיכום לועדה- הזנת נתונים'!U62</f>
        <v>0</v>
      </c>
      <c r="V62" s="447">
        <f>'סיכום לועדה- הזנת נתונים'!V62</f>
        <v>0</v>
      </c>
      <c r="W62" s="178" t="str">
        <f t="shared" ca="1" si="2"/>
        <v/>
      </c>
      <c r="X62" s="179" t="str">
        <f t="shared" ca="1" si="3"/>
        <v/>
      </c>
      <c r="Y62" s="175" t="str">
        <f t="shared" ca="1" si="4"/>
        <v/>
      </c>
      <c r="Z62" s="175" t="str">
        <f t="shared" ca="1" si="5"/>
        <v/>
      </c>
      <c r="AA62" s="180" t="str">
        <f t="shared" ca="1" si="0"/>
        <v/>
      </c>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5" t="b">
        <f t="shared" ca="1" si="6"/>
        <v>0</v>
      </c>
      <c r="AY62" s="181"/>
      <c r="AZ62" s="182">
        <f t="shared" si="1"/>
        <v>15000000</v>
      </c>
    </row>
    <row r="63" spans="2:52" hidden="1" x14ac:dyDescent="0.25">
      <c r="B63" s="340" t="str">
        <f ca="1">'סיכום לועדה- הזנת נתונים'!B63</f>
        <v/>
      </c>
      <c r="C63" s="340" t="str">
        <f ca="1">'סיכום לועדה- הזנת נתונים'!C63</f>
        <v/>
      </c>
      <c r="D63" s="340">
        <f>'סיכום לועדה- הזנת נתונים'!D63</f>
        <v>0</v>
      </c>
      <c r="E63" s="340">
        <f>'סיכום לועדה- הזנת נתונים'!E63</f>
        <v>0</v>
      </c>
      <c r="F63" s="340">
        <f>'סיכום לועדה- הזנת נתונים'!F63</f>
        <v>0</v>
      </c>
      <c r="G63" s="340" t="str">
        <f ca="1">'סיכום לועדה- הזנת נתונים'!G63</f>
        <v/>
      </c>
      <c r="H63" s="340" t="str">
        <f>'סיכום לועדה- הזנת נתונים'!H63</f>
        <v/>
      </c>
      <c r="I63" s="340" t="str">
        <f>'סיכום לועדה- הזנת נתונים'!I63</f>
        <v/>
      </c>
      <c r="J63" s="340" t="str">
        <f>'סיכום לועדה- הזנת נתונים'!J63</f>
        <v/>
      </c>
      <c r="K63" s="340" t="str">
        <f>'סיכום לועדה- הזנת נתונים'!K63</f>
        <v/>
      </c>
      <c r="L63" s="340" t="str">
        <f>'סיכום לועדה- הזנת נתונים'!L63</f>
        <v/>
      </c>
      <c r="M63" s="340" t="str">
        <f>'סיכום לועדה- הזנת נתונים'!M63</f>
        <v/>
      </c>
      <c r="N63" s="341">
        <f>'סיכום לועדה- הזנת נתונים'!N63</f>
        <v>0</v>
      </c>
      <c r="O63" s="341" t="str">
        <f>'סיכום לועדה- הזנת נתונים'!O63</f>
        <v/>
      </c>
      <c r="P63" s="445" t="str">
        <f ca="1">'סיכום לועדה- הזנת נתונים'!P63</f>
        <v/>
      </c>
      <c r="Q63" s="341" t="str">
        <f ca="1">'סיכום לועדה- הזנת נתונים'!Q63</f>
        <v/>
      </c>
      <c r="R63" s="341" t="str">
        <f ca="1">'סיכום לועדה- הזנת נתונים'!R63</f>
        <v/>
      </c>
      <c r="S63" s="341" t="str">
        <f ca="1">'סיכום לועדה- הזנת נתונים'!S63</f>
        <v/>
      </c>
      <c r="T63" s="341" t="str">
        <f ca="1">'סיכום לועדה- הזנת נתונים'!T63</f>
        <v/>
      </c>
      <c r="U63" s="447">
        <f>'סיכום לועדה- הזנת נתונים'!U63</f>
        <v>0</v>
      </c>
      <c r="V63" s="447">
        <f>'סיכום לועדה- הזנת נתונים'!V63</f>
        <v>0</v>
      </c>
      <c r="W63" s="178" t="str">
        <f t="shared" ca="1" si="2"/>
        <v/>
      </c>
      <c r="X63" s="179" t="str">
        <f t="shared" ca="1" si="3"/>
        <v/>
      </c>
      <c r="Y63" s="175" t="str">
        <f t="shared" ca="1" si="4"/>
        <v/>
      </c>
      <c r="Z63" s="175" t="str">
        <f t="shared" ca="1" si="5"/>
        <v/>
      </c>
      <c r="AA63" s="180" t="str">
        <f t="shared" ca="1" si="0"/>
        <v/>
      </c>
      <c r="AB63" s="174"/>
      <c r="AC63" s="174"/>
      <c r="AD63" s="174"/>
      <c r="AE63" s="174"/>
      <c r="AF63" s="174"/>
      <c r="AG63" s="174"/>
      <c r="AH63" s="174"/>
      <c r="AI63" s="174"/>
      <c r="AJ63" s="174"/>
      <c r="AK63" s="174"/>
      <c r="AL63" s="174"/>
      <c r="AM63" s="174"/>
      <c r="AN63" s="174"/>
      <c r="AO63" s="174"/>
      <c r="AP63" s="174"/>
      <c r="AQ63" s="174"/>
      <c r="AR63" s="174"/>
      <c r="AS63" s="174"/>
      <c r="AT63" s="174"/>
      <c r="AU63" s="174"/>
      <c r="AV63" s="174"/>
      <c r="AW63" s="174"/>
      <c r="AX63" s="175" t="b">
        <f t="shared" ca="1" si="6"/>
        <v>0</v>
      </c>
      <c r="AY63" s="181"/>
      <c r="AZ63" s="182">
        <f t="shared" si="1"/>
        <v>15000000</v>
      </c>
    </row>
    <row r="64" spans="2:52" hidden="1" x14ac:dyDescent="0.25">
      <c r="B64" s="340" t="str">
        <f ca="1">'סיכום לועדה- הזנת נתונים'!B64</f>
        <v/>
      </c>
      <c r="C64" s="340" t="str">
        <f ca="1">'סיכום לועדה- הזנת נתונים'!C64</f>
        <v/>
      </c>
      <c r="D64" s="340">
        <f>'סיכום לועדה- הזנת נתונים'!D64</f>
        <v>0</v>
      </c>
      <c r="E64" s="340">
        <f>'סיכום לועדה- הזנת נתונים'!E64</f>
        <v>0</v>
      </c>
      <c r="F64" s="340">
        <f>'סיכום לועדה- הזנת נתונים'!F64</f>
        <v>0</v>
      </c>
      <c r="G64" s="340" t="str">
        <f ca="1">'סיכום לועדה- הזנת נתונים'!G64</f>
        <v/>
      </c>
      <c r="H64" s="340" t="str">
        <f>'סיכום לועדה- הזנת נתונים'!H64</f>
        <v/>
      </c>
      <c r="I64" s="340" t="str">
        <f>'סיכום לועדה- הזנת נתונים'!I64</f>
        <v/>
      </c>
      <c r="J64" s="340" t="str">
        <f>'סיכום לועדה- הזנת נתונים'!J64</f>
        <v/>
      </c>
      <c r="K64" s="340" t="str">
        <f>'סיכום לועדה- הזנת נתונים'!K64</f>
        <v/>
      </c>
      <c r="L64" s="340" t="str">
        <f>'סיכום לועדה- הזנת נתונים'!L64</f>
        <v/>
      </c>
      <c r="M64" s="340" t="str">
        <f>'סיכום לועדה- הזנת נתונים'!M64</f>
        <v/>
      </c>
      <c r="N64" s="341">
        <f>'סיכום לועדה- הזנת נתונים'!N64</f>
        <v>0</v>
      </c>
      <c r="O64" s="341" t="str">
        <f>'סיכום לועדה- הזנת נתונים'!O64</f>
        <v/>
      </c>
      <c r="P64" s="445" t="str">
        <f ca="1">'סיכום לועדה- הזנת נתונים'!P64</f>
        <v/>
      </c>
      <c r="Q64" s="341" t="str">
        <f ca="1">'סיכום לועדה- הזנת נתונים'!Q64</f>
        <v/>
      </c>
      <c r="R64" s="341" t="str">
        <f ca="1">'סיכום לועדה- הזנת נתונים'!R64</f>
        <v/>
      </c>
      <c r="S64" s="341" t="str">
        <f ca="1">'סיכום לועדה- הזנת נתונים'!S64</f>
        <v/>
      </c>
      <c r="T64" s="341" t="str">
        <f ca="1">'סיכום לועדה- הזנת נתונים'!T64</f>
        <v/>
      </c>
      <c r="U64" s="447">
        <f>'סיכום לועדה- הזנת נתונים'!U64</f>
        <v>0</v>
      </c>
      <c r="V64" s="447">
        <f>'סיכום לועדה- הזנת נתונים'!V64</f>
        <v>0</v>
      </c>
      <c r="W64" s="178" t="str">
        <f t="shared" ca="1" si="2"/>
        <v/>
      </c>
      <c r="X64" s="179" t="str">
        <f t="shared" ca="1" si="3"/>
        <v/>
      </c>
      <c r="Y64" s="175" t="str">
        <f t="shared" ca="1" si="4"/>
        <v/>
      </c>
      <c r="Z64" s="175" t="str">
        <f t="shared" ca="1" si="5"/>
        <v/>
      </c>
      <c r="AA64" s="180" t="str">
        <f t="shared" ca="1" si="0"/>
        <v/>
      </c>
      <c r="AB64" s="174"/>
      <c r="AC64" s="174"/>
      <c r="AD64" s="174"/>
      <c r="AE64" s="174"/>
      <c r="AF64" s="174"/>
      <c r="AG64" s="174"/>
      <c r="AH64" s="174"/>
      <c r="AI64" s="174"/>
      <c r="AJ64" s="174"/>
      <c r="AK64" s="174"/>
      <c r="AL64" s="174"/>
      <c r="AM64" s="174"/>
      <c r="AN64" s="174"/>
      <c r="AO64" s="174"/>
      <c r="AP64" s="174"/>
      <c r="AQ64" s="174"/>
      <c r="AR64" s="174"/>
      <c r="AS64" s="174"/>
      <c r="AT64" s="174"/>
      <c r="AU64" s="174"/>
      <c r="AV64" s="174"/>
      <c r="AW64" s="174"/>
      <c r="AX64" s="175" t="b">
        <f t="shared" ca="1" si="6"/>
        <v>0</v>
      </c>
      <c r="AY64" s="181"/>
      <c r="AZ64" s="182">
        <f t="shared" si="1"/>
        <v>15000000</v>
      </c>
    </row>
    <row r="65" spans="2:52" hidden="1" x14ac:dyDescent="0.25">
      <c r="B65" s="340" t="str">
        <f ca="1">'סיכום לועדה- הזנת נתונים'!B65</f>
        <v/>
      </c>
      <c r="C65" s="340" t="str">
        <f ca="1">'סיכום לועדה- הזנת נתונים'!C65</f>
        <v/>
      </c>
      <c r="D65" s="340">
        <f>'סיכום לועדה- הזנת נתונים'!D65</f>
        <v>0</v>
      </c>
      <c r="E65" s="340">
        <f>'סיכום לועדה- הזנת נתונים'!E65</f>
        <v>0</v>
      </c>
      <c r="F65" s="340">
        <f>'סיכום לועדה- הזנת נתונים'!F65</f>
        <v>0</v>
      </c>
      <c r="G65" s="340" t="str">
        <f ca="1">'סיכום לועדה- הזנת נתונים'!G65</f>
        <v/>
      </c>
      <c r="H65" s="340" t="str">
        <f>'סיכום לועדה- הזנת נתונים'!H65</f>
        <v/>
      </c>
      <c r="I65" s="340" t="str">
        <f>'סיכום לועדה- הזנת נתונים'!I65</f>
        <v/>
      </c>
      <c r="J65" s="340" t="str">
        <f>'סיכום לועדה- הזנת נתונים'!J65</f>
        <v/>
      </c>
      <c r="K65" s="340" t="str">
        <f>'סיכום לועדה- הזנת נתונים'!K65</f>
        <v/>
      </c>
      <c r="L65" s="340" t="str">
        <f>'סיכום לועדה- הזנת נתונים'!L65</f>
        <v/>
      </c>
      <c r="M65" s="340" t="str">
        <f>'סיכום לועדה- הזנת נתונים'!M65</f>
        <v/>
      </c>
      <c r="N65" s="341">
        <f>'סיכום לועדה- הזנת נתונים'!N65</f>
        <v>0</v>
      </c>
      <c r="O65" s="341" t="str">
        <f>'סיכום לועדה- הזנת נתונים'!O65</f>
        <v/>
      </c>
      <c r="P65" s="445" t="str">
        <f ca="1">'סיכום לועדה- הזנת נתונים'!P65</f>
        <v/>
      </c>
      <c r="Q65" s="341" t="str">
        <f ca="1">'סיכום לועדה- הזנת נתונים'!Q65</f>
        <v/>
      </c>
      <c r="R65" s="341" t="str">
        <f ca="1">'סיכום לועדה- הזנת נתונים'!R65</f>
        <v/>
      </c>
      <c r="S65" s="341" t="str">
        <f ca="1">'סיכום לועדה- הזנת נתונים'!S65</f>
        <v/>
      </c>
      <c r="T65" s="341" t="str">
        <f ca="1">'סיכום לועדה- הזנת נתונים'!T65</f>
        <v/>
      </c>
      <c r="U65" s="447">
        <f>'סיכום לועדה- הזנת נתונים'!U65</f>
        <v>0</v>
      </c>
      <c r="V65" s="447">
        <f>'סיכום לועדה- הזנת נתונים'!V65</f>
        <v>0</v>
      </c>
      <c r="W65" s="178" t="str">
        <f t="shared" ca="1" si="2"/>
        <v/>
      </c>
      <c r="X65" s="179" t="str">
        <f t="shared" ca="1" si="3"/>
        <v/>
      </c>
      <c r="Y65" s="175" t="str">
        <f t="shared" ca="1" si="4"/>
        <v/>
      </c>
      <c r="Z65" s="175" t="str">
        <f t="shared" ca="1" si="5"/>
        <v/>
      </c>
      <c r="AA65" s="180" t="str">
        <f t="shared" ca="1" si="0"/>
        <v/>
      </c>
      <c r="AB65" s="174"/>
      <c r="AC65" s="174"/>
      <c r="AD65" s="174"/>
      <c r="AE65" s="174"/>
      <c r="AF65" s="174"/>
      <c r="AG65" s="174"/>
      <c r="AH65" s="174"/>
      <c r="AI65" s="174"/>
      <c r="AJ65" s="174"/>
      <c r="AK65" s="174"/>
      <c r="AL65" s="174"/>
      <c r="AM65" s="174"/>
      <c r="AN65" s="174"/>
      <c r="AO65" s="174"/>
      <c r="AP65" s="174"/>
      <c r="AQ65" s="174"/>
      <c r="AR65" s="174"/>
      <c r="AS65" s="174"/>
      <c r="AT65" s="174"/>
      <c r="AU65" s="174"/>
      <c r="AV65" s="174"/>
      <c r="AW65" s="174"/>
      <c r="AX65" s="175" t="b">
        <f t="shared" ca="1" si="6"/>
        <v>0</v>
      </c>
      <c r="AY65" s="181"/>
      <c r="AZ65" s="182">
        <f t="shared" si="1"/>
        <v>15000000</v>
      </c>
    </row>
    <row r="66" spans="2:52" hidden="1" x14ac:dyDescent="0.25">
      <c r="B66" s="340" t="str">
        <f ca="1">'סיכום לועדה- הזנת נתונים'!B66</f>
        <v/>
      </c>
      <c r="C66" s="340" t="str">
        <f ca="1">'סיכום לועדה- הזנת נתונים'!C66</f>
        <v/>
      </c>
      <c r="D66" s="340">
        <f>'סיכום לועדה- הזנת נתונים'!D66</f>
        <v>0</v>
      </c>
      <c r="E66" s="340">
        <f>'סיכום לועדה- הזנת נתונים'!E66</f>
        <v>0</v>
      </c>
      <c r="F66" s="340">
        <f>'סיכום לועדה- הזנת נתונים'!F66</f>
        <v>0</v>
      </c>
      <c r="G66" s="340" t="str">
        <f ca="1">'סיכום לועדה- הזנת נתונים'!G66</f>
        <v/>
      </c>
      <c r="H66" s="340" t="str">
        <f>'סיכום לועדה- הזנת נתונים'!H66</f>
        <v/>
      </c>
      <c r="I66" s="340" t="str">
        <f>'סיכום לועדה- הזנת נתונים'!I66</f>
        <v/>
      </c>
      <c r="J66" s="340" t="str">
        <f>'סיכום לועדה- הזנת נתונים'!J66</f>
        <v/>
      </c>
      <c r="K66" s="340" t="str">
        <f>'סיכום לועדה- הזנת נתונים'!K66</f>
        <v/>
      </c>
      <c r="L66" s="340" t="str">
        <f>'סיכום לועדה- הזנת נתונים'!L66</f>
        <v/>
      </c>
      <c r="M66" s="340" t="str">
        <f>'סיכום לועדה- הזנת נתונים'!M66</f>
        <v/>
      </c>
      <c r="N66" s="341">
        <f>'סיכום לועדה- הזנת נתונים'!N66</f>
        <v>0</v>
      </c>
      <c r="O66" s="341" t="str">
        <f>'סיכום לועדה- הזנת נתונים'!O66</f>
        <v/>
      </c>
      <c r="P66" s="445" t="str">
        <f ca="1">'סיכום לועדה- הזנת נתונים'!P66</f>
        <v/>
      </c>
      <c r="Q66" s="341" t="str">
        <f ca="1">'סיכום לועדה- הזנת נתונים'!Q66</f>
        <v/>
      </c>
      <c r="R66" s="341" t="str">
        <f ca="1">'סיכום לועדה- הזנת נתונים'!R66</f>
        <v/>
      </c>
      <c r="S66" s="341" t="str">
        <f ca="1">'סיכום לועדה- הזנת נתונים'!S66</f>
        <v/>
      </c>
      <c r="T66" s="341" t="str">
        <f ca="1">'סיכום לועדה- הזנת נתונים'!T66</f>
        <v/>
      </c>
      <c r="U66" s="447">
        <f>'סיכום לועדה- הזנת נתונים'!U66</f>
        <v>0</v>
      </c>
      <c r="V66" s="447">
        <f>'סיכום לועדה- הזנת נתונים'!V66</f>
        <v>0</v>
      </c>
      <c r="W66" s="178" t="str">
        <f t="shared" ca="1" si="2"/>
        <v/>
      </c>
      <c r="X66" s="179" t="str">
        <f t="shared" ca="1" si="3"/>
        <v/>
      </c>
      <c r="Y66" s="175" t="str">
        <f t="shared" ca="1" si="4"/>
        <v/>
      </c>
      <c r="Z66" s="175" t="str">
        <f t="shared" ca="1" si="5"/>
        <v/>
      </c>
      <c r="AA66" s="180" t="str">
        <f t="shared" ca="1" si="0"/>
        <v/>
      </c>
      <c r="AB66" s="174"/>
      <c r="AC66" s="174"/>
      <c r="AD66" s="174"/>
      <c r="AE66" s="174"/>
      <c r="AF66" s="174"/>
      <c r="AG66" s="174"/>
      <c r="AH66" s="174"/>
      <c r="AI66" s="174"/>
      <c r="AJ66" s="174"/>
      <c r="AK66" s="174"/>
      <c r="AL66" s="174"/>
      <c r="AM66" s="174"/>
      <c r="AN66" s="174"/>
      <c r="AO66" s="174"/>
      <c r="AP66" s="174"/>
      <c r="AQ66" s="174"/>
      <c r="AR66" s="174"/>
      <c r="AS66" s="174"/>
      <c r="AT66" s="174"/>
      <c r="AU66" s="174"/>
      <c r="AV66" s="174"/>
      <c r="AW66" s="174"/>
      <c r="AX66" s="175" t="b">
        <f t="shared" ca="1" si="6"/>
        <v>0</v>
      </c>
      <c r="AY66" s="181"/>
      <c r="AZ66" s="182">
        <f t="shared" si="1"/>
        <v>15000000</v>
      </c>
    </row>
    <row r="67" spans="2:52" ht="18" hidden="1" customHeight="1" x14ac:dyDescent="0.25">
      <c r="B67" s="340" t="str">
        <f ca="1">'סיכום לועדה- הזנת נתונים'!B67</f>
        <v/>
      </c>
      <c r="C67" s="340" t="str">
        <f ca="1">'סיכום לועדה- הזנת נתונים'!C67</f>
        <v/>
      </c>
      <c r="D67" s="340">
        <f>'סיכום לועדה- הזנת נתונים'!D67</f>
        <v>0</v>
      </c>
      <c r="E67" s="340">
        <f>'סיכום לועדה- הזנת נתונים'!E67</f>
        <v>0</v>
      </c>
      <c r="F67" s="340">
        <f>'סיכום לועדה- הזנת נתונים'!F67</f>
        <v>0</v>
      </c>
      <c r="G67" s="340" t="str">
        <f ca="1">'סיכום לועדה- הזנת נתונים'!G67</f>
        <v/>
      </c>
      <c r="H67" s="340" t="str">
        <f>'סיכום לועדה- הזנת נתונים'!H67</f>
        <v/>
      </c>
      <c r="I67" s="340" t="str">
        <f>'סיכום לועדה- הזנת נתונים'!I67</f>
        <v/>
      </c>
      <c r="J67" s="340" t="str">
        <f>'סיכום לועדה- הזנת נתונים'!J67</f>
        <v/>
      </c>
      <c r="K67" s="340" t="str">
        <f>'סיכום לועדה- הזנת נתונים'!K67</f>
        <v/>
      </c>
      <c r="L67" s="340" t="str">
        <f>'סיכום לועדה- הזנת נתונים'!L67</f>
        <v/>
      </c>
      <c r="M67" s="340" t="str">
        <f>'סיכום לועדה- הזנת נתונים'!M67</f>
        <v/>
      </c>
      <c r="N67" s="341">
        <f>'סיכום לועדה- הזנת נתונים'!N67</f>
        <v>0</v>
      </c>
      <c r="O67" s="341" t="str">
        <f>'סיכום לועדה- הזנת נתונים'!O67</f>
        <v/>
      </c>
      <c r="P67" s="445" t="str">
        <f ca="1">'סיכום לועדה- הזנת נתונים'!P67</f>
        <v/>
      </c>
      <c r="Q67" s="341" t="str">
        <f ca="1">'סיכום לועדה- הזנת נתונים'!Q67</f>
        <v/>
      </c>
      <c r="R67" s="341" t="str">
        <f ca="1">'סיכום לועדה- הזנת נתונים'!R67</f>
        <v/>
      </c>
      <c r="S67" s="341" t="str">
        <f ca="1">'סיכום לועדה- הזנת נתונים'!S67</f>
        <v/>
      </c>
      <c r="T67" s="341" t="str">
        <f ca="1">'סיכום לועדה- הזנת נתונים'!T67</f>
        <v/>
      </c>
      <c r="U67" s="447">
        <f>'סיכום לועדה- הזנת נתונים'!U67</f>
        <v>0</v>
      </c>
      <c r="V67" s="447">
        <f>'סיכום לועדה- הזנת נתונים'!V67</f>
        <v>0</v>
      </c>
      <c r="W67" s="178" t="str">
        <f t="shared" ca="1" si="2"/>
        <v/>
      </c>
      <c r="X67" s="179" t="str">
        <f t="shared" ca="1" si="3"/>
        <v/>
      </c>
      <c r="Y67" s="175" t="str">
        <f t="shared" ca="1" si="4"/>
        <v/>
      </c>
      <c r="Z67" s="175" t="str">
        <f t="shared" ca="1" si="5"/>
        <v/>
      </c>
      <c r="AA67" s="180" t="str">
        <f t="shared" ca="1" si="0"/>
        <v/>
      </c>
      <c r="AB67" s="174"/>
      <c r="AC67" s="174"/>
      <c r="AD67" s="174"/>
      <c r="AE67" s="174"/>
      <c r="AF67" s="174"/>
      <c r="AG67" s="174"/>
      <c r="AH67" s="174"/>
      <c r="AI67" s="174"/>
      <c r="AJ67" s="174"/>
      <c r="AK67" s="174"/>
      <c r="AL67" s="174"/>
      <c r="AM67" s="174"/>
      <c r="AN67" s="174"/>
      <c r="AO67" s="174"/>
      <c r="AP67" s="174"/>
      <c r="AQ67" s="174"/>
      <c r="AR67" s="174"/>
      <c r="AS67" s="174"/>
      <c r="AT67" s="174"/>
      <c r="AU67" s="174"/>
      <c r="AV67" s="174"/>
      <c r="AW67" s="174"/>
      <c r="AX67" s="175" t="b">
        <f t="shared" ca="1" si="6"/>
        <v>0</v>
      </c>
      <c r="AY67" s="181"/>
      <c r="AZ67" s="182">
        <f t="shared" si="1"/>
        <v>15000000</v>
      </c>
    </row>
    <row r="68" spans="2:52" hidden="1" x14ac:dyDescent="0.25">
      <c r="B68" s="340" t="str">
        <f ca="1">'סיכום לועדה- הזנת נתונים'!B68</f>
        <v/>
      </c>
      <c r="C68" s="340" t="str">
        <f ca="1">'סיכום לועדה- הזנת נתונים'!C68</f>
        <v/>
      </c>
      <c r="D68" s="340">
        <f>'סיכום לועדה- הזנת נתונים'!D68</f>
        <v>0</v>
      </c>
      <c r="E68" s="340">
        <f>'סיכום לועדה- הזנת נתונים'!E68</f>
        <v>0</v>
      </c>
      <c r="F68" s="340">
        <f>'סיכום לועדה- הזנת נתונים'!F68</f>
        <v>0</v>
      </c>
      <c r="G68" s="340" t="str">
        <f ca="1">'סיכום לועדה- הזנת נתונים'!G68</f>
        <v/>
      </c>
      <c r="H68" s="340" t="str">
        <f>'סיכום לועדה- הזנת נתונים'!H68</f>
        <v/>
      </c>
      <c r="I68" s="340" t="str">
        <f>'סיכום לועדה- הזנת נתונים'!I68</f>
        <v/>
      </c>
      <c r="J68" s="340" t="str">
        <f>'סיכום לועדה- הזנת נתונים'!J68</f>
        <v/>
      </c>
      <c r="K68" s="340" t="str">
        <f>'סיכום לועדה- הזנת נתונים'!K68</f>
        <v/>
      </c>
      <c r="L68" s="340" t="str">
        <f>'סיכום לועדה- הזנת נתונים'!L68</f>
        <v/>
      </c>
      <c r="M68" s="340" t="str">
        <f>'סיכום לועדה- הזנת נתונים'!M68</f>
        <v/>
      </c>
      <c r="N68" s="341">
        <f>'סיכום לועדה- הזנת נתונים'!N68</f>
        <v>0</v>
      </c>
      <c r="O68" s="341" t="str">
        <f>'סיכום לועדה- הזנת נתונים'!O68</f>
        <v/>
      </c>
      <c r="P68" s="445" t="str">
        <f ca="1">'סיכום לועדה- הזנת נתונים'!P68</f>
        <v/>
      </c>
      <c r="Q68" s="341" t="str">
        <f ca="1">'סיכום לועדה- הזנת נתונים'!Q68</f>
        <v/>
      </c>
      <c r="R68" s="341" t="str">
        <f ca="1">'סיכום לועדה- הזנת נתונים'!R68</f>
        <v/>
      </c>
      <c r="S68" s="341" t="str">
        <f ca="1">'סיכום לועדה- הזנת נתונים'!S68</f>
        <v/>
      </c>
      <c r="T68" s="341" t="str">
        <f ca="1">'סיכום לועדה- הזנת נתונים'!T68</f>
        <v/>
      </c>
      <c r="U68" s="447">
        <f>'סיכום לועדה- הזנת נתונים'!U68</f>
        <v>0</v>
      </c>
      <c r="V68" s="447">
        <f>'סיכום לועדה- הזנת נתונים'!V68</f>
        <v>0</v>
      </c>
      <c r="W68" s="178" t="str">
        <f t="shared" ca="1" si="2"/>
        <v/>
      </c>
      <c r="X68" s="179" t="str">
        <f t="shared" ca="1" si="3"/>
        <v/>
      </c>
      <c r="Y68" s="175" t="str">
        <f t="shared" ca="1" si="4"/>
        <v/>
      </c>
      <c r="Z68" s="175" t="str">
        <f t="shared" ca="1" si="5"/>
        <v/>
      </c>
      <c r="AA68" s="180" t="str">
        <f t="shared" ca="1" si="0"/>
        <v/>
      </c>
      <c r="AB68" s="174"/>
      <c r="AC68" s="174"/>
      <c r="AD68" s="174"/>
      <c r="AE68" s="174"/>
      <c r="AF68" s="174"/>
      <c r="AG68" s="174"/>
      <c r="AH68" s="174"/>
      <c r="AI68" s="174"/>
      <c r="AJ68" s="174"/>
      <c r="AK68" s="174"/>
      <c r="AL68" s="174"/>
      <c r="AM68" s="174"/>
      <c r="AN68" s="174"/>
      <c r="AO68" s="174"/>
      <c r="AP68" s="174"/>
      <c r="AQ68" s="174"/>
      <c r="AR68" s="174"/>
      <c r="AS68" s="174"/>
      <c r="AT68" s="174"/>
      <c r="AU68" s="174"/>
      <c r="AV68" s="174"/>
      <c r="AW68" s="174"/>
      <c r="AX68" s="175" t="b">
        <f t="shared" ca="1" si="6"/>
        <v>0</v>
      </c>
      <c r="AY68" s="181"/>
      <c r="AZ68" s="182">
        <f t="shared" si="1"/>
        <v>15000000</v>
      </c>
    </row>
    <row r="69" spans="2:52" hidden="1" x14ac:dyDescent="0.25">
      <c r="B69" s="340" t="str">
        <f ca="1">'סיכום לועדה- הזנת נתונים'!B69</f>
        <v/>
      </c>
      <c r="C69" s="340" t="str">
        <f ca="1">'סיכום לועדה- הזנת נתונים'!C69</f>
        <v/>
      </c>
      <c r="D69" s="340">
        <f>'סיכום לועדה- הזנת נתונים'!D69</f>
        <v>0</v>
      </c>
      <c r="E69" s="340">
        <f>'סיכום לועדה- הזנת נתונים'!E69</f>
        <v>0</v>
      </c>
      <c r="F69" s="340">
        <f>'סיכום לועדה- הזנת נתונים'!F69</f>
        <v>0</v>
      </c>
      <c r="G69" s="340" t="str">
        <f ca="1">'סיכום לועדה- הזנת נתונים'!G69</f>
        <v/>
      </c>
      <c r="H69" s="340" t="str">
        <f>'סיכום לועדה- הזנת נתונים'!H69</f>
        <v/>
      </c>
      <c r="I69" s="340" t="str">
        <f>'סיכום לועדה- הזנת נתונים'!I69</f>
        <v/>
      </c>
      <c r="J69" s="340" t="str">
        <f>'סיכום לועדה- הזנת נתונים'!J69</f>
        <v/>
      </c>
      <c r="K69" s="340" t="str">
        <f>'סיכום לועדה- הזנת נתונים'!K69</f>
        <v/>
      </c>
      <c r="L69" s="340" t="str">
        <f>'סיכום לועדה- הזנת נתונים'!L69</f>
        <v/>
      </c>
      <c r="M69" s="340" t="str">
        <f>'סיכום לועדה- הזנת נתונים'!M69</f>
        <v/>
      </c>
      <c r="N69" s="341">
        <f>'סיכום לועדה- הזנת נתונים'!N69</f>
        <v>0</v>
      </c>
      <c r="O69" s="341" t="str">
        <f>'סיכום לועדה- הזנת נתונים'!O69</f>
        <v/>
      </c>
      <c r="P69" s="445" t="str">
        <f ca="1">'סיכום לועדה- הזנת נתונים'!P69</f>
        <v/>
      </c>
      <c r="Q69" s="341" t="str">
        <f ca="1">'סיכום לועדה- הזנת נתונים'!Q69</f>
        <v/>
      </c>
      <c r="R69" s="341" t="str">
        <f ca="1">'סיכום לועדה- הזנת נתונים'!R69</f>
        <v/>
      </c>
      <c r="S69" s="341" t="str">
        <f ca="1">'סיכום לועדה- הזנת נתונים'!S69</f>
        <v/>
      </c>
      <c r="T69" s="341" t="str">
        <f ca="1">'סיכום לועדה- הזנת נתונים'!T69</f>
        <v/>
      </c>
      <c r="U69" s="447">
        <f>'סיכום לועדה- הזנת נתונים'!U69</f>
        <v>0</v>
      </c>
      <c r="V69" s="447">
        <f>'סיכום לועדה- הזנת נתונים'!V69</f>
        <v>0</v>
      </c>
      <c r="W69" s="178" t="str">
        <f t="shared" ca="1" si="2"/>
        <v/>
      </c>
      <c r="X69" s="179" t="str">
        <f t="shared" ca="1" si="3"/>
        <v/>
      </c>
      <c r="Y69" s="175" t="str">
        <f t="shared" ca="1" si="4"/>
        <v/>
      </c>
      <c r="Z69" s="175" t="str">
        <f t="shared" ca="1" si="5"/>
        <v/>
      </c>
      <c r="AA69" s="180" t="str">
        <f t="shared" ca="1" si="0"/>
        <v/>
      </c>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5" t="b">
        <f t="shared" ca="1" si="6"/>
        <v>0</v>
      </c>
      <c r="AY69" s="181"/>
      <c r="AZ69" s="182">
        <f t="shared" si="1"/>
        <v>15000000</v>
      </c>
    </row>
    <row r="70" spans="2:52" hidden="1" x14ac:dyDescent="0.25">
      <c r="B70" s="340" t="str">
        <f ca="1">'סיכום לועדה- הזנת נתונים'!B70</f>
        <v/>
      </c>
      <c r="C70" s="340" t="str">
        <f ca="1">'סיכום לועדה- הזנת נתונים'!C70</f>
        <v/>
      </c>
      <c r="D70" s="340">
        <f>'סיכום לועדה- הזנת נתונים'!D70</f>
        <v>0</v>
      </c>
      <c r="E70" s="340">
        <f>'סיכום לועדה- הזנת נתונים'!E70</f>
        <v>0</v>
      </c>
      <c r="F70" s="340">
        <f>'סיכום לועדה- הזנת נתונים'!F70</f>
        <v>0</v>
      </c>
      <c r="G70" s="340" t="str">
        <f ca="1">'סיכום לועדה- הזנת נתונים'!G70</f>
        <v/>
      </c>
      <c r="H70" s="340" t="str">
        <f>'סיכום לועדה- הזנת נתונים'!H70</f>
        <v/>
      </c>
      <c r="I70" s="340" t="str">
        <f>'סיכום לועדה- הזנת נתונים'!I70</f>
        <v/>
      </c>
      <c r="J70" s="340" t="str">
        <f>'סיכום לועדה- הזנת נתונים'!J70</f>
        <v/>
      </c>
      <c r="K70" s="340" t="str">
        <f>'סיכום לועדה- הזנת נתונים'!K70</f>
        <v/>
      </c>
      <c r="L70" s="340" t="str">
        <f>'סיכום לועדה- הזנת נתונים'!L70</f>
        <v/>
      </c>
      <c r="M70" s="340" t="str">
        <f>'סיכום לועדה- הזנת נתונים'!M70</f>
        <v/>
      </c>
      <c r="N70" s="341">
        <f>'סיכום לועדה- הזנת נתונים'!N70</f>
        <v>0</v>
      </c>
      <c r="O70" s="341" t="str">
        <f>'סיכום לועדה- הזנת נתונים'!O70</f>
        <v/>
      </c>
      <c r="P70" s="445" t="str">
        <f ca="1">'סיכום לועדה- הזנת נתונים'!P70</f>
        <v/>
      </c>
      <c r="Q70" s="341" t="str">
        <f ca="1">'סיכום לועדה- הזנת נתונים'!Q70</f>
        <v/>
      </c>
      <c r="R70" s="341" t="str">
        <f ca="1">'סיכום לועדה- הזנת נתונים'!R70</f>
        <v/>
      </c>
      <c r="S70" s="341" t="str">
        <f ca="1">'סיכום לועדה- הזנת נתונים'!S70</f>
        <v/>
      </c>
      <c r="T70" s="341" t="str">
        <f ca="1">'סיכום לועדה- הזנת נתונים'!T70</f>
        <v/>
      </c>
      <c r="U70" s="447">
        <f>'סיכום לועדה- הזנת נתונים'!U70</f>
        <v>0</v>
      </c>
      <c r="V70" s="447">
        <f>'סיכום לועדה- הזנת נתונים'!V70</f>
        <v>0</v>
      </c>
      <c r="W70" s="178" t="str">
        <f t="shared" ca="1" si="2"/>
        <v/>
      </c>
      <c r="X70" s="179" t="str">
        <f t="shared" ca="1" si="3"/>
        <v/>
      </c>
      <c r="Y70" s="175" t="str">
        <f t="shared" ca="1" si="4"/>
        <v/>
      </c>
      <c r="Z70" s="175" t="str">
        <f t="shared" ca="1" si="5"/>
        <v/>
      </c>
      <c r="AA70" s="180" t="str">
        <f t="shared" ca="1" si="0"/>
        <v/>
      </c>
      <c r="AB70" s="174"/>
      <c r="AC70" s="174"/>
      <c r="AD70" s="174"/>
      <c r="AE70" s="174"/>
      <c r="AF70" s="174"/>
      <c r="AG70" s="174"/>
      <c r="AH70" s="174"/>
      <c r="AI70" s="174"/>
      <c r="AJ70" s="174"/>
      <c r="AK70" s="174"/>
      <c r="AL70" s="174"/>
      <c r="AM70" s="174"/>
      <c r="AN70" s="174"/>
      <c r="AO70" s="174"/>
      <c r="AP70" s="174"/>
      <c r="AQ70" s="174"/>
      <c r="AR70" s="174"/>
      <c r="AS70" s="174"/>
      <c r="AT70" s="174"/>
      <c r="AU70" s="174"/>
      <c r="AV70" s="174"/>
      <c r="AW70" s="174"/>
      <c r="AX70" s="175" t="b">
        <f t="shared" ca="1" si="6"/>
        <v>0</v>
      </c>
      <c r="AY70" s="181"/>
      <c r="AZ70" s="182">
        <f t="shared" si="1"/>
        <v>15000000</v>
      </c>
    </row>
    <row r="71" spans="2:52" hidden="1" x14ac:dyDescent="0.25">
      <c r="B71" s="340" t="str">
        <f ca="1">'סיכום לועדה- הזנת נתונים'!B71</f>
        <v/>
      </c>
      <c r="C71" s="340" t="str">
        <f ca="1">'סיכום לועדה- הזנת נתונים'!C71</f>
        <v/>
      </c>
      <c r="D71" s="340">
        <f>'סיכום לועדה- הזנת נתונים'!D71</f>
        <v>0</v>
      </c>
      <c r="E71" s="340">
        <f>'סיכום לועדה- הזנת נתונים'!E71</f>
        <v>0</v>
      </c>
      <c r="F71" s="340">
        <f>'סיכום לועדה- הזנת נתונים'!F71</f>
        <v>0</v>
      </c>
      <c r="G71" s="340" t="str">
        <f ca="1">'סיכום לועדה- הזנת נתונים'!G71</f>
        <v/>
      </c>
      <c r="H71" s="340" t="str">
        <f>'סיכום לועדה- הזנת נתונים'!H71</f>
        <v/>
      </c>
      <c r="I71" s="340" t="str">
        <f>'סיכום לועדה- הזנת נתונים'!I71</f>
        <v/>
      </c>
      <c r="J71" s="340" t="str">
        <f>'סיכום לועדה- הזנת נתונים'!J71</f>
        <v/>
      </c>
      <c r="K71" s="340" t="str">
        <f>'סיכום לועדה- הזנת נתונים'!K71</f>
        <v/>
      </c>
      <c r="L71" s="340" t="str">
        <f>'סיכום לועדה- הזנת נתונים'!L71</f>
        <v/>
      </c>
      <c r="M71" s="340" t="str">
        <f>'סיכום לועדה- הזנת נתונים'!M71</f>
        <v/>
      </c>
      <c r="N71" s="341">
        <f>'סיכום לועדה- הזנת נתונים'!N71</f>
        <v>0</v>
      </c>
      <c r="O71" s="341" t="str">
        <f>'סיכום לועדה- הזנת נתונים'!O71</f>
        <v/>
      </c>
      <c r="P71" s="445" t="str">
        <f ca="1">'סיכום לועדה- הזנת נתונים'!P71</f>
        <v/>
      </c>
      <c r="Q71" s="341" t="str">
        <f ca="1">'סיכום לועדה- הזנת נתונים'!Q71</f>
        <v/>
      </c>
      <c r="R71" s="341" t="str">
        <f ca="1">'סיכום לועדה- הזנת נתונים'!R71</f>
        <v/>
      </c>
      <c r="S71" s="341" t="str">
        <f ca="1">'סיכום לועדה- הזנת נתונים'!S71</f>
        <v/>
      </c>
      <c r="T71" s="341" t="str">
        <f ca="1">'סיכום לועדה- הזנת נתונים'!T71</f>
        <v/>
      </c>
      <c r="U71" s="447">
        <f>'סיכום לועדה- הזנת נתונים'!U71</f>
        <v>0</v>
      </c>
      <c r="V71" s="447">
        <f>'סיכום לועדה- הזנת נתונים'!V71</f>
        <v>0</v>
      </c>
      <c r="W71" s="178" t="str">
        <f t="shared" ca="1" si="2"/>
        <v/>
      </c>
      <c r="X71" s="179" t="str">
        <f t="shared" ca="1" si="3"/>
        <v/>
      </c>
      <c r="Y71" s="175" t="str">
        <f t="shared" ca="1" si="4"/>
        <v/>
      </c>
      <c r="Z71" s="175" t="str">
        <f t="shared" ca="1" si="5"/>
        <v/>
      </c>
      <c r="AA71" s="180" t="str">
        <f t="shared" ca="1" si="0"/>
        <v/>
      </c>
      <c r="AB71" s="174"/>
      <c r="AC71" s="174"/>
      <c r="AD71" s="174"/>
      <c r="AE71" s="174"/>
      <c r="AF71" s="174"/>
      <c r="AG71" s="174"/>
      <c r="AH71" s="174"/>
      <c r="AI71" s="174"/>
      <c r="AJ71" s="174"/>
      <c r="AK71" s="174"/>
      <c r="AL71" s="174"/>
      <c r="AM71" s="174"/>
      <c r="AN71" s="174"/>
      <c r="AO71" s="174"/>
      <c r="AP71" s="174"/>
      <c r="AQ71" s="174"/>
      <c r="AR71" s="174"/>
      <c r="AS71" s="174"/>
      <c r="AT71" s="174"/>
      <c r="AU71" s="174"/>
      <c r="AV71" s="174"/>
      <c r="AW71" s="174"/>
      <c r="AX71" s="175" t="b">
        <f t="shared" ca="1" si="6"/>
        <v>0</v>
      </c>
      <c r="AY71" s="181"/>
      <c r="AZ71" s="182">
        <f t="shared" si="1"/>
        <v>15000000</v>
      </c>
    </row>
    <row r="72" spans="2:52" hidden="1" x14ac:dyDescent="0.25">
      <c r="B72" s="340" t="str">
        <f ca="1">'סיכום לועדה- הזנת נתונים'!B72</f>
        <v/>
      </c>
      <c r="C72" s="340" t="str">
        <f ca="1">'סיכום לועדה- הזנת נתונים'!C72</f>
        <v/>
      </c>
      <c r="D72" s="340">
        <f>'סיכום לועדה- הזנת נתונים'!D72</f>
        <v>0</v>
      </c>
      <c r="E72" s="340">
        <f>'סיכום לועדה- הזנת נתונים'!E72</f>
        <v>0</v>
      </c>
      <c r="F72" s="340">
        <f>'סיכום לועדה- הזנת נתונים'!F72</f>
        <v>0</v>
      </c>
      <c r="G72" s="340" t="str">
        <f ca="1">'סיכום לועדה- הזנת נתונים'!G72</f>
        <v/>
      </c>
      <c r="H72" s="340" t="str">
        <f>'סיכום לועדה- הזנת נתונים'!H72</f>
        <v/>
      </c>
      <c r="I72" s="340" t="str">
        <f>'סיכום לועדה- הזנת נתונים'!I72</f>
        <v/>
      </c>
      <c r="J72" s="340" t="str">
        <f>'סיכום לועדה- הזנת נתונים'!J72</f>
        <v/>
      </c>
      <c r="K72" s="340" t="str">
        <f>'סיכום לועדה- הזנת נתונים'!K72</f>
        <v/>
      </c>
      <c r="L72" s="340" t="str">
        <f>'סיכום לועדה- הזנת נתונים'!L72</f>
        <v/>
      </c>
      <c r="M72" s="340" t="str">
        <f>'סיכום לועדה- הזנת נתונים'!M72</f>
        <v/>
      </c>
      <c r="N72" s="341">
        <f>'סיכום לועדה- הזנת נתונים'!N72</f>
        <v>0</v>
      </c>
      <c r="O72" s="341" t="str">
        <f>'סיכום לועדה- הזנת נתונים'!O72</f>
        <v/>
      </c>
      <c r="P72" s="445" t="str">
        <f ca="1">'סיכום לועדה- הזנת נתונים'!P72</f>
        <v/>
      </c>
      <c r="Q72" s="341" t="str">
        <f ca="1">'סיכום לועדה- הזנת נתונים'!Q72</f>
        <v/>
      </c>
      <c r="R72" s="341" t="str">
        <f ca="1">'סיכום לועדה- הזנת נתונים'!R72</f>
        <v/>
      </c>
      <c r="S72" s="341" t="str">
        <f ca="1">'סיכום לועדה- הזנת נתונים'!S72</f>
        <v/>
      </c>
      <c r="T72" s="341" t="str">
        <f ca="1">'סיכום לועדה- הזנת נתונים'!T72</f>
        <v/>
      </c>
      <c r="U72" s="447">
        <f>'סיכום לועדה- הזנת נתונים'!U72</f>
        <v>0</v>
      </c>
      <c r="V72" s="447">
        <f>'סיכום לועדה- הזנת נתונים'!V72</f>
        <v>0</v>
      </c>
      <c r="W72" s="178" t="str">
        <f t="shared" ca="1" si="2"/>
        <v/>
      </c>
      <c r="X72" s="179" t="str">
        <f t="shared" ca="1" si="3"/>
        <v/>
      </c>
      <c r="Y72" s="175" t="str">
        <f t="shared" ca="1" si="4"/>
        <v/>
      </c>
      <c r="Z72" s="175" t="str">
        <f t="shared" ca="1" si="5"/>
        <v/>
      </c>
      <c r="AA72" s="180" t="str">
        <f t="shared" ca="1" si="0"/>
        <v/>
      </c>
      <c r="AB72" s="174"/>
      <c r="AC72" s="174"/>
      <c r="AD72" s="174"/>
      <c r="AE72" s="174"/>
      <c r="AF72" s="174"/>
      <c r="AG72" s="174"/>
      <c r="AH72" s="174"/>
      <c r="AI72" s="174"/>
      <c r="AJ72" s="174"/>
      <c r="AK72" s="174"/>
      <c r="AL72" s="174"/>
      <c r="AM72" s="174"/>
      <c r="AN72" s="174"/>
      <c r="AO72" s="174"/>
      <c r="AP72" s="174"/>
      <c r="AQ72" s="174"/>
      <c r="AR72" s="174"/>
      <c r="AS72" s="174"/>
      <c r="AT72" s="174"/>
      <c r="AU72" s="174"/>
      <c r="AV72" s="174"/>
      <c r="AW72" s="174"/>
      <c r="AX72" s="175" t="b">
        <f t="shared" ca="1" si="6"/>
        <v>0</v>
      </c>
      <c r="AY72" s="181"/>
      <c r="AZ72" s="182">
        <f t="shared" si="1"/>
        <v>15000000</v>
      </c>
    </row>
    <row r="73" spans="2:52" hidden="1" x14ac:dyDescent="0.25">
      <c r="B73" s="340" t="str">
        <f ca="1">'סיכום לועדה- הזנת נתונים'!B73</f>
        <v/>
      </c>
      <c r="C73" s="340" t="str">
        <f ca="1">'סיכום לועדה- הזנת נתונים'!C73</f>
        <v/>
      </c>
      <c r="D73" s="340">
        <f>'סיכום לועדה- הזנת נתונים'!D73</f>
        <v>0</v>
      </c>
      <c r="E73" s="340">
        <f>'סיכום לועדה- הזנת נתונים'!E73</f>
        <v>0</v>
      </c>
      <c r="F73" s="340">
        <f>'סיכום לועדה- הזנת נתונים'!F73</f>
        <v>0</v>
      </c>
      <c r="G73" s="340" t="str">
        <f ca="1">'סיכום לועדה- הזנת נתונים'!G73</f>
        <v/>
      </c>
      <c r="H73" s="340" t="str">
        <f>'סיכום לועדה- הזנת נתונים'!H73</f>
        <v/>
      </c>
      <c r="I73" s="340" t="str">
        <f>'סיכום לועדה- הזנת נתונים'!I73</f>
        <v/>
      </c>
      <c r="J73" s="340" t="str">
        <f>'סיכום לועדה- הזנת נתונים'!J73</f>
        <v/>
      </c>
      <c r="K73" s="340" t="str">
        <f>'סיכום לועדה- הזנת נתונים'!K73</f>
        <v/>
      </c>
      <c r="L73" s="340" t="str">
        <f>'סיכום לועדה- הזנת נתונים'!L73</f>
        <v/>
      </c>
      <c r="M73" s="340" t="str">
        <f>'סיכום לועדה- הזנת נתונים'!M73</f>
        <v/>
      </c>
      <c r="N73" s="341">
        <f>'סיכום לועדה- הזנת נתונים'!N73</f>
        <v>0</v>
      </c>
      <c r="O73" s="341" t="str">
        <f>'סיכום לועדה- הזנת נתונים'!O73</f>
        <v/>
      </c>
      <c r="P73" s="445" t="str">
        <f ca="1">'סיכום לועדה- הזנת נתונים'!P73</f>
        <v/>
      </c>
      <c r="Q73" s="341" t="str">
        <f ca="1">'סיכום לועדה- הזנת נתונים'!Q73</f>
        <v/>
      </c>
      <c r="R73" s="341" t="str">
        <f ca="1">'סיכום לועדה- הזנת נתונים'!R73</f>
        <v/>
      </c>
      <c r="S73" s="341" t="str">
        <f ca="1">'סיכום לועדה- הזנת נתונים'!S73</f>
        <v/>
      </c>
      <c r="T73" s="341" t="str">
        <f ca="1">'סיכום לועדה- הזנת נתונים'!T73</f>
        <v/>
      </c>
      <c r="U73" s="447">
        <f>'סיכום לועדה- הזנת נתונים'!U73</f>
        <v>0</v>
      </c>
      <c r="V73" s="447">
        <f>'סיכום לועדה- הזנת נתונים'!V73</f>
        <v>0</v>
      </c>
      <c r="W73" s="178" t="str">
        <f t="shared" ca="1" si="2"/>
        <v/>
      </c>
      <c r="X73" s="179" t="str">
        <f t="shared" ca="1" si="3"/>
        <v/>
      </c>
      <c r="Y73" s="175" t="str">
        <f t="shared" ca="1" si="4"/>
        <v/>
      </c>
      <c r="Z73" s="175" t="str">
        <f t="shared" ca="1" si="5"/>
        <v/>
      </c>
      <c r="AA73" s="180" t="str">
        <f t="shared" ca="1" si="0"/>
        <v/>
      </c>
      <c r="AB73" s="174"/>
      <c r="AC73" s="174"/>
      <c r="AD73" s="174"/>
      <c r="AE73" s="174"/>
      <c r="AF73" s="174"/>
      <c r="AG73" s="174"/>
      <c r="AH73" s="174"/>
      <c r="AI73" s="174"/>
      <c r="AJ73" s="174"/>
      <c r="AK73" s="174"/>
      <c r="AL73" s="174"/>
      <c r="AM73" s="174"/>
      <c r="AN73" s="174"/>
      <c r="AO73" s="174"/>
      <c r="AP73" s="174"/>
      <c r="AQ73" s="174"/>
      <c r="AR73" s="174"/>
      <c r="AS73" s="174"/>
      <c r="AT73" s="174"/>
      <c r="AU73" s="174"/>
      <c r="AV73" s="174"/>
      <c r="AW73" s="174"/>
      <c r="AX73" s="175" t="b">
        <f t="shared" ca="1" si="6"/>
        <v>0</v>
      </c>
      <c r="AY73" s="181"/>
      <c r="AZ73" s="182">
        <f t="shared" si="1"/>
        <v>15000000</v>
      </c>
    </row>
    <row r="74" spans="2:52" hidden="1" x14ac:dyDescent="0.25">
      <c r="B74" s="340" t="str">
        <f ca="1">'סיכום לועדה- הזנת נתונים'!B74</f>
        <v/>
      </c>
      <c r="C74" s="340" t="str">
        <f ca="1">'סיכום לועדה- הזנת נתונים'!C74</f>
        <v/>
      </c>
      <c r="D74" s="340">
        <f>'סיכום לועדה- הזנת נתונים'!D74</f>
        <v>0</v>
      </c>
      <c r="E74" s="340">
        <f>'סיכום לועדה- הזנת נתונים'!E74</f>
        <v>0</v>
      </c>
      <c r="F74" s="340">
        <f>'סיכום לועדה- הזנת נתונים'!F74</f>
        <v>0</v>
      </c>
      <c r="G74" s="340" t="str">
        <f ca="1">'סיכום לועדה- הזנת נתונים'!G74</f>
        <v/>
      </c>
      <c r="H74" s="340" t="str">
        <f>'סיכום לועדה- הזנת נתונים'!H74</f>
        <v/>
      </c>
      <c r="I74" s="340" t="str">
        <f>'סיכום לועדה- הזנת נתונים'!I74</f>
        <v/>
      </c>
      <c r="J74" s="340" t="str">
        <f>'סיכום לועדה- הזנת נתונים'!J74</f>
        <v/>
      </c>
      <c r="K74" s="340" t="str">
        <f>'סיכום לועדה- הזנת נתונים'!K74</f>
        <v/>
      </c>
      <c r="L74" s="340" t="str">
        <f>'סיכום לועדה- הזנת נתונים'!L74</f>
        <v/>
      </c>
      <c r="M74" s="340" t="str">
        <f>'סיכום לועדה- הזנת נתונים'!M74</f>
        <v/>
      </c>
      <c r="N74" s="341">
        <f>'סיכום לועדה- הזנת נתונים'!N74</f>
        <v>0</v>
      </c>
      <c r="O74" s="341" t="str">
        <f>'סיכום לועדה- הזנת נתונים'!O74</f>
        <v/>
      </c>
      <c r="P74" s="445" t="str">
        <f ca="1">'סיכום לועדה- הזנת נתונים'!P74</f>
        <v/>
      </c>
      <c r="Q74" s="341" t="str">
        <f ca="1">'סיכום לועדה- הזנת נתונים'!Q74</f>
        <v/>
      </c>
      <c r="R74" s="341" t="str">
        <f ca="1">'סיכום לועדה- הזנת נתונים'!R74</f>
        <v/>
      </c>
      <c r="S74" s="341" t="str">
        <f ca="1">'סיכום לועדה- הזנת נתונים'!S74</f>
        <v/>
      </c>
      <c r="T74" s="341" t="str">
        <f ca="1">'סיכום לועדה- הזנת נתונים'!T74</f>
        <v/>
      </c>
      <c r="U74" s="447">
        <f>'סיכום לועדה- הזנת נתונים'!U74</f>
        <v>0</v>
      </c>
      <c r="V74" s="447">
        <f>'סיכום לועדה- הזנת נתונים'!V74</f>
        <v>0</v>
      </c>
      <c r="W74" s="178" t="str">
        <f t="shared" ca="1" si="2"/>
        <v/>
      </c>
      <c r="X74" s="179" t="str">
        <f t="shared" ca="1" si="3"/>
        <v/>
      </c>
      <c r="Y74" s="175" t="str">
        <f t="shared" ca="1" si="4"/>
        <v/>
      </c>
      <c r="Z74" s="175" t="str">
        <f t="shared" ca="1" si="5"/>
        <v/>
      </c>
      <c r="AA74" s="180" t="str">
        <f t="shared" ca="1" si="0"/>
        <v/>
      </c>
      <c r="AB74" s="174"/>
      <c r="AC74" s="174"/>
      <c r="AD74" s="174"/>
      <c r="AE74" s="174"/>
      <c r="AF74" s="174"/>
      <c r="AG74" s="174"/>
      <c r="AH74" s="174"/>
      <c r="AI74" s="174"/>
      <c r="AJ74" s="174"/>
      <c r="AK74" s="174"/>
      <c r="AL74" s="174"/>
      <c r="AM74" s="174"/>
      <c r="AN74" s="174"/>
      <c r="AO74" s="174"/>
      <c r="AP74" s="174"/>
      <c r="AQ74" s="174"/>
      <c r="AR74" s="174"/>
      <c r="AS74" s="174"/>
      <c r="AT74" s="174"/>
      <c r="AU74" s="174"/>
      <c r="AV74" s="174"/>
      <c r="AW74" s="174"/>
      <c r="AX74" s="175" t="b">
        <f t="shared" ca="1" si="6"/>
        <v>0</v>
      </c>
      <c r="AY74" s="181"/>
      <c r="AZ74" s="182">
        <f t="shared" si="1"/>
        <v>15000000</v>
      </c>
    </row>
    <row r="75" spans="2:52" hidden="1" x14ac:dyDescent="0.25">
      <c r="B75" s="340" t="str">
        <f ca="1">'סיכום לועדה- הזנת נתונים'!B75</f>
        <v/>
      </c>
      <c r="C75" s="340" t="str">
        <f ca="1">'סיכום לועדה- הזנת נתונים'!C75</f>
        <v/>
      </c>
      <c r="D75" s="340">
        <f>'סיכום לועדה- הזנת נתונים'!D75</f>
        <v>0</v>
      </c>
      <c r="E75" s="340">
        <f>'סיכום לועדה- הזנת נתונים'!E75</f>
        <v>0</v>
      </c>
      <c r="F75" s="340">
        <f>'סיכום לועדה- הזנת נתונים'!F75</f>
        <v>0</v>
      </c>
      <c r="G75" s="340" t="str">
        <f ca="1">'סיכום לועדה- הזנת נתונים'!G75</f>
        <v/>
      </c>
      <c r="H75" s="340" t="str">
        <f>'סיכום לועדה- הזנת נתונים'!H75</f>
        <v/>
      </c>
      <c r="I75" s="340" t="str">
        <f>'סיכום לועדה- הזנת נתונים'!I75</f>
        <v/>
      </c>
      <c r="J75" s="340" t="str">
        <f>'סיכום לועדה- הזנת נתונים'!J75</f>
        <v/>
      </c>
      <c r="K75" s="340" t="str">
        <f>'סיכום לועדה- הזנת נתונים'!K75</f>
        <v/>
      </c>
      <c r="L75" s="340" t="str">
        <f>'סיכום לועדה- הזנת נתונים'!L75</f>
        <v/>
      </c>
      <c r="M75" s="340" t="str">
        <f>'סיכום לועדה- הזנת נתונים'!M75</f>
        <v/>
      </c>
      <c r="N75" s="341">
        <f>'סיכום לועדה- הזנת נתונים'!N75</f>
        <v>0</v>
      </c>
      <c r="O75" s="341" t="str">
        <f>'סיכום לועדה- הזנת נתונים'!O75</f>
        <v/>
      </c>
      <c r="P75" s="445" t="str">
        <f ca="1">'סיכום לועדה- הזנת נתונים'!P75</f>
        <v/>
      </c>
      <c r="Q75" s="341" t="str">
        <f ca="1">'סיכום לועדה- הזנת נתונים'!Q75</f>
        <v/>
      </c>
      <c r="R75" s="341" t="str">
        <f ca="1">'סיכום לועדה- הזנת נתונים'!R75</f>
        <v/>
      </c>
      <c r="S75" s="341" t="str">
        <f ca="1">'סיכום לועדה- הזנת נתונים'!S75</f>
        <v/>
      </c>
      <c r="T75" s="341" t="str">
        <f ca="1">'סיכום לועדה- הזנת נתונים'!T75</f>
        <v/>
      </c>
      <c r="U75" s="447">
        <f>'סיכום לועדה- הזנת נתונים'!U75</f>
        <v>0</v>
      </c>
      <c r="V75" s="447">
        <f>'סיכום לועדה- הזנת נתונים'!V75</f>
        <v>0</v>
      </c>
      <c r="W75" s="178" t="str">
        <f t="shared" ca="1" si="2"/>
        <v/>
      </c>
      <c r="X75" s="179" t="str">
        <f t="shared" ca="1" si="3"/>
        <v/>
      </c>
      <c r="Y75" s="175" t="str">
        <f t="shared" ca="1" si="4"/>
        <v/>
      </c>
      <c r="Z75" s="175" t="str">
        <f t="shared" ca="1" si="5"/>
        <v/>
      </c>
      <c r="AA75" s="180" t="str">
        <f t="shared" ca="1" si="0"/>
        <v/>
      </c>
      <c r="AB75" s="174"/>
      <c r="AC75" s="174"/>
      <c r="AD75" s="174"/>
      <c r="AE75" s="174"/>
      <c r="AF75" s="174"/>
      <c r="AG75" s="174"/>
      <c r="AH75" s="174"/>
      <c r="AI75" s="174"/>
      <c r="AJ75" s="174"/>
      <c r="AK75" s="174"/>
      <c r="AL75" s="174"/>
      <c r="AM75" s="174"/>
      <c r="AN75" s="174"/>
      <c r="AO75" s="174"/>
      <c r="AP75" s="174"/>
      <c r="AQ75" s="174"/>
      <c r="AR75" s="174"/>
      <c r="AS75" s="174"/>
      <c r="AT75" s="174"/>
      <c r="AU75" s="174"/>
      <c r="AV75" s="174"/>
      <c r="AW75" s="174"/>
      <c r="AX75" s="175" t="b">
        <f t="shared" ca="1" si="6"/>
        <v>0</v>
      </c>
      <c r="AY75" s="181"/>
      <c r="AZ75" s="182">
        <f t="shared" si="1"/>
        <v>15000000</v>
      </c>
    </row>
    <row r="76" spans="2:52" ht="78.75" x14ac:dyDescent="0.25">
      <c r="B76" s="340">
        <f ca="1">'סיכום לועדה- הזנת נתונים'!B76</f>
        <v>46</v>
      </c>
      <c r="C76" s="340" t="str">
        <f ca="1">'סיכום לועדה- הזנת נתונים'!C76</f>
        <v>ענבל מרכז אתני</v>
      </c>
      <c r="D76" s="340">
        <f>'סיכום לועדה- הזנת נתונים'!D76</f>
        <v>1001907656</v>
      </c>
      <c r="E76" s="340">
        <f>'סיכום לועדה- הזנת נתונים'!E76</f>
        <v>1001747586</v>
      </c>
      <c r="F76" s="340">
        <f>'סיכום לועדה- הזנת נתונים'!F76</f>
        <v>2020</v>
      </c>
      <c r="G76" s="340">
        <f ca="1">'סיכום לועדה- הזנת נתונים'!G76</f>
        <v>1</v>
      </c>
      <c r="H76" s="340" t="str">
        <f>'סיכום לועדה- הזנת נתונים'!H76</f>
        <v/>
      </c>
      <c r="I76" s="340">
        <f>'סיכום לועדה- הזנת נתונים'!I76</f>
        <v>2025</v>
      </c>
      <c r="J76" s="340">
        <f>'סיכום לועדה- הזנת נתונים'!J76</f>
        <v>40000458</v>
      </c>
      <c r="K76" s="340">
        <f>'סיכום לועדה- הזנת נתונים'!K76</f>
        <v>580094977</v>
      </c>
      <c r="L76" s="340" t="str">
        <f>'סיכום לועדה- הזנת נתונים'!L76</f>
        <v>תאטרון מחול ענבל - מרכז אתני רב תחו</v>
      </c>
      <c r="M76" s="340" t="str">
        <f>'סיכום לועדה- הזנת נתונים'!M76</f>
        <v>תמיכה שוטפת במרכז האתני הרב תחומי</v>
      </c>
      <c r="N76" s="341">
        <f>'סיכום לועדה- הזנת נתונים'!N76</f>
        <v>828405.49</v>
      </c>
      <c r="O76" s="341">
        <f>'סיכום לועדה- הזנת נתונים'!O76</f>
        <v>1500000</v>
      </c>
      <c r="P76" s="445">
        <f ca="1">'סיכום לועדה- הזנת נתונים'!P76</f>
        <v>0.87987511566893628</v>
      </c>
      <c r="Q76" s="341">
        <f ca="1">'סיכום לועדה- הזנת נתונים'!Q76</f>
        <v>0</v>
      </c>
      <c r="R76" s="341">
        <f ca="1">'סיכום לועדה- הזנת נתונים'!R76</f>
        <v>0</v>
      </c>
      <c r="S76" s="341">
        <f ca="1">'סיכום לועדה- הזנת נתונים'!S76</f>
        <v>728893.37633453181</v>
      </c>
      <c r="T76" s="341">
        <f ca="1">'סיכום לועדה- הזנת נתונים'!T76</f>
        <v>728893.37633453181</v>
      </c>
      <c r="U76" s="447">
        <f>'סיכום לועדה- הזנת נתונים'!U76</f>
        <v>0</v>
      </c>
      <c r="V76" s="447" t="str">
        <f>'סיכום לועדה- הזנת נתונים'!V76</f>
        <v>מאושר בהתאם למבחן התמיכה. שינוי בתחשיב הבסיס מושפע מירידה בשנת ההערכה בתחום קיום ארועי תרבות בתחום מורשת עדות ישראל, לצד דירוג העלונים שהוציא המוסד כפרסומים שעיקר עיסוקם אינו מורשת עדות ישראל.</v>
      </c>
      <c r="W76" s="178" t="e">
        <f t="shared" ca="1" si="2"/>
        <v>#VALUE!</v>
      </c>
      <c r="X76" s="179">
        <f t="shared" ca="1" si="3"/>
        <v>-1</v>
      </c>
      <c r="Y76" s="175" t="e">
        <f t="shared" ca="1" si="4"/>
        <v>#VALUE!</v>
      </c>
      <c r="Z76" s="175" t="str">
        <f t="shared" ca="1" si="5"/>
        <v>הצג חריגים</v>
      </c>
      <c r="AA76" s="180">
        <f t="shared" ca="1" si="0"/>
        <v>0</v>
      </c>
      <c r="AB76" s="174"/>
      <c r="AC76" s="174"/>
      <c r="AD76" s="174"/>
      <c r="AE76" s="174"/>
      <c r="AF76" s="174"/>
      <c r="AG76" s="174"/>
      <c r="AH76" s="174"/>
      <c r="AI76" s="174"/>
      <c r="AJ76" s="174"/>
      <c r="AK76" s="174"/>
      <c r="AL76" s="174"/>
      <c r="AM76" s="174"/>
      <c r="AN76" s="174"/>
      <c r="AO76" s="174"/>
      <c r="AP76" s="174"/>
      <c r="AQ76" s="174"/>
      <c r="AR76" s="174"/>
      <c r="AS76" s="174"/>
      <c r="AT76" s="174"/>
      <c r="AU76" s="174"/>
      <c r="AV76" s="174"/>
      <c r="AW76" s="174"/>
      <c r="AX76" s="175" t="b">
        <f t="shared" ca="1" si="6"/>
        <v>1</v>
      </c>
      <c r="AY76" s="181"/>
      <c r="AZ76" s="182">
        <f t="shared" si="1"/>
        <v>15000000</v>
      </c>
    </row>
    <row r="77" spans="2:52" ht="63" x14ac:dyDescent="0.25">
      <c r="B77" s="340">
        <f ca="1">'סיכום לועדה- הזנת נתונים'!B77</f>
        <v>47</v>
      </c>
      <c r="C77" s="340" t="str">
        <f ca="1">'סיכום לועדה- הזנת נתונים'!C77</f>
        <v>א.ב. חדשות השומרונים</v>
      </c>
      <c r="D77" s="340">
        <f>'סיכום לועדה- הזנת נתונים'!D77</f>
        <v>1001911485</v>
      </c>
      <c r="E77" s="340">
        <f>'סיכום לועדה- הזנת נתונים'!E77</f>
        <v>1001774198</v>
      </c>
      <c r="F77" s="340">
        <f>'סיכום לועדה- הזנת נתונים'!F77</f>
        <v>2020</v>
      </c>
      <c r="G77" s="340">
        <f ca="1">'סיכום לועדה- הזנת נתונים'!G77</f>
        <v>1</v>
      </c>
      <c r="H77" s="340" t="str">
        <f>'סיכום לועדה- הזנת נתונים'!H77</f>
        <v/>
      </c>
      <c r="I77" s="340">
        <f>'סיכום לועדה- הזנת נתונים'!I77</f>
        <v>2025</v>
      </c>
      <c r="J77" s="340">
        <f>'סיכום לועדה- הזנת נתונים'!J77</f>
        <v>40000056</v>
      </c>
      <c r="K77" s="340">
        <f>'סיכום לועדה- הזנת נתונים'!K77</f>
        <v>580008027</v>
      </c>
      <c r="L77" s="340" t="str">
        <f>'סיכום לועדה- הזנת נתונים'!L77</f>
        <v>"א.ב.- חדשות השומרונים" -דו שבועון,</v>
      </c>
      <c r="M77" s="340" t="str">
        <f>'סיכום לועדה- הזנת נתונים'!M77</f>
        <v>תמיכה בהוצאת עיתון א.ב חדשות השומרונים</v>
      </c>
      <c r="N77" s="341">
        <f>'סיכום לועדה- הזנת נתונים'!N77</f>
        <v>162810.15</v>
      </c>
      <c r="O77" s="341">
        <f>'סיכום לועדה- הזנת נתונים'!O77</f>
        <v>187500</v>
      </c>
      <c r="P77" s="445">
        <f ca="1">'סיכום לועדה- הזנת נתונים'!P77</f>
        <v>1.1516481005637549</v>
      </c>
      <c r="Q77" s="341">
        <f ca="1">'סיכום לועדה- הזנת נתונים'!Q77</f>
        <v>0</v>
      </c>
      <c r="R77" s="341">
        <f ca="1">'סיכום לועדה- הזנת נתונים'!R77</f>
        <v>0</v>
      </c>
      <c r="S77" s="341">
        <f ca="1">'סיכום לועדה- הזנת נתונים'!S77</f>
        <v>187500</v>
      </c>
      <c r="T77" s="341">
        <f ca="1">'סיכום לועדה- הזנת נתונים'!T77</f>
        <v>187500</v>
      </c>
      <c r="U77" s="447">
        <f>'סיכום לועדה- הזנת נתונים'!U77</f>
        <v>0</v>
      </c>
      <c r="V77" s="447" t="str">
        <f>'סיכום לועדה- הזנת נתונים'!V77</f>
        <v>מאושר בהתאם למבחן התמיכה. שינוי בתחשיב הבסיס מושפע מעלייה בשנת ההערכה במשתנה הוצאת ספרי עיון ומשתנה תיעוד ושימור חומר ארכיוני, לצד ירידה בתחום הוצאת עלונים.</v>
      </c>
      <c r="W77" s="178" t="e">
        <f t="shared" ca="1" si="2"/>
        <v>#VALUE!</v>
      </c>
      <c r="X77" s="179">
        <f t="shared" ca="1" si="3"/>
        <v>-1</v>
      </c>
      <c r="Y77" s="175" t="e">
        <f t="shared" ca="1" si="4"/>
        <v>#VALUE!</v>
      </c>
      <c r="Z77" s="175" t="str">
        <f t="shared" ca="1" si="5"/>
        <v>הצג חריגים</v>
      </c>
      <c r="AA77" s="180">
        <f t="shared" ca="1" si="0"/>
        <v>0</v>
      </c>
      <c r="AB77" s="174"/>
      <c r="AC77" s="174"/>
      <c r="AD77" s="174"/>
      <c r="AE77" s="174"/>
      <c r="AF77" s="174"/>
      <c r="AG77" s="174"/>
      <c r="AH77" s="174"/>
      <c r="AI77" s="174"/>
      <c r="AJ77" s="174"/>
      <c r="AK77" s="174"/>
      <c r="AL77" s="174"/>
      <c r="AM77" s="174"/>
      <c r="AN77" s="174"/>
      <c r="AO77" s="174"/>
      <c r="AP77" s="174"/>
      <c r="AQ77" s="174"/>
      <c r="AR77" s="174"/>
      <c r="AS77" s="174"/>
      <c r="AT77" s="174"/>
      <c r="AU77" s="174"/>
      <c r="AV77" s="174"/>
      <c r="AW77" s="174"/>
      <c r="AX77" s="175" t="b">
        <f t="shared" ca="1" si="6"/>
        <v>1</v>
      </c>
      <c r="AY77" s="181"/>
      <c r="AZ77" s="182">
        <f t="shared" si="1"/>
        <v>15000000</v>
      </c>
    </row>
    <row r="78" spans="2:52" hidden="1" x14ac:dyDescent="0.25">
      <c r="B78" s="340" t="str">
        <f ca="1">'סיכום לועדה- הזנת נתונים'!B78</f>
        <v/>
      </c>
      <c r="C78" s="340" t="str">
        <f ca="1">'סיכום לועדה- הזנת נתונים'!C78</f>
        <v/>
      </c>
      <c r="D78" s="340">
        <f>'סיכום לועדה- הזנת נתונים'!D78</f>
        <v>0</v>
      </c>
      <c r="E78" s="340">
        <f>'סיכום לועדה- הזנת נתונים'!E78</f>
        <v>0</v>
      </c>
      <c r="F78" s="340">
        <f>'סיכום לועדה- הזנת נתונים'!F78</f>
        <v>0</v>
      </c>
      <c r="G78" s="340" t="str">
        <f ca="1">'סיכום לועדה- הזנת נתונים'!G78</f>
        <v/>
      </c>
      <c r="H78" s="340" t="str">
        <f>'סיכום לועדה- הזנת נתונים'!H78</f>
        <v/>
      </c>
      <c r="I78" s="340" t="str">
        <f>'סיכום לועדה- הזנת נתונים'!I78</f>
        <v/>
      </c>
      <c r="J78" s="340" t="str">
        <f>'סיכום לועדה- הזנת נתונים'!J78</f>
        <v/>
      </c>
      <c r="K78" s="340" t="str">
        <f>'סיכום לועדה- הזנת נתונים'!K78</f>
        <v/>
      </c>
      <c r="L78" s="340" t="str">
        <f>'סיכום לועדה- הזנת נתונים'!L78</f>
        <v/>
      </c>
      <c r="M78" s="340" t="str">
        <f>'סיכום לועדה- הזנת נתונים'!M78</f>
        <v/>
      </c>
      <c r="N78" s="341">
        <f>'סיכום לועדה- הזנת נתונים'!N78</f>
        <v>0</v>
      </c>
      <c r="O78" s="341" t="str">
        <f>'סיכום לועדה- הזנת נתונים'!O78</f>
        <v/>
      </c>
      <c r="P78" s="445" t="str">
        <f ca="1">'סיכום לועדה- הזנת נתונים'!P78</f>
        <v/>
      </c>
      <c r="Q78" s="341" t="str">
        <f ca="1">'סיכום לועדה- הזנת נתונים'!Q78</f>
        <v/>
      </c>
      <c r="R78" s="341" t="str">
        <f ca="1">'סיכום לועדה- הזנת נתונים'!R78</f>
        <v/>
      </c>
      <c r="S78" s="341" t="str">
        <f ca="1">'סיכום לועדה- הזנת נתונים'!S78</f>
        <v/>
      </c>
      <c r="T78" s="341" t="str">
        <f ca="1">'סיכום לועדה- הזנת נתונים'!T78</f>
        <v/>
      </c>
      <c r="U78" s="447">
        <f>'סיכום לועדה- הזנת נתונים'!U78</f>
        <v>0</v>
      </c>
      <c r="V78" s="447">
        <f>'סיכום לועדה- הזנת נתונים'!V78</f>
        <v>0</v>
      </c>
      <c r="W78" s="178" t="str">
        <f t="shared" ca="1" si="2"/>
        <v/>
      </c>
      <c r="X78" s="179" t="str">
        <f t="shared" ca="1" si="3"/>
        <v/>
      </c>
      <c r="Y78" s="175" t="str">
        <f t="shared" ca="1" si="4"/>
        <v/>
      </c>
      <c r="Z78" s="175" t="str">
        <f t="shared" ca="1" si="5"/>
        <v/>
      </c>
      <c r="AA78" s="180" t="str">
        <f t="shared" ca="1" si="0"/>
        <v/>
      </c>
      <c r="AB78" s="174"/>
      <c r="AC78" s="174"/>
      <c r="AD78" s="174"/>
      <c r="AE78" s="174"/>
      <c r="AF78" s="174"/>
      <c r="AG78" s="174"/>
      <c r="AH78" s="174"/>
      <c r="AI78" s="174"/>
      <c r="AJ78" s="174"/>
      <c r="AK78" s="174"/>
      <c r="AL78" s="174"/>
      <c r="AM78" s="174"/>
      <c r="AN78" s="174"/>
      <c r="AO78" s="174"/>
      <c r="AP78" s="174"/>
      <c r="AQ78" s="174"/>
      <c r="AR78" s="174"/>
      <c r="AS78" s="174"/>
      <c r="AT78" s="174"/>
      <c r="AU78" s="174"/>
      <c r="AV78" s="174"/>
      <c r="AW78" s="174"/>
      <c r="AX78" s="175" t="b">
        <f t="shared" ca="1" si="6"/>
        <v>0</v>
      </c>
      <c r="AY78" s="181"/>
      <c r="AZ78" s="182">
        <f t="shared" si="1"/>
        <v>15000000</v>
      </c>
    </row>
    <row r="79" spans="2:52" hidden="1" x14ac:dyDescent="0.25">
      <c r="B79" s="340" t="str">
        <f ca="1">'סיכום לועדה- הזנת נתונים'!B79</f>
        <v/>
      </c>
      <c r="C79" s="340" t="str">
        <f ca="1">'סיכום לועדה- הזנת נתונים'!C79</f>
        <v/>
      </c>
      <c r="D79" s="340">
        <f>'סיכום לועדה- הזנת נתונים'!D79</f>
        <v>0</v>
      </c>
      <c r="E79" s="340">
        <f>'סיכום לועדה- הזנת נתונים'!E79</f>
        <v>0</v>
      </c>
      <c r="F79" s="340">
        <f>'סיכום לועדה- הזנת נתונים'!F79</f>
        <v>0</v>
      </c>
      <c r="G79" s="340" t="str">
        <f ca="1">'סיכום לועדה- הזנת נתונים'!G79</f>
        <v/>
      </c>
      <c r="H79" s="340" t="str">
        <f>'סיכום לועדה- הזנת נתונים'!H79</f>
        <v/>
      </c>
      <c r="I79" s="340" t="str">
        <f>'סיכום לועדה- הזנת נתונים'!I79</f>
        <v/>
      </c>
      <c r="J79" s="340" t="str">
        <f>'סיכום לועדה- הזנת נתונים'!J79</f>
        <v/>
      </c>
      <c r="K79" s="340" t="str">
        <f>'סיכום לועדה- הזנת נתונים'!K79</f>
        <v/>
      </c>
      <c r="L79" s="340" t="str">
        <f>'סיכום לועדה- הזנת נתונים'!L79</f>
        <v/>
      </c>
      <c r="M79" s="340" t="str">
        <f>'סיכום לועדה- הזנת נתונים'!M79</f>
        <v/>
      </c>
      <c r="N79" s="341">
        <f>'סיכום לועדה- הזנת נתונים'!N79</f>
        <v>0</v>
      </c>
      <c r="O79" s="341" t="str">
        <f>'סיכום לועדה- הזנת נתונים'!O79</f>
        <v/>
      </c>
      <c r="P79" s="445" t="str">
        <f ca="1">'סיכום לועדה- הזנת נתונים'!P79</f>
        <v/>
      </c>
      <c r="Q79" s="341" t="str">
        <f ca="1">'סיכום לועדה- הזנת נתונים'!Q79</f>
        <v/>
      </c>
      <c r="R79" s="341" t="str">
        <f ca="1">'סיכום לועדה- הזנת נתונים'!R79</f>
        <v/>
      </c>
      <c r="S79" s="341" t="str">
        <f ca="1">'סיכום לועדה- הזנת נתונים'!S79</f>
        <v/>
      </c>
      <c r="T79" s="341" t="str">
        <f ca="1">'סיכום לועדה- הזנת נתונים'!T79</f>
        <v/>
      </c>
      <c r="U79" s="447">
        <f>'סיכום לועדה- הזנת נתונים'!U79</f>
        <v>0</v>
      </c>
      <c r="V79" s="447">
        <f>'סיכום לועדה- הזנת נתונים'!V79</f>
        <v>0</v>
      </c>
      <c r="W79" s="178" t="str">
        <f t="shared" ca="1" si="2"/>
        <v/>
      </c>
      <c r="X79" s="179" t="str">
        <f t="shared" ca="1" si="3"/>
        <v/>
      </c>
      <c r="Y79" s="175" t="str">
        <f t="shared" ca="1" si="4"/>
        <v/>
      </c>
      <c r="Z79" s="175" t="str">
        <f t="shared" ca="1" si="5"/>
        <v/>
      </c>
      <c r="AA79" s="180" t="str">
        <f t="shared" ca="1" si="0"/>
        <v/>
      </c>
      <c r="AB79" s="174"/>
      <c r="AC79" s="174"/>
      <c r="AD79" s="174"/>
      <c r="AE79" s="174"/>
      <c r="AF79" s="174"/>
      <c r="AG79" s="174"/>
      <c r="AH79" s="174"/>
      <c r="AI79" s="174"/>
      <c r="AJ79" s="174"/>
      <c r="AK79" s="174"/>
      <c r="AL79" s="174"/>
      <c r="AM79" s="174"/>
      <c r="AN79" s="174"/>
      <c r="AO79" s="174"/>
      <c r="AP79" s="174"/>
      <c r="AQ79" s="174"/>
      <c r="AR79" s="174"/>
      <c r="AS79" s="174"/>
      <c r="AT79" s="174"/>
      <c r="AU79" s="174"/>
      <c r="AV79" s="174"/>
      <c r="AW79" s="174"/>
      <c r="AX79" s="175" t="b">
        <f t="shared" ca="1" si="6"/>
        <v>0</v>
      </c>
      <c r="AY79" s="181"/>
      <c r="AZ79" s="182">
        <f t="shared" si="1"/>
        <v>15000000</v>
      </c>
    </row>
    <row r="80" spans="2:52" hidden="1" x14ac:dyDescent="0.25">
      <c r="B80" s="340" t="str">
        <f ca="1">'סיכום לועדה- הזנת נתונים'!B80</f>
        <v/>
      </c>
      <c r="C80" s="340" t="str">
        <f ca="1">'סיכום לועדה- הזנת נתונים'!C80</f>
        <v/>
      </c>
      <c r="D80" s="340">
        <f>'סיכום לועדה- הזנת נתונים'!D80</f>
        <v>0</v>
      </c>
      <c r="E80" s="340">
        <f>'סיכום לועדה- הזנת נתונים'!E80</f>
        <v>0</v>
      </c>
      <c r="F80" s="340">
        <f>'סיכום לועדה- הזנת נתונים'!F80</f>
        <v>0</v>
      </c>
      <c r="G80" s="340" t="str">
        <f ca="1">'סיכום לועדה- הזנת נתונים'!G80</f>
        <v/>
      </c>
      <c r="H80" s="340" t="str">
        <f>'סיכום לועדה- הזנת נתונים'!H80</f>
        <v/>
      </c>
      <c r="I80" s="340" t="str">
        <f>'סיכום לועדה- הזנת נתונים'!I80</f>
        <v/>
      </c>
      <c r="J80" s="340" t="str">
        <f>'סיכום לועדה- הזנת נתונים'!J80</f>
        <v/>
      </c>
      <c r="K80" s="340" t="str">
        <f>'סיכום לועדה- הזנת נתונים'!K80</f>
        <v/>
      </c>
      <c r="L80" s="340" t="str">
        <f>'סיכום לועדה- הזנת נתונים'!L80</f>
        <v/>
      </c>
      <c r="M80" s="340" t="str">
        <f>'סיכום לועדה- הזנת נתונים'!M80</f>
        <v/>
      </c>
      <c r="N80" s="341">
        <f>'סיכום לועדה- הזנת נתונים'!N80</f>
        <v>0</v>
      </c>
      <c r="O80" s="341" t="str">
        <f>'סיכום לועדה- הזנת נתונים'!O80</f>
        <v/>
      </c>
      <c r="P80" s="445" t="str">
        <f ca="1">'סיכום לועדה- הזנת נתונים'!P80</f>
        <v/>
      </c>
      <c r="Q80" s="341" t="str">
        <f ca="1">'סיכום לועדה- הזנת נתונים'!Q80</f>
        <v/>
      </c>
      <c r="R80" s="341" t="str">
        <f ca="1">'סיכום לועדה- הזנת נתונים'!R80</f>
        <v/>
      </c>
      <c r="S80" s="341" t="str">
        <f ca="1">'סיכום לועדה- הזנת נתונים'!S80</f>
        <v/>
      </c>
      <c r="T80" s="341" t="str">
        <f ca="1">'סיכום לועדה- הזנת נתונים'!T80</f>
        <v/>
      </c>
      <c r="U80" s="447">
        <f>'סיכום לועדה- הזנת נתונים'!U80</f>
        <v>0</v>
      </c>
      <c r="V80" s="447">
        <f>'סיכום לועדה- הזנת נתונים'!V80</f>
        <v>0</v>
      </c>
      <c r="W80" s="178" t="str">
        <f t="shared" ca="1" si="2"/>
        <v/>
      </c>
      <c r="X80" s="179" t="str">
        <f t="shared" ca="1" si="3"/>
        <v/>
      </c>
      <c r="Y80" s="175" t="str">
        <f t="shared" ca="1" si="4"/>
        <v/>
      </c>
      <c r="Z80" s="175" t="str">
        <f t="shared" ca="1" si="5"/>
        <v/>
      </c>
      <c r="AA80" s="180" t="str">
        <f t="shared" ca="1" si="0"/>
        <v/>
      </c>
      <c r="AB80" s="174"/>
      <c r="AC80" s="174"/>
      <c r="AD80" s="174"/>
      <c r="AE80" s="174"/>
      <c r="AF80" s="174"/>
      <c r="AG80" s="174"/>
      <c r="AH80" s="174"/>
      <c r="AI80" s="174"/>
      <c r="AJ80" s="174"/>
      <c r="AK80" s="174"/>
      <c r="AL80" s="174"/>
      <c r="AM80" s="174"/>
      <c r="AN80" s="174"/>
      <c r="AO80" s="174"/>
      <c r="AP80" s="174"/>
      <c r="AQ80" s="174"/>
      <c r="AR80" s="174"/>
      <c r="AS80" s="174"/>
      <c r="AT80" s="174"/>
      <c r="AU80" s="174"/>
      <c r="AV80" s="174"/>
      <c r="AW80" s="174"/>
      <c r="AX80" s="175" t="b">
        <f t="shared" ca="1" si="6"/>
        <v>0</v>
      </c>
      <c r="AY80" s="181"/>
      <c r="AZ80" s="182">
        <f t="shared" si="1"/>
        <v>15000000</v>
      </c>
    </row>
    <row r="81" spans="2:52" hidden="1" x14ac:dyDescent="0.25">
      <c r="B81" s="340" t="str">
        <f ca="1">'סיכום לועדה- הזנת נתונים'!B81</f>
        <v/>
      </c>
      <c r="C81" s="340" t="str">
        <f ca="1">'סיכום לועדה- הזנת נתונים'!C81</f>
        <v/>
      </c>
      <c r="D81" s="340">
        <f>'סיכום לועדה- הזנת נתונים'!D81</f>
        <v>0</v>
      </c>
      <c r="E81" s="340">
        <f>'סיכום לועדה- הזנת נתונים'!E81</f>
        <v>0</v>
      </c>
      <c r="F81" s="340">
        <f>'סיכום לועדה- הזנת נתונים'!F81</f>
        <v>0</v>
      </c>
      <c r="G81" s="340" t="str">
        <f ca="1">'סיכום לועדה- הזנת נתונים'!G81</f>
        <v/>
      </c>
      <c r="H81" s="340" t="str">
        <f>'סיכום לועדה- הזנת נתונים'!H81</f>
        <v/>
      </c>
      <c r="I81" s="340" t="str">
        <f>'סיכום לועדה- הזנת נתונים'!I81</f>
        <v/>
      </c>
      <c r="J81" s="340" t="str">
        <f>'סיכום לועדה- הזנת נתונים'!J81</f>
        <v/>
      </c>
      <c r="K81" s="340" t="str">
        <f>'סיכום לועדה- הזנת נתונים'!K81</f>
        <v/>
      </c>
      <c r="L81" s="340" t="str">
        <f>'סיכום לועדה- הזנת נתונים'!L81</f>
        <v/>
      </c>
      <c r="M81" s="340" t="str">
        <f>'סיכום לועדה- הזנת נתונים'!M81</f>
        <v/>
      </c>
      <c r="N81" s="341">
        <f>'סיכום לועדה- הזנת נתונים'!N81</f>
        <v>0</v>
      </c>
      <c r="O81" s="341" t="str">
        <f>'סיכום לועדה- הזנת נתונים'!O81</f>
        <v/>
      </c>
      <c r="P81" s="445" t="str">
        <f ca="1">'סיכום לועדה- הזנת נתונים'!P81</f>
        <v/>
      </c>
      <c r="Q81" s="341" t="str">
        <f ca="1">'סיכום לועדה- הזנת נתונים'!Q81</f>
        <v/>
      </c>
      <c r="R81" s="341" t="str">
        <f ca="1">'סיכום לועדה- הזנת נתונים'!R81</f>
        <v/>
      </c>
      <c r="S81" s="341" t="str">
        <f ca="1">'סיכום לועדה- הזנת נתונים'!S81</f>
        <v/>
      </c>
      <c r="T81" s="341" t="str">
        <f ca="1">'סיכום לועדה- הזנת נתונים'!T81</f>
        <v/>
      </c>
      <c r="U81" s="447">
        <f>'סיכום לועדה- הזנת נתונים'!U81</f>
        <v>0</v>
      </c>
      <c r="V81" s="447">
        <f>'סיכום לועדה- הזנת נתונים'!V81</f>
        <v>0</v>
      </c>
      <c r="W81" s="178" t="str">
        <f t="shared" ca="1" si="2"/>
        <v/>
      </c>
      <c r="X81" s="179" t="str">
        <f t="shared" ca="1" si="3"/>
        <v/>
      </c>
      <c r="Y81" s="175" t="str">
        <f t="shared" ca="1" si="4"/>
        <v/>
      </c>
      <c r="Z81" s="175" t="str">
        <f t="shared" ca="1" si="5"/>
        <v/>
      </c>
      <c r="AA81" s="180" t="str">
        <f t="shared" ca="1" si="0"/>
        <v/>
      </c>
      <c r="AB81" s="174"/>
      <c r="AC81" s="174"/>
      <c r="AD81" s="174"/>
      <c r="AE81" s="174"/>
      <c r="AF81" s="174"/>
      <c r="AG81" s="174"/>
      <c r="AH81" s="174"/>
      <c r="AI81" s="174"/>
      <c r="AJ81" s="174"/>
      <c r="AK81" s="174"/>
      <c r="AL81" s="174"/>
      <c r="AM81" s="174"/>
      <c r="AN81" s="174"/>
      <c r="AO81" s="174"/>
      <c r="AP81" s="174"/>
      <c r="AQ81" s="174"/>
      <c r="AR81" s="174"/>
      <c r="AS81" s="174"/>
      <c r="AT81" s="174"/>
      <c r="AU81" s="174"/>
      <c r="AV81" s="174"/>
      <c r="AW81" s="174"/>
      <c r="AX81" s="175" t="b">
        <f t="shared" ca="1" si="6"/>
        <v>0</v>
      </c>
      <c r="AY81" s="181"/>
      <c r="AZ81" s="182">
        <f t="shared" si="1"/>
        <v>15000000</v>
      </c>
    </row>
    <row r="82" spans="2:52" ht="47.25" x14ac:dyDescent="0.25">
      <c r="B82" s="340">
        <f ca="1">'סיכום לועדה- הזנת נתונים'!B82</f>
        <v>52</v>
      </c>
      <c r="C82" s="340" t="str">
        <f ca="1">'סיכום לועדה- הזנת נתונים'!C82</f>
        <v>עמותת הנני</v>
      </c>
      <c r="D82" s="340">
        <f>'סיכום לועדה- הזנת נתונים'!D82</f>
        <v>1001907770</v>
      </c>
      <c r="E82" s="340">
        <f>'סיכום לועדה- הזנת נתונים'!E82</f>
        <v>1001775282</v>
      </c>
      <c r="F82" s="340">
        <f>'סיכום לועדה- הזנת נתונים'!F82</f>
        <v>2020</v>
      </c>
      <c r="G82" s="340">
        <f ca="1">'סיכום לועדה- הזנת נתונים'!G82</f>
        <v>1</v>
      </c>
      <c r="H82" s="340" t="str">
        <f>'סיכום לועדה- הזנת נתונים'!H82</f>
        <v/>
      </c>
      <c r="I82" s="340">
        <f>'סיכום לועדה- הזנת נתונים'!I82</f>
        <v>2025</v>
      </c>
      <c r="J82" s="340">
        <f>'סיכום לועדה- הזנת נתונים'!J82</f>
        <v>40016978</v>
      </c>
      <c r="K82" s="340">
        <f>'סיכום לועדה- הזנת נתונים'!K82</f>
        <v>580332229</v>
      </c>
      <c r="L82" s="340" t="str">
        <f>'סיכום לועדה- הזנת נתונים'!L82</f>
        <v>עמותת הנני - קהילות משימתיות של יוצ</v>
      </c>
      <c r="M82" s="340" t="str">
        <f>'סיכום לועדה- הזנת נתונים'!M82</f>
        <v>מורשת עדות כפר ביתא ישראל 2025</v>
      </c>
      <c r="N82" s="341">
        <f>'סיכום לועדה- הזנת נתונים'!N82</f>
        <v>440077.17</v>
      </c>
      <c r="O82" s="341">
        <f>'סיכום לועדה- הזנת נתונים'!O82</f>
        <v>712500</v>
      </c>
      <c r="P82" s="445">
        <f ca="1">'סיכום לועדה- הזנת נתונים'!P82</f>
        <v>1.3587487228249677</v>
      </c>
      <c r="Q82" s="341">
        <f ca="1">'סיכום לועדה- הזנת נתונים'!Q82</f>
        <v>0</v>
      </c>
      <c r="R82" s="341">
        <f ca="1">'סיכום לועדה- הזנת נתונים'!R82</f>
        <v>0</v>
      </c>
      <c r="S82" s="341">
        <f ca="1">'סיכום לועדה- הזנת נתונים'!S82</f>
        <v>597954.29268192616</v>
      </c>
      <c r="T82" s="341">
        <f ca="1">'סיכום לועדה- הזנת נתונים'!T82</f>
        <v>597954.29268192616</v>
      </c>
      <c r="U82" s="447">
        <f>'סיכום לועדה- הזנת נתונים'!U82</f>
        <v>0</v>
      </c>
      <c r="V82" s="447" t="str">
        <f>'סיכום לועדה- הזנת נתונים'!V82</f>
        <v xml:space="preserve">מאושר בהתאם למבחן התמיכה. שינוי בתחשיב הבסיס מושפע מהיעדר קיומו של אתר אינטרנט שעיקר עיסוקו מורשת עדות ישראל. </v>
      </c>
      <c r="W82" s="178" t="e">
        <f t="shared" ca="1" si="2"/>
        <v>#VALUE!</v>
      </c>
      <c r="X82" s="179">
        <f t="shared" ca="1" si="3"/>
        <v>-1</v>
      </c>
      <c r="Y82" s="175" t="e">
        <f t="shared" ca="1" si="4"/>
        <v>#VALUE!</v>
      </c>
      <c r="Z82" s="175" t="str">
        <f t="shared" ca="1" si="5"/>
        <v>הצג חריגים</v>
      </c>
      <c r="AA82" s="180">
        <f t="shared" ca="1" si="0"/>
        <v>0</v>
      </c>
      <c r="AB82" s="174"/>
      <c r="AC82" s="174"/>
      <c r="AD82" s="174"/>
      <c r="AE82" s="174"/>
      <c r="AF82" s="174"/>
      <c r="AG82" s="174"/>
      <c r="AH82" s="174"/>
      <c r="AI82" s="174"/>
      <c r="AJ82" s="174"/>
      <c r="AK82" s="174"/>
      <c r="AL82" s="174"/>
      <c r="AM82" s="174"/>
      <c r="AN82" s="174"/>
      <c r="AO82" s="174"/>
      <c r="AP82" s="174"/>
      <c r="AQ82" s="174"/>
      <c r="AR82" s="174"/>
      <c r="AS82" s="174"/>
      <c r="AT82" s="174"/>
      <c r="AU82" s="174"/>
      <c r="AV82" s="174"/>
      <c r="AW82" s="174"/>
      <c r="AX82" s="175" t="b">
        <f t="shared" ca="1" si="6"/>
        <v>1</v>
      </c>
      <c r="AY82" s="181"/>
      <c r="AZ82" s="182">
        <f t="shared" si="1"/>
        <v>15000000</v>
      </c>
    </row>
    <row r="83" spans="2:52" hidden="1" x14ac:dyDescent="0.25">
      <c r="B83" s="340" t="str">
        <f ca="1">'סיכום לועדה- הזנת נתונים'!B83</f>
        <v/>
      </c>
      <c r="C83" s="340" t="str">
        <f ca="1">'סיכום לועדה- הזנת נתונים'!C83</f>
        <v/>
      </c>
      <c r="D83" s="340">
        <f>'סיכום לועדה- הזנת נתונים'!D83</f>
        <v>0</v>
      </c>
      <c r="E83" s="340">
        <f>'סיכום לועדה- הזנת נתונים'!E83</f>
        <v>0</v>
      </c>
      <c r="F83" s="340">
        <f>'סיכום לועדה- הזנת נתונים'!F83</f>
        <v>0</v>
      </c>
      <c r="G83" s="340" t="str">
        <f ca="1">'סיכום לועדה- הזנת נתונים'!G83</f>
        <v/>
      </c>
      <c r="H83" s="340" t="str">
        <f>'סיכום לועדה- הזנת נתונים'!H83</f>
        <v/>
      </c>
      <c r="I83" s="340" t="str">
        <f>'סיכום לועדה- הזנת נתונים'!I83</f>
        <v/>
      </c>
      <c r="J83" s="340" t="str">
        <f>'סיכום לועדה- הזנת נתונים'!J83</f>
        <v/>
      </c>
      <c r="K83" s="340" t="str">
        <f>'סיכום לועדה- הזנת נתונים'!K83</f>
        <v/>
      </c>
      <c r="L83" s="340" t="str">
        <f>'סיכום לועדה- הזנת נתונים'!L83</f>
        <v/>
      </c>
      <c r="M83" s="340" t="str">
        <f>'סיכום לועדה- הזנת נתונים'!M83</f>
        <v/>
      </c>
      <c r="N83" s="341">
        <f>'סיכום לועדה- הזנת נתונים'!N83</f>
        <v>0</v>
      </c>
      <c r="O83" s="341" t="str">
        <f>'סיכום לועדה- הזנת נתונים'!O83</f>
        <v/>
      </c>
      <c r="P83" s="445" t="str">
        <f ca="1">'סיכום לועדה- הזנת נתונים'!P83</f>
        <v/>
      </c>
      <c r="Q83" s="341" t="str">
        <f ca="1">'סיכום לועדה- הזנת נתונים'!Q83</f>
        <v/>
      </c>
      <c r="R83" s="341" t="str">
        <f ca="1">'סיכום לועדה- הזנת נתונים'!R83</f>
        <v/>
      </c>
      <c r="S83" s="341" t="str">
        <f ca="1">'סיכום לועדה- הזנת נתונים'!S83</f>
        <v/>
      </c>
      <c r="T83" s="341" t="str">
        <f ca="1">'סיכום לועדה- הזנת נתונים'!T83</f>
        <v/>
      </c>
      <c r="U83" s="447">
        <f>'סיכום לועדה- הזנת נתונים'!U83</f>
        <v>0</v>
      </c>
      <c r="V83" s="447">
        <f>'סיכום לועדה- הזנת נתונים'!V83</f>
        <v>0</v>
      </c>
      <c r="W83" s="178" t="str">
        <f t="shared" ca="1" si="2"/>
        <v/>
      </c>
      <c r="X83" s="179" t="str">
        <f t="shared" ca="1" si="3"/>
        <v/>
      </c>
      <c r="Y83" s="175" t="str">
        <f t="shared" ca="1" si="4"/>
        <v/>
      </c>
      <c r="Z83" s="175" t="str">
        <f t="shared" ca="1" si="5"/>
        <v/>
      </c>
      <c r="AA83" s="180" t="str">
        <f t="shared" ca="1" si="0"/>
        <v/>
      </c>
      <c r="AB83" s="174"/>
      <c r="AC83" s="174"/>
      <c r="AD83" s="174"/>
      <c r="AE83" s="174"/>
      <c r="AF83" s="174"/>
      <c r="AG83" s="174"/>
      <c r="AH83" s="174"/>
      <c r="AI83" s="174"/>
      <c r="AJ83" s="174"/>
      <c r="AK83" s="174"/>
      <c r="AL83" s="174"/>
      <c r="AM83" s="174"/>
      <c r="AN83" s="174"/>
      <c r="AO83" s="174"/>
      <c r="AP83" s="174"/>
      <c r="AQ83" s="174"/>
      <c r="AR83" s="174"/>
      <c r="AS83" s="174"/>
      <c r="AT83" s="174"/>
      <c r="AU83" s="174"/>
      <c r="AV83" s="174"/>
      <c r="AW83" s="174"/>
      <c r="AX83" s="175" t="b">
        <f t="shared" ca="1" si="6"/>
        <v>0</v>
      </c>
      <c r="AY83" s="181"/>
      <c r="AZ83" s="182">
        <f t="shared" si="1"/>
        <v>15000000</v>
      </c>
    </row>
    <row r="84" spans="2:52" hidden="1" x14ac:dyDescent="0.25">
      <c r="B84" s="340" t="str">
        <f ca="1">'סיכום לועדה- הזנת נתונים'!B84</f>
        <v/>
      </c>
      <c r="C84" s="340" t="str">
        <f ca="1">'סיכום לועדה- הזנת נתונים'!C84</f>
        <v/>
      </c>
      <c r="D84" s="340">
        <f>'סיכום לועדה- הזנת נתונים'!D84</f>
        <v>0</v>
      </c>
      <c r="E84" s="340">
        <f>'סיכום לועדה- הזנת נתונים'!E84</f>
        <v>0</v>
      </c>
      <c r="F84" s="340">
        <f>'סיכום לועדה- הזנת נתונים'!F84</f>
        <v>0</v>
      </c>
      <c r="G84" s="340" t="str">
        <f ca="1">'סיכום לועדה- הזנת נתונים'!G84</f>
        <v/>
      </c>
      <c r="H84" s="340" t="str">
        <f>'סיכום לועדה- הזנת נתונים'!H84</f>
        <v/>
      </c>
      <c r="I84" s="340" t="str">
        <f>'סיכום לועדה- הזנת נתונים'!I84</f>
        <v/>
      </c>
      <c r="J84" s="340" t="str">
        <f>'סיכום לועדה- הזנת נתונים'!J84</f>
        <v/>
      </c>
      <c r="K84" s="340" t="str">
        <f>'סיכום לועדה- הזנת נתונים'!K84</f>
        <v/>
      </c>
      <c r="L84" s="340" t="str">
        <f>'סיכום לועדה- הזנת נתונים'!L84</f>
        <v/>
      </c>
      <c r="M84" s="340" t="str">
        <f>'סיכום לועדה- הזנת נתונים'!M84</f>
        <v/>
      </c>
      <c r="N84" s="341">
        <f>'סיכום לועדה- הזנת נתונים'!N84</f>
        <v>0</v>
      </c>
      <c r="O84" s="341" t="str">
        <f>'סיכום לועדה- הזנת נתונים'!O84</f>
        <v/>
      </c>
      <c r="P84" s="445" t="str">
        <f ca="1">'סיכום לועדה- הזנת נתונים'!P84</f>
        <v/>
      </c>
      <c r="Q84" s="341" t="str">
        <f ca="1">'סיכום לועדה- הזנת נתונים'!Q84</f>
        <v/>
      </c>
      <c r="R84" s="341" t="str">
        <f ca="1">'סיכום לועדה- הזנת נתונים'!R84</f>
        <v/>
      </c>
      <c r="S84" s="341" t="str">
        <f ca="1">'סיכום לועדה- הזנת נתונים'!S84</f>
        <v/>
      </c>
      <c r="T84" s="341" t="str">
        <f ca="1">'סיכום לועדה- הזנת נתונים'!T84</f>
        <v/>
      </c>
      <c r="U84" s="447">
        <f>'סיכום לועדה- הזנת נתונים'!U84</f>
        <v>0</v>
      </c>
      <c r="V84" s="447">
        <f>'סיכום לועדה- הזנת נתונים'!V84</f>
        <v>0</v>
      </c>
      <c r="W84" s="178" t="str">
        <f t="shared" ca="1" si="2"/>
        <v/>
      </c>
      <c r="X84" s="179" t="str">
        <f t="shared" ca="1" si="3"/>
        <v/>
      </c>
      <c r="Y84" s="175" t="str">
        <f t="shared" ca="1" si="4"/>
        <v/>
      </c>
      <c r="Z84" s="175" t="str">
        <f t="shared" ca="1" si="5"/>
        <v/>
      </c>
      <c r="AA84" s="180" t="str">
        <f t="shared" ca="1" si="0"/>
        <v/>
      </c>
      <c r="AB84" s="174"/>
      <c r="AC84" s="174"/>
      <c r="AD84" s="174"/>
      <c r="AE84" s="174"/>
      <c r="AF84" s="174"/>
      <c r="AG84" s="174"/>
      <c r="AH84" s="174"/>
      <c r="AI84" s="174"/>
      <c r="AJ84" s="174"/>
      <c r="AK84" s="174"/>
      <c r="AL84" s="174"/>
      <c r="AM84" s="174"/>
      <c r="AN84" s="174"/>
      <c r="AO84" s="174"/>
      <c r="AP84" s="174"/>
      <c r="AQ84" s="174"/>
      <c r="AR84" s="174"/>
      <c r="AS84" s="174"/>
      <c r="AT84" s="174"/>
      <c r="AU84" s="174"/>
      <c r="AV84" s="174"/>
      <c r="AW84" s="174"/>
      <c r="AX84" s="175" t="b">
        <f t="shared" ca="1" si="6"/>
        <v>0</v>
      </c>
      <c r="AY84" s="181"/>
      <c r="AZ84" s="182">
        <f t="shared" si="1"/>
        <v>15000000</v>
      </c>
    </row>
    <row r="85" spans="2:52" hidden="1" x14ac:dyDescent="0.25">
      <c r="B85" s="340" t="str">
        <f ca="1">'סיכום לועדה- הזנת נתונים'!B85</f>
        <v/>
      </c>
      <c r="C85" s="340" t="str">
        <f ca="1">'סיכום לועדה- הזנת נתונים'!C85</f>
        <v/>
      </c>
      <c r="D85" s="340">
        <f>'סיכום לועדה- הזנת נתונים'!D85</f>
        <v>0</v>
      </c>
      <c r="E85" s="340">
        <f>'סיכום לועדה- הזנת נתונים'!E85</f>
        <v>0</v>
      </c>
      <c r="F85" s="340">
        <f>'סיכום לועדה- הזנת נתונים'!F85</f>
        <v>0</v>
      </c>
      <c r="G85" s="340" t="str">
        <f ca="1">'סיכום לועדה- הזנת נתונים'!G85</f>
        <v/>
      </c>
      <c r="H85" s="340" t="str">
        <f>'סיכום לועדה- הזנת נתונים'!H85</f>
        <v/>
      </c>
      <c r="I85" s="340" t="str">
        <f>'סיכום לועדה- הזנת נתונים'!I85</f>
        <v/>
      </c>
      <c r="J85" s="340" t="str">
        <f>'סיכום לועדה- הזנת נתונים'!J85</f>
        <v/>
      </c>
      <c r="K85" s="340" t="str">
        <f>'סיכום לועדה- הזנת נתונים'!K85</f>
        <v/>
      </c>
      <c r="L85" s="340" t="str">
        <f>'סיכום לועדה- הזנת נתונים'!L85</f>
        <v/>
      </c>
      <c r="M85" s="340" t="str">
        <f>'סיכום לועדה- הזנת נתונים'!M85</f>
        <v/>
      </c>
      <c r="N85" s="341">
        <f>'סיכום לועדה- הזנת נתונים'!N85</f>
        <v>0</v>
      </c>
      <c r="O85" s="341" t="str">
        <f>'סיכום לועדה- הזנת נתונים'!O85</f>
        <v/>
      </c>
      <c r="P85" s="445" t="str">
        <f ca="1">'סיכום לועדה- הזנת נתונים'!P85</f>
        <v/>
      </c>
      <c r="Q85" s="341" t="str">
        <f ca="1">'סיכום לועדה- הזנת נתונים'!Q85</f>
        <v/>
      </c>
      <c r="R85" s="341" t="str">
        <f ca="1">'סיכום לועדה- הזנת נתונים'!R85</f>
        <v/>
      </c>
      <c r="S85" s="341" t="str">
        <f ca="1">'סיכום לועדה- הזנת נתונים'!S85</f>
        <v/>
      </c>
      <c r="T85" s="341" t="str">
        <f ca="1">'סיכום לועדה- הזנת נתונים'!T85</f>
        <v/>
      </c>
      <c r="U85" s="447">
        <f>'סיכום לועדה- הזנת נתונים'!U85</f>
        <v>0</v>
      </c>
      <c r="V85" s="447">
        <f>'סיכום לועדה- הזנת נתונים'!V85</f>
        <v>0</v>
      </c>
      <c r="W85" s="178" t="str">
        <f t="shared" ca="1" si="2"/>
        <v/>
      </c>
      <c r="X85" s="179" t="str">
        <f t="shared" ca="1" si="3"/>
        <v/>
      </c>
      <c r="Y85" s="175" t="str">
        <f t="shared" ca="1" si="4"/>
        <v/>
      </c>
      <c r="Z85" s="175" t="str">
        <f t="shared" ca="1" si="5"/>
        <v/>
      </c>
      <c r="AA85" s="180" t="str">
        <f t="shared" ca="1" si="0"/>
        <v/>
      </c>
      <c r="AB85" s="174"/>
      <c r="AC85" s="174"/>
      <c r="AD85" s="174"/>
      <c r="AE85" s="174"/>
      <c r="AF85" s="174"/>
      <c r="AG85" s="174"/>
      <c r="AH85" s="174"/>
      <c r="AI85" s="174"/>
      <c r="AJ85" s="174"/>
      <c r="AK85" s="174"/>
      <c r="AL85" s="174"/>
      <c r="AM85" s="174"/>
      <c r="AN85" s="174"/>
      <c r="AO85" s="174"/>
      <c r="AP85" s="174"/>
      <c r="AQ85" s="174"/>
      <c r="AR85" s="174"/>
      <c r="AS85" s="174"/>
      <c r="AT85" s="174"/>
      <c r="AU85" s="174"/>
      <c r="AV85" s="174"/>
      <c r="AW85" s="174"/>
      <c r="AX85" s="175" t="b">
        <f t="shared" ca="1" si="6"/>
        <v>0</v>
      </c>
      <c r="AY85" s="181"/>
      <c r="AZ85" s="182">
        <f t="shared" si="1"/>
        <v>15000000</v>
      </c>
    </row>
    <row r="86" spans="2:52" hidden="1" x14ac:dyDescent="0.25">
      <c r="B86" s="340" t="str">
        <f ca="1">'סיכום לועדה- הזנת נתונים'!B86</f>
        <v/>
      </c>
      <c r="C86" s="340" t="str">
        <f ca="1">'סיכום לועדה- הזנת נתונים'!C86</f>
        <v/>
      </c>
      <c r="D86" s="340">
        <f>'סיכום לועדה- הזנת נתונים'!D86</f>
        <v>0</v>
      </c>
      <c r="E86" s="340">
        <f>'סיכום לועדה- הזנת נתונים'!E86</f>
        <v>0</v>
      </c>
      <c r="F86" s="340">
        <f>'סיכום לועדה- הזנת נתונים'!F86</f>
        <v>0</v>
      </c>
      <c r="G86" s="340" t="str">
        <f ca="1">'סיכום לועדה- הזנת נתונים'!G86</f>
        <v/>
      </c>
      <c r="H86" s="340" t="str">
        <f>'סיכום לועדה- הזנת נתונים'!H86</f>
        <v/>
      </c>
      <c r="I86" s="340" t="str">
        <f>'סיכום לועדה- הזנת נתונים'!I86</f>
        <v/>
      </c>
      <c r="J86" s="340" t="str">
        <f>'סיכום לועדה- הזנת נתונים'!J86</f>
        <v/>
      </c>
      <c r="K86" s="340" t="str">
        <f>'סיכום לועדה- הזנת נתונים'!K86</f>
        <v/>
      </c>
      <c r="L86" s="340" t="str">
        <f>'סיכום לועדה- הזנת נתונים'!L86</f>
        <v/>
      </c>
      <c r="M86" s="340" t="str">
        <f>'סיכום לועדה- הזנת נתונים'!M86</f>
        <v/>
      </c>
      <c r="N86" s="341">
        <f>'סיכום לועדה- הזנת נתונים'!N86</f>
        <v>0</v>
      </c>
      <c r="O86" s="341" t="str">
        <f>'סיכום לועדה- הזנת נתונים'!O86</f>
        <v/>
      </c>
      <c r="P86" s="445" t="str">
        <f ca="1">'סיכום לועדה- הזנת נתונים'!P86</f>
        <v/>
      </c>
      <c r="Q86" s="341" t="str">
        <f ca="1">'סיכום לועדה- הזנת נתונים'!Q86</f>
        <v/>
      </c>
      <c r="R86" s="341" t="str">
        <f ca="1">'סיכום לועדה- הזנת נתונים'!R86</f>
        <v/>
      </c>
      <c r="S86" s="341" t="str">
        <f ca="1">'סיכום לועדה- הזנת נתונים'!S86</f>
        <v/>
      </c>
      <c r="T86" s="341" t="str">
        <f ca="1">'סיכום לועדה- הזנת נתונים'!T86</f>
        <v/>
      </c>
      <c r="U86" s="447">
        <f>'סיכום לועדה- הזנת נתונים'!U86</f>
        <v>0</v>
      </c>
      <c r="V86" s="447">
        <f>'סיכום לועדה- הזנת נתונים'!V86</f>
        <v>0</v>
      </c>
      <c r="W86" s="178" t="str">
        <f t="shared" ca="1" si="2"/>
        <v/>
      </c>
      <c r="X86" s="179" t="str">
        <f t="shared" ca="1" si="3"/>
        <v/>
      </c>
      <c r="Y86" s="175" t="str">
        <f t="shared" ca="1" si="4"/>
        <v/>
      </c>
      <c r="Z86" s="175" t="str">
        <f t="shared" ca="1" si="5"/>
        <v/>
      </c>
      <c r="AA86" s="180" t="str">
        <f t="shared" ca="1" si="0"/>
        <v/>
      </c>
      <c r="AB86" s="174"/>
      <c r="AC86" s="174"/>
      <c r="AD86" s="174"/>
      <c r="AE86" s="174"/>
      <c r="AF86" s="174"/>
      <c r="AG86" s="174"/>
      <c r="AH86" s="174"/>
      <c r="AI86" s="174"/>
      <c r="AJ86" s="174"/>
      <c r="AK86" s="174"/>
      <c r="AL86" s="174"/>
      <c r="AM86" s="174"/>
      <c r="AN86" s="174"/>
      <c r="AO86" s="174"/>
      <c r="AP86" s="174"/>
      <c r="AQ86" s="174"/>
      <c r="AR86" s="174"/>
      <c r="AS86" s="174"/>
      <c r="AT86" s="174"/>
      <c r="AU86" s="174"/>
      <c r="AV86" s="174"/>
      <c r="AW86" s="174"/>
      <c r="AX86" s="175" t="b">
        <f t="shared" ca="1" si="6"/>
        <v>0</v>
      </c>
      <c r="AY86" s="181"/>
      <c r="AZ86" s="182">
        <f t="shared" si="1"/>
        <v>15000000</v>
      </c>
    </row>
    <row r="87" spans="2:52" hidden="1" x14ac:dyDescent="0.25">
      <c r="B87" s="340" t="str">
        <f ca="1">'סיכום לועדה- הזנת נתונים'!B87</f>
        <v/>
      </c>
      <c r="C87" s="340" t="str">
        <f ca="1">'סיכום לועדה- הזנת נתונים'!C87</f>
        <v/>
      </c>
      <c r="D87" s="340">
        <f>'סיכום לועדה- הזנת נתונים'!D87</f>
        <v>0</v>
      </c>
      <c r="E87" s="340">
        <f>'סיכום לועדה- הזנת נתונים'!E87</f>
        <v>0</v>
      </c>
      <c r="F87" s="340">
        <f>'סיכום לועדה- הזנת נתונים'!F87</f>
        <v>0</v>
      </c>
      <c r="G87" s="340" t="str">
        <f ca="1">'סיכום לועדה- הזנת נתונים'!G87</f>
        <v/>
      </c>
      <c r="H87" s="340" t="str">
        <f>'סיכום לועדה- הזנת נתונים'!H87</f>
        <v/>
      </c>
      <c r="I87" s="340" t="str">
        <f>'סיכום לועדה- הזנת נתונים'!I87</f>
        <v/>
      </c>
      <c r="J87" s="340" t="str">
        <f>'סיכום לועדה- הזנת נתונים'!J87</f>
        <v/>
      </c>
      <c r="K87" s="340" t="str">
        <f>'סיכום לועדה- הזנת נתונים'!K87</f>
        <v/>
      </c>
      <c r="L87" s="340" t="str">
        <f>'סיכום לועדה- הזנת נתונים'!L87</f>
        <v/>
      </c>
      <c r="M87" s="340" t="str">
        <f>'סיכום לועדה- הזנת נתונים'!M87</f>
        <v/>
      </c>
      <c r="N87" s="341">
        <f>'סיכום לועדה- הזנת נתונים'!N87</f>
        <v>0</v>
      </c>
      <c r="O87" s="341" t="str">
        <f>'סיכום לועדה- הזנת נתונים'!O87</f>
        <v/>
      </c>
      <c r="P87" s="445" t="str">
        <f ca="1">'סיכום לועדה- הזנת נתונים'!P87</f>
        <v/>
      </c>
      <c r="Q87" s="341" t="str">
        <f ca="1">'סיכום לועדה- הזנת נתונים'!Q87</f>
        <v/>
      </c>
      <c r="R87" s="341" t="str">
        <f ca="1">'סיכום לועדה- הזנת נתונים'!R87</f>
        <v/>
      </c>
      <c r="S87" s="341" t="str">
        <f ca="1">'סיכום לועדה- הזנת נתונים'!S87</f>
        <v/>
      </c>
      <c r="T87" s="341" t="str">
        <f ca="1">'סיכום לועדה- הזנת נתונים'!T87</f>
        <v/>
      </c>
      <c r="U87" s="447">
        <f>'סיכום לועדה- הזנת נתונים'!U87</f>
        <v>0</v>
      </c>
      <c r="V87" s="447">
        <f>'סיכום לועדה- הזנת נתונים'!V87</f>
        <v>0</v>
      </c>
      <c r="W87" s="178" t="str">
        <f t="shared" ca="1" si="2"/>
        <v/>
      </c>
      <c r="X87" s="179" t="str">
        <f t="shared" ca="1" si="3"/>
        <v/>
      </c>
      <c r="Y87" s="175" t="str">
        <f t="shared" ca="1" si="4"/>
        <v/>
      </c>
      <c r="Z87" s="175" t="str">
        <f t="shared" ca="1" si="5"/>
        <v/>
      </c>
      <c r="AA87" s="180" t="str">
        <f t="shared" ca="1" si="0"/>
        <v/>
      </c>
      <c r="AB87" s="174"/>
      <c r="AC87" s="174"/>
      <c r="AD87" s="174"/>
      <c r="AE87" s="174"/>
      <c r="AF87" s="174"/>
      <c r="AG87" s="174"/>
      <c r="AH87" s="174"/>
      <c r="AI87" s="174"/>
      <c r="AJ87" s="174"/>
      <c r="AK87" s="174"/>
      <c r="AL87" s="174"/>
      <c r="AM87" s="174"/>
      <c r="AN87" s="174"/>
      <c r="AO87" s="174"/>
      <c r="AP87" s="174"/>
      <c r="AQ87" s="174"/>
      <c r="AR87" s="174"/>
      <c r="AS87" s="174"/>
      <c r="AT87" s="174"/>
      <c r="AU87" s="174"/>
      <c r="AV87" s="174"/>
      <c r="AW87" s="174"/>
      <c r="AX87" s="175" t="b">
        <f t="shared" ca="1" si="6"/>
        <v>0</v>
      </c>
      <c r="AY87" s="181"/>
      <c r="AZ87" s="182">
        <f t="shared" si="1"/>
        <v>15000000</v>
      </c>
    </row>
    <row r="88" spans="2:52" hidden="1" x14ac:dyDescent="0.25">
      <c r="B88" s="340" t="str">
        <f ca="1">'סיכום לועדה- הזנת נתונים'!B88</f>
        <v/>
      </c>
      <c r="C88" s="340" t="str">
        <f ca="1">'סיכום לועדה- הזנת נתונים'!C88</f>
        <v/>
      </c>
      <c r="D88" s="340">
        <f>'סיכום לועדה- הזנת נתונים'!D88</f>
        <v>0</v>
      </c>
      <c r="E88" s="340">
        <f>'סיכום לועדה- הזנת נתונים'!E88</f>
        <v>0</v>
      </c>
      <c r="F88" s="340">
        <f>'סיכום לועדה- הזנת נתונים'!F88</f>
        <v>0</v>
      </c>
      <c r="G88" s="340" t="str">
        <f ca="1">'סיכום לועדה- הזנת נתונים'!G88</f>
        <v/>
      </c>
      <c r="H88" s="340" t="str">
        <f>'סיכום לועדה- הזנת נתונים'!H88</f>
        <v/>
      </c>
      <c r="I88" s="340" t="str">
        <f>'סיכום לועדה- הזנת נתונים'!I88</f>
        <v/>
      </c>
      <c r="J88" s="340" t="str">
        <f>'סיכום לועדה- הזנת נתונים'!J88</f>
        <v/>
      </c>
      <c r="K88" s="340" t="str">
        <f>'סיכום לועדה- הזנת נתונים'!K88</f>
        <v/>
      </c>
      <c r="L88" s="340" t="str">
        <f>'סיכום לועדה- הזנת נתונים'!L88</f>
        <v/>
      </c>
      <c r="M88" s="340" t="str">
        <f>'סיכום לועדה- הזנת נתונים'!M88</f>
        <v/>
      </c>
      <c r="N88" s="341">
        <f>'סיכום לועדה- הזנת נתונים'!N88</f>
        <v>0</v>
      </c>
      <c r="O88" s="341" t="str">
        <f>'סיכום לועדה- הזנת נתונים'!O88</f>
        <v/>
      </c>
      <c r="P88" s="445" t="str">
        <f ca="1">'סיכום לועדה- הזנת נתונים'!P88</f>
        <v/>
      </c>
      <c r="Q88" s="341" t="str">
        <f ca="1">'סיכום לועדה- הזנת נתונים'!Q88</f>
        <v/>
      </c>
      <c r="R88" s="341" t="str">
        <f ca="1">'סיכום לועדה- הזנת נתונים'!R88</f>
        <v/>
      </c>
      <c r="S88" s="341" t="str">
        <f ca="1">'סיכום לועדה- הזנת נתונים'!S88</f>
        <v/>
      </c>
      <c r="T88" s="341" t="str">
        <f ca="1">'סיכום לועדה- הזנת נתונים'!T88</f>
        <v/>
      </c>
      <c r="U88" s="447">
        <f>'סיכום לועדה- הזנת נתונים'!U88</f>
        <v>0</v>
      </c>
      <c r="V88" s="447">
        <f>'סיכום לועדה- הזנת נתונים'!V88</f>
        <v>0</v>
      </c>
      <c r="W88" s="178" t="str">
        <f t="shared" ca="1" si="2"/>
        <v/>
      </c>
      <c r="X88" s="179" t="str">
        <f t="shared" ca="1" si="3"/>
        <v/>
      </c>
      <c r="Y88" s="175" t="str">
        <f t="shared" ca="1" si="4"/>
        <v/>
      </c>
      <c r="Z88" s="175" t="str">
        <f t="shared" ca="1" si="5"/>
        <v/>
      </c>
      <c r="AA88" s="180" t="str">
        <f t="shared" ca="1" si="0"/>
        <v/>
      </c>
      <c r="AB88" s="174"/>
      <c r="AC88" s="174"/>
      <c r="AD88" s="174"/>
      <c r="AE88" s="174"/>
      <c r="AF88" s="174"/>
      <c r="AG88" s="174"/>
      <c r="AH88" s="174"/>
      <c r="AI88" s="174"/>
      <c r="AJ88" s="174"/>
      <c r="AK88" s="174"/>
      <c r="AL88" s="174"/>
      <c r="AM88" s="174"/>
      <c r="AN88" s="174"/>
      <c r="AO88" s="174"/>
      <c r="AP88" s="174"/>
      <c r="AQ88" s="174"/>
      <c r="AR88" s="174"/>
      <c r="AS88" s="174"/>
      <c r="AT88" s="174"/>
      <c r="AU88" s="174"/>
      <c r="AV88" s="174"/>
      <c r="AW88" s="174"/>
      <c r="AX88" s="175" t="b">
        <f t="shared" ca="1" si="6"/>
        <v>0</v>
      </c>
      <c r="AY88" s="181"/>
      <c r="AZ88" s="182">
        <f t="shared" si="1"/>
        <v>15000000</v>
      </c>
    </row>
    <row r="89" spans="2:52" hidden="1" x14ac:dyDescent="0.25">
      <c r="B89" s="340" t="str">
        <f ca="1">'סיכום לועדה- הזנת נתונים'!B89</f>
        <v/>
      </c>
      <c r="C89" s="340" t="str">
        <f ca="1">'סיכום לועדה- הזנת נתונים'!C89</f>
        <v/>
      </c>
      <c r="D89" s="340">
        <f>'סיכום לועדה- הזנת נתונים'!D89</f>
        <v>0</v>
      </c>
      <c r="E89" s="340">
        <f>'סיכום לועדה- הזנת נתונים'!E89</f>
        <v>0</v>
      </c>
      <c r="F89" s="340">
        <f>'סיכום לועדה- הזנת נתונים'!F89</f>
        <v>0</v>
      </c>
      <c r="G89" s="340" t="str">
        <f ca="1">'סיכום לועדה- הזנת נתונים'!G89</f>
        <v/>
      </c>
      <c r="H89" s="340" t="str">
        <f>'סיכום לועדה- הזנת נתונים'!H89</f>
        <v/>
      </c>
      <c r="I89" s="340" t="str">
        <f>'סיכום לועדה- הזנת נתונים'!I89</f>
        <v/>
      </c>
      <c r="J89" s="340" t="str">
        <f>'סיכום לועדה- הזנת נתונים'!J89</f>
        <v/>
      </c>
      <c r="K89" s="340" t="str">
        <f>'סיכום לועדה- הזנת נתונים'!K89</f>
        <v/>
      </c>
      <c r="L89" s="340" t="str">
        <f>'סיכום לועדה- הזנת נתונים'!L89</f>
        <v/>
      </c>
      <c r="M89" s="340" t="str">
        <f>'סיכום לועדה- הזנת נתונים'!M89</f>
        <v/>
      </c>
      <c r="N89" s="341">
        <f>'סיכום לועדה- הזנת נתונים'!N89</f>
        <v>0</v>
      </c>
      <c r="O89" s="341" t="str">
        <f>'סיכום לועדה- הזנת נתונים'!O89</f>
        <v/>
      </c>
      <c r="P89" s="445" t="str">
        <f ca="1">'סיכום לועדה- הזנת נתונים'!P89</f>
        <v/>
      </c>
      <c r="Q89" s="341" t="str">
        <f ca="1">'סיכום לועדה- הזנת נתונים'!Q89</f>
        <v/>
      </c>
      <c r="R89" s="341" t="str">
        <f ca="1">'סיכום לועדה- הזנת נתונים'!R89</f>
        <v/>
      </c>
      <c r="S89" s="341" t="str">
        <f ca="1">'סיכום לועדה- הזנת נתונים'!S89</f>
        <v/>
      </c>
      <c r="T89" s="341" t="str">
        <f ca="1">'סיכום לועדה- הזנת נתונים'!T89</f>
        <v/>
      </c>
      <c r="U89" s="447">
        <f>'סיכום לועדה- הזנת נתונים'!U89</f>
        <v>0</v>
      </c>
      <c r="V89" s="447">
        <f>'סיכום לועדה- הזנת נתונים'!V89</f>
        <v>0</v>
      </c>
      <c r="W89" s="178" t="str">
        <f t="shared" ca="1" si="2"/>
        <v/>
      </c>
      <c r="X89" s="179" t="str">
        <f t="shared" ca="1" si="3"/>
        <v/>
      </c>
      <c r="Y89" s="175" t="str">
        <f t="shared" ca="1" si="4"/>
        <v/>
      </c>
      <c r="Z89" s="175" t="str">
        <f t="shared" ca="1" si="5"/>
        <v/>
      </c>
      <c r="AA89" s="180" t="str">
        <f t="shared" ca="1" si="0"/>
        <v/>
      </c>
      <c r="AB89" s="174"/>
      <c r="AC89" s="174"/>
      <c r="AD89" s="174"/>
      <c r="AE89" s="174"/>
      <c r="AF89" s="174"/>
      <c r="AG89" s="174"/>
      <c r="AH89" s="174"/>
      <c r="AI89" s="174"/>
      <c r="AJ89" s="174"/>
      <c r="AK89" s="174"/>
      <c r="AL89" s="174"/>
      <c r="AM89" s="174"/>
      <c r="AN89" s="174"/>
      <c r="AO89" s="174"/>
      <c r="AP89" s="174"/>
      <c r="AQ89" s="174"/>
      <c r="AR89" s="174"/>
      <c r="AS89" s="174"/>
      <c r="AT89" s="174"/>
      <c r="AU89" s="174"/>
      <c r="AV89" s="174"/>
      <c r="AW89" s="174"/>
      <c r="AX89" s="175" t="b">
        <f t="shared" ca="1" si="6"/>
        <v>0</v>
      </c>
      <c r="AY89" s="181"/>
      <c r="AZ89" s="182">
        <f t="shared" si="1"/>
        <v>15000000</v>
      </c>
    </row>
    <row r="90" spans="2:52" x14ac:dyDescent="0.25">
      <c r="B90" s="340">
        <f ca="1">'סיכום לועדה- הזנת נתונים'!B90</f>
        <v>60</v>
      </c>
      <c r="C90" s="340" t="str">
        <f ca="1">'סיכום לועדה- הזנת נתונים'!C90</f>
        <v>שרשרת הדורות</v>
      </c>
      <c r="D90" s="340">
        <f>'סיכום לועדה- הזנת נתונים'!D90</f>
        <v>1001911382</v>
      </c>
      <c r="E90" s="340">
        <f>'סיכום לועדה- הזנת נתונים'!E90</f>
        <v>1001722596</v>
      </c>
      <c r="F90" s="340">
        <f>'סיכום לועדה- הזנת נתונים'!F90</f>
        <v>2020</v>
      </c>
      <c r="G90" s="340">
        <f ca="1">'סיכום לועדה- הזנת נתונים'!G90</f>
        <v>1</v>
      </c>
      <c r="H90" s="340" t="str">
        <f>'סיכום לועדה- הזנת נתונים'!H90</f>
        <v/>
      </c>
      <c r="I90" s="340">
        <f>'סיכום לועדה- הזנת נתונים'!I90</f>
        <v>2025</v>
      </c>
      <c r="J90" s="340">
        <f>'סיכום לועדה- הזנת נתונים'!J90</f>
        <v>41496069</v>
      </c>
      <c r="K90" s="340">
        <f>'סיכום לועדה- הזנת נתונים'!K90</f>
        <v>514560531</v>
      </c>
      <c r="L90" s="340" t="str">
        <f>'סיכום לועדה- הזנת נתונים'!L90</f>
        <v>שרשרת הדורות - דור לדור יביע אומר ב</v>
      </c>
      <c r="M90" s="340" t="str">
        <f>'סיכום לועדה- הזנת נתונים'!M90</f>
        <v>שרשרת הדורות שימור מורשת יהדות תימן 2025</v>
      </c>
      <c r="N90" s="341">
        <f>'סיכום לועדה- הזנת נתונים'!N90</f>
        <v>89206.74</v>
      </c>
      <c r="O90" s="341">
        <f>'סיכום לועדה- הזנת נתונים'!O90</f>
        <v>500000</v>
      </c>
      <c r="P90" s="445">
        <f ca="1">'סיכום לועדה- הזנת נתונים'!P90</f>
        <v>1.9828347854176123</v>
      </c>
      <c r="Q90" s="341">
        <f ca="1">'סיכום לועדה- הזנת נתונים'!Q90</f>
        <v>0</v>
      </c>
      <c r="R90" s="341">
        <f ca="1">'סיכום לועדה- הזנת נתונים'!R90</f>
        <v>0</v>
      </c>
      <c r="S90" s="341">
        <f ca="1">'סיכום לועדה- הזנת נתונים'!S90</f>
        <v>176882.22716570474</v>
      </c>
      <c r="T90" s="341">
        <f ca="1">'סיכום לועדה- הזנת נתונים'!T90</f>
        <v>176882.22716570474</v>
      </c>
      <c r="U90" s="447">
        <f>'סיכום לועדה- הזנת נתונים'!U90</f>
        <v>0</v>
      </c>
      <c r="V90" s="447" t="str">
        <f>'סיכום לועדה- הזנת נתונים'!V90</f>
        <v>מאושר בהתאם למבחן התמיכה</v>
      </c>
      <c r="W90" s="178" t="e">
        <f t="shared" ca="1" si="2"/>
        <v>#VALUE!</v>
      </c>
      <c r="X90" s="179">
        <f t="shared" ca="1" si="3"/>
        <v>-1</v>
      </c>
      <c r="Y90" s="175" t="e">
        <f t="shared" ca="1" si="4"/>
        <v>#VALUE!</v>
      </c>
      <c r="Z90" s="175" t="str">
        <f t="shared" ca="1" si="5"/>
        <v>הצג חריגים</v>
      </c>
      <c r="AA90" s="180">
        <f t="shared" ca="1" si="0"/>
        <v>0</v>
      </c>
      <c r="AB90" s="174"/>
      <c r="AC90" s="174"/>
      <c r="AD90" s="174"/>
      <c r="AE90" s="174"/>
      <c r="AF90" s="174"/>
      <c r="AG90" s="174"/>
      <c r="AH90" s="174"/>
      <c r="AI90" s="174"/>
      <c r="AJ90" s="174"/>
      <c r="AK90" s="174"/>
      <c r="AL90" s="174"/>
      <c r="AM90" s="174"/>
      <c r="AN90" s="174"/>
      <c r="AO90" s="174"/>
      <c r="AP90" s="174"/>
      <c r="AQ90" s="174"/>
      <c r="AR90" s="174"/>
      <c r="AS90" s="174"/>
      <c r="AT90" s="174"/>
      <c r="AU90" s="174"/>
      <c r="AV90" s="174"/>
      <c r="AW90" s="174"/>
      <c r="AX90" s="175" t="b">
        <f t="shared" ca="1" si="6"/>
        <v>1</v>
      </c>
      <c r="AY90" s="181"/>
      <c r="AZ90" s="182">
        <f t="shared" si="1"/>
        <v>15000000</v>
      </c>
    </row>
    <row r="91" spans="2:52" ht="47.25" x14ac:dyDescent="0.25">
      <c r="B91" s="340">
        <f ca="1">'סיכום לועדה- הזנת נתונים'!B91</f>
        <v>61</v>
      </c>
      <c r="C91" s="340" t="str">
        <f ca="1">'סיכום לועדה- הזנת נתונים'!C91</f>
        <v>חיבה</v>
      </c>
      <c r="D91" s="340">
        <f>'סיכום לועדה- הזנת נתונים'!D91</f>
        <v>1001907384</v>
      </c>
      <c r="E91" s="340">
        <f>'סיכום לועדה- הזנת נתונים'!E91</f>
        <v>1001774549</v>
      </c>
      <c r="F91" s="340">
        <f>'סיכום לועדה- הזנת נתונים'!F91</f>
        <v>2020</v>
      </c>
      <c r="G91" s="340">
        <f ca="1">'סיכום לועדה- הזנת נתונים'!G91</f>
        <v>1</v>
      </c>
      <c r="H91" s="340" t="str">
        <f>'סיכום לועדה- הזנת נתונים'!H91</f>
        <v/>
      </c>
      <c r="I91" s="340">
        <f>'סיכום לועדה- הזנת נתונים'!I91</f>
        <v>2025</v>
      </c>
      <c r="J91" s="340">
        <f>'סיכום לועדה- הזנת נתונים'!J91</f>
        <v>40471611</v>
      </c>
      <c r="K91" s="340">
        <f>'סיכום לועדה- הזנת נתונים'!K91</f>
        <v>580014231</v>
      </c>
      <c r="L91" s="340" t="str">
        <f>'סיכום לועדה- הזנת נתונים'!L91</f>
        <v>חיבה - התנועה למורשת ישראל )ע"ר(</v>
      </c>
      <c r="M91" s="340" t="str">
        <f>'סיכום לועדה- הזנת נתונים'!M91</f>
        <v>פעילויות מורשת לכלל העדות</v>
      </c>
      <c r="N91" s="341">
        <f>'סיכום לועדה- הזנת נתונים'!N91</f>
        <v>248599.4</v>
      </c>
      <c r="O91" s="341">
        <f>'סיכום לועדה- הזנת נתונים'!O91</f>
        <v>1608200</v>
      </c>
      <c r="P91" s="445">
        <f ca="1">'סיכום לועדה- הזנת נתונים'!P91</f>
        <v>1.3638905293912085</v>
      </c>
      <c r="Q91" s="341">
        <f ca="1">'סיכום לועדה- הזנת נתונים'!Q91</f>
        <v>0</v>
      </c>
      <c r="R91" s="341">
        <f ca="1">'סיכום לועדה- הזנת נתונים'!R91</f>
        <v>0</v>
      </c>
      <c r="S91" s="341">
        <f ca="1">'סיכום לועדה- הזנת נתונים'!S91</f>
        <v>339062.36727233679</v>
      </c>
      <c r="T91" s="341">
        <f ca="1">'סיכום לועדה- הזנת נתונים'!T91</f>
        <v>339062.36727233679</v>
      </c>
      <c r="U91" s="447">
        <f>'סיכום לועדה- הזנת נתונים'!U91</f>
        <v>0</v>
      </c>
      <c r="V91" s="447" t="str">
        <f>'סיכום לועדה- הזנת נתונים'!V91</f>
        <v>מאושר בהתאם למבחן התמיכה. שינוי בתחשיב הבסיס מושפע מירידה בשנת ההערכה במשתנה הכנסות עצמיות.</v>
      </c>
      <c r="W91" s="178" t="e">
        <f t="shared" ca="1" si="2"/>
        <v>#VALUE!</v>
      </c>
      <c r="X91" s="179">
        <f t="shared" ca="1" si="3"/>
        <v>-1</v>
      </c>
      <c r="Y91" s="175" t="e">
        <f t="shared" ca="1" si="4"/>
        <v>#VALUE!</v>
      </c>
      <c r="Z91" s="175" t="str">
        <f t="shared" ca="1" si="5"/>
        <v>הצג חריגים</v>
      </c>
      <c r="AA91" s="180">
        <f t="shared" ca="1" si="0"/>
        <v>0</v>
      </c>
      <c r="AB91" s="174"/>
      <c r="AC91" s="174"/>
      <c r="AD91" s="174"/>
      <c r="AE91" s="174"/>
      <c r="AF91" s="174"/>
      <c r="AG91" s="174"/>
      <c r="AH91" s="174"/>
      <c r="AI91" s="174"/>
      <c r="AJ91" s="174"/>
      <c r="AK91" s="174"/>
      <c r="AL91" s="174"/>
      <c r="AM91" s="174"/>
      <c r="AN91" s="174"/>
      <c r="AO91" s="174"/>
      <c r="AP91" s="174"/>
      <c r="AQ91" s="174"/>
      <c r="AR91" s="174"/>
      <c r="AS91" s="174"/>
      <c r="AT91" s="174"/>
      <c r="AU91" s="174"/>
      <c r="AV91" s="174"/>
      <c r="AW91" s="174"/>
      <c r="AX91" s="175" t="b">
        <f t="shared" ca="1" si="6"/>
        <v>1</v>
      </c>
      <c r="AY91" s="181"/>
      <c r="AZ91" s="182">
        <f t="shared" si="1"/>
        <v>15000000</v>
      </c>
    </row>
    <row r="92" spans="2:52" hidden="1" x14ac:dyDescent="0.25">
      <c r="B92" s="340" t="str">
        <f ca="1">'סיכום לועדה- הזנת נתונים'!B92</f>
        <v/>
      </c>
      <c r="C92" s="340" t="str">
        <f ca="1">'סיכום לועדה- הזנת נתונים'!C92</f>
        <v/>
      </c>
      <c r="D92" s="340">
        <f>'סיכום לועדה- הזנת נתונים'!D92</f>
        <v>0</v>
      </c>
      <c r="E92" s="340">
        <f>'סיכום לועדה- הזנת נתונים'!E92</f>
        <v>0</v>
      </c>
      <c r="F92" s="340">
        <f>'סיכום לועדה- הזנת נתונים'!F92</f>
        <v>0</v>
      </c>
      <c r="G92" s="340" t="str">
        <f ca="1">'סיכום לועדה- הזנת נתונים'!G92</f>
        <v/>
      </c>
      <c r="H92" s="340" t="str">
        <f>'סיכום לועדה- הזנת נתונים'!H92</f>
        <v/>
      </c>
      <c r="I92" s="340" t="str">
        <f>'סיכום לועדה- הזנת נתונים'!I92</f>
        <v/>
      </c>
      <c r="J92" s="340" t="str">
        <f>'סיכום לועדה- הזנת נתונים'!J92</f>
        <v/>
      </c>
      <c r="K92" s="340" t="str">
        <f>'סיכום לועדה- הזנת נתונים'!K92</f>
        <v/>
      </c>
      <c r="L92" s="340" t="str">
        <f>'סיכום לועדה- הזנת נתונים'!L92</f>
        <v/>
      </c>
      <c r="M92" s="340" t="str">
        <f>'סיכום לועדה- הזנת נתונים'!M92</f>
        <v/>
      </c>
      <c r="N92" s="341">
        <f>'סיכום לועדה- הזנת נתונים'!N92</f>
        <v>0</v>
      </c>
      <c r="O92" s="341" t="str">
        <f>'סיכום לועדה- הזנת נתונים'!O92</f>
        <v/>
      </c>
      <c r="P92" s="445" t="str">
        <f>'סיכום לועדה- הזנת נתונים'!P92</f>
        <v/>
      </c>
      <c r="Q92" s="341">
        <f>'סיכום לועדה- הזנת נתונים'!Q92</f>
        <v>0</v>
      </c>
      <c r="R92" s="341">
        <f>'סיכום לועדה- הזנת נתונים'!R92</f>
        <v>0</v>
      </c>
      <c r="S92" s="341">
        <f>'סיכום לועדה- הזנת נתונים'!S92</f>
        <v>0</v>
      </c>
      <c r="T92" s="341">
        <f>'סיכום לועדה- הזנת נתונים'!T92</f>
        <v>0</v>
      </c>
      <c r="U92" s="447">
        <f>'סיכום לועדה- הזנת נתונים'!U92</f>
        <v>0</v>
      </c>
      <c r="V92" s="447">
        <f>'סיכום לועדה- הזנת נתונים'!V92</f>
        <v>0</v>
      </c>
      <c r="W92" s="178" t="str">
        <f t="shared" ca="1" si="2"/>
        <v/>
      </c>
      <c r="X92" s="179" t="str">
        <f t="shared" ca="1" si="3"/>
        <v/>
      </c>
      <c r="Y92" s="175" t="str">
        <f t="shared" ca="1" si="4"/>
        <v/>
      </c>
      <c r="Z92" s="175" t="str">
        <f t="shared" ca="1" si="5"/>
        <v/>
      </c>
      <c r="AA92" s="180" t="str">
        <f t="shared" ca="1" si="0"/>
        <v/>
      </c>
      <c r="AB92" s="174"/>
      <c r="AC92" s="174"/>
      <c r="AD92" s="174"/>
      <c r="AE92" s="174"/>
      <c r="AF92" s="174"/>
      <c r="AG92" s="174"/>
      <c r="AH92" s="174"/>
      <c r="AI92" s="174"/>
      <c r="AJ92" s="174"/>
      <c r="AK92" s="174"/>
      <c r="AL92" s="174"/>
      <c r="AM92" s="174"/>
      <c r="AN92" s="174"/>
      <c r="AO92" s="174"/>
      <c r="AP92" s="174"/>
      <c r="AQ92" s="174"/>
      <c r="AR92" s="174"/>
      <c r="AS92" s="174"/>
      <c r="AT92" s="174"/>
      <c r="AU92" s="174"/>
      <c r="AV92" s="174"/>
      <c r="AW92" s="174"/>
      <c r="AX92" s="175" t="b">
        <f t="shared" ca="1" si="6"/>
        <v>0</v>
      </c>
      <c r="AY92" s="181"/>
      <c r="AZ92" s="182">
        <f t="shared" si="1"/>
        <v>15000000</v>
      </c>
    </row>
    <row r="93" spans="2:52" hidden="1" x14ac:dyDescent="0.25">
      <c r="B93" s="340">
        <f>'סיכום לועדה- הזנת נתונים'!B93</f>
        <v>0</v>
      </c>
      <c r="C93" s="340">
        <f>'סיכום לועדה- הזנת נתונים'!C93</f>
        <v>0</v>
      </c>
      <c r="D93" s="340">
        <f>'סיכום לועדה- הזנת נתונים'!D93</f>
        <v>0</v>
      </c>
      <c r="E93" s="340">
        <f>'סיכום לועדה- הזנת נתונים'!E93</f>
        <v>0</v>
      </c>
      <c r="F93" s="340">
        <f>'סיכום לועדה- הזנת נתונים'!F93</f>
        <v>0</v>
      </c>
      <c r="G93" s="340" t="str">
        <f>'סיכום לועדה- הזנת נתונים'!G93</f>
        <v/>
      </c>
      <c r="H93" s="340" t="str">
        <f>'סיכום לועדה- הזנת נתונים'!H93</f>
        <v/>
      </c>
      <c r="I93" s="340" t="str">
        <f>'סיכום לועדה- הזנת נתונים'!I93</f>
        <v/>
      </c>
      <c r="J93" s="340" t="str">
        <f>'סיכום לועדה- הזנת נתונים'!J93</f>
        <v/>
      </c>
      <c r="K93" s="340" t="str">
        <f>'סיכום לועדה- הזנת נתונים'!K93</f>
        <v/>
      </c>
      <c r="L93" s="340" t="str">
        <f>'סיכום לועדה- הזנת נתונים'!L93</f>
        <v/>
      </c>
      <c r="M93" s="340" t="str">
        <f>'סיכום לועדה- הזנת נתונים'!M93</f>
        <v/>
      </c>
      <c r="N93" s="341">
        <f>'סיכום לועדה- הזנת נתונים'!N93</f>
        <v>0</v>
      </c>
      <c r="O93" s="341" t="str">
        <f>'סיכום לועדה- הזנת נתונים'!O93</f>
        <v/>
      </c>
      <c r="P93" s="445" t="str">
        <f>'סיכום לועדה- הזנת נתונים'!P93</f>
        <v/>
      </c>
      <c r="Q93" s="341">
        <f>'סיכום לועדה- הזנת נתונים'!Q93</f>
        <v>0</v>
      </c>
      <c r="R93" s="341">
        <f>'סיכום לועדה- הזנת נתונים'!R93</f>
        <v>0</v>
      </c>
      <c r="S93" s="341">
        <f>'סיכום לועדה- הזנת נתונים'!S93</f>
        <v>0</v>
      </c>
      <c r="T93" s="341">
        <f>'סיכום לועדה- הזנת נתונים'!T93</f>
        <v>0</v>
      </c>
      <c r="U93" s="447">
        <f>'סיכום לועדה- הזנת נתונים'!U93</f>
        <v>0</v>
      </c>
      <c r="V93" s="447">
        <f>'סיכום לועדה- הזנת נתונים'!V93</f>
        <v>0</v>
      </c>
      <c r="W93" s="178" t="e">
        <f t="shared" si="2"/>
        <v>#VALUE!</v>
      </c>
      <c r="X93" s="179">
        <f t="shared" si="3"/>
        <v>0</v>
      </c>
      <c r="Y93" s="175" t="e">
        <f t="shared" si="4"/>
        <v>#VALUE!</v>
      </c>
      <c r="Z93" s="175" t="str">
        <f t="shared" si="5"/>
        <v>הצג חריגים</v>
      </c>
      <c r="AA93" s="180">
        <f t="shared" si="0"/>
        <v>0</v>
      </c>
      <c r="AB93" s="174"/>
      <c r="AC93" s="174"/>
      <c r="AD93" s="174"/>
      <c r="AE93" s="174"/>
      <c r="AF93" s="174"/>
      <c r="AG93" s="174"/>
      <c r="AH93" s="174"/>
      <c r="AI93" s="174"/>
      <c r="AJ93" s="174"/>
      <c r="AK93" s="174"/>
      <c r="AL93" s="174"/>
      <c r="AM93" s="174"/>
      <c r="AN93" s="174"/>
      <c r="AO93" s="174"/>
      <c r="AP93" s="174"/>
      <c r="AQ93" s="174"/>
      <c r="AR93" s="174"/>
      <c r="AS93" s="174"/>
      <c r="AT93" s="174"/>
      <c r="AU93" s="174"/>
      <c r="AV93" s="174"/>
      <c r="AW93" s="174"/>
      <c r="AX93" s="175" t="b">
        <f t="shared" si="6"/>
        <v>1</v>
      </c>
      <c r="AY93" s="181"/>
      <c r="AZ93" s="182">
        <f t="shared" si="1"/>
        <v>15000000</v>
      </c>
    </row>
    <row r="94" spans="2:52" hidden="1" x14ac:dyDescent="0.25">
      <c r="B94" s="340">
        <f>'סיכום לועדה- הזנת נתונים'!B94</f>
        <v>0</v>
      </c>
      <c r="C94" s="340">
        <f>'סיכום לועדה- הזנת נתונים'!C94</f>
        <v>0</v>
      </c>
      <c r="D94" s="340">
        <f>'סיכום לועדה- הזנת נתונים'!D94</f>
        <v>0</v>
      </c>
      <c r="E94" s="340">
        <f>'סיכום לועדה- הזנת נתונים'!E94</f>
        <v>0</v>
      </c>
      <c r="F94" s="340">
        <f>'סיכום לועדה- הזנת נתונים'!F94</f>
        <v>0</v>
      </c>
      <c r="G94" s="340" t="str">
        <f>'סיכום לועדה- הזנת נתונים'!G94</f>
        <v/>
      </c>
      <c r="H94" s="340" t="str">
        <f>'סיכום לועדה- הזנת נתונים'!H94</f>
        <v/>
      </c>
      <c r="I94" s="340" t="str">
        <f>'סיכום לועדה- הזנת נתונים'!I94</f>
        <v/>
      </c>
      <c r="J94" s="340" t="str">
        <f>'סיכום לועדה- הזנת נתונים'!J94</f>
        <v/>
      </c>
      <c r="K94" s="340" t="str">
        <f>'סיכום לועדה- הזנת נתונים'!K94</f>
        <v/>
      </c>
      <c r="L94" s="340" t="str">
        <f>'סיכום לועדה- הזנת נתונים'!L94</f>
        <v/>
      </c>
      <c r="M94" s="340" t="str">
        <f>'סיכום לועדה- הזנת נתונים'!M94</f>
        <v/>
      </c>
      <c r="N94" s="341">
        <f>'סיכום לועדה- הזנת נתונים'!N94</f>
        <v>0</v>
      </c>
      <c r="O94" s="341" t="str">
        <f>'סיכום לועדה- הזנת נתונים'!O94</f>
        <v/>
      </c>
      <c r="P94" s="445" t="str">
        <f>'סיכום לועדה- הזנת נתונים'!P94</f>
        <v/>
      </c>
      <c r="Q94" s="341">
        <f>'סיכום לועדה- הזנת נתונים'!Q94</f>
        <v>0</v>
      </c>
      <c r="R94" s="341">
        <f>'סיכום לועדה- הזנת נתונים'!R94</f>
        <v>0</v>
      </c>
      <c r="S94" s="341">
        <f>'סיכום לועדה- הזנת נתונים'!S94</f>
        <v>0</v>
      </c>
      <c r="T94" s="341">
        <f>'סיכום לועדה- הזנת נתונים'!T94</f>
        <v>0</v>
      </c>
      <c r="U94" s="447">
        <f>'סיכום לועדה- הזנת נתונים'!U94</f>
        <v>0</v>
      </c>
      <c r="V94" s="447">
        <f>'סיכום לועדה- הזנת נתונים'!V94</f>
        <v>0</v>
      </c>
      <c r="W94" s="178" t="e">
        <f t="shared" si="2"/>
        <v>#VALUE!</v>
      </c>
      <c r="X94" s="179">
        <f t="shared" si="3"/>
        <v>0</v>
      </c>
      <c r="Y94" s="175" t="e">
        <f t="shared" si="4"/>
        <v>#VALUE!</v>
      </c>
      <c r="Z94" s="175" t="str">
        <f t="shared" si="5"/>
        <v>הצג חריגים</v>
      </c>
      <c r="AA94" s="180">
        <f t="shared" si="0"/>
        <v>0</v>
      </c>
      <c r="AB94" s="174"/>
      <c r="AC94" s="174"/>
      <c r="AD94" s="174"/>
      <c r="AE94" s="174"/>
      <c r="AF94" s="174"/>
      <c r="AG94" s="174"/>
      <c r="AH94" s="174"/>
      <c r="AI94" s="174"/>
      <c r="AJ94" s="174"/>
      <c r="AK94" s="174"/>
      <c r="AL94" s="174"/>
      <c r="AM94" s="174"/>
      <c r="AN94" s="174"/>
      <c r="AO94" s="174"/>
      <c r="AP94" s="174"/>
      <c r="AQ94" s="174"/>
      <c r="AR94" s="174"/>
      <c r="AS94" s="174"/>
      <c r="AT94" s="174"/>
      <c r="AU94" s="174"/>
      <c r="AV94" s="174"/>
      <c r="AW94" s="174"/>
      <c r="AX94" s="175" t="b">
        <f t="shared" si="6"/>
        <v>1</v>
      </c>
      <c r="AY94" s="181"/>
      <c r="AZ94" s="182">
        <f t="shared" si="1"/>
        <v>15000000</v>
      </c>
    </row>
    <row r="95" spans="2:52" hidden="1" x14ac:dyDescent="0.25">
      <c r="B95" s="340">
        <f>'סיכום לועדה- הזנת נתונים'!B95</f>
        <v>0</v>
      </c>
      <c r="C95" s="340">
        <f>'סיכום לועדה- הזנת נתונים'!C95</f>
        <v>0</v>
      </c>
      <c r="D95" s="340">
        <f>'סיכום לועדה- הזנת נתונים'!D95</f>
        <v>0</v>
      </c>
      <c r="E95" s="340">
        <f>'סיכום לועדה- הזנת נתונים'!E95</f>
        <v>0</v>
      </c>
      <c r="F95" s="340">
        <f>'סיכום לועדה- הזנת נתונים'!F95</f>
        <v>0</v>
      </c>
      <c r="G95" s="340" t="str">
        <f>'סיכום לועדה- הזנת נתונים'!G95</f>
        <v/>
      </c>
      <c r="H95" s="340" t="str">
        <f>'סיכום לועדה- הזנת נתונים'!H95</f>
        <v/>
      </c>
      <c r="I95" s="340" t="str">
        <f>'סיכום לועדה- הזנת נתונים'!I95</f>
        <v/>
      </c>
      <c r="J95" s="340" t="str">
        <f>'סיכום לועדה- הזנת נתונים'!J95</f>
        <v/>
      </c>
      <c r="K95" s="340" t="str">
        <f>'סיכום לועדה- הזנת נתונים'!K95</f>
        <v/>
      </c>
      <c r="L95" s="340" t="str">
        <f>'סיכום לועדה- הזנת נתונים'!L95</f>
        <v/>
      </c>
      <c r="M95" s="340" t="str">
        <f>'סיכום לועדה- הזנת נתונים'!M95</f>
        <v/>
      </c>
      <c r="N95" s="341">
        <f>'סיכום לועדה- הזנת נתונים'!N95</f>
        <v>0</v>
      </c>
      <c r="O95" s="341" t="str">
        <f>'סיכום לועדה- הזנת נתונים'!O95</f>
        <v/>
      </c>
      <c r="P95" s="445" t="str">
        <f>'סיכום לועדה- הזנת נתונים'!P95</f>
        <v/>
      </c>
      <c r="Q95" s="341">
        <f>'סיכום לועדה- הזנת נתונים'!Q95</f>
        <v>0</v>
      </c>
      <c r="R95" s="341">
        <f>'סיכום לועדה- הזנת נתונים'!R95</f>
        <v>0</v>
      </c>
      <c r="S95" s="341">
        <f>'סיכום לועדה- הזנת נתונים'!S95</f>
        <v>0</v>
      </c>
      <c r="T95" s="341">
        <f>'סיכום לועדה- הזנת נתונים'!T95</f>
        <v>0</v>
      </c>
      <c r="U95" s="447">
        <f>'סיכום לועדה- הזנת נתונים'!U95</f>
        <v>0</v>
      </c>
      <c r="V95" s="447">
        <f>'סיכום לועדה- הזנת נתונים'!V95</f>
        <v>0</v>
      </c>
      <c r="W95" s="178" t="e">
        <f t="shared" si="2"/>
        <v>#VALUE!</v>
      </c>
      <c r="X95" s="179">
        <f t="shared" si="3"/>
        <v>0</v>
      </c>
      <c r="Y95" s="175" t="e">
        <f t="shared" si="4"/>
        <v>#VALUE!</v>
      </c>
      <c r="Z95" s="175" t="str">
        <f t="shared" si="5"/>
        <v>הצג חריגים</v>
      </c>
      <c r="AA95" s="180">
        <f t="shared" ref="AA95:AA131" si="7">IF(C95="","",Q95/$C$2)</f>
        <v>0</v>
      </c>
      <c r="AB95" s="174"/>
      <c r="AC95" s="174"/>
      <c r="AD95" s="174"/>
      <c r="AE95" s="174"/>
      <c r="AF95" s="174"/>
      <c r="AG95" s="174"/>
      <c r="AH95" s="174"/>
      <c r="AI95" s="174"/>
      <c r="AJ95" s="174"/>
      <c r="AK95" s="174"/>
      <c r="AL95" s="174"/>
      <c r="AM95" s="174"/>
      <c r="AN95" s="174"/>
      <c r="AO95" s="174"/>
      <c r="AP95" s="174"/>
      <c r="AQ95" s="174"/>
      <c r="AR95" s="174"/>
      <c r="AS95" s="174"/>
      <c r="AT95" s="174"/>
      <c r="AU95" s="174"/>
      <c r="AV95" s="174"/>
      <c r="AW95" s="174"/>
      <c r="AX95" s="175" t="b">
        <f t="shared" si="6"/>
        <v>1</v>
      </c>
      <c r="AY95" s="181"/>
      <c r="AZ95" s="182">
        <f t="shared" ref="AZ95:AZ131" si="8">$C$2</f>
        <v>15000000</v>
      </c>
    </row>
    <row r="96" spans="2:52" hidden="1" x14ac:dyDescent="0.25">
      <c r="B96" s="340">
        <f>'סיכום לועדה- הזנת נתונים'!B96</f>
        <v>0</v>
      </c>
      <c r="C96" s="340">
        <f>'סיכום לועדה- הזנת נתונים'!C96</f>
        <v>0</v>
      </c>
      <c r="D96" s="340">
        <f>'סיכום לועדה- הזנת נתונים'!D96</f>
        <v>0</v>
      </c>
      <c r="E96" s="340">
        <f>'סיכום לועדה- הזנת נתונים'!E96</f>
        <v>0</v>
      </c>
      <c r="F96" s="340">
        <f>'סיכום לועדה- הזנת נתונים'!F96</f>
        <v>0</v>
      </c>
      <c r="G96" s="340" t="str">
        <f>'סיכום לועדה- הזנת נתונים'!G96</f>
        <v/>
      </c>
      <c r="H96" s="340" t="str">
        <f>'סיכום לועדה- הזנת נתונים'!H96</f>
        <v/>
      </c>
      <c r="I96" s="340" t="str">
        <f>'סיכום לועדה- הזנת נתונים'!I96</f>
        <v/>
      </c>
      <c r="J96" s="340" t="str">
        <f>'סיכום לועדה- הזנת נתונים'!J96</f>
        <v/>
      </c>
      <c r="K96" s="340" t="str">
        <f>'סיכום לועדה- הזנת נתונים'!K96</f>
        <v/>
      </c>
      <c r="L96" s="340" t="str">
        <f>'סיכום לועדה- הזנת נתונים'!L96</f>
        <v/>
      </c>
      <c r="M96" s="340" t="str">
        <f>'סיכום לועדה- הזנת נתונים'!M96</f>
        <v/>
      </c>
      <c r="N96" s="341">
        <f>'סיכום לועדה- הזנת נתונים'!N96</f>
        <v>0</v>
      </c>
      <c r="O96" s="341" t="str">
        <f>'סיכום לועדה- הזנת נתונים'!O96</f>
        <v/>
      </c>
      <c r="P96" s="445" t="str">
        <f>'סיכום לועדה- הזנת נתונים'!P96</f>
        <v/>
      </c>
      <c r="Q96" s="341">
        <f>'סיכום לועדה- הזנת נתונים'!Q96</f>
        <v>0</v>
      </c>
      <c r="R96" s="341">
        <f>'סיכום לועדה- הזנת נתונים'!R96</f>
        <v>0</v>
      </c>
      <c r="S96" s="341">
        <f>'סיכום לועדה- הזנת נתונים'!S96</f>
        <v>0</v>
      </c>
      <c r="T96" s="341">
        <f>'סיכום לועדה- הזנת נתונים'!T96</f>
        <v>0</v>
      </c>
      <c r="U96" s="447">
        <f>'סיכום לועדה- הזנת נתונים'!U96</f>
        <v>0</v>
      </c>
      <c r="V96" s="447">
        <f>'סיכום לועדה- הזנת נתונים'!V96</f>
        <v>0</v>
      </c>
      <c r="W96" s="178" t="e">
        <f t="shared" ref="W96:W131" si="9">IF($C96="","",L96-I96)</f>
        <v>#VALUE!</v>
      </c>
      <c r="X96" s="179">
        <f t="shared" ref="X96:X131" si="10">IF($C96="","",IFERROR(Q96/I96-1,0))</f>
        <v>0</v>
      </c>
      <c r="Y96" s="175" t="e">
        <f t="shared" ref="Y96:Y130" si="11">IF($C96="","",IF(ABS(W96)&gt;=$Y$29,"הצג חריגים","הצג לא חריגים"))</f>
        <v>#VALUE!</v>
      </c>
      <c r="Z96" s="175" t="str">
        <f t="shared" ref="Z96:Z130" si="12">IF($C96="","",IF(ABS(X96)&gt;=$Z$29,"הצג חריגים","הצג לא חריגים"))</f>
        <v>הצג חריגים</v>
      </c>
      <c r="AA96" s="180">
        <f t="shared" si="7"/>
        <v>0</v>
      </c>
      <c r="AB96" s="174"/>
      <c r="AC96" s="174"/>
      <c r="AD96" s="174"/>
      <c r="AE96" s="174"/>
      <c r="AF96" s="174"/>
      <c r="AG96" s="174"/>
      <c r="AH96" s="174"/>
      <c r="AI96" s="174"/>
      <c r="AJ96" s="174"/>
      <c r="AK96" s="174"/>
      <c r="AL96" s="174"/>
      <c r="AM96" s="174"/>
      <c r="AN96" s="174"/>
      <c r="AO96" s="174"/>
      <c r="AP96" s="174"/>
      <c r="AQ96" s="174"/>
      <c r="AR96" s="174"/>
      <c r="AS96" s="174"/>
      <c r="AT96" s="174"/>
      <c r="AU96" s="174"/>
      <c r="AV96" s="174"/>
      <c r="AW96" s="174"/>
      <c r="AX96" s="175" t="b">
        <f t="shared" ref="AX96:AX131" si="13">C96&lt;&gt;""</f>
        <v>1</v>
      </c>
      <c r="AY96" s="181"/>
      <c r="AZ96" s="182">
        <f t="shared" si="8"/>
        <v>15000000</v>
      </c>
    </row>
    <row r="97" spans="2:52" hidden="1" x14ac:dyDescent="0.25">
      <c r="B97" s="340">
        <f>'סיכום לועדה- הזנת נתונים'!B97</f>
        <v>0</v>
      </c>
      <c r="C97" s="340">
        <f>'סיכום לועדה- הזנת נתונים'!C97</f>
        <v>0</v>
      </c>
      <c r="D97" s="340">
        <f>'סיכום לועדה- הזנת נתונים'!D97</f>
        <v>0</v>
      </c>
      <c r="E97" s="340">
        <f>'סיכום לועדה- הזנת נתונים'!E97</f>
        <v>0</v>
      </c>
      <c r="F97" s="340">
        <f>'סיכום לועדה- הזנת נתונים'!F97</f>
        <v>0</v>
      </c>
      <c r="G97" s="340" t="str">
        <f>'סיכום לועדה- הזנת נתונים'!G97</f>
        <v/>
      </c>
      <c r="H97" s="340" t="str">
        <f>'סיכום לועדה- הזנת נתונים'!H97</f>
        <v/>
      </c>
      <c r="I97" s="340" t="str">
        <f>'סיכום לועדה- הזנת נתונים'!I97</f>
        <v/>
      </c>
      <c r="J97" s="340" t="str">
        <f>'סיכום לועדה- הזנת נתונים'!J97</f>
        <v/>
      </c>
      <c r="K97" s="340" t="str">
        <f>'סיכום לועדה- הזנת נתונים'!K97</f>
        <v/>
      </c>
      <c r="L97" s="340" t="str">
        <f>'סיכום לועדה- הזנת נתונים'!L97</f>
        <v/>
      </c>
      <c r="M97" s="340" t="str">
        <f>'סיכום לועדה- הזנת נתונים'!M97</f>
        <v/>
      </c>
      <c r="N97" s="341">
        <f>'סיכום לועדה- הזנת נתונים'!N97</f>
        <v>0</v>
      </c>
      <c r="O97" s="341" t="str">
        <f>'סיכום לועדה- הזנת נתונים'!O97</f>
        <v/>
      </c>
      <c r="P97" s="445" t="str">
        <f>'סיכום לועדה- הזנת נתונים'!P97</f>
        <v/>
      </c>
      <c r="Q97" s="341">
        <f>'סיכום לועדה- הזנת נתונים'!Q97</f>
        <v>0</v>
      </c>
      <c r="R97" s="341">
        <f>'סיכום לועדה- הזנת נתונים'!R97</f>
        <v>0</v>
      </c>
      <c r="S97" s="341">
        <f>'סיכום לועדה- הזנת נתונים'!S97</f>
        <v>0</v>
      </c>
      <c r="T97" s="341">
        <f>'סיכום לועדה- הזנת נתונים'!T97</f>
        <v>0</v>
      </c>
      <c r="U97" s="447">
        <f>'סיכום לועדה- הזנת נתונים'!U97</f>
        <v>0</v>
      </c>
      <c r="V97" s="447">
        <f>'סיכום לועדה- הזנת נתונים'!V97</f>
        <v>0</v>
      </c>
      <c r="W97" s="178" t="e">
        <f t="shared" si="9"/>
        <v>#VALUE!</v>
      </c>
      <c r="X97" s="179">
        <f t="shared" si="10"/>
        <v>0</v>
      </c>
      <c r="Y97" s="175" t="e">
        <f t="shared" si="11"/>
        <v>#VALUE!</v>
      </c>
      <c r="Z97" s="175" t="str">
        <f t="shared" si="12"/>
        <v>הצג חריגים</v>
      </c>
      <c r="AA97" s="180">
        <f t="shared" si="7"/>
        <v>0</v>
      </c>
      <c r="AB97" s="174"/>
      <c r="AC97" s="174"/>
      <c r="AD97" s="174"/>
      <c r="AE97" s="174"/>
      <c r="AF97" s="174"/>
      <c r="AG97" s="174"/>
      <c r="AH97" s="174"/>
      <c r="AI97" s="174"/>
      <c r="AJ97" s="174"/>
      <c r="AK97" s="174"/>
      <c r="AL97" s="174"/>
      <c r="AM97" s="174"/>
      <c r="AN97" s="174"/>
      <c r="AO97" s="174"/>
      <c r="AP97" s="174"/>
      <c r="AQ97" s="174"/>
      <c r="AR97" s="174"/>
      <c r="AS97" s="174"/>
      <c r="AT97" s="174"/>
      <c r="AU97" s="174"/>
      <c r="AV97" s="174"/>
      <c r="AW97" s="174"/>
      <c r="AX97" s="175" t="b">
        <f t="shared" si="13"/>
        <v>1</v>
      </c>
      <c r="AY97" s="181"/>
      <c r="AZ97" s="182">
        <f t="shared" si="8"/>
        <v>15000000</v>
      </c>
    </row>
    <row r="98" spans="2:52" hidden="1" x14ac:dyDescent="0.25">
      <c r="B98" s="340">
        <f>'סיכום לועדה- הזנת נתונים'!B98</f>
        <v>0</v>
      </c>
      <c r="C98" s="340">
        <f>'סיכום לועדה- הזנת נתונים'!C98</f>
        <v>0</v>
      </c>
      <c r="D98" s="340">
        <f>'סיכום לועדה- הזנת נתונים'!D98</f>
        <v>0</v>
      </c>
      <c r="E98" s="340">
        <f>'סיכום לועדה- הזנת נתונים'!E98</f>
        <v>0</v>
      </c>
      <c r="F98" s="340">
        <f>'סיכום לועדה- הזנת נתונים'!F98</f>
        <v>0</v>
      </c>
      <c r="G98" s="340" t="str">
        <f>'סיכום לועדה- הזנת נתונים'!G98</f>
        <v/>
      </c>
      <c r="H98" s="340" t="str">
        <f>'סיכום לועדה- הזנת נתונים'!H98</f>
        <v/>
      </c>
      <c r="I98" s="340" t="str">
        <f>'סיכום לועדה- הזנת נתונים'!I98</f>
        <v/>
      </c>
      <c r="J98" s="340" t="str">
        <f>'סיכום לועדה- הזנת נתונים'!J98</f>
        <v/>
      </c>
      <c r="K98" s="340" t="str">
        <f>'סיכום לועדה- הזנת נתונים'!K98</f>
        <v/>
      </c>
      <c r="L98" s="340" t="str">
        <f>'סיכום לועדה- הזנת נתונים'!L98</f>
        <v/>
      </c>
      <c r="M98" s="340" t="str">
        <f>'סיכום לועדה- הזנת נתונים'!M98</f>
        <v/>
      </c>
      <c r="N98" s="341">
        <f>'סיכום לועדה- הזנת נתונים'!N98</f>
        <v>0</v>
      </c>
      <c r="O98" s="341" t="str">
        <f>'סיכום לועדה- הזנת נתונים'!O98</f>
        <v/>
      </c>
      <c r="P98" s="445" t="str">
        <f>'סיכום לועדה- הזנת נתונים'!P98</f>
        <v/>
      </c>
      <c r="Q98" s="341">
        <f>'סיכום לועדה- הזנת נתונים'!Q98</f>
        <v>0</v>
      </c>
      <c r="R98" s="341">
        <f>'סיכום לועדה- הזנת נתונים'!R98</f>
        <v>0</v>
      </c>
      <c r="S98" s="341">
        <f>'סיכום לועדה- הזנת נתונים'!S98</f>
        <v>0</v>
      </c>
      <c r="T98" s="341">
        <f>'סיכום לועדה- הזנת נתונים'!T98</f>
        <v>0</v>
      </c>
      <c r="U98" s="447">
        <f>'סיכום לועדה- הזנת נתונים'!U98</f>
        <v>0</v>
      </c>
      <c r="V98" s="447">
        <f>'סיכום לועדה- הזנת נתונים'!V98</f>
        <v>0</v>
      </c>
      <c r="W98" s="178" t="e">
        <f t="shared" si="9"/>
        <v>#VALUE!</v>
      </c>
      <c r="X98" s="179">
        <f t="shared" si="10"/>
        <v>0</v>
      </c>
      <c r="Y98" s="175" t="e">
        <f t="shared" si="11"/>
        <v>#VALUE!</v>
      </c>
      <c r="Z98" s="175" t="str">
        <f t="shared" si="12"/>
        <v>הצג חריגים</v>
      </c>
      <c r="AA98" s="180">
        <f t="shared" si="7"/>
        <v>0</v>
      </c>
      <c r="AB98" s="174"/>
      <c r="AC98" s="174"/>
      <c r="AD98" s="174"/>
      <c r="AE98" s="174"/>
      <c r="AF98" s="174"/>
      <c r="AG98" s="174"/>
      <c r="AH98" s="174"/>
      <c r="AI98" s="174"/>
      <c r="AJ98" s="174"/>
      <c r="AK98" s="174"/>
      <c r="AL98" s="174"/>
      <c r="AM98" s="174"/>
      <c r="AN98" s="174"/>
      <c r="AO98" s="174"/>
      <c r="AP98" s="174"/>
      <c r="AQ98" s="174"/>
      <c r="AR98" s="174"/>
      <c r="AS98" s="174"/>
      <c r="AT98" s="174"/>
      <c r="AU98" s="174"/>
      <c r="AV98" s="174"/>
      <c r="AW98" s="174"/>
      <c r="AX98" s="175" t="b">
        <f t="shared" si="13"/>
        <v>1</v>
      </c>
      <c r="AY98" s="181"/>
      <c r="AZ98" s="182">
        <f t="shared" si="8"/>
        <v>15000000</v>
      </c>
    </row>
    <row r="99" spans="2:52" hidden="1" x14ac:dyDescent="0.25">
      <c r="B99" s="340">
        <f>'סיכום לועדה- הזנת נתונים'!B99</f>
        <v>0</v>
      </c>
      <c r="C99" s="340">
        <f>'סיכום לועדה- הזנת נתונים'!C99</f>
        <v>0</v>
      </c>
      <c r="D99" s="340">
        <f>'סיכום לועדה- הזנת נתונים'!D99</f>
        <v>0</v>
      </c>
      <c r="E99" s="340">
        <f>'סיכום לועדה- הזנת נתונים'!E99</f>
        <v>0</v>
      </c>
      <c r="F99" s="340">
        <f>'סיכום לועדה- הזנת נתונים'!F99</f>
        <v>0</v>
      </c>
      <c r="G99" s="340" t="str">
        <f>'סיכום לועדה- הזנת נתונים'!G99</f>
        <v/>
      </c>
      <c r="H99" s="340" t="str">
        <f>'סיכום לועדה- הזנת נתונים'!H99</f>
        <v/>
      </c>
      <c r="I99" s="340" t="str">
        <f>'סיכום לועדה- הזנת נתונים'!I99</f>
        <v/>
      </c>
      <c r="J99" s="340" t="str">
        <f>'סיכום לועדה- הזנת נתונים'!J99</f>
        <v/>
      </c>
      <c r="K99" s="340" t="str">
        <f>'סיכום לועדה- הזנת נתונים'!K99</f>
        <v/>
      </c>
      <c r="L99" s="340" t="str">
        <f>'סיכום לועדה- הזנת נתונים'!L99</f>
        <v/>
      </c>
      <c r="M99" s="340" t="str">
        <f>'סיכום לועדה- הזנת נתונים'!M99</f>
        <v/>
      </c>
      <c r="N99" s="341">
        <f>'סיכום לועדה- הזנת נתונים'!N99</f>
        <v>0</v>
      </c>
      <c r="O99" s="341" t="str">
        <f>'סיכום לועדה- הזנת נתונים'!O99</f>
        <v/>
      </c>
      <c r="P99" s="445" t="str">
        <f>'סיכום לועדה- הזנת נתונים'!P99</f>
        <v/>
      </c>
      <c r="Q99" s="341">
        <f>'סיכום לועדה- הזנת נתונים'!Q99</f>
        <v>0</v>
      </c>
      <c r="R99" s="341">
        <f>'סיכום לועדה- הזנת נתונים'!R99</f>
        <v>0</v>
      </c>
      <c r="S99" s="341">
        <f>'סיכום לועדה- הזנת נתונים'!S99</f>
        <v>0</v>
      </c>
      <c r="T99" s="341">
        <f>'סיכום לועדה- הזנת נתונים'!T99</f>
        <v>0</v>
      </c>
      <c r="U99" s="447">
        <f>'סיכום לועדה- הזנת נתונים'!U99</f>
        <v>0</v>
      </c>
      <c r="V99" s="447">
        <f>'סיכום לועדה- הזנת נתונים'!V99</f>
        <v>0</v>
      </c>
      <c r="W99" s="178" t="e">
        <f t="shared" si="9"/>
        <v>#VALUE!</v>
      </c>
      <c r="X99" s="179">
        <f t="shared" si="10"/>
        <v>0</v>
      </c>
      <c r="Y99" s="175" t="e">
        <f t="shared" si="11"/>
        <v>#VALUE!</v>
      </c>
      <c r="Z99" s="175" t="str">
        <f t="shared" si="12"/>
        <v>הצג חריגים</v>
      </c>
      <c r="AA99" s="180">
        <f t="shared" si="7"/>
        <v>0</v>
      </c>
      <c r="AB99" s="174"/>
      <c r="AC99" s="174"/>
      <c r="AD99" s="174"/>
      <c r="AE99" s="174"/>
      <c r="AF99" s="174"/>
      <c r="AG99" s="174"/>
      <c r="AH99" s="174"/>
      <c r="AI99" s="174"/>
      <c r="AJ99" s="174"/>
      <c r="AK99" s="174"/>
      <c r="AL99" s="174"/>
      <c r="AM99" s="174"/>
      <c r="AN99" s="174"/>
      <c r="AO99" s="174"/>
      <c r="AP99" s="174"/>
      <c r="AQ99" s="174"/>
      <c r="AR99" s="174"/>
      <c r="AS99" s="174"/>
      <c r="AT99" s="174"/>
      <c r="AU99" s="174"/>
      <c r="AV99" s="174"/>
      <c r="AW99" s="174"/>
      <c r="AX99" s="175" t="b">
        <f t="shared" si="13"/>
        <v>1</v>
      </c>
      <c r="AY99" s="181"/>
      <c r="AZ99" s="182">
        <f t="shared" si="8"/>
        <v>15000000</v>
      </c>
    </row>
    <row r="100" spans="2:52" hidden="1" x14ac:dyDescent="0.25">
      <c r="B100" s="340">
        <f>'סיכום לועדה- הזנת נתונים'!B100</f>
        <v>0</v>
      </c>
      <c r="C100" s="340">
        <f>'סיכום לועדה- הזנת נתונים'!C100</f>
        <v>0</v>
      </c>
      <c r="D100" s="340">
        <f>'סיכום לועדה- הזנת נתונים'!D100</f>
        <v>0</v>
      </c>
      <c r="E100" s="340">
        <f>'סיכום לועדה- הזנת נתונים'!E100</f>
        <v>0</v>
      </c>
      <c r="F100" s="340">
        <f>'סיכום לועדה- הזנת נתונים'!F100</f>
        <v>0</v>
      </c>
      <c r="G100" s="340" t="str">
        <f>'סיכום לועדה- הזנת נתונים'!G100</f>
        <v/>
      </c>
      <c r="H100" s="340" t="str">
        <f>'סיכום לועדה- הזנת נתונים'!H100</f>
        <v/>
      </c>
      <c r="I100" s="340" t="str">
        <f>'סיכום לועדה- הזנת נתונים'!I100</f>
        <v/>
      </c>
      <c r="J100" s="340" t="str">
        <f>'סיכום לועדה- הזנת נתונים'!J100</f>
        <v/>
      </c>
      <c r="K100" s="340" t="str">
        <f>'סיכום לועדה- הזנת נתונים'!K100</f>
        <v/>
      </c>
      <c r="L100" s="340" t="str">
        <f>'סיכום לועדה- הזנת נתונים'!L100</f>
        <v/>
      </c>
      <c r="M100" s="340" t="str">
        <f>'סיכום לועדה- הזנת נתונים'!M100</f>
        <v/>
      </c>
      <c r="N100" s="341">
        <f>'סיכום לועדה- הזנת נתונים'!N100</f>
        <v>0</v>
      </c>
      <c r="O100" s="341" t="str">
        <f>'סיכום לועדה- הזנת נתונים'!O100</f>
        <v/>
      </c>
      <c r="P100" s="445" t="str">
        <f>'סיכום לועדה- הזנת נתונים'!P100</f>
        <v/>
      </c>
      <c r="Q100" s="341">
        <f>'סיכום לועדה- הזנת נתונים'!Q100</f>
        <v>0</v>
      </c>
      <c r="R100" s="341">
        <f>'סיכום לועדה- הזנת נתונים'!R100</f>
        <v>0</v>
      </c>
      <c r="S100" s="341">
        <f>'סיכום לועדה- הזנת נתונים'!S100</f>
        <v>0</v>
      </c>
      <c r="T100" s="341">
        <f>'סיכום לועדה- הזנת נתונים'!T100</f>
        <v>0</v>
      </c>
      <c r="U100" s="447">
        <f>'סיכום לועדה- הזנת נתונים'!U100</f>
        <v>0</v>
      </c>
      <c r="V100" s="447">
        <f>'סיכום לועדה- הזנת נתונים'!V100</f>
        <v>0</v>
      </c>
      <c r="W100" s="178" t="e">
        <f t="shared" si="9"/>
        <v>#VALUE!</v>
      </c>
      <c r="X100" s="179">
        <f t="shared" si="10"/>
        <v>0</v>
      </c>
      <c r="Y100" s="175" t="e">
        <f t="shared" si="11"/>
        <v>#VALUE!</v>
      </c>
      <c r="Z100" s="175" t="str">
        <f t="shared" si="12"/>
        <v>הצג חריגים</v>
      </c>
      <c r="AA100" s="180">
        <f t="shared" si="7"/>
        <v>0</v>
      </c>
      <c r="AB100" s="174"/>
      <c r="AC100" s="174"/>
      <c r="AD100" s="174"/>
      <c r="AE100" s="174"/>
      <c r="AF100" s="174"/>
      <c r="AG100" s="174"/>
      <c r="AH100" s="174"/>
      <c r="AI100" s="174"/>
      <c r="AJ100" s="174"/>
      <c r="AK100" s="174"/>
      <c r="AL100" s="174"/>
      <c r="AM100" s="174"/>
      <c r="AN100" s="174"/>
      <c r="AO100" s="174"/>
      <c r="AP100" s="174"/>
      <c r="AQ100" s="174"/>
      <c r="AR100" s="174"/>
      <c r="AS100" s="174"/>
      <c r="AT100" s="174"/>
      <c r="AU100" s="174"/>
      <c r="AV100" s="174"/>
      <c r="AW100" s="174"/>
      <c r="AX100" s="175" t="b">
        <f t="shared" si="13"/>
        <v>1</v>
      </c>
      <c r="AY100" s="181"/>
      <c r="AZ100" s="182">
        <f t="shared" si="8"/>
        <v>15000000</v>
      </c>
    </row>
    <row r="101" spans="2:52" hidden="1" x14ac:dyDescent="0.25">
      <c r="B101" s="340">
        <f>'סיכום לועדה- הזנת נתונים'!B101</f>
        <v>0</v>
      </c>
      <c r="C101" s="340">
        <f>'סיכום לועדה- הזנת נתונים'!C101</f>
        <v>0</v>
      </c>
      <c r="D101" s="340">
        <f>'סיכום לועדה- הזנת נתונים'!D101</f>
        <v>0</v>
      </c>
      <c r="E101" s="340">
        <f>'סיכום לועדה- הזנת נתונים'!E101</f>
        <v>0</v>
      </c>
      <c r="F101" s="340">
        <f>'סיכום לועדה- הזנת נתונים'!F101</f>
        <v>0</v>
      </c>
      <c r="G101" s="340" t="str">
        <f>'סיכום לועדה- הזנת נתונים'!G101</f>
        <v/>
      </c>
      <c r="H101" s="340" t="str">
        <f>'סיכום לועדה- הזנת נתונים'!H101</f>
        <v/>
      </c>
      <c r="I101" s="340" t="str">
        <f>'סיכום לועדה- הזנת נתונים'!I101</f>
        <v/>
      </c>
      <c r="J101" s="340" t="str">
        <f>'סיכום לועדה- הזנת נתונים'!J101</f>
        <v/>
      </c>
      <c r="K101" s="340" t="str">
        <f>'סיכום לועדה- הזנת נתונים'!K101</f>
        <v/>
      </c>
      <c r="L101" s="340" t="str">
        <f>'סיכום לועדה- הזנת נתונים'!L101</f>
        <v/>
      </c>
      <c r="M101" s="340" t="str">
        <f>'סיכום לועדה- הזנת נתונים'!M101</f>
        <v/>
      </c>
      <c r="N101" s="341">
        <f>'סיכום לועדה- הזנת נתונים'!N101</f>
        <v>0</v>
      </c>
      <c r="O101" s="341" t="str">
        <f>'סיכום לועדה- הזנת נתונים'!O101</f>
        <v/>
      </c>
      <c r="P101" s="445" t="str">
        <f>'סיכום לועדה- הזנת נתונים'!P101</f>
        <v/>
      </c>
      <c r="Q101" s="341">
        <f>'סיכום לועדה- הזנת נתונים'!Q101</f>
        <v>0</v>
      </c>
      <c r="R101" s="341">
        <f>'סיכום לועדה- הזנת נתונים'!R101</f>
        <v>0</v>
      </c>
      <c r="S101" s="341">
        <f>'סיכום לועדה- הזנת נתונים'!S101</f>
        <v>0</v>
      </c>
      <c r="T101" s="341">
        <f>'סיכום לועדה- הזנת נתונים'!T101</f>
        <v>0</v>
      </c>
      <c r="U101" s="447">
        <f>'סיכום לועדה- הזנת נתונים'!U101</f>
        <v>0</v>
      </c>
      <c r="V101" s="447">
        <f>'סיכום לועדה- הזנת נתונים'!V101</f>
        <v>0</v>
      </c>
      <c r="W101" s="178" t="e">
        <f t="shared" si="9"/>
        <v>#VALUE!</v>
      </c>
      <c r="X101" s="179">
        <f t="shared" si="10"/>
        <v>0</v>
      </c>
      <c r="Y101" s="175" t="e">
        <f t="shared" si="11"/>
        <v>#VALUE!</v>
      </c>
      <c r="Z101" s="175" t="str">
        <f t="shared" si="12"/>
        <v>הצג חריגים</v>
      </c>
      <c r="AA101" s="180">
        <f t="shared" si="7"/>
        <v>0</v>
      </c>
      <c r="AB101" s="174"/>
      <c r="AC101" s="174"/>
      <c r="AD101" s="174"/>
      <c r="AE101" s="174"/>
      <c r="AF101" s="174"/>
      <c r="AG101" s="174"/>
      <c r="AH101" s="174"/>
      <c r="AI101" s="174"/>
      <c r="AJ101" s="174"/>
      <c r="AK101" s="174"/>
      <c r="AL101" s="174"/>
      <c r="AM101" s="174"/>
      <c r="AN101" s="174"/>
      <c r="AO101" s="174"/>
      <c r="AP101" s="174"/>
      <c r="AQ101" s="174"/>
      <c r="AR101" s="174"/>
      <c r="AS101" s="174"/>
      <c r="AT101" s="174"/>
      <c r="AU101" s="174"/>
      <c r="AV101" s="174"/>
      <c r="AW101" s="174"/>
      <c r="AX101" s="175" t="b">
        <f t="shared" si="13"/>
        <v>1</v>
      </c>
      <c r="AY101" s="181"/>
      <c r="AZ101" s="182">
        <f t="shared" si="8"/>
        <v>15000000</v>
      </c>
    </row>
    <row r="102" spans="2:52" hidden="1" x14ac:dyDescent="0.25">
      <c r="B102" s="340">
        <f>'סיכום לועדה- הזנת נתונים'!B102</f>
        <v>0</v>
      </c>
      <c r="C102" s="340">
        <f>'סיכום לועדה- הזנת נתונים'!C102</f>
        <v>0</v>
      </c>
      <c r="D102" s="340">
        <f>'סיכום לועדה- הזנת נתונים'!D102</f>
        <v>0</v>
      </c>
      <c r="E102" s="340">
        <f>'סיכום לועדה- הזנת נתונים'!E102</f>
        <v>0</v>
      </c>
      <c r="F102" s="340">
        <f>'סיכום לועדה- הזנת נתונים'!F102</f>
        <v>0</v>
      </c>
      <c r="G102" s="340" t="str">
        <f>'סיכום לועדה- הזנת נתונים'!G102</f>
        <v/>
      </c>
      <c r="H102" s="340" t="str">
        <f>'סיכום לועדה- הזנת נתונים'!H102</f>
        <v/>
      </c>
      <c r="I102" s="340" t="str">
        <f>'סיכום לועדה- הזנת נתונים'!I102</f>
        <v/>
      </c>
      <c r="J102" s="340" t="str">
        <f>'סיכום לועדה- הזנת נתונים'!J102</f>
        <v/>
      </c>
      <c r="K102" s="340" t="str">
        <f>'סיכום לועדה- הזנת נתונים'!K102</f>
        <v/>
      </c>
      <c r="L102" s="340" t="str">
        <f>'סיכום לועדה- הזנת נתונים'!L102</f>
        <v/>
      </c>
      <c r="M102" s="340" t="str">
        <f>'סיכום לועדה- הזנת נתונים'!M102</f>
        <v/>
      </c>
      <c r="N102" s="341">
        <f>'סיכום לועדה- הזנת נתונים'!N102</f>
        <v>0</v>
      </c>
      <c r="O102" s="341" t="str">
        <f>'סיכום לועדה- הזנת נתונים'!O102</f>
        <v/>
      </c>
      <c r="P102" s="445" t="str">
        <f>'סיכום לועדה- הזנת נתונים'!P102</f>
        <v/>
      </c>
      <c r="Q102" s="341">
        <f>'סיכום לועדה- הזנת נתונים'!Q102</f>
        <v>0</v>
      </c>
      <c r="R102" s="341">
        <f>'סיכום לועדה- הזנת נתונים'!R102</f>
        <v>0</v>
      </c>
      <c r="S102" s="341">
        <f>'סיכום לועדה- הזנת נתונים'!S102</f>
        <v>0</v>
      </c>
      <c r="T102" s="341">
        <f>'סיכום לועדה- הזנת נתונים'!T102</f>
        <v>0</v>
      </c>
      <c r="U102" s="447">
        <f>'סיכום לועדה- הזנת נתונים'!U102</f>
        <v>0</v>
      </c>
      <c r="V102" s="447">
        <f>'סיכום לועדה- הזנת נתונים'!V102</f>
        <v>0</v>
      </c>
      <c r="W102" s="178" t="e">
        <f t="shared" si="9"/>
        <v>#VALUE!</v>
      </c>
      <c r="X102" s="179">
        <f t="shared" si="10"/>
        <v>0</v>
      </c>
      <c r="Y102" s="175" t="e">
        <f t="shared" si="11"/>
        <v>#VALUE!</v>
      </c>
      <c r="Z102" s="175" t="str">
        <f t="shared" si="12"/>
        <v>הצג חריגים</v>
      </c>
      <c r="AA102" s="180">
        <f t="shared" si="7"/>
        <v>0</v>
      </c>
      <c r="AB102" s="174"/>
      <c r="AC102" s="174"/>
      <c r="AD102" s="174"/>
      <c r="AE102" s="174"/>
      <c r="AF102" s="174"/>
      <c r="AG102" s="174"/>
      <c r="AH102" s="174"/>
      <c r="AI102" s="174"/>
      <c r="AJ102" s="174"/>
      <c r="AK102" s="174"/>
      <c r="AL102" s="174"/>
      <c r="AM102" s="174"/>
      <c r="AN102" s="174"/>
      <c r="AO102" s="174"/>
      <c r="AP102" s="174"/>
      <c r="AQ102" s="174"/>
      <c r="AR102" s="174"/>
      <c r="AS102" s="174"/>
      <c r="AT102" s="174"/>
      <c r="AU102" s="174"/>
      <c r="AV102" s="174"/>
      <c r="AW102" s="174"/>
      <c r="AX102" s="175" t="b">
        <f t="shared" si="13"/>
        <v>1</v>
      </c>
      <c r="AY102" s="181"/>
      <c r="AZ102" s="182">
        <f t="shared" si="8"/>
        <v>15000000</v>
      </c>
    </row>
    <row r="103" spans="2:52" hidden="1" x14ac:dyDescent="0.25">
      <c r="B103" s="340">
        <f>'סיכום לועדה- הזנת נתונים'!B103</f>
        <v>0</v>
      </c>
      <c r="C103" s="340">
        <f>'סיכום לועדה- הזנת נתונים'!C103</f>
        <v>0</v>
      </c>
      <c r="D103" s="340">
        <f>'סיכום לועדה- הזנת נתונים'!D103</f>
        <v>0</v>
      </c>
      <c r="E103" s="340">
        <f>'סיכום לועדה- הזנת נתונים'!E103</f>
        <v>0</v>
      </c>
      <c r="F103" s="340">
        <f>'סיכום לועדה- הזנת נתונים'!F103</f>
        <v>0</v>
      </c>
      <c r="G103" s="340" t="str">
        <f>'סיכום לועדה- הזנת נתונים'!G103</f>
        <v/>
      </c>
      <c r="H103" s="340" t="str">
        <f>'סיכום לועדה- הזנת נתונים'!H103</f>
        <v/>
      </c>
      <c r="I103" s="340" t="str">
        <f>'סיכום לועדה- הזנת נתונים'!I103</f>
        <v/>
      </c>
      <c r="J103" s="340" t="str">
        <f>'סיכום לועדה- הזנת נתונים'!J103</f>
        <v/>
      </c>
      <c r="K103" s="340" t="str">
        <f>'סיכום לועדה- הזנת נתונים'!K103</f>
        <v/>
      </c>
      <c r="L103" s="340" t="str">
        <f>'סיכום לועדה- הזנת נתונים'!L103</f>
        <v/>
      </c>
      <c r="M103" s="340" t="str">
        <f>'סיכום לועדה- הזנת נתונים'!M103</f>
        <v/>
      </c>
      <c r="N103" s="341">
        <f>'סיכום לועדה- הזנת נתונים'!N103</f>
        <v>0</v>
      </c>
      <c r="O103" s="341" t="str">
        <f>'סיכום לועדה- הזנת נתונים'!O103</f>
        <v/>
      </c>
      <c r="P103" s="445" t="str">
        <f>'סיכום לועדה- הזנת נתונים'!P103</f>
        <v/>
      </c>
      <c r="Q103" s="341">
        <f>'סיכום לועדה- הזנת נתונים'!Q103</f>
        <v>0</v>
      </c>
      <c r="R103" s="341">
        <f>'סיכום לועדה- הזנת נתונים'!R103</f>
        <v>0</v>
      </c>
      <c r="S103" s="341">
        <f>'סיכום לועדה- הזנת נתונים'!S103</f>
        <v>0</v>
      </c>
      <c r="T103" s="341">
        <f>'סיכום לועדה- הזנת נתונים'!T103</f>
        <v>0</v>
      </c>
      <c r="U103" s="447">
        <f>'סיכום לועדה- הזנת נתונים'!U103</f>
        <v>0</v>
      </c>
      <c r="V103" s="447">
        <f>'סיכום לועדה- הזנת נתונים'!V103</f>
        <v>0</v>
      </c>
      <c r="W103" s="178" t="e">
        <f t="shared" si="9"/>
        <v>#VALUE!</v>
      </c>
      <c r="X103" s="179">
        <f t="shared" si="10"/>
        <v>0</v>
      </c>
      <c r="Y103" s="175" t="e">
        <f t="shared" si="11"/>
        <v>#VALUE!</v>
      </c>
      <c r="Z103" s="175" t="str">
        <f t="shared" si="12"/>
        <v>הצג חריגים</v>
      </c>
      <c r="AA103" s="180">
        <f t="shared" si="7"/>
        <v>0</v>
      </c>
      <c r="AB103" s="174"/>
      <c r="AC103" s="174"/>
      <c r="AD103" s="174"/>
      <c r="AE103" s="174"/>
      <c r="AF103" s="174"/>
      <c r="AG103" s="174"/>
      <c r="AH103" s="174"/>
      <c r="AI103" s="174"/>
      <c r="AJ103" s="174"/>
      <c r="AK103" s="174"/>
      <c r="AL103" s="174"/>
      <c r="AM103" s="174"/>
      <c r="AN103" s="174"/>
      <c r="AO103" s="174"/>
      <c r="AP103" s="174"/>
      <c r="AQ103" s="174"/>
      <c r="AR103" s="174"/>
      <c r="AS103" s="174"/>
      <c r="AT103" s="174"/>
      <c r="AU103" s="174"/>
      <c r="AV103" s="174"/>
      <c r="AW103" s="174"/>
      <c r="AX103" s="175" t="b">
        <f t="shared" si="13"/>
        <v>1</v>
      </c>
      <c r="AY103" s="181"/>
      <c r="AZ103" s="182">
        <f t="shared" si="8"/>
        <v>15000000</v>
      </c>
    </row>
    <row r="104" spans="2:52" hidden="1" x14ac:dyDescent="0.25">
      <c r="B104" s="340">
        <f>'סיכום לועדה- הזנת נתונים'!B104</f>
        <v>0</v>
      </c>
      <c r="C104" s="340">
        <f>'סיכום לועדה- הזנת נתונים'!C104</f>
        <v>0</v>
      </c>
      <c r="D104" s="340">
        <f>'סיכום לועדה- הזנת נתונים'!D104</f>
        <v>0</v>
      </c>
      <c r="E104" s="340">
        <f>'סיכום לועדה- הזנת נתונים'!E104</f>
        <v>0</v>
      </c>
      <c r="F104" s="340">
        <f>'סיכום לועדה- הזנת נתונים'!F104</f>
        <v>0</v>
      </c>
      <c r="G104" s="340" t="str">
        <f>'סיכום לועדה- הזנת נתונים'!G104</f>
        <v/>
      </c>
      <c r="H104" s="340" t="str">
        <f>'סיכום לועדה- הזנת נתונים'!H104</f>
        <v/>
      </c>
      <c r="I104" s="340" t="str">
        <f>'סיכום לועדה- הזנת נתונים'!I104</f>
        <v/>
      </c>
      <c r="J104" s="340" t="str">
        <f>'סיכום לועדה- הזנת נתונים'!J104</f>
        <v/>
      </c>
      <c r="K104" s="340" t="str">
        <f>'סיכום לועדה- הזנת נתונים'!K104</f>
        <v/>
      </c>
      <c r="L104" s="340" t="str">
        <f>'סיכום לועדה- הזנת נתונים'!L104</f>
        <v/>
      </c>
      <c r="M104" s="340" t="str">
        <f>'סיכום לועדה- הזנת נתונים'!M104</f>
        <v/>
      </c>
      <c r="N104" s="341">
        <f>'סיכום לועדה- הזנת נתונים'!N104</f>
        <v>0</v>
      </c>
      <c r="O104" s="341" t="str">
        <f>'סיכום לועדה- הזנת נתונים'!O104</f>
        <v/>
      </c>
      <c r="P104" s="445" t="str">
        <f>'סיכום לועדה- הזנת נתונים'!P104</f>
        <v/>
      </c>
      <c r="Q104" s="341">
        <f>'סיכום לועדה- הזנת נתונים'!Q104</f>
        <v>0</v>
      </c>
      <c r="R104" s="341">
        <f>'סיכום לועדה- הזנת נתונים'!R104</f>
        <v>0</v>
      </c>
      <c r="S104" s="341">
        <f>'סיכום לועדה- הזנת נתונים'!S104</f>
        <v>0</v>
      </c>
      <c r="T104" s="341">
        <f>'סיכום לועדה- הזנת נתונים'!T104</f>
        <v>0</v>
      </c>
      <c r="U104" s="447">
        <f>'סיכום לועדה- הזנת נתונים'!U104</f>
        <v>0</v>
      </c>
      <c r="V104" s="447">
        <f>'סיכום לועדה- הזנת נתונים'!V104</f>
        <v>0</v>
      </c>
      <c r="W104" s="178" t="e">
        <f t="shared" si="9"/>
        <v>#VALUE!</v>
      </c>
      <c r="X104" s="179">
        <f t="shared" si="10"/>
        <v>0</v>
      </c>
      <c r="Y104" s="175" t="e">
        <f t="shared" si="11"/>
        <v>#VALUE!</v>
      </c>
      <c r="Z104" s="175" t="str">
        <f t="shared" si="12"/>
        <v>הצג חריגים</v>
      </c>
      <c r="AA104" s="180">
        <f t="shared" si="7"/>
        <v>0</v>
      </c>
      <c r="AB104" s="174"/>
      <c r="AC104" s="174"/>
      <c r="AD104" s="174"/>
      <c r="AE104" s="174"/>
      <c r="AF104" s="174"/>
      <c r="AG104" s="174"/>
      <c r="AH104" s="174"/>
      <c r="AI104" s="174"/>
      <c r="AJ104" s="174"/>
      <c r="AK104" s="174"/>
      <c r="AL104" s="174"/>
      <c r="AM104" s="174"/>
      <c r="AN104" s="174"/>
      <c r="AO104" s="174"/>
      <c r="AP104" s="174"/>
      <c r="AQ104" s="174"/>
      <c r="AR104" s="174"/>
      <c r="AS104" s="174"/>
      <c r="AT104" s="174"/>
      <c r="AU104" s="174"/>
      <c r="AV104" s="174"/>
      <c r="AW104" s="174"/>
      <c r="AX104" s="175" t="b">
        <f t="shared" si="13"/>
        <v>1</v>
      </c>
      <c r="AY104" s="181"/>
      <c r="AZ104" s="182">
        <f t="shared" si="8"/>
        <v>15000000</v>
      </c>
    </row>
    <row r="105" spans="2:52" hidden="1" x14ac:dyDescent="0.25">
      <c r="B105" s="340">
        <f>'סיכום לועדה- הזנת נתונים'!B105</f>
        <v>0</v>
      </c>
      <c r="C105" s="340">
        <f>'סיכום לועדה- הזנת נתונים'!C105</f>
        <v>0</v>
      </c>
      <c r="D105" s="340">
        <f>'סיכום לועדה- הזנת נתונים'!D105</f>
        <v>0</v>
      </c>
      <c r="E105" s="340">
        <f>'סיכום לועדה- הזנת נתונים'!E105</f>
        <v>0</v>
      </c>
      <c r="F105" s="340">
        <f>'סיכום לועדה- הזנת נתונים'!F105</f>
        <v>0</v>
      </c>
      <c r="G105" s="340" t="str">
        <f>'סיכום לועדה- הזנת נתונים'!G105</f>
        <v/>
      </c>
      <c r="H105" s="340" t="str">
        <f>'סיכום לועדה- הזנת נתונים'!H105</f>
        <v/>
      </c>
      <c r="I105" s="340" t="str">
        <f>'סיכום לועדה- הזנת נתונים'!I105</f>
        <v/>
      </c>
      <c r="J105" s="340" t="str">
        <f>'סיכום לועדה- הזנת נתונים'!J105</f>
        <v/>
      </c>
      <c r="K105" s="340" t="str">
        <f>'סיכום לועדה- הזנת נתונים'!K105</f>
        <v/>
      </c>
      <c r="L105" s="340" t="str">
        <f>'סיכום לועדה- הזנת נתונים'!L105</f>
        <v/>
      </c>
      <c r="M105" s="340" t="str">
        <f>'סיכום לועדה- הזנת נתונים'!M105</f>
        <v/>
      </c>
      <c r="N105" s="341">
        <f>'סיכום לועדה- הזנת נתונים'!N105</f>
        <v>0</v>
      </c>
      <c r="O105" s="341" t="str">
        <f>'סיכום לועדה- הזנת נתונים'!O105</f>
        <v/>
      </c>
      <c r="P105" s="445" t="str">
        <f>'סיכום לועדה- הזנת נתונים'!P105</f>
        <v/>
      </c>
      <c r="Q105" s="341">
        <f>'סיכום לועדה- הזנת נתונים'!Q105</f>
        <v>0</v>
      </c>
      <c r="R105" s="341">
        <f>'סיכום לועדה- הזנת נתונים'!R105</f>
        <v>0</v>
      </c>
      <c r="S105" s="341">
        <f>'סיכום לועדה- הזנת נתונים'!S105</f>
        <v>0</v>
      </c>
      <c r="T105" s="341">
        <f>'סיכום לועדה- הזנת נתונים'!T105</f>
        <v>0</v>
      </c>
      <c r="U105" s="447">
        <f>'סיכום לועדה- הזנת נתונים'!U105</f>
        <v>0</v>
      </c>
      <c r="V105" s="447">
        <f>'סיכום לועדה- הזנת נתונים'!V105</f>
        <v>0</v>
      </c>
      <c r="W105" s="178" t="e">
        <f t="shared" si="9"/>
        <v>#VALUE!</v>
      </c>
      <c r="X105" s="179">
        <f t="shared" si="10"/>
        <v>0</v>
      </c>
      <c r="Y105" s="175" t="e">
        <f t="shared" si="11"/>
        <v>#VALUE!</v>
      </c>
      <c r="Z105" s="175" t="str">
        <f t="shared" si="12"/>
        <v>הצג חריגים</v>
      </c>
      <c r="AA105" s="180">
        <f t="shared" si="7"/>
        <v>0</v>
      </c>
      <c r="AB105" s="174"/>
      <c r="AC105" s="174"/>
      <c r="AD105" s="174"/>
      <c r="AE105" s="174"/>
      <c r="AF105" s="174"/>
      <c r="AG105" s="174"/>
      <c r="AH105" s="174"/>
      <c r="AI105" s="174"/>
      <c r="AJ105" s="174"/>
      <c r="AK105" s="174"/>
      <c r="AL105" s="174"/>
      <c r="AM105" s="174"/>
      <c r="AN105" s="174"/>
      <c r="AO105" s="174"/>
      <c r="AP105" s="174"/>
      <c r="AQ105" s="174"/>
      <c r="AR105" s="174"/>
      <c r="AS105" s="174"/>
      <c r="AT105" s="174"/>
      <c r="AU105" s="174"/>
      <c r="AV105" s="174"/>
      <c r="AW105" s="174"/>
      <c r="AX105" s="175" t="b">
        <f t="shared" si="13"/>
        <v>1</v>
      </c>
      <c r="AY105" s="181"/>
      <c r="AZ105" s="182">
        <f t="shared" si="8"/>
        <v>15000000</v>
      </c>
    </row>
    <row r="106" spans="2:52" hidden="1" x14ac:dyDescent="0.25">
      <c r="B106" s="340">
        <f>'סיכום לועדה- הזנת נתונים'!B106</f>
        <v>0</v>
      </c>
      <c r="C106" s="340">
        <f>'סיכום לועדה- הזנת נתונים'!C106</f>
        <v>0</v>
      </c>
      <c r="D106" s="340">
        <f>'סיכום לועדה- הזנת נתונים'!D106</f>
        <v>0</v>
      </c>
      <c r="E106" s="340">
        <f>'סיכום לועדה- הזנת נתונים'!E106</f>
        <v>0</v>
      </c>
      <c r="F106" s="340">
        <f>'סיכום לועדה- הזנת נתונים'!F106</f>
        <v>0</v>
      </c>
      <c r="G106" s="340" t="str">
        <f>'סיכום לועדה- הזנת נתונים'!G106</f>
        <v/>
      </c>
      <c r="H106" s="340" t="str">
        <f>'סיכום לועדה- הזנת נתונים'!H106</f>
        <v/>
      </c>
      <c r="I106" s="340" t="str">
        <f>'סיכום לועדה- הזנת נתונים'!I106</f>
        <v/>
      </c>
      <c r="J106" s="340" t="str">
        <f>'סיכום לועדה- הזנת נתונים'!J106</f>
        <v/>
      </c>
      <c r="K106" s="340" t="str">
        <f>'סיכום לועדה- הזנת נתונים'!K106</f>
        <v/>
      </c>
      <c r="L106" s="340" t="str">
        <f>'סיכום לועדה- הזנת נתונים'!L106</f>
        <v/>
      </c>
      <c r="M106" s="340" t="str">
        <f>'סיכום לועדה- הזנת נתונים'!M106</f>
        <v/>
      </c>
      <c r="N106" s="341">
        <f>'סיכום לועדה- הזנת נתונים'!N106</f>
        <v>0</v>
      </c>
      <c r="O106" s="341" t="str">
        <f>'סיכום לועדה- הזנת נתונים'!O106</f>
        <v/>
      </c>
      <c r="P106" s="445" t="str">
        <f>'סיכום לועדה- הזנת נתונים'!P106</f>
        <v/>
      </c>
      <c r="Q106" s="341">
        <f>'סיכום לועדה- הזנת נתונים'!Q106</f>
        <v>0</v>
      </c>
      <c r="R106" s="341">
        <f>'סיכום לועדה- הזנת נתונים'!R106</f>
        <v>0</v>
      </c>
      <c r="S106" s="341">
        <f>'סיכום לועדה- הזנת נתונים'!S106</f>
        <v>0</v>
      </c>
      <c r="T106" s="341">
        <f>'סיכום לועדה- הזנת נתונים'!T106</f>
        <v>0</v>
      </c>
      <c r="U106" s="447">
        <f>'סיכום לועדה- הזנת נתונים'!U106</f>
        <v>0</v>
      </c>
      <c r="V106" s="447">
        <f>'סיכום לועדה- הזנת נתונים'!V106</f>
        <v>0</v>
      </c>
      <c r="W106" s="178" t="e">
        <f t="shared" si="9"/>
        <v>#VALUE!</v>
      </c>
      <c r="X106" s="179">
        <f t="shared" si="10"/>
        <v>0</v>
      </c>
      <c r="Y106" s="175" t="e">
        <f t="shared" si="11"/>
        <v>#VALUE!</v>
      </c>
      <c r="Z106" s="175" t="str">
        <f t="shared" si="12"/>
        <v>הצג חריגים</v>
      </c>
      <c r="AA106" s="180">
        <f t="shared" si="7"/>
        <v>0</v>
      </c>
      <c r="AB106" s="174"/>
      <c r="AC106" s="174"/>
      <c r="AD106" s="174"/>
      <c r="AE106" s="174"/>
      <c r="AF106" s="174"/>
      <c r="AG106" s="174"/>
      <c r="AH106" s="174"/>
      <c r="AI106" s="174"/>
      <c r="AJ106" s="174"/>
      <c r="AK106" s="174"/>
      <c r="AL106" s="174"/>
      <c r="AM106" s="174"/>
      <c r="AN106" s="174"/>
      <c r="AO106" s="174"/>
      <c r="AP106" s="174"/>
      <c r="AQ106" s="174"/>
      <c r="AR106" s="174"/>
      <c r="AS106" s="174"/>
      <c r="AT106" s="174"/>
      <c r="AU106" s="174"/>
      <c r="AV106" s="174"/>
      <c r="AW106" s="174"/>
      <c r="AX106" s="175" t="b">
        <f t="shared" si="13"/>
        <v>1</v>
      </c>
      <c r="AY106" s="181"/>
      <c r="AZ106" s="182">
        <f t="shared" si="8"/>
        <v>15000000</v>
      </c>
    </row>
    <row r="107" spans="2:52" hidden="1" x14ac:dyDescent="0.25">
      <c r="B107" s="340">
        <f>'סיכום לועדה- הזנת נתונים'!B107</f>
        <v>0</v>
      </c>
      <c r="C107" s="340">
        <f>'סיכום לועדה- הזנת נתונים'!C107</f>
        <v>0</v>
      </c>
      <c r="D107" s="340">
        <f>'סיכום לועדה- הזנת נתונים'!D107</f>
        <v>0</v>
      </c>
      <c r="E107" s="340">
        <f>'סיכום לועדה- הזנת נתונים'!E107</f>
        <v>0</v>
      </c>
      <c r="F107" s="340">
        <f>'סיכום לועדה- הזנת נתונים'!F107</f>
        <v>0</v>
      </c>
      <c r="G107" s="340" t="str">
        <f>'סיכום לועדה- הזנת נתונים'!G107</f>
        <v/>
      </c>
      <c r="H107" s="340" t="str">
        <f>'סיכום לועדה- הזנת נתונים'!H107</f>
        <v/>
      </c>
      <c r="I107" s="340" t="str">
        <f>'סיכום לועדה- הזנת נתונים'!I107</f>
        <v/>
      </c>
      <c r="J107" s="340" t="str">
        <f>'סיכום לועדה- הזנת נתונים'!J107</f>
        <v/>
      </c>
      <c r="K107" s="340" t="str">
        <f>'סיכום לועדה- הזנת נתונים'!K107</f>
        <v/>
      </c>
      <c r="L107" s="340" t="str">
        <f>'סיכום לועדה- הזנת נתונים'!L107</f>
        <v/>
      </c>
      <c r="M107" s="340" t="str">
        <f>'סיכום לועדה- הזנת נתונים'!M107</f>
        <v/>
      </c>
      <c r="N107" s="341">
        <f>'סיכום לועדה- הזנת נתונים'!N107</f>
        <v>0</v>
      </c>
      <c r="O107" s="341" t="str">
        <f>'סיכום לועדה- הזנת נתונים'!O107</f>
        <v/>
      </c>
      <c r="P107" s="445" t="str">
        <f>'סיכום לועדה- הזנת נתונים'!P107</f>
        <v/>
      </c>
      <c r="Q107" s="341">
        <f>'סיכום לועדה- הזנת נתונים'!Q107</f>
        <v>0</v>
      </c>
      <c r="R107" s="341">
        <f>'סיכום לועדה- הזנת נתונים'!R107</f>
        <v>0</v>
      </c>
      <c r="S107" s="341">
        <f>'סיכום לועדה- הזנת נתונים'!S107</f>
        <v>0</v>
      </c>
      <c r="T107" s="341">
        <f>'סיכום לועדה- הזנת נתונים'!T107</f>
        <v>0</v>
      </c>
      <c r="U107" s="447">
        <f>'סיכום לועדה- הזנת נתונים'!U107</f>
        <v>0</v>
      </c>
      <c r="V107" s="447">
        <f>'סיכום לועדה- הזנת נתונים'!V107</f>
        <v>0</v>
      </c>
      <c r="W107" s="178" t="e">
        <f t="shared" si="9"/>
        <v>#VALUE!</v>
      </c>
      <c r="X107" s="179">
        <f t="shared" si="10"/>
        <v>0</v>
      </c>
      <c r="Y107" s="175" t="e">
        <f t="shared" si="11"/>
        <v>#VALUE!</v>
      </c>
      <c r="Z107" s="175" t="str">
        <f t="shared" si="12"/>
        <v>הצג חריגים</v>
      </c>
      <c r="AA107" s="180">
        <f t="shared" si="7"/>
        <v>0</v>
      </c>
      <c r="AB107" s="174"/>
      <c r="AC107" s="174"/>
      <c r="AD107" s="174"/>
      <c r="AE107" s="174"/>
      <c r="AF107" s="174"/>
      <c r="AG107" s="174"/>
      <c r="AH107" s="174"/>
      <c r="AI107" s="174"/>
      <c r="AJ107" s="174"/>
      <c r="AK107" s="174"/>
      <c r="AL107" s="174"/>
      <c r="AM107" s="174"/>
      <c r="AN107" s="174"/>
      <c r="AO107" s="174"/>
      <c r="AP107" s="174"/>
      <c r="AQ107" s="174"/>
      <c r="AR107" s="174"/>
      <c r="AS107" s="174"/>
      <c r="AT107" s="174"/>
      <c r="AU107" s="174"/>
      <c r="AV107" s="174"/>
      <c r="AW107" s="174"/>
      <c r="AX107" s="175" t="b">
        <f t="shared" si="13"/>
        <v>1</v>
      </c>
      <c r="AY107" s="181"/>
      <c r="AZ107" s="182">
        <f t="shared" si="8"/>
        <v>15000000</v>
      </c>
    </row>
    <row r="108" spans="2:52" hidden="1" x14ac:dyDescent="0.25">
      <c r="B108" s="340">
        <f>'סיכום לועדה- הזנת נתונים'!B108</f>
        <v>0</v>
      </c>
      <c r="C108" s="340">
        <f>'סיכום לועדה- הזנת נתונים'!C108</f>
        <v>0</v>
      </c>
      <c r="D108" s="340">
        <f>'סיכום לועדה- הזנת נתונים'!D108</f>
        <v>0</v>
      </c>
      <c r="E108" s="340">
        <f>'סיכום לועדה- הזנת נתונים'!E108</f>
        <v>0</v>
      </c>
      <c r="F108" s="340">
        <f>'סיכום לועדה- הזנת נתונים'!F108</f>
        <v>0</v>
      </c>
      <c r="G108" s="340" t="str">
        <f>'סיכום לועדה- הזנת נתונים'!G108</f>
        <v/>
      </c>
      <c r="H108" s="340" t="str">
        <f>'סיכום לועדה- הזנת נתונים'!H108</f>
        <v/>
      </c>
      <c r="I108" s="340" t="str">
        <f>'סיכום לועדה- הזנת נתונים'!I108</f>
        <v/>
      </c>
      <c r="J108" s="340" t="str">
        <f>'סיכום לועדה- הזנת נתונים'!J108</f>
        <v/>
      </c>
      <c r="K108" s="340" t="str">
        <f>'סיכום לועדה- הזנת נתונים'!K108</f>
        <v/>
      </c>
      <c r="L108" s="340" t="str">
        <f>'סיכום לועדה- הזנת נתונים'!L108</f>
        <v/>
      </c>
      <c r="M108" s="340" t="str">
        <f>'סיכום לועדה- הזנת נתונים'!M108</f>
        <v/>
      </c>
      <c r="N108" s="341">
        <f>'סיכום לועדה- הזנת נתונים'!N108</f>
        <v>0</v>
      </c>
      <c r="O108" s="341" t="str">
        <f>'סיכום לועדה- הזנת נתונים'!O108</f>
        <v/>
      </c>
      <c r="P108" s="445" t="str">
        <f>'סיכום לועדה- הזנת נתונים'!P108</f>
        <v/>
      </c>
      <c r="Q108" s="341">
        <f>'סיכום לועדה- הזנת נתונים'!Q108</f>
        <v>0</v>
      </c>
      <c r="R108" s="341">
        <f>'סיכום לועדה- הזנת נתונים'!R108</f>
        <v>0</v>
      </c>
      <c r="S108" s="341">
        <f>'סיכום לועדה- הזנת נתונים'!S108</f>
        <v>0</v>
      </c>
      <c r="T108" s="341">
        <f>'סיכום לועדה- הזנת נתונים'!T108</f>
        <v>0</v>
      </c>
      <c r="U108" s="447">
        <f>'סיכום לועדה- הזנת נתונים'!U108</f>
        <v>0</v>
      </c>
      <c r="V108" s="447">
        <f>'סיכום לועדה- הזנת נתונים'!V108</f>
        <v>0</v>
      </c>
      <c r="W108" s="178" t="e">
        <f t="shared" si="9"/>
        <v>#VALUE!</v>
      </c>
      <c r="X108" s="179">
        <f t="shared" si="10"/>
        <v>0</v>
      </c>
      <c r="Y108" s="175" t="e">
        <f t="shared" si="11"/>
        <v>#VALUE!</v>
      </c>
      <c r="Z108" s="175" t="str">
        <f t="shared" si="12"/>
        <v>הצג חריגים</v>
      </c>
      <c r="AA108" s="180">
        <f t="shared" si="7"/>
        <v>0</v>
      </c>
      <c r="AB108" s="174"/>
      <c r="AC108" s="174"/>
      <c r="AD108" s="174"/>
      <c r="AE108" s="174"/>
      <c r="AF108" s="174"/>
      <c r="AG108" s="174"/>
      <c r="AH108" s="174"/>
      <c r="AI108" s="174"/>
      <c r="AJ108" s="174"/>
      <c r="AK108" s="174"/>
      <c r="AL108" s="174"/>
      <c r="AM108" s="174"/>
      <c r="AN108" s="174"/>
      <c r="AO108" s="174"/>
      <c r="AP108" s="174"/>
      <c r="AQ108" s="174"/>
      <c r="AR108" s="174"/>
      <c r="AS108" s="174"/>
      <c r="AT108" s="174"/>
      <c r="AU108" s="174"/>
      <c r="AV108" s="174"/>
      <c r="AW108" s="174"/>
      <c r="AX108" s="175" t="b">
        <f t="shared" si="13"/>
        <v>1</v>
      </c>
      <c r="AY108" s="181"/>
      <c r="AZ108" s="182">
        <f t="shared" si="8"/>
        <v>15000000</v>
      </c>
    </row>
    <row r="109" spans="2:52" hidden="1" x14ac:dyDescent="0.25">
      <c r="B109" s="340">
        <f>'סיכום לועדה- הזנת נתונים'!B109</f>
        <v>0</v>
      </c>
      <c r="C109" s="340">
        <f>'סיכום לועדה- הזנת נתונים'!C109</f>
        <v>0</v>
      </c>
      <c r="D109" s="340">
        <f>'סיכום לועדה- הזנת נתונים'!D109</f>
        <v>0</v>
      </c>
      <c r="E109" s="340">
        <f>'סיכום לועדה- הזנת נתונים'!E109</f>
        <v>0</v>
      </c>
      <c r="F109" s="340">
        <f>'סיכום לועדה- הזנת נתונים'!F109</f>
        <v>0</v>
      </c>
      <c r="G109" s="340" t="str">
        <f>'סיכום לועדה- הזנת נתונים'!G109</f>
        <v/>
      </c>
      <c r="H109" s="340" t="str">
        <f>'סיכום לועדה- הזנת נתונים'!H109</f>
        <v/>
      </c>
      <c r="I109" s="340" t="str">
        <f>'סיכום לועדה- הזנת נתונים'!I109</f>
        <v/>
      </c>
      <c r="J109" s="340" t="str">
        <f>'סיכום לועדה- הזנת נתונים'!J109</f>
        <v/>
      </c>
      <c r="K109" s="340" t="str">
        <f>'סיכום לועדה- הזנת נתונים'!K109</f>
        <v/>
      </c>
      <c r="L109" s="340" t="str">
        <f>'סיכום לועדה- הזנת נתונים'!L109</f>
        <v/>
      </c>
      <c r="M109" s="340" t="str">
        <f>'סיכום לועדה- הזנת נתונים'!M109</f>
        <v/>
      </c>
      <c r="N109" s="341">
        <f>'סיכום לועדה- הזנת נתונים'!N109</f>
        <v>0</v>
      </c>
      <c r="O109" s="341" t="str">
        <f>'סיכום לועדה- הזנת נתונים'!O109</f>
        <v/>
      </c>
      <c r="P109" s="445" t="str">
        <f>'סיכום לועדה- הזנת נתונים'!P109</f>
        <v/>
      </c>
      <c r="Q109" s="341">
        <f>'סיכום לועדה- הזנת נתונים'!Q109</f>
        <v>0</v>
      </c>
      <c r="R109" s="341">
        <f>'סיכום לועדה- הזנת נתונים'!R109</f>
        <v>0</v>
      </c>
      <c r="S109" s="341">
        <f>'סיכום לועדה- הזנת נתונים'!S109</f>
        <v>0</v>
      </c>
      <c r="T109" s="341">
        <f>'סיכום לועדה- הזנת נתונים'!T109</f>
        <v>0</v>
      </c>
      <c r="U109" s="447">
        <f>'סיכום לועדה- הזנת נתונים'!U109</f>
        <v>0</v>
      </c>
      <c r="V109" s="447">
        <f>'סיכום לועדה- הזנת נתונים'!V109</f>
        <v>0</v>
      </c>
      <c r="W109" s="178" t="e">
        <f t="shared" si="9"/>
        <v>#VALUE!</v>
      </c>
      <c r="X109" s="179">
        <f t="shared" si="10"/>
        <v>0</v>
      </c>
      <c r="Y109" s="175" t="e">
        <f t="shared" si="11"/>
        <v>#VALUE!</v>
      </c>
      <c r="Z109" s="175" t="str">
        <f t="shared" si="12"/>
        <v>הצג חריגים</v>
      </c>
      <c r="AA109" s="180">
        <f t="shared" si="7"/>
        <v>0</v>
      </c>
      <c r="AB109" s="174"/>
      <c r="AC109" s="174"/>
      <c r="AD109" s="174"/>
      <c r="AE109" s="174"/>
      <c r="AF109" s="174"/>
      <c r="AG109" s="174"/>
      <c r="AH109" s="174"/>
      <c r="AI109" s="174"/>
      <c r="AJ109" s="174"/>
      <c r="AK109" s="174"/>
      <c r="AL109" s="174"/>
      <c r="AM109" s="174"/>
      <c r="AN109" s="174"/>
      <c r="AO109" s="174"/>
      <c r="AP109" s="174"/>
      <c r="AQ109" s="174"/>
      <c r="AR109" s="174"/>
      <c r="AS109" s="174"/>
      <c r="AT109" s="174"/>
      <c r="AU109" s="174"/>
      <c r="AV109" s="174"/>
      <c r="AW109" s="174"/>
      <c r="AX109" s="175" t="b">
        <f t="shared" si="13"/>
        <v>1</v>
      </c>
      <c r="AY109" s="181"/>
      <c r="AZ109" s="182">
        <f t="shared" si="8"/>
        <v>15000000</v>
      </c>
    </row>
    <row r="110" spans="2:52" hidden="1" x14ac:dyDescent="0.25">
      <c r="B110" s="340">
        <f>'סיכום לועדה- הזנת נתונים'!B110</f>
        <v>0</v>
      </c>
      <c r="C110" s="340">
        <f>'סיכום לועדה- הזנת נתונים'!C110</f>
        <v>0</v>
      </c>
      <c r="D110" s="340">
        <f>'סיכום לועדה- הזנת נתונים'!D110</f>
        <v>0</v>
      </c>
      <c r="E110" s="340">
        <f>'סיכום לועדה- הזנת נתונים'!E110</f>
        <v>0</v>
      </c>
      <c r="F110" s="340">
        <f>'סיכום לועדה- הזנת נתונים'!F110</f>
        <v>0</v>
      </c>
      <c r="G110" s="340" t="str">
        <f>'סיכום לועדה- הזנת נתונים'!G110</f>
        <v/>
      </c>
      <c r="H110" s="340" t="str">
        <f>'סיכום לועדה- הזנת נתונים'!H110</f>
        <v/>
      </c>
      <c r="I110" s="340" t="str">
        <f>'סיכום לועדה- הזנת נתונים'!I110</f>
        <v/>
      </c>
      <c r="J110" s="340" t="str">
        <f>'סיכום לועדה- הזנת נתונים'!J110</f>
        <v/>
      </c>
      <c r="K110" s="340" t="str">
        <f>'סיכום לועדה- הזנת נתונים'!K110</f>
        <v/>
      </c>
      <c r="L110" s="340" t="str">
        <f>'סיכום לועדה- הזנת נתונים'!L110</f>
        <v/>
      </c>
      <c r="M110" s="340" t="str">
        <f>'סיכום לועדה- הזנת נתונים'!M110</f>
        <v/>
      </c>
      <c r="N110" s="341">
        <f>'סיכום לועדה- הזנת נתונים'!N110</f>
        <v>0</v>
      </c>
      <c r="O110" s="341" t="str">
        <f>'סיכום לועדה- הזנת נתונים'!O110</f>
        <v/>
      </c>
      <c r="P110" s="445" t="str">
        <f>'סיכום לועדה- הזנת נתונים'!P110</f>
        <v/>
      </c>
      <c r="Q110" s="341">
        <f>'סיכום לועדה- הזנת נתונים'!Q110</f>
        <v>0</v>
      </c>
      <c r="R110" s="341">
        <f>'סיכום לועדה- הזנת נתונים'!R110</f>
        <v>0</v>
      </c>
      <c r="S110" s="341">
        <f>'סיכום לועדה- הזנת נתונים'!S110</f>
        <v>0</v>
      </c>
      <c r="T110" s="341">
        <f>'סיכום לועדה- הזנת נתונים'!T110</f>
        <v>0</v>
      </c>
      <c r="U110" s="447">
        <f>'סיכום לועדה- הזנת נתונים'!U110</f>
        <v>0</v>
      </c>
      <c r="V110" s="447">
        <f>'סיכום לועדה- הזנת נתונים'!V110</f>
        <v>0</v>
      </c>
      <c r="W110" s="178" t="e">
        <f t="shared" si="9"/>
        <v>#VALUE!</v>
      </c>
      <c r="X110" s="179">
        <f t="shared" si="10"/>
        <v>0</v>
      </c>
      <c r="Y110" s="175" t="e">
        <f t="shared" si="11"/>
        <v>#VALUE!</v>
      </c>
      <c r="Z110" s="175" t="str">
        <f t="shared" si="12"/>
        <v>הצג חריגים</v>
      </c>
      <c r="AA110" s="180">
        <f t="shared" si="7"/>
        <v>0</v>
      </c>
      <c r="AB110" s="174"/>
      <c r="AC110" s="174"/>
      <c r="AD110" s="174"/>
      <c r="AE110" s="174"/>
      <c r="AF110" s="174"/>
      <c r="AG110" s="174"/>
      <c r="AH110" s="174"/>
      <c r="AI110" s="174"/>
      <c r="AJ110" s="174"/>
      <c r="AK110" s="174"/>
      <c r="AL110" s="174"/>
      <c r="AM110" s="174"/>
      <c r="AN110" s="174"/>
      <c r="AO110" s="174"/>
      <c r="AP110" s="174"/>
      <c r="AQ110" s="174"/>
      <c r="AR110" s="174"/>
      <c r="AS110" s="174"/>
      <c r="AT110" s="174"/>
      <c r="AU110" s="174"/>
      <c r="AV110" s="174"/>
      <c r="AW110" s="174"/>
      <c r="AX110" s="175" t="b">
        <f t="shared" si="13"/>
        <v>1</v>
      </c>
      <c r="AY110" s="181"/>
      <c r="AZ110" s="182">
        <f t="shared" si="8"/>
        <v>15000000</v>
      </c>
    </row>
    <row r="111" spans="2:52" hidden="1" x14ac:dyDescent="0.25">
      <c r="B111" s="340">
        <f>'סיכום לועדה- הזנת נתונים'!B111</f>
        <v>0</v>
      </c>
      <c r="C111" s="340">
        <f>'סיכום לועדה- הזנת נתונים'!C111</f>
        <v>0</v>
      </c>
      <c r="D111" s="340">
        <f>'סיכום לועדה- הזנת נתונים'!D111</f>
        <v>0</v>
      </c>
      <c r="E111" s="340">
        <f>'סיכום לועדה- הזנת נתונים'!E111</f>
        <v>0</v>
      </c>
      <c r="F111" s="340">
        <f>'סיכום לועדה- הזנת נתונים'!F111</f>
        <v>0</v>
      </c>
      <c r="G111" s="340" t="str">
        <f>'סיכום לועדה- הזנת נתונים'!G111</f>
        <v/>
      </c>
      <c r="H111" s="340" t="str">
        <f>'סיכום לועדה- הזנת נתונים'!H111</f>
        <v/>
      </c>
      <c r="I111" s="340" t="str">
        <f>'סיכום לועדה- הזנת נתונים'!I111</f>
        <v/>
      </c>
      <c r="J111" s="340" t="str">
        <f>'סיכום לועדה- הזנת נתונים'!J111</f>
        <v/>
      </c>
      <c r="K111" s="340" t="str">
        <f>'סיכום לועדה- הזנת נתונים'!K111</f>
        <v/>
      </c>
      <c r="L111" s="340" t="str">
        <f>'סיכום לועדה- הזנת נתונים'!L111</f>
        <v/>
      </c>
      <c r="M111" s="340" t="str">
        <f>'סיכום לועדה- הזנת נתונים'!M111</f>
        <v/>
      </c>
      <c r="N111" s="341">
        <f>'סיכום לועדה- הזנת נתונים'!N111</f>
        <v>0</v>
      </c>
      <c r="O111" s="341" t="str">
        <f>'סיכום לועדה- הזנת נתונים'!O111</f>
        <v/>
      </c>
      <c r="P111" s="445" t="str">
        <f>'סיכום לועדה- הזנת נתונים'!P111</f>
        <v/>
      </c>
      <c r="Q111" s="341">
        <f>'סיכום לועדה- הזנת נתונים'!Q111</f>
        <v>0</v>
      </c>
      <c r="R111" s="341">
        <f>'סיכום לועדה- הזנת נתונים'!R111</f>
        <v>0</v>
      </c>
      <c r="S111" s="341">
        <f>'סיכום לועדה- הזנת נתונים'!S111</f>
        <v>0</v>
      </c>
      <c r="T111" s="341">
        <f>'סיכום לועדה- הזנת נתונים'!T111</f>
        <v>0</v>
      </c>
      <c r="U111" s="447">
        <f>'סיכום לועדה- הזנת נתונים'!U111</f>
        <v>0</v>
      </c>
      <c r="V111" s="447">
        <f>'סיכום לועדה- הזנת נתונים'!V111</f>
        <v>0</v>
      </c>
      <c r="W111" s="178" t="e">
        <f t="shared" si="9"/>
        <v>#VALUE!</v>
      </c>
      <c r="X111" s="179">
        <f t="shared" si="10"/>
        <v>0</v>
      </c>
      <c r="Y111" s="175" t="e">
        <f t="shared" si="11"/>
        <v>#VALUE!</v>
      </c>
      <c r="Z111" s="175" t="str">
        <f t="shared" si="12"/>
        <v>הצג חריגים</v>
      </c>
      <c r="AA111" s="180">
        <f t="shared" si="7"/>
        <v>0</v>
      </c>
      <c r="AB111" s="174"/>
      <c r="AC111" s="174"/>
      <c r="AD111" s="174"/>
      <c r="AE111" s="174"/>
      <c r="AF111" s="174"/>
      <c r="AG111" s="174"/>
      <c r="AH111" s="174"/>
      <c r="AI111" s="174"/>
      <c r="AJ111" s="174"/>
      <c r="AK111" s="174"/>
      <c r="AL111" s="174"/>
      <c r="AM111" s="174"/>
      <c r="AN111" s="174"/>
      <c r="AO111" s="174"/>
      <c r="AP111" s="174"/>
      <c r="AQ111" s="174"/>
      <c r="AR111" s="174"/>
      <c r="AS111" s="174"/>
      <c r="AT111" s="174"/>
      <c r="AU111" s="174"/>
      <c r="AV111" s="174"/>
      <c r="AW111" s="174"/>
      <c r="AX111" s="175" t="b">
        <f t="shared" si="13"/>
        <v>1</v>
      </c>
      <c r="AY111" s="181"/>
      <c r="AZ111" s="182">
        <f t="shared" si="8"/>
        <v>15000000</v>
      </c>
    </row>
    <row r="112" spans="2:52" hidden="1" x14ac:dyDescent="0.25">
      <c r="B112" s="340">
        <f>'סיכום לועדה- הזנת נתונים'!B112</f>
        <v>0</v>
      </c>
      <c r="C112" s="340">
        <f>'סיכום לועדה- הזנת נתונים'!C112</f>
        <v>0</v>
      </c>
      <c r="D112" s="340">
        <f>'סיכום לועדה- הזנת נתונים'!D112</f>
        <v>0</v>
      </c>
      <c r="E112" s="340">
        <f>'סיכום לועדה- הזנת נתונים'!E112</f>
        <v>0</v>
      </c>
      <c r="F112" s="340">
        <f>'סיכום לועדה- הזנת נתונים'!F112</f>
        <v>0</v>
      </c>
      <c r="G112" s="340" t="str">
        <f>'סיכום לועדה- הזנת נתונים'!G112</f>
        <v/>
      </c>
      <c r="H112" s="340" t="str">
        <f>'סיכום לועדה- הזנת נתונים'!H112</f>
        <v/>
      </c>
      <c r="I112" s="340" t="str">
        <f>'סיכום לועדה- הזנת נתונים'!I112</f>
        <v/>
      </c>
      <c r="J112" s="340" t="str">
        <f>'סיכום לועדה- הזנת נתונים'!J112</f>
        <v/>
      </c>
      <c r="K112" s="340" t="str">
        <f>'סיכום לועדה- הזנת נתונים'!K112</f>
        <v/>
      </c>
      <c r="L112" s="340" t="str">
        <f>'סיכום לועדה- הזנת נתונים'!L112</f>
        <v/>
      </c>
      <c r="M112" s="340" t="str">
        <f>'סיכום לועדה- הזנת נתונים'!M112</f>
        <v/>
      </c>
      <c r="N112" s="341">
        <f>'סיכום לועדה- הזנת נתונים'!N112</f>
        <v>0</v>
      </c>
      <c r="O112" s="341" t="str">
        <f>'סיכום לועדה- הזנת נתונים'!O112</f>
        <v/>
      </c>
      <c r="P112" s="445" t="str">
        <f>'סיכום לועדה- הזנת נתונים'!P112</f>
        <v/>
      </c>
      <c r="Q112" s="341">
        <f>'סיכום לועדה- הזנת נתונים'!Q112</f>
        <v>0</v>
      </c>
      <c r="R112" s="341">
        <f>'סיכום לועדה- הזנת נתונים'!R112</f>
        <v>0</v>
      </c>
      <c r="S112" s="341">
        <f>'סיכום לועדה- הזנת נתונים'!S112</f>
        <v>0</v>
      </c>
      <c r="T112" s="341">
        <f>'סיכום לועדה- הזנת נתונים'!T112</f>
        <v>0</v>
      </c>
      <c r="U112" s="447">
        <f>'סיכום לועדה- הזנת נתונים'!U112</f>
        <v>0</v>
      </c>
      <c r="V112" s="447">
        <f>'סיכום לועדה- הזנת נתונים'!V112</f>
        <v>0</v>
      </c>
      <c r="W112" s="178" t="e">
        <f t="shared" si="9"/>
        <v>#VALUE!</v>
      </c>
      <c r="X112" s="179">
        <f t="shared" si="10"/>
        <v>0</v>
      </c>
      <c r="Y112" s="175" t="e">
        <f t="shared" si="11"/>
        <v>#VALUE!</v>
      </c>
      <c r="Z112" s="175" t="str">
        <f t="shared" si="12"/>
        <v>הצג חריגים</v>
      </c>
      <c r="AA112" s="180">
        <f t="shared" si="7"/>
        <v>0</v>
      </c>
      <c r="AB112" s="174"/>
      <c r="AC112" s="174"/>
      <c r="AD112" s="174"/>
      <c r="AE112" s="174"/>
      <c r="AF112" s="174"/>
      <c r="AG112" s="174"/>
      <c r="AH112" s="174"/>
      <c r="AI112" s="174"/>
      <c r="AJ112" s="174"/>
      <c r="AK112" s="174"/>
      <c r="AL112" s="174"/>
      <c r="AM112" s="174"/>
      <c r="AN112" s="174"/>
      <c r="AO112" s="174"/>
      <c r="AP112" s="174"/>
      <c r="AQ112" s="174"/>
      <c r="AR112" s="174"/>
      <c r="AS112" s="174"/>
      <c r="AT112" s="174"/>
      <c r="AU112" s="174"/>
      <c r="AV112" s="174"/>
      <c r="AW112" s="174"/>
      <c r="AX112" s="175" t="b">
        <f t="shared" si="13"/>
        <v>1</v>
      </c>
      <c r="AY112" s="181"/>
      <c r="AZ112" s="182">
        <f t="shared" si="8"/>
        <v>15000000</v>
      </c>
    </row>
    <row r="113" spans="2:52" hidden="1" x14ac:dyDescent="0.25">
      <c r="B113" s="340">
        <f>'סיכום לועדה- הזנת נתונים'!B113</f>
        <v>0</v>
      </c>
      <c r="C113" s="340">
        <f>'סיכום לועדה- הזנת נתונים'!C113</f>
        <v>0</v>
      </c>
      <c r="D113" s="340">
        <f>'סיכום לועדה- הזנת נתונים'!D113</f>
        <v>0</v>
      </c>
      <c r="E113" s="340">
        <f>'סיכום לועדה- הזנת נתונים'!E113</f>
        <v>0</v>
      </c>
      <c r="F113" s="340">
        <f>'סיכום לועדה- הזנת נתונים'!F113</f>
        <v>0</v>
      </c>
      <c r="G113" s="340" t="str">
        <f>'סיכום לועדה- הזנת נתונים'!G113</f>
        <v/>
      </c>
      <c r="H113" s="340" t="str">
        <f>'סיכום לועדה- הזנת נתונים'!H113</f>
        <v/>
      </c>
      <c r="I113" s="340" t="str">
        <f>'סיכום לועדה- הזנת נתונים'!I113</f>
        <v/>
      </c>
      <c r="J113" s="340" t="str">
        <f>'סיכום לועדה- הזנת נתונים'!J113</f>
        <v/>
      </c>
      <c r="K113" s="340" t="str">
        <f>'סיכום לועדה- הזנת נתונים'!K113</f>
        <v/>
      </c>
      <c r="L113" s="340" t="str">
        <f>'סיכום לועדה- הזנת נתונים'!L113</f>
        <v/>
      </c>
      <c r="M113" s="340" t="str">
        <f>'סיכום לועדה- הזנת נתונים'!M113</f>
        <v/>
      </c>
      <c r="N113" s="341">
        <f>'סיכום לועדה- הזנת נתונים'!N113</f>
        <v>0</v>
      </c>
      <c r="O113" s="341" t="str">
        <f>'סיכום לועדה- הזנת נתונים'!O113</f>
        <v/>
      </c>
      <c r="P113" s="445" t="str">
        <f>'סיכום לועדה- הזנת נתונים'!P113</f>
        <v/>
      </c>
      <c r="Q113" s="341">
        <f>'סיכום לועדה- הזנת נתונים'!Q113</f>
        <v>0</v>
      </c>
      <c r="R113" s="341">
        <f>'סיכום לועדה- הזנת נתונים'!R113</f>
        <v>0</v>
      </c>
      <c r="S113" s="341">
        <f>'סיכום לועדה- הזנת נתונים'!S113</f>
        <v>0</v>
      </c>
      <c r="T113" s="341">
        <f>'סיכום לועדה- הזנת נתונים'!T113</f>
        <v>0</v>
      </c>
      <c r="U113" s="447">
        <f>'סיכום לועדה- הזנת נתונים'!U113</f>
        <v>0</v>
      </c>
      <c r="V113" s="447">
        <f>'סיכום לועדה- הזנת נתונים'!V113</f>
        <v>0</v>
      </c>
      <c r="W113" s="178" t="e">
        <f t="shared" si="9"/>
        <v>#VALUE!</v>
      </c>
      <c r="X113" s="179">
        <f t="shared" si="10"/>
        <v>0</v>
      </c>
      <c r="Y113" s="175" t="e">
        <f t="shared" si="11"/>
        <v>#VALUE!</v>
      </c>
      <c r="Z113" s="175" t="str">
        <f t="shared" si="12"/>
        <v>הצג חריגים</v>
      </c>
      <c r="AA113" s="180">
        <f t="shared" si="7"/>
        <v>0</v>
      </c>
      <c r="AB113" s="174"/>
      <c r="AC113" s="174"/>
      <c r="AD113" s="174"/>
      <c r="AE113" s="174"/>
      <c r="AF113" s="174"/>
      <c r="AG113" s="174"/>
      <c r="AH113" s="174"/>
      <c r="AI113" s="174"/>
      <c r="AJ113" s="174"/>
      <c r="AK113" s="174"/>
      <c r="AL113" s="174"/>
      <c r="AM113" s="174"/>
      <c r="AN113" s="174"/>
      <c r="AO113" s="174"/>
      <c r="AP113" s="174"/>
      <c r="AQ113" s="174"/>
      <c r="AR113" s="174"/>
      <c r="AS113" s="174"/>
      <c r="AT113" s="174"/>
      <c r="AU113" s="174"/>
      <c r="AV113" s="174"/>
      <c r="AW113" s="174"/>
      <c r="AX113" s="175" t="b">
        <f t="shared" si="13"/>
        <v>1</v>
      </c>
      <c r="AY113" s="181"/>
      <c r="AZ113" s="182">
        <f t="shared" si="8"/>
        <v>15000000</v>
      </c>
    </row>
    <row r="114" spans="2:52" hidden="1" x14ac:dyDescent="0.25">
      <c r="B114" s="340">
        <f>'סיכום לועדה- הזנת נתונים'!B114</f>
        <v>0</v>
      </c>
      <c r="C114" s="340">
        <f>'סיכום לועדה- הזנת נתונים'!C114</f>
        <v>0</v>
      </c>
      <c r="D114" s="340">
        <f>'סיכום לועדה- הזנת נתונים'!D114</f>
        <v>0</v>
      </c>
      <c r="E114" s="340">
        <f>'סיכום לועדה- הזנת נתונים'!E114</f>
        <v>0</v>
      </c>
      <c r="F114" s="340">
        <f>'סיכום לועדה- הזנת נתונים'!F114</f>
        <v>0</v>
      </c>
      <c r="G114" s="340" t="str">
        <f>'סיכום לועדה- הזנת נתונים'!G114</f>
        <v/>
      </c>
      <c r="H114" s="340" t="str">
        <f>'סיכום לועדה- הזנת נתונים'!H114</f>
        <v/>
      </c>
      <c r="I114" s="340" t="str">
        <f>'סיכום לועדה- הזנת נתונים'!I114</f>
        <v/>
      </c>
      <c r="J114" s="340" t="str">
        <f>'סיכום לועדה- הזנת נתונים'!J114</f>
        <v/>
      </c>
      <c r="K114" s="340" t="str">
        <f>'סיכום לועדה- הזנת נתונים'!K114</f>
        <v/>
      </c>
      <c r="L114" s="340" t="str">
        <f>'סיכום לועדה- הזנת נתונים'!L114</f>
        <v/>
      </c>
      <c r="M114" s="340" t="str">
        <f>'סיכום לועדה- הזנת נתונים'!M114</f>
        <v/>
      </c>
      <c r="N114" s="341">
        <f>'סיכום לועדה- הזנת נתונים'!N114</f>
        <v>0</v>
      </c>
      <c r="O114" s="341" t="str">
        <f>'סיכום לועדה- הזנת נתונים'!O114</f>
        <v/>
      </c>
      <c r="P114" s="445" t="str">
        <f>'סיכום לועדה- הזנת נתונים'!P114</f>
        <v/>
      </c>
      <c r="Q114" s="341">
        <f>'סיכום לועדה- הזנת נתונים'!Q114</f>
        <v>0</v>
      </c>
      <c r="R114" s="341">
        <f>'סיכום לועדה- הזנת נתונים'!R114</f>
        <v>0</v>
      </c>
      <c r="S114" s="341">
        <f>'סיכום לועדה- הזנת נתונים'!S114</f>
        <v>0</v>
      </c>
      <c r="T114" s="341">
        <f>'סיכום לועדה- הזנת נתונים'!T114</f>
        <v>0</v>
      </c>
      <c r="U114" s="447">
        <f>'סיכום לועדה- הזנת נתונים'!U114</f>
        <v>0</v>
      </c>
      <c r="V114" s="447">
        <f>'סיכום לועדה- הזנת נתונים'!V114</f>
        <v>0</v>
      </c>
      <c r="W114" s="178" t="e">
        <f t="shared" si="9"/>
        <v>#VALUE!</v>
      </c>
      <c r="X114" s="179">
        <f t="shared" si="10"/>
        <v>0</v>
      </c>
      <c r="Y114" s="175" t="e">
        <f t="shared" si="11"/>
        <v>#VALUE!</v>
      </c>
      <c r="Z114" s="175" t="str">
        <f t="shared" si="12"/>
        <v>הצג חריגים</v>
      </c>
      <c r="AA114" s="180">
        <f t="shared" si="7"/>
        <v>0</v>
      </c>
      <c r="AB114" s="174"/>
      <c r="AC114" s="174"/>
      <c r="AD114" s="174"/>
      <c r="AE114" s="174"/>
      <c r="AF114" s="174"/>
      <c r="AG114" s="174"/>
      <c r="AH114" s="174"/>
      <c r="AI114" s="174"/>
      <c r="AJ114" s="174"/>
      <c r="AK114" s="174"/>
      <c r="AL114" s="174"/>
      <c r="AM114" s="174"/>
      <c r="AN114" s="174"/>
      <c r="AO114" s="174"/>
      <c r="AP114" s="174"/>
      <c r="AQ114" s="174"/>
      <c r="AR114" s="174"/>
      <c r="AS114" s="174"/>
      <c r="AT114" s="174"/>
      <c r="AU114" s="174"/>
      <c r="AV114" s="174"/>
      <c r="AW114" s="174"/>
      <c r="AX114" s="175" t="b">
        <f t="shared" si="13"/>
        <v>1</v>
      </c>
      <c r="AY114" s="181"/>
      <c r="AZ114" s="182">
        <f t="shared" si="8"/>
        <v>15000000</v>
      </c>
    </row>
    <row r="115" spans="2:52" hidden="1" x14ac:dyDescent="0.25">
      <c r="B115" s="340">
        <f>'סיכום לועדה- הזנת נתונים'!B115</f>
        <v>0</v>
      </c>
      <c r="C115" s="340">
        <f>'סיכום לועדה- הזנת נתונים'!C115</f>
        <v>0</v>
      </c>
      <c r="D115" s="340">
        <f>'סיכום לועדה- הזנת נתונים'!D115</f>
        <v>0</v>
      </c>
      <c r="E115" s="340">
        <f>'סיכום לועדה- הזנת נתונים'!E115</f>
        <v>0</v>
      </c>
      <c r="F115" s="340">
        <f>'סיכום לועדה- הזנת נתונים'!F115</f>
        <v>0</v>
      </c>
      <c r="G115" s="340" t="str">
        <f>'סיכום לועדה- הזנת נתונים'!G115</f>
        <v/>
      </c>
      <c r="H115" s="340" t="str">
        <f>'סיכום לועדה- הזנת נתונים'!H115</f>
        <v/>
      </c>
      <c r="I115" s="340" t="str">
        <f>'סיכום לועדה- הזנת נתונים'!I115</f>
        <v/>
      </c>
      <c r="J115" s="340" t="str">
        <f>'סיכום לועדה- הזנת נתונים'!J115</f>
        <v/>
      </c>
      <c r="K115" s="340" t="str">
        <f>'סיכום לועדה- הזנת נתונים'!K115</f>
        <v/>
      </c>
      <c r="L115" s="340" t="str">
        <f>'סיכום לועדה- הזנת נתונים'!L115</f>
        <v/>
      </c>
      <c r="M115" s="340" t="str">
        <f>'סיכום לועדה- הזנת נתונים'!M115</f>
        <v/>
      </c>
      <c r="N115" s="341">
        <f>'סיכום לועדה- הזנת נתונים'!N115</f>
        <v>0</v>
      </c>
      <c r="O115" s="341" t="str">
        <f>'סיכום לועדה- הזנת נתונים'!O115</f>
        <v/>
      </c>
      <c r="P115" s="445" t="str">
        <f>'סיכום לועדה- הזנת נתונים'!P115</f>
        <v/>
      </c>
      <c r="Q115" s="341">
        <f>'סיכום לועדה- הזנת נתונים'!Q115</f>
        <v>0</v>
      </c>
      <c r="R115" s="341">
        <f>'סיכום לועדה- הזנת נתונים'!R115</f>
        <v>0</v>
      </c>
      <c r="S115" s="341">
        <f>'סיכום לועדה- הזנת נתונים'!S115</f>
        <v>0</v>
      </c>
      <c r="T115" s="341">
        <f>'סיכום לועדה- הזנת נתונים'!T115</f>
        <v>0</v>
      </c>
      <c r="U115" s="447">
        <f>'סיכום לועדה- הזנת נתונים'!U115</f>
        <v>0</v>
      </c>
      <c r="V115" s="447">
        <f>'סיכום לועדה- הזנת נתונים'!V115</f>
        <v>0</v>
      </c>
      <c r="W115" s="178" t="e">
        <f t="shared" si="9"/>
        <v>#VALUE!</v>
      </c>
      <c r="X115" s="179">
        <f t="shared" si="10"/>
        <v>0</v>
      </c>
      <c r="Y115" s="175" t="e">
        <f t="shared" si="11"/>
        <v>#VALUE!</v>
      </c>
      <c r="Z115" s="175" t="str">
        <f t="shared" si="12"/>
        <v>הצג חריגים</v>
      </c>
      <c r="AA115" s="180">
        <f t="shared" si="7"/>
        <v>0</v>
      </c>
      <c r="AB115" s="174"/>
      <c r="AC115" s="174"/>
      <c r="AD115" s="174"/>
      <c r="AE115" s="174"/>
      <c r="AF115" s="174"/>
      <c r="AG115" s="174"/>
      <c r="AH115" s="174"/>
      <c r="AI115" s="174"/>
      <c r="AJ115" s="174"/>
      <c r="AK115" s="174"/>
      <c r="AL115" s="174"/>
      <c r="AM115" s="174"/>
      <c r="AN115" s="174"/>
      <c r="AO115" s="174"/>
      <c r="AP115" s="174"/>
      <c r="AQ115" s="174"/>
      <c r="AR115" s="174"/>
      <c r="AS115" s="174"/>
      <c r="AT115" s="174"/>
      <c r="AU115" s="174"/>
      <c r="AV115" s="174"/>
      <c r="AW115" s="174"/>
      <c r="AX115" s="175" t="b">
        <f t="shared" si="13"/>
        <v>1</v>
      </c>
      <c r="AY115" s="181"/>
      <c r="AZ115" s="182">
        <f t="shared" si="8"/>
        <v>15000000</v>
      </c>
    </row>
    <row r="116" spans="2:52" hidden="1" x14ac:dyDescent="0.25">
      <c r="B116" s="340">
        <f>'סיכום לועדה- הזנת נתונים'!B116</f>
        <v>0</v>
      </c>
      <c r="C116" s="340">
        <f>'סיכום לועדה- הזנת נתונים'!C116</f>
        <v>0</v>
      </c>
      <c r="D116" s="340">
        <f>'סיכום לועדה- הזנת נתונים'!D116</f>
        <v>0</v>
      </c>
      <c r="E116" s="340">
        <f>'סיכום לועדה- הזנת נתונים'!E116</f>
        <v>0</v>
      </c>
      <c r="F116" s="340">
        <f>'סיכום לועדה- הזנת נתונים'!F116</f>
        <v>0</v>
      </c>
      <c r="G116" s="340" t="str">
        <f>'סיכום לועדה- הזנת נתונים'!G116</f>
        <v/>
      </c>
      <c r="H116" s="340" t="str">
        <f>'סיכום לועדה- הזנת נתונים'!H116</f>
        <v/>
      </c>
      <c r="I116" s="340" t="str">
        <f>'סיכום לועדה- הזנת נתונים'!I116</f>
        <v/>
      </c>
      <c r="J116" s="340" t="str">
        <f>'סיכום לועדה- הזנת נתונים'!J116</f>
        <v/>
      </c>
      <c r="K116" s="340" t="str">
        <f>'סיכום לועדה- הזנת נתונים'!K116</f>
        <v/>
      </c>
      <c r="L116" s="340" t="str">
        <f>'סיכום לועדה- הזנת נתונים'!L116</f>
        <v/>
      </c>
      <c r="M116" s="340" t="str">
        <f>'סיכום לועדה- הזנת נתונים'!M116</f>
        <v/>
      </c>
      <c r="N116" s="341">
        <f>'סיכום לועדה- הזנת נתונים'!N116</f>
        <v>0</v>
      </c>
      <c r="O116" s="341" t="str">
        <f>'סיכום לועדה- הזנת נתונים'!O116</f>
        <v/>
      </c>
      <c r="P116" s="445" t="str">
        <f>'סיכום לועדה- הזנת נתונים'!P116</f>
        <v/>
      </c>
      <c r="Q116" s="341">
        <f>'סיכום לועדה- הזנת נתונים'!Q116</f>
        <v>0</v>
      </c>
      <c r="R116" s="341">
        <f>'סיכום לועדה- הזנת נתונים'!R116</f>
        <v>0</v>
      </c>
      <c r="S116" s="341">
        <f>'סיכום לועדה- הזנת נתונים'!S116</f>
        <v>0</v>
      </c>
      <c r="T116" s="341">
        <f>'סיכום לועדה- הזנת נתונים'!T116</f>
        <v>0</v>
      </c>
      <c r="U116" s="447">
        <f>'סיכום לועדה- הזנת נתונים'!U116</f>
        <v>0</v>
      </c>
      <c r="V116" s="447">
        <f>'סיכום לועדה- הזנת נתונים'!V116</f>
        <v>0</v>
      </c>
      <c r="W116" s="178" t="e">
        <f t="shared" si="9"/>
        <v>#VALUE!</v>
      </c>
      <c r="X116" s="179">
        <f t="shared" si="10"/>
        <v>0</v>
      </c>
      <c r="Y116" s="175" t="e">
        <f t="shared" si="11"/>
        <v>#VALUE!</v>
      </c>
      <c r="Z116" s="175" t="str">
        <f t="shared" si="12"/>
        <v>הצג חריגים</v>
      </c>
      <c r="AA116" s="180">
        <f t="shared" si="7"/>
        <v>0</v>
      </c>
      <c r="AB116" s="174"/>
      <c r="AC116" s="174"/>
      <c r="AD116" s="174"/>
      <c r="AE116" s="174"/>
      <c r="AF116" s="174"/>
      <c r="AG116" s="174"/>
      <c r="AH116" s="174"/>
      <c r="AI116" s="174"/>
      <c r="AJ116" s="174"/>
      <c r="AK116" s="174"/>
      <c r="AL116" s="174"/>
      <c r="AM116" s="174"/>
      <c r="AN116" s="174"/>
      <c r="AO116" s="174"/>
      <c r="AP116" s="174"/>
      <c r="AQ116" s="174"/>
      <c r="AR116" s="174"/>
      <c r="AS116" s="174"/>
      <c r="AT116" s="174"/>
      <c r="AU116" s="174"/>
      <c r="AV116" s="174"/>
      <c r="AW116" s="174"/>
      <c r="AX116" s="175" t="b">
        <f t="shared" si="13"/>
        <v>1</v>
      </c>
      <c r="AY116" s="181"/>
      <c r="AZ116" s="182">
        <f t="shared" si="8"/>
        <v>15000000</v>
      </c>
    </row>
    <row r="117" spans="2:52" hidden="1" x14ac:dyDescent="0.25">
      <c r="B117" s="340">
        <f>'סיכום לועדה- הזנת נתונים'!B117</f>
        <v>0</v>
      </c>
      <c r="C117" s="340">
        <f>'סיכום לועדה- הזנת נתונים'!C117</f>
        <v>0</v>
      </c>
      <c r="D117" s="340">
        <f>'סיכום לועדה- הזנת נתונים'!D117</f>
        <v>0</v>
      </c>
      <c r="E117" s="340">
        <f>'סיכום לועדה- הזנת נתונים'!E117</f>
        <v>0</v>
      </c>
      <c r="F117" s="340">
        <f>'סיכום לועדה- הזנת נתונים'!F117</f>
        <v>0</v>
      </c>
      <c r="G117" s="340" t="str">
        <f>'סיכום לועדה- הזנת נתונים'!G117</f>
        <v/>
      </c>
      <c r="H117" s="340" t="str">
        <f>'סיכום לועדה- הזנת נתונים'!H117</f>
        <v/>
      </c>
      <c r="I117" s="340" t="str">
        <f>'סיכום לועדה- הזנת נתונים'!I117</f>
        <v/>
      </c>
      <c r="J117" s="340" t="str">
        <f>'סיכום לועדה- הזנת נתונים'!J117</f>
        <v/>
      </c>
      <c r="K117" s="340" t="str">
        <f>'סיכום לועדה- הזנת נתונים'!K117</f>
        <v/>
      </c>
      <c r="L117" s="340" t="str">
        <f>'סיכום לועדה- הזנת נתונים'!L117</f>
        <v/>
      </c>
      <c r="M117" s="340" t="str">
        <f>'סיכום לועדה- הזנת נתונים'!M117</f>
        <v/>
      </c>
      <c r="N117" s="341">
        <f>'סיכום לועדה- הזנת נתונים'!N117</f>
        <v>0</v>
      </c>
      <c r="O117" s="341" t="str">
        <f>'סיכום לועדה- הזנת נתונים'!O117</f>
        <v/>
      </c>
      <c r="P117" s="445" t="str">
        <f>'סיכום לועדה- הזנת נתונים'!P117</f>
        <v/>
      </c>
      <c r="Q117" s="341">
        <f>'סיכום לועדה- הזנת נתונים'!Q117</f>
        <v>0</v>
      </c>
      <c r="R117" s="341">
        <f>'סיכום לועדה- הזנת נתונים'!R117</f>
        <v>0</v>
      </c>
      <c r="S117" s="341">
        <f>'סיכום לועדה- הזנת נתונים'!S117</f>
        <v>0</v>
      </c>
      <c r="T117" s="341">
        <f>'סיכום לועדה- הזנת נתונים'!T117</f>
        <v>0</v>
      </c>
      <c r="U117" s="447">
        <f>'סיכום לועדה- הזנת נתונים'!U117</f>
        <v>0</v>
      </c>
      <c r="V117" s="447">
        <f>'סיכום לועדה- הזנת נתונים'!V117</f>
        <v>0</v>
      </c>
      <c r="W117" s="178" t="e">
        <f t="shared" si="9"/>
        <v>#VALUE!</v>
      </c>
      <c r="X117" s="179">
        <f t="shared" si="10"/>
        <v>0</v>
      </c>
      <c r="Y117" s="175" t="e">
        <f t="shared" si="11"/>
        <v>#VALUE!</v>
      </c>
      <c r="Z117" s="175" t="str">
        <f t="shared" si="12"/>
        <v>הצג חריגים</v>
      </c>
      <c r="AA117" s="180">
        <f t="shared" si="7"/>
        <v>0</v>
      </c>
      <c r="AB117" s="174"/>
      <c r="AC117" s="174"/>
      <c r="AD117" s="174"/>
      <c r="AE117" s="174"/>
      <c r="AF117" s="174"/>
      <c r="AG117" s="174"/>
      <c r="AH117" s="174"/>
      <c r="AI117" s="174"/>
      <c r="AJ117" s="174"/>
      <c r="AK117" s="174"/>
      <c r="AL117" s="174"/>
      <c r="AM117" s="174"/>
      <c r="AN117" s="174"/>
      <c r="AO117" s="174"/>
      <c r="AP117" s="174"/>
      <c r="AQ117" s="174"/>
      <c r="AR117" s="174"/>
      <c r="AS117" s="174"/>
      <c r="AT117" s="174"/>
      <c r="AU117" s="174"/>
      <c r="AV117" s="174"/>
      <c r="AW117" s="174"/>
      <c r="AX117" s="175" t="b">
        <f t="shared" si="13"/>
        <v>1</v>
      </c>
      <c r="AY117" s="181"/>
      <c r="AZ117" s="182">
        <f t="shared" si="8"/>
        <v>15000000</v>
      </c>
    </row>
    <row r="118" spans="2:52" hidden="1" x14ac:dyDescent="0.25">
      <c r="B118" s="340">
        <f>'סיכום לועדה- הזנת נתונים'!B118</f>
        <v>0</v>
      </c>
      <c r="C118" s="340">
        <f>'סיכום לועדה- הזנת נתונים'!C118</f>
        <v>0</v>
      </c>
      <c r="D118" s="340">
        <f>'סיכום לועדה- הזנת נתונים'!D118</f>
        <v>0</v>
      </c>
      <c r="E118" s="340">
        <f>'סיכום לועדה- הזנת נתונים'!E118</f>
        <v>0</v>
      </c>
      <c r="F118" s="340">
        <f>'סיכום לועדה- הזנת נתונים'!F118</f>
        <v>0</v>
      </c>
      <c r="G118" s="340" t="str">
        <f>'סיכום לועדה- הזנת נתונים'!G118</f>
        <v/>
      </c>
      <c r="H118" s="340" t="str">
        <f>'סיכום לועדה- הזנת נתונים'!H118</f>
        <v/>
      </c>
      <c r="I118" s="340" t="str">
        <f>'סיכום לועדה- הזנת נתונים'!I118</f>
        <v/>
      </c>
      <c r="J118" s="340" t="str">
        <f>'סיכום לועדה- הזנת נתונים'!J118</f>
        <v/>
      </c>
      <c r="K118" s="340" t="str">
        <f>'סיכום לועדה- הזנת נתונים'!K118</f>
        <v/>
      </c>
      <c r="L118" s="340" t="str">
        <f>'סיכום לועדה- הזנת נתונים'!L118</f>
        <v/>
      </c>
      <c r="M118" s="340" t="str">
        <f>'סיכום לועדה- הזנת נתונים'!M118</f>
        <v/>
      </c>
      <c r="N118" s="341">
        <f>'סיכום לועדה- הזנת נתונים'!N118</f>
        <v>0</v>
      </c>
      <c r="O118" s="341" t="str">
        <f>'סיכום לועדה- הזנת נתונים'!O118</f>
        <v/>
      </c>
      <c r="P118" s="445" t="str">
        <f>'סיכום לועדה- הזנת נתונים'!P118</f>
        <v/>
      </c>
      <c r="Q118" s="341">
        <f>'סיכום לועדה- הזנת נתונים'!Q118</f>
        <v>0</v>
      </c>
      <c r="R118" s="341">
        <f>'סיכום לועדה- הזנת נתונים'!R118</f>
        <v>0</v>
      </c>
      <c r="S118" s="341">
        <f>'סיכום לועדה- הזנת נתונים'!S118</f>
        <v>0</v>
      </c>
      <c r="T118" s="341">
        <f>'סיכום לועדה- הזנת נתונים'!T118</f>
        <v>0</v>
      </c>
      <c r="U118" s="447">
        <f>'סיכום לועדה- הזנת נתונים'!U118</f>
        <v>0</v>
      </c>
      <c r="V118" s="447">
        <f>'סיכום לועדה- הזנת נתונים'!V118</f>
        <v>0</v>
      </c>
      <c r="W118" s="178" t="e">
        <f t="shared" si="9"/>
        <v>#VALUE!</v>
      </c>
      <c r="X118" s="179">
        <f t="shared" si="10"/>
        <v>0</v>
      </c>
      <c r="Y118" s="175" t="e">
        <f t="shared" si="11"/>
        <v>#VALUE!</v>
      </c>
      <c r="Z118" s="175" t="str">
        <f t="shared" si="12"/>
        <v>הצג חריגים</v>
      </c>
      <c r="AA118" s="180">
        <f t="shared" si="7"/>
        <v>0</v>
      </c>
      <c r="AB118" s="174"/>
      <c r="AC118" s="174"/>
      <c r="AD118" s="174"/>
      <c r="AE118" s="174"/>
      <c r="AF118" s="174"/>
      <c r="AG118" s="174"/>
      <c r="AH118" s="174"/>
      <c r="AI118" s="174"/>
      <c r="AJ118" s="174"/>
      <c r="AK118" s="174"/>
      <c r="AL118" s="174"/>
      <c r="AM118" s="174"/>
      <c r="AN118" s="174"/>
      <c r="AO118" s="174"/>
      <c r="AP118" s="174"/>
      <c r="AQ118" s="174"/>
      <c r="AR118" s="174"/>
      <c r="AS118" s="174"/>
      <c r="AT118" s="174"/>
      <c r="AU118" s="174"/>
      <c r="AV118" s="174"/>
      <c r="AW118" s="174"/>
      <c r="AX118" s="175" t="b">
        <f t="shared" si="13"/>
        <v>1</v>
      </c>
      <c r="AY118" s="181"/>
      <c r="AZ118" s="182">
        <f t="shared" si="8"/>
        <v>15000000</v>
      </c>
    </row>
    <row r="119" spans="2:52" hidden="1" x14ac:dyDescent="0.25">
      <c r="B119" s="340">
        <f>'סיכום לועדה- הזנת נתונים'!B119</f>
        <v>0</v>
      </c>
      <c r="C119" s="340">
        <f>'סיכום לועדה- הזנת נתונים'!C119</f>
        <v>0</v>
      </c>
      <c r="D119" s="340">
        <f>'סיכום לועדה- הזנת נתונים'!D119</f>
        <v>0</v>
      </c>
      <c r="E119" s="340">
        <f>'סיכום לועדה- הזנת נתונים'!E119</f>
        <v>0</v>
      </c>
      <c r="F119" s="340">
        <f>'סיכום לועדה- הזנת נתונים'!F119</f>
        <v>0</v>
      </c>
      <c r="G119" s="340" t="str">
        <f>'סיכום לועדה- הזנת נתונים'!G119</f>
        <v/>
      </c>
      <c r="H119" s="340" t="str">
        <f>'סיכום לועדה- הזנת נתונים'!H119</f>
        <v/>
      </c>
      <c r="I119" s="340" t="str">
        <f>'סיכום לועדה- הזנת נתונים'!I119</f>
        <v/>
      </c>
      <c r="J119" s="340" t="str">
        <f>'סיכום לועדה- הזנת נתונים'!J119</f>
        <v/>
      </c>
      <c r="K119" s="340" t="str">
        <f>'סיכום לועדה- הזנת נתונים'!K119</f>
        <v/>
      </c>
      <c r="L119" s="340" t="str">
        <f>'סיכום לועדה- הזנת נתונים'!L119</f>
        <v/>
      </c>
      <c r="M119" s="340" t="str">
        <f>'סיכום לועדה- הזנת נתונים'!M119</f>
        <v/>
      </c>
      <c r="N119" s="341">
        <f>'סיכום לועדה- הזנת נתונים'!N119</f>
        <v>0</v>
      </c>
      <c r="O119" s="341" t="str">
        <f>'סיכום לועדה- הזנת נתונים'!O119</f>
        <v/>
      </c>
      <c r="P119" s="445" t="str">
        <f>'סיכום לועדה- הזנת נתונים'!P119</f>
        <v/>
      </c>
      <c r="Q119" s="341">
        <f>'סיכום לועדה- הזנת נתונים'!Q119</f>
        <v>0</v>
      </c>
      <c r="R119" s="341">
        <f>'סיכום לועדה- הזנת נתונים'!R119</f>
        <v>0</v>
      </c>
      <c r="S119" s="341">
        <f>'סיכום לועדה- הזנת נתונים'!S119</f>
        <v>0</v>
      </c>
      <c r="T119" s="341">
        <f>'סיכום לועדה- הזנת נתונים'!T119</f>
        <v>0</v>
      </c>
      <c r="U119" s="447">
        <f>'סיכום לועדה- הזנת נתונים'!U119</f>
        <v>0</v>
      </c>
      <c r="V119" s="447">
        <f>'סיכום לועדה- הזנת נתונים'!V119</f>
        <v>0</v>
      </c>
      <c r="W119" s="178" t="e">
        <f t="shared" si="9"/>
        <v>#VALUE!</v>
      </c>
      <c r="X119" s="179">
        <f t="shared" si="10"/>
        <v>0</v>
      </c>
      <c r="Y119" s="175" t="e">
        <f t="shared" si="11"/>
        <v>#VALUE!</v>
      </c>
      <c r="Z119" s="175" t="str">
        <f t="shared" si="12"/>
        <v>הצג חריגים</v>
      </c>
      <c r="AA119" s="180">
        <f t="shared" si="7"/>
        <v>0</v>
      </c>
      <c r="AB119" s="174"/>
      <c r="AC119" s="174"/>
      <c r="AD119" s="174"/>
      <c r="AE119" s="174"/>
      <c r="AF119" s="174"/>
      <c r="AG119" s="174"/>
      <c r="AH119" s="174"/>
      <c r="AI119" s="174"/>
      <c r="AJ119" s="174"/>
      <c r="AK119" s="174"/>
      <c r="AL119" s="174"/>
      <c r="AM119" s="174"/>
      <c r="AN119" s="174"/>
      <c r="AO119" s="174"/>
      <c r="AP119" s="174"/>
      <c r="AQ119" s="174"/>
      <c r="AR119" s="174"/>
      <c r="AS119" s="174"/>
      <c r="AT119" s="174"/>
      <c r="AU119" s="174"/>
      <c r="AV119" s="174"/>
      <c r="AW119" s="174"/>
      <c r="AX119" s="175" t="b">
        <f t="shared" si="13"/>
        <v>1</v>
      </c>
      <c r="AY119" s="181"/>
      <c r="AZ119" s="182">
        <f t="shared" si="8"/>
        <v>15000000</v>
      </c>
    </row>
    <row r="120" spans="2:52" hidden="1" x14ac:dyDescent="0.25">
      <c r="B120" s="340">
        <f>'סיכום לועדה- הזנת נתונים'!B120</f>
        <v>0</v>
      </c>
      <c r="C120" s="340">
        <f>'סיכום לועדה- הזנת נתונים'!C120</f>
        <v>0</v>
      </c>
      <c r="D120" s="340">
        <f>'סיכום לועדה- הזנת נתונים'!D120</f>
        <v>0</v>
      </c>
      <c r="E120" s="340">
        <f>'סיכום לועדה- הזנת נתונים'!E120</f>
        <v>0</v>
      </c>
      <c r="F120" s="340">
        <f>'סיכום לועדה- הזנת נתונים'!F120</f>
        <v>0</v>
      </c>
      <c r="G120" s="340" t="str">
        <f>'סיכום לועדה- הזנת נתונים'!G120</f>
        <v/>
      </c>
      <c r="H120" s="340" t="str">
        <f>'סיכום לועדה- הזנת נתונים'!H120</f>
        <v/>
      </c>
      <c r="I120" s="340" t="str">
        <f>'סיכום לועדה- הזנת נתונים'!I120</f>
        <v/>
      </c>
      <c r="J120" s="340" t="str">
        <f>'סיכום לועדה- הזנת נתונים'!J120</f>
        <v/>
      </c>
      <c r="K120" s="340" t="str">
        <f>'סיכום לועדה- הזנת נתונים'!K120</f>
        <v/>
      </c>
      <c r="L120" s="340" t="str">
        <f>'סיכום לועדה- הזנת נתונים'!L120</f>
        <v/>
      </c>
      <c r="M120" s="340" t="str">
        <f>'סיכום לועדה- הזנת נתונים'!M120</f>
        <v/>
      </c>
      <c r="N120" s="341">
        <f>'סיכום לועדה- הזנת נתונים'!N120</f>
        <v>0</v>
      </c>
      <c r="O120" s="341" t="str">
        <f>'סיכום לועדה- הזנת נתונים'!O120</f>
        <v/>
      </c>
      <c r="P120" s="445" t="str">
        <f>'סיכום לועדה- הזנת נתונים'!P120</f>
        <v/>
      </c>
      <c r="Q120" s="341">
        <f>'סיכום לועדה- הזנת נתונים'!Q120</f>
        <v>0</v>
      </c>
      <c r="R120" s="341">
        <f>'סיכום לועדה- הזנת נתונים'!R120</f>
        <v>0</v>
      </c>
      <c r="S120" s="341">
        <f>'סיכום לועדה- הזנת נתונים'!S120</f>
        <v>0</v>
      </c>
      <c r="T120" s="341">
        <f>'סיכום לועדה- הזנת נתונים'!T120</f>
        <v>0</v>
      </c>
      <c r="U120" s="447">
        <f>'סיכום לועדה- הזנת נתונים'!U120</f>
        <v>0</v>
      </c>
      <c r="V120" s="447">
        <f>'סיכום לועדה- הזנת נתונים'!V120</f>
        <v>0</v>
      </c>
      <c r="W120" s="178" t="e">
        <f t="shared" si="9"/>
        <v>#VALUE!</v>
      </c>
      <c r="X120" s="179">
        <f t="shared" si="10"/>
        <v>0</v>
      </c>
      <c r="Y120" s="175" t="e">
        <f t="shared" si="11"/>
        <v>#VALUE!</v>
      </c>
      <c r="Z120" s="175" t="str">
        <f t="shared" si="12"/>
        <v>הצג חריגים</v>
      </c>
      <c r="AA120" s="180">
        <f t="shared" si="7"/>
        <v>0</v>
      </c>
      <c r="AB120" s="174"/>
      <c r="AC120" s="174"/>
      <c r="AD120" s="174"/>
      <c r="AE120" s="174"/>
      <c r="AF120" s="174"/>
      <c r="AG120" s="174"/>
      <c r="AH120" s="174"/>
      <c r="AI120" s="174"/>
      <c r="AJ120" s="174"/>
      <c r="AK120" s="174"/>
      <c r="AL120" s="174"/>
      <c r="AM120" s="174"/>
      <c r="AN120" s="174"/>
      <c r="AO120" s="174"/>
      <c r="AP120" s="174"/>
      <c r="AQ120" s="174"/>
      <c r="AR120" s="174"/>
      <c r="AS120" s="174"/>
      <c r="AT120" s="174"/>
      <c r="AU120" s="174"/>
      <c r="AV120" s="174"/>
      <c r="AW120" s="174"/>
      <c r="AX120" s="175" t="b">
        <f t="shared" si="13"/>
        <v>1</v>
      </c>
      <c r="AY120" s="181"/>
      <c r="AZ120" s="182">
        <f t="shared" si="8"/>
        <v>15000000</v>
      </c>
    </row>
    <row r="121" spans="2:52" hidden="1" x14ac:dyDescent="0.25">
      <c r="B121" s="340">
        <f>'סיכום לועדה- הזנת נתונים'!B121</f>
        <v>0</v>
      </c>
      <c r="C121" s="340">
        <f>'סיכום לועדה- הזנת נתונים'!C121</f>
        <v>0</v>
      </c>
      <c r="D121" s="340">
        <f>'סיכום לועדה- הזנת נתונים'!D121</f>
        <v>0</v>
      </c>
      <c r="E121" s="340">
        <f>'סיכום לועדה- הזנת נתונים'!E121</f>
        <v>0</v>
      </c>
      <c r="F121" s="340">
        <f>'סיכום לועדה- הזנת נתונים'!F121</f>
        <v>0</v>
      </c>
      <c r="G121" s="340" t="str">
        <f>'סיכום לועדה- הזנת נתונים'!G121</f>
        <v/>
      </c>
      <c r="H121" s="340" t="str">
        <f>'סיכום לועדה- הזנת נתונים'!H121</f>
        <v/>
      </c>
      <c r="I121" s="340" t="str">
        <f>'סיכום לועדה- הזנת נתונים'!I121</f>
        <v/>
      </c>
      <c r="J121" s="340" t="str">
        <f>'סיכום לועדה- הזנת נתונים'!J121</f>
        <v/>
      </c>
      <c r="K121" s="340" t="str">
        <f>'סיכום לועדה- הזנת נתונים'!K121</f>
        <v/>
      </c>
      <c r="L121" s="340" t="str">
        <f>'סיכום לועדה- הזנת נתונים'!L121</f>
        <v/>
      </c>
      <c r="M121" s="340" t="str">
        <f>'סיכום לועדה- הזנת נתונים'!M121</f>
        <v/>
      </c>
      <c r="N121" s="341">
        <f>'סיכום לועדה- הזנת נתונים'!N121</f>
        <v>0</v>
      </c>
      <c r="O121" s="341" t="str">
        <f>'סיכום לועדה- הזנת נתונים'!O121</f>
        <v/>
      </c>
      <c r="P121" s="445" t="str">
        <f>'סיכום לועדה- הזנת נתונים'!P121</f>
        <v/>
      </c>
      <c r="Q121" s="341">
        <f>'סיכום לועדה- הזנת נתונים'!Q121</f>
        <v>0</v>
      </c>
      <c r="R121" s="341">
        <f>'סיכום לועדה- הזנת נתונים'!R121</f>
        <v>0</v>
      </c>
      <c r="S121" s="341">
        <f>'סיכום לועדה- הזנת נתונים'!S121</f>
        <v>0</v>
      </c>
      <c r="T121" s="341">
        <f>'סיכום לועדה- הזנת נתונים'!T121</f>
        <v>0</v>
      </c>
      <c r="U121" s="447">
        <f>'סיכום לועדה- הזנת נתונים'!U121</f>
        <v>0</v>
      </c>
      <c r="V121" s="447">
        <f>'סיכום לועדה- הזנת נתונים'!V121</f>
        <v>0</v>
      </c>
      <c r="W121" s="178" t="e">
        <f t="shared" si="9"/>
        <v>#VALUE!</v>
      </c>
      <c r="X121" s="179">
        <f t="shared" si="10"/>
        <v>0</v>
      </c>
      <c r="Y121" s="175" t="e">
        <f t="shared" si="11"/>
        <v>#VALUE!</v>
      </c>
      <c r="Z121" s="175" t="str">
        <f t="shared" si="12"/>
        <v>הצג חריגים</v>
      </c>
      <c r="AA121" s="180">
        <f t="shared" si="7"/>
        <v>0</v>
      </c>
      <c r="AB121" s="174"/>
      <c r="AC121" s="174"/>
      <c r="AD121" s="174"/>
      <c r="AE121" s="174"/>
      <c r="AF121" s="174"/>
      <c r="AG121" s="174"/>
      <c r="AH121" s="174"/>
      <c r="AI121" s="174"/>
      <c r="AJ121" s="174"/>
      <c r="AK121" s="174"/>
      <c r="AL121" s="174"/>
      <c r="AM121" s="174"/>
      <c r="AN121" s="174"/>
      <c r="AO121" s="174"/>
      <c r="AP121" s="174"/>
      <c r="AQ121" s="174"/>
      <c r="AR121" s="174"/>
      <c r="AS121" s="174"/>
      <c r="AT121" s="174"/>
      <c r="AU121" s="174"/>
      <c r="AV121" s="174"/>
      <c r="AW121" s="174"/>
      <c r="AX121" s="175" t="b">
        <f t="shared" si="13"/>
        <v>1</v>
      </c>
      <c r="AY121" s="181"/>
      <c r="AZ121" s="182">
        <f t="shared" si="8"/>
        <v>15000000</v>
      </c>
    </row>
    <row r="122" spans="2:52" hidden="1" x14ac:dyDescent="0.25">
      <c r="B122" s="340">
        <f>'סיכום לועדה- הזנת נתונים'!B122</f>
        <v>0</v>
      </c>
      <c r="C122" s="340">
        <f>'סיכום לועדה- הזנת נתונים'!C122</f>
        <v>0</v>
      </c>
      <c r="D122" s="340">
        <f>'סיכום לועדה- הזנת נתונים'!D122</f>
        <v>0</v>
      </c>
      <c r="E122" s="340">
        <f>'סיכום לועדה- הזנת נתונים'!E122</f>
        <v>0</v>
      </c>
      <c r="F122" s="340">
        <f>'סיכום לועדה- הזנת נתונים'!F122</f>
        <v>0</v>
      </c>
      <c r="G122" s="340" t="str">
        <f>'סיכום לועדה- הזנת נתונים'!G122</f>
        <v/>
      </c>
      <c r="H122" s="340" t="str">
        <f>'סיכום לועדה- הזנת נתונים'!H122</f>
        <v/>
      </c>
      <c r="I122" s="340" t="str">
        <f>'סיכום לועדה- הזנת נתונים'!I122</f>
        <v/>
      </c>
      <c r="J122" s="340" t="str">
        <f>'סיכום לועדה- הזנת נתונים'!J122</f>
        <v/>
      </c>
      <c r="K122" s="340" t="str">
        <f>'סיכום לועדה- הזנת נתונים'!K122</f>
        <v/>
      </c>
      <c r="L122" s="340" t="str">
        <f>'סיכום לועדה- הזנת נתונים'!L122</f>
        <v/>
      </c>
      <c r="M122" s="340" t="str">
        <f>'סיכום לועדה- הזנת נתונים'!M122</f>
        <v/>
      </c>
      <c r="N122" s="341">
        <f>'סיכום לועדה- הזנת נתונים'!N122</f>
        <v>0</v>
      </c>
      <c r="O122" s="341" t="str">
        <f>'סיכום לועדה- הזנת נתונים'!O122</f>
        <v/>
      </c>
      <c r="P122" s="445" t="str">
        <f>'סיכום לועדה- הזנת נתונים'!P122</f>
        <v/>
      </c>
      <c r="Q122" s="341">
        <f>'סיכום לועדה- הזנת נתונים'!Q122</f>
        <v>0</v>
      </c>
      <c r="R122" s="341">
        <f>'סיכום לועדה- הזנת נתונים'!R122</f>
        <v>0</v>
      </c>
      <c r="S122" s="341">
        <f>'סיכום לועדה- הזנת נתונים'!S122</f>
        <v>0</v>
      </c>
      <c r="T122" s="341">
        <f>'סיכום לועדה- הזנת נתונים'!T122</f>
        <v>0</v>
      </c>
      <c r="U122" s="447">
        <f>'סיכום לועדה- הזנת נתונים'!U122</f>
        <v>0</v>
      </c>
      <c r="V122" s="447">
        <f>'סיכום לועדה- הזנת נתונים'!V122</f>
        <v>0</v>
      </c>
      <c r="W122" s="178" t="e">
        <f t="shared" si="9"/>
        <v>#VALUE!</v>
      </c>
      <c r="X122" s="179">
        <f t="shared" si="10"/>
        <v>0</v>
      </c>
      <c r="Y122" s="175" t="e">
        <f t="shared" si="11"/>
        <v>#VALUE!</v>
      </c>
      <c r="Z122" s="175" t="str">
        <f t="shared" si="12"/>
        <v>הצג חריגים</v>
      </c>
      <c r="AA122" s="180">
        <f t="shared" si="7"/>
        <v>0</v>
      </c>
      <c r="AB122" s="174"/>
      <c r="AC122" s="174"/>
      <c r="AD122" s="174"/>
      <c r="AE122" s="174"/>
      <c r="AF122" s="174"/>
      <c r="AG122" s="174"/>
      <c r="AH122" s="174"/>
      <c r="AI122" s="174"/>
      <c r="AJ122" s="174"/>
      <c r="AK122" s="174"/>
      <c r="AL122" s="174"/>
      <c r="AM122" s="174"/>
      <c r="AN122" s="174"/>
      <c r="AO122" s="174"/>
      <c r="AP122" s="174"/>
      <c r="AQ122" s="174"/>
      <c r="AR122" s="174"/>
      <c r="AS122" s="174"/>
      <c r="AT122" s="174"/>
      <c r="AU122" s="174"/>
      <c r="AV122" s="174"/>
      <c r="AW122" s="174"/>
      <c r="AX122" s="175" t="b">
        <f t="shared" si="13"/>
        <v>1</v>
      </c>
      <c r="AY122" s="181"/>
      <c r="AZ122" s="182">
        <f t="shared" si="8"/>
        <v>15000000</v>
      </c>
    </row>
    <row r="123" spans="2:52" hidden="1" x14ac:dyDescent="0.25">
      <c r="B123" s="340">
        <f>'סיכום לועדה- הזנת נתונים'!B123</f>
        <v>0</v>
      </c>
      <c r="C123" s="340">
        <f>'סיכום לועדה- הזנת נתונים'!C123</f>
        <v>0</v>
      </c>
      <c r="D123" s="340">
        <f>'סיכום לועדה- הזנת נתונים'!D123</f>
        <v>0</v>
      </c>
      <c r="E123" s="340">
        <f>'סיכום לועדה- הזנת נתונים'!E123</f>
        <v>0</v>
      </c>
      <c r="F123" s="340">
        <f>'סיכום לועדה- הזנת נתונים'!F123</f>
        <v>0</v>
      </c>
      <c r="G123" s="340" t="str">
        <f>'סיכום לועדה- הזנת נתונים'!G123</f>
        <v/>
      </c>
      <c r="H123" s="340" t="str">
        <f>'סיכום לועדה- הזנת נתונים'!H123</f>
        <v/>
      </c>
      <c r="I123" s="340" t="str">
        <f>'סיכום לועדה- הזנת נתונים'!I123</f>
        <v/>
      </c>
      <c r="J123" s="340" t="str">
        <f>'סיכום לועדה- הזנת נתונים'!J123</f>
        <v/>
      </c>
      <c r="K123" s="340" t="str">
        <f>'סיכום לועדה- הזנת נתונים'!K123</f>
        <v/>
      </c>
      <c r="L123" s="340" t="str">
        <f>'סיכום לועדה- הזנת נתונים'!L123</f>
        <v/>
      </c>
      <c r="M123" s="340" t="str">
        <f>'סיכום לועדה- הזנת נתונים'!M123</f>
        <v/>
      </c>
      <c r="N123" s="341">
        <f>'סיכום לועדה- הזנת נתונים'!N123</f>
        <v>0</v>
      </c>
      <c r="O123" s="341" t="str">
        <f>'סיכום לועדה- הזנת נתונים'!O123</f>
        <v/>
      </c>
      <c r="P123" s="445" t="str">
        <f>'סיכום לועדה- הזנת נתונים'!P123</f>
        <v/>
      </c>
      <c r="Q123" s="341">
        <f>'סיכום לועדה- הזנת נתונים'!Q123</f>
        <v>0</v>
      </c>
      <c r="R123" s="341">
        <f>'סיכום לועדה- הזנת נתונים'!R123</f>
        <v>0</v>
      </c>
      <c r="S123" s="341">
        <f>'סיכום לועדה- הזנת נתונים'!S123</f>
        <v>0</v>
      </c>
      <c r="T123" s="341">
        <f>'סיכום לועדה- הזנת נתונים'!T123</f>
        <v>0</v>
      </c>
      <c r="U123" s="447">
        <f>'סיכום לועדה- הזנת נתונים'!U123</f>
        <v>0</v>
      </c>
      <c r="V123" s="447">
        <f>'סיכום לועדה- הזנת נתונים'!V123</f>
        <v>0</v>
      </c>
      <c r="W123" s="178" t="e">
        <f t="shared" si="9"/>
        <v>#VALUE!</v>
      </c>
      <c r="X123" s="179">
        <f t="shared" si="10"/>
        <v>0</v>
      </c>
      <c r="Y123" s="175" t="e">
        <f t="shared" si="11"/>
        <v>#VALUE!</v>
      </c>
      <c r="Z123" s="175" t="str">
        <f t="shared" si="12"/>
        <v>הצג חריגים</v>
      </c>
      <c r="AA123" s="180">
        <f t="shared" si="7"/>
        <v>0</v>
      </c>
      <c r="AB123" s="174"/>
      <c r="AC123" s="174"/>
      <c r="AD123" s="174"/>
      <c r="AE123" s="174"/>
      <c r="AF123" s="174"/>
      <c r="AG123" s="174"/>
      <c r="AH123" s="174"/>
      <c r="AI123" s="174"/>
      <c r="AJ123" s="174"/>
      <c r="AK123" s="174"/>
      <c r="AL123" s="174"/>
      <c r="AM123" s="174"/>
      <c r="AN123" s="174"/>
      <c r="AO123" s="174"/>
      <c r="AP123" s="174"/>
      <c r="AQ123" s="174"/>
      <c r="AR123" s="174"/>
      <c r="AS123" s="174"/>
      <c r="AT123" s="174"/>
      <c r="AU123" s="174"/>
      <c r="AV123" s="174"/>
      <c r="AW123" s="174"/>
      <c r="AX123" s="175" t="b">
        <f t="shared" si="13"/>
        <v>1</v>
      </c>
      <c r="AY123" s="181"/>
      <c r="AZ123" s="182">
        <f t="shared" si="8"/>
        <v>15000000</v>
      </c>
    </row>
    <row r="124" spans="2:52" hidden="1" x14ac:dyDescent="0.25">
      <c r="B124" s="340">
        <f>'סיכום לועדה- הזנת נתונים'!B124</f>
        <v>0</v>
      </c>
      <c r="C124" s="340">
        <f>'סיכום לועדה- הזנת נתונים'!C124</f>
        <v>0</v>
      </c>
      <c r="D124" s="340">
        <f>'סיכום לועדה- הזנת נתונים'!D124</f>
        <v>0</v>
      </c>
      <c r="E124" s="340">
        <f>'סיכום לועדה- הזנת נתונים'!E124</f>
        <v>0</v>
      </c>
      <c r="F124" s="340">
        <f>'סיכום לועדה- הזנת נתונים'!F124</f>
        <v>0</v>
      </c>
      <c r="G124" s="340" t="str">
        <f>'סיכום לועדה- הזנת נתונים'!G124</f>
        <v/>
      </c>
      <c r="H124" s="340" t="str">
        <f>'סיכום לועדה- הזנת נתונים'!H124</f>
        <v/>
      </c>
      <c r="I124" s="340" t="str">
        <f>'סיכום לועדה- הזנת נתונים'!I124</f>
        <v/>
      </c>
      <c r="J124" s="340" t="str">
        <f>'סיכום לועדה- הזנת נתונים'!J124</f>
        <v/>
      </c>
      <c r="K124" s="340" t="str">
        <f>'סיכום לועדה- הזנת נתונים'!K124</f>
        <v/>
      </c>
      <c r="L124" s="340" t="str">
        <f>'סיכום לועדה- הזנת נתונים'!L124</f>
        <v/>
      </c>
      <c r="M124" s="340" t="str">
        <f>'סיכום לועדה- הזנת נתונים'!M124</f>
        <v/>
      </c>
      <c r="N124" s="341">
        <f>'סיכום לועדה- הזנת נתונים'!N124</f>
        <v>0</v>
      </c>
      <c r="O124" s="341" t="str">
        <f>'סיכום לועדה- הזנת נתונים'!O124</f>
        <v/>
      </c>
      <c r="P124" s="445" t="str">
        <f>'סיכום לועדה- הזנת נתונים'!P124</f>
        <v/>
      </c>
      <c r="Q124" s="341">
        <f>'סיכום לועדה- הזנת נתונים'!Q124</f>
        <v>0</v>
      </c>
      <c r="R124" s="341">
        <f>'סיכום לועדה- הזנת נתונים'!R124</f>
        <v>0</v>
      </c>
      <c r="S124" s="341">
        <f>'סיכום לועדה- הזנת נתונים'!S124</f>
        <v>0</v>
      </c>
      <c r="T124" s="341">
        <f>'סיכום לועדה- הזנת נתונים'!T124</f>
        <v>0</v>
      </c>
      <c r="U124" s="447">
        <f>'סיכום לועדה- הזנת נתונים'!U124</f>
        <v>0</v>
      </c>
      <c r="V124" s="447">
        <f>'סיכום לועדה- הזנת נתונים'!V124</f>
        <v>0</v>
      </c>
      <c r="W124" s="178" t="e">
        <f t="shared" si="9"/>
        <v>#VALUE!</v>
      </c>
      <c r="X124" s="179">
        <f t="shared" si="10"/>
        <v>0</v>
      </c>
      <c r="Y124" s="175" t="e">
        <f t="shared" si="11"/>
        <v>#VALUE!</v>
      </c>
      <c r="Z124" s="175" t="str">
        <f t="shared" si="12"/>
        <v>הצג חריגים</v>
      </c>
      <c r="AA124" s="180">
        <f t="shared" si="7"/>
        <v>0</v>
      </c>
      <c r="AB124" s="174"/>
      <c r="AC124" s="174"/>
      <c r="AD124" s="174"/>
      <c r="AE124" s="174"/>
      <c r="AF124" s="174"/>
      <c r="AG124" s="174"/>
      <c r="AH124" s="174"/>
      <c r="AI124" s="174"/>
      <c r="AJ124" s="174"/>
      <c r="AK124" s="174"/>
      <c r="AL124" s="174"/>
      <c r="AM124" s="174"/>
      <c r="AN124" s="174"/>
      <c r="AO124" s="174"/>
      <c r="AP124" s="174"/>
      <c r="AQ124" s="174"/>
      <c r="AR124" s="174"/>
      <c r="AS124" s="174"/>
      <c r="AT124" s="174"/>
      <c r="AU124" s="174"/>
      <c r="AV124" s="174"/>
      <c r="AW124" s="174"/>
      <c r="AX124" s="175" t="b">
        <f t="shared" si="13"/>
        <v>1</v>
      </c>
      <c r="AY124" s="181"/>
      <c r="AZ124" s="182">
        <f t="shared" si="8"/>
        <v>15000000</v>
      </c>
    </row>
    <row r="125" spans="2:52" hidden="1" x14ac:dyDescent="0.25">
      <c r="B125" s="340">
        <f>'סיכום לועדה- הזנת נתונים'!B125</f>
        <v>0</v>
      </c>
      <c r="C125" s="340">
        <f>'סיכום לועדה- הזנת נתונים'!C125</f>
        <v>0</v>
      </c>
      <c r="D125" s="340">
        <f>'סיכום לועדה- הזנת נתונים'!D125</f>
        <v>0</v>
      </c>
      <c r="E125" s="340">
        <f>'סיכום לועדה- הזנת נתונים'!E125</f>
        <v>0</v>
      </c>
      <c r="F125" s="340">
        <f>'סיכום לועדה- הזנת נתונים'!F125</f>
        <v>0</v>
      </c>
      <c r="G125" s="340" t="str">
        <f>'סיכום לועדה- הזנת נתונים'!G125</f>
        <v/>
      </c>
      <c r="H125" s="340" t="str">
        <f>'סיכום לועדה- הזנת נתונים'!H125</f>
        <v/>
      </c>
      <c r="I125" s="340" t="str">
        <f>'סיכום לועדה- הזנת נתונים'!I125</f>
        <v/>
      </c>
      <c r="J125" s="340" t="str">
        <f>'סיכום לועדה- הזנת נתונים'!J125</f>
        <v/>
      </c>
      <c r="K125" s="340" t="str">
        <f>'סיכום לועדה- הזנת נתונים'!K125</f>
        <v/>
      </c>
      <c r="L125" s="340" t="str">
        <f>'סיכום לועדה- הזנת נתונים'!L125</f>
        <v/>
      </c>
      <c r="M125" s="340" t="str">
        <f>'סיכום לועדה- הזנת נתונים'!M125</f>
        <v/>
      </c>
      <c r="N125" s="341">
        <f>'סיכום לועדה- הזנת נתונים'!N125</f>
        <v>0</v>
      </c>
      <c r="O125" s="341" t="str">
        <f>'סיכום לועדה- הזנת נתונים'!O125</f>
        <v/>
      </c>
      <c r="P125" s="445" t="str">
        <f>'סיכום לועדה- הזנת נתונים'!P125</f>
        <v/>
      </c>
      <c r="Q125" s="341">
        <f>'סיכום לועדה- הזנת נתונים'!Q125</f>
        <v>0</v>
      </c>
      <c r="R125" s="341">
        <f>'סיכום לועדה- הזנת נתונים'!R125</f>
        <v>0</v>
      </c>
      <c r="S125" s="341">
        <f>'סיכום לועדה- הזנת נתונים'!S125</f>
        <v>0</v>
      </c>
      <c r="T125" s="341">
        <f>'סיכום לועדה- הזנת נתונים'!T125</f>
        <v>0</v>
      </c>
      <c r="U125" s="447">
        <f>'סיכום לועדה- הזנת נתונים'!U125</f>
        <v>0</v>
      </c>
      <c r="V125" s="447">
        <f>'סיכום לועדה- הזנת נתונים'!V125</f>
        <v>0</v>
      </c>
      <c r="W125" s="178" t="e">
        <f t="shared" si="9"/>
        <v>#VALUE!</v>
      </c>
      <c r="X125" s="179">
        <f t="shared" si="10"/>
        <v>0</v>
      </c>
      <c r="Y125" s="175" t="e">
        <f t="shared" si="11"/>
        <v>#VALUE!</v>
      </c>
      <c r="Z125" s="175" t="str">
        <f t="shared" si="12"/>
        <v>הצג חריגים</v>
      </c>
      <c r="AA125" s="180">
        <f t="shared" si="7"/>
        <v>0</v>
      </c>
      <c r="AB125" s="174"/>
      <c r="AC125" s="174"/>
      <c r="AD125" s="174"/>
      <c r="AE125" s="174"/>
      <c r="AF125" s="174"/>
      <c r="AG125" s="174"/>
      <c r="AH125" s="174"/>
      <c r="AI125" s="174"/>
      <c r="AJ125" s="174"/>
      <c r="AK125" s="174"/>
      <c r="AL125" s="174"/>
      <c r="AM125" s="174"/>
      <c r="AN125" s="174"/>
      <c r="AO125" s="174"/>
      <c r="AP125" s="174"/>
      <c r="AQ125" s="174"/>
      <c r="AR125" s="174"/>
      <c r="AS125" s="174"/>
      <c r="AT125" s="174"/>
      <c r="AU125" s="174"/>
      <c r="AV125" s="174"/>
      <c r="AW125" s="174"/>
      <c r="AX125" s="175" t="b">
        <f t="shared" si="13"/>
        <v>1</v>
      </c>
      <c r="AY125" s="181"/>
      <c r="AZ125" s="182">
        <f t="shared" si="8"/>
        <v>15000000</v>
      </c>
    </row>
    <row r="126" spans="2:52" hidden="1" x14ac:dyDescent="0.25">
      <c r="B126" s="340">
        <f>'סיכום לועדה- הזנת נתונים'!B126</f>
        <v>0</v>
      </c>
      <c r="C126" s="340">
        <f>'סיכום לועדה- הזנת נתונים'!C126</f>
        <v>0</v>
      </c>
      <c r="D126" s="340">
        <f>'סיכום לועדה- הזנת נתונים'!D126</f>
        <v>0</v>
      </c>
      <c r="E126" s="340">
        <f>'סיכום לועדה- הזנת נתונים'!E126</f>
        <v>0</v>
      </c>
      <c r="F126" s="340">
        <f>'סיכום לועדה- הזנת נתונים'!F126</f>
        <v>0</v>
      </c>
      <c r="G126" s="340" t="str">
        <f>'סיכום לועדה- הזנת נתונים'!G126</f>
        <v/>
      </c>
      <c r="H126" s="340" t="str">
        <f>'סיכום לועדה- הזנת נתונים'!H126</f>
        <v/>
      </c>
      <c r="I126" s="340" t="str">
        <f>'סיכום לועדה- הזנת נתונים'!I126</f>
        <v/>
      </c>
      <c r="J126" s="340" t="str">
        <f>'סיכום לועדה- הזנת נתונים'!J126</f>
        <v/>
      </c>
      <c r="K126" s="340" t="str">
        <f>'סיכום לועדה- הזנת נתונים'!K126</f>
        <v/>
      </c>
      <c r="L126" s="340" t="str">
        <f>'סיכום לועדה- הזנת נתונים'!L126</f>
        <v/>
      </c>
      <c r="M126" s="340" t="str">
        <f>'סיכום לועדה- הזנת נתונים'!M126</f>
        <v/>
      </c>
      <c r="N126" s="341">
        <f>'סיכום לועדה- הזנת נתונים'!N126</f>
        <v>0</v>
      </c>
      <c r="O126" s="341" t="str">
        <f>'סיכום לועדה- הזנת נתונים'!O126</f>
        <v/>
      </c>
      <c r="P126" s="445" t="str">
        <f>'סיכום לועדה- הזנת נתונים'!P126</f>
        <v/>
      </c>
      <c r="Q126" s="341">
        <f>'סיכום לועדה- הזנת נתונים'!Q126</f>
        <v>0</v>
      </c>
      <c r="R126" s="341">
        <f>'סיכום לועדה- הזנת נתונים'!R126</f>
        <v>0</v>
      </c>
      <c r="S126" s="341">
        <f>'סיכום לועדה- הזנת נתונים'!S126</f>
        <v>0</v>
      </c>
      <c r="T126" s="341">
        <f>'סיכום לועדה- הזנת נתונים'!T126</f>
        <v>0</v>
      </c>
      <c r="U126" s="447">
        <f>'סיכום לועדה- הזנת נתונים'!U126</f>
        <v>0</v>
      </c>
      <c r="V126" s="447">
        <f>'סיכום לועדה- הזנת נתונים'!V126</f>
        <v>0</v>
      </c>
      <c r="W126" s="178" t="e">
        <f t="shared" si="9"/>
        <v>#VALUE!</v>
      </c>
      <c r="X126" s="179">
        <f t="shared" si="10"/>
        <v>0</v>
      </c>
      <c r="Y126" s="175" t="e">
        <f t="shared" si="11"/>
        <v>#VALUE!</v>
      </c>
      <c r="Z126" s="175" t="str">
        <f t="shared" si="12"/>
        <v>הצג חריגים</v>
      </c>
      <c r="AA126" s="180">
        <f t="shared" si="7"/>
        <v>0</v>
      </c>
      <c r="AB126" s="174"/>
      <c r="AC126" s="174"/>
      <c r="AD126" s="174"/>
      <c r="AE126" s="174"/>
      <c r="AF126" s="174"/>
      <c r="AG126" s="174"/>
      <c r="AH126" s="174"/>
      <c r="AI126" s="174"/>
      <c r="AJ126" s="174"/>
      <c r="AK126" s="174"/>
      <c r="AL126" s="174"/>
      <c r="AM126" s="174"/>
      <c r="AN126" s="174"/>
      <c r="AO126" s="174"/>
      <c r="AP126" s="174"/>
      <c r="AQ126" s="174"/>
      <c r="AR126" s="174"/>
      <c r="AS126" s="174"/>
      <c r="AT126" s="174"/>
      <c r="AU126" s="174"/>
      <c r="AV126" s="174"/>
      <c r="AW126" s="174"/>
      <c r="AX126" s="175" t="b">
        <f t="shared" si="13"/>
        <v>1</v>
      </c>
      <c r="AY126" s="181"/>
      <c r="AZ126" s="182">
        <f t="shared" si="8"/>
        <v>15000000</v>
      </c>
    </row>
    <row r="127" spans="2:52" hidden="1" x14ac:dyDescent="0.25">
      <c r="B127" s="340">
        <f>'סיכום לועדה- הזנת נתונים'!B127</f>
        <v>0</v>
      </c>
      <c r="C127" s="340">
        <f>'סיכום לועדה- הזנת נתונים'!C127</f>
        <v>0</v>
      </c>
      <c r="D127" s="340">
        <f>'סיכום לועדה- הזנת נתונים'!D127</f>
        <v>0</v>
      </c>
      <c r="E127" s="340">
        <f>'סיכום לועדה- הזנת נתונים'!E127</f>
        <v>0</v>
      </c>
      <c r="F127" s="340">
        <f>'סיכום לועדה- הזנת נתונים'!F127</f>
        <v>0</v>
      </c>
      <c r="G127" s="340" t="str">
        <f>'סיכום לועדה- הזנת נתונים'!G127</f>
        <v/>
      </c>
      <c r="H127" s="340" t="str">
        <f>'סיכום לועדה- הזנת נתונים'!H127</f>
        <v/>
      </c>
      <c r="I127" s="340" t="str">
        <f>'סיכום לועדה- הזנת נתונים'!I127</f>
        <v/>
      </c>
      <c r="J127" s="340" t="str">
        <f>'סיכום לועדה- הזנת נתונים'!J127</f>
        <v/>
      </c>
      <c r="K127" s="340" t="str">
        <f>'סיכום לועדה- הזנת נתונים'!K127</f>
        <v/>
      </c>
      <c r="L127" s="340" t="str">
        <f>'סיכום לועדה- הזנת נתונים'!L127</f>
        <v/>
      </c>
      <c r="M127" s="340" t="str">
        <f>'סיכום לועדה- הזנת נתונים'!M127</f>
        <v/>
      </c>
      <c r="N127" s="341">
        <f>'סיכום לועדה- הזנת נתונים'!N127</f>
        <v>0</v>
      </c>
      <c r="O127" s="341" t="str">
        <f>'סיכום לועדה- הזנת נתונים'!O127</f>
        <v/>
      </c>
      <c r="P127" s="445" t="str">
        <f>'סיכום לועדה- הזנת נתונים'!P127</f>
        <v/>
      </c>
      <c r="Q127" s="341">
        <f>'סיכום לועדה- הזנת נתונים'!Q127</f>
        <v>0</v>
      </c>
      <c r="R127" s="341">
        <f>'סיכום לועדה- הזנת נתונים'!R127</f>
        <v>0</v>
      </c>
      <c r="S127" s="341">
        <f>'סיכום לועדה- הזנת נתונים'!S127</f>
        <v>0</v>
      </c>
      <c r="T127" s="341">
        <f>'סיכום לועדה- הזנת נתונים'!T127</f>
        <v>0</v>
      </c>
      <c r="U127" s="447">
        <f>'סיכום לועדה- הזנת נתונים'!U127</f>
        <v>0</v>
      </c>
      <c r="V127" s="447">
        <f>'סיכום לועדה- הזנת נתונים'!V127</f>
        <v>0</v>
      </c>
      <c r="W127" s="178" t="e">
        <f t="shared" si="9"/>
        <v>#VALUE!</v>
      </c>
      <c r="X127" s="179">
        <f t="shared" si="10"/>
        <v>0</v>
      </c>
      <c r="Y127" s="175" t="e">
        <f t="shared" si="11"/>
        <v>#VALUE!</v>
      </c>
      <c r="Z127" s="175" t="str">
        <f t="shared" si="12"/>
        <v>הצג חריגים</v>
      </c>
      <c r="AA127" s="180">
        <f t="shared" si="7"/>
        <v>0</v>
      </c>
      <c r="AB127" s="174"/>
      <c r="AC127" s="174"/>
      <c r="AD127" s="174"/>
      <c r="AE127" s="174"/>
      <c r="AF127" s="174"/>
      <c r="AG127" s="174"/>
      <c r="AH127" s="174"/>
      <c r="AI127" s="174"/>
      <c r="AJ127" s="174"/>
      <c r="AK127" s="174"/>
      <c r="AL127" s="174"/>
      <c r="AM127" s="174"/>
      <c r="AN127" s="174"/>
      <c r="AO127" s="174"/>
      <c r="AP127" s="174"/>
      <c r="AQ127" s="174"/>
      <c r="AR127" s="174"/>
      <c r="AS127" s="174"/>
      <c r="AT127" s="174"/>
      <c r="AU127" s="174"/>
      <c r="AV127" s="174"/>
      <c r="AW127" s="174"/>
      <c r="AX127" s="175" t="b">
        <f t="shared" si="13"/>
        <v>1</v>
      </c>
      <c r="AY127" s="181"/>
      <c r="AZ127" s="182">
        <f t="shared" si="8"/>
        <v>15000000</v>
      </c>
    </row>
    <row r="128" spans="2:52" hidden="1" x14ac:dyDescent="0.25">
      <c r="B128" s="340">
        <f>'סיכום לועדה- הזנת נתונים'!B128</f>
        <v>0</v>
      </c>
      <c r="C128" s="340">
        <f>'סיכום לועדה- הזנת נתונים'!C128</f>
        <v>0</v>
      </c>
      <c r="D128" s="340">
        <f>'סיכום לועדה- הזנת נתונים'!D128</f>
        <v>0</v>
      </c>
      <c r="E128" s="340">
        <f>'סיכום לועדה- הזנת נתונים'!E128</f>
        <v>0</v>
      </c>
      <c r="F128" s="340">
        <f>'סיכום לועדה- הזנת נתונים'!F128</f>
        <v>0</v>
      </c>
      <c r="G128" s="340" t="str">
        <f>'סיכום לועדה- הזנת נתונים'!G128</f>
        <v/>
      </c>
      <c r="H128" s="340" t="str">
        <f>'סיכום לועדה- הזנת נתונים'!H128</f>
        <v/>
      </c>
      <c r="I128" s="340" t="str">
        <f>'סיכום לועדה- הזנת נתונים'!I128</f>
        <v/>
      </c>
      <c r="J128" s="340" t="str">
        <f>'סיכום לועדה- הזנת נתונים'!J128</f>
        <v/>
      </c>
      <c r="K128" s="340" t="str">
        <f>'סיכום לועדה- הזנת נתונים'!K128</f>
        <v/>
      </c>
      <c r="L128" s="340" t="str">
        <f>'סיכום לועדה- הזנת נתונים'!L128</f>
        <v/>
      </c>
      <c r="M128" s="340" t="str">
        <f>'סיכום לועדה- הזנת נתונים'!M128</f>
        <v/>
      </c>
      <c r="N128" s="341">
        <f>'סיכום לועדה- הזנת נתונים'!N128</f>
        <v>0</v>
      </c>
      <c r="O128" s="341" t="str">
        <f>'סיכום לועדה- הזנת נתונים'!O128</f>
        <v/>
      </c>
      <c r="P128" s="445" t="str">
        <f>'סיכום לועדה- הזנת נתונים'!P128</f>
        <v/>
      </c>
      <c r="Q128" s="341">
        <f>'סיכום לועדה- הזנת נתונים'!Q128</f>
        <v>0</v>
      </c>
      <c r="R128" s="341">
        <f>'סיכום לועדה- הזנת נתונים'!R128</f>
        <v>0</v>
      </c>
      <c r="S128" s="341">
        <f>'סיכום לועדה- הזנת נתונים'!S128</f>
        <v>0</v>
      </c>
      <c r="T128" s="341">
        <f>'סיכום לועדה- הזנת נתונים'!T128</f>
        <v>0</v>
      </c>
      <c r="U128" s="447">
        <f>'סיכום לועדה- הזנת נתונים'!U128</f>
        <v>0</v>
      </c>
      <c r="V128" s="447">
        <f>'סיכום לועדה- הזנת נתונים'!V128</f>
        <v>0</v>
      </c>
      <c r="W128" s="178" t="e">
        <f t="shared" si="9"/>
        <v>#VALUE!</v>
      </c>
      <c r="X128" s="179">
        <f t="shared" si="10"/>
        <v>0</v>
      </c>
      <c r="Y128" s="175" t="e">
        <f t="shared" si="11"/>
        <v>#VALUE!</v>
      </c>
      <c r="Z128" s="175" t="str">
        <f t="shared" si="12"/>
        <v>הצג חריגים</v>
      </c>
      <c r="AA128" s="180">
        <f t="shared" si="7"/>
        <v>0</v>
      </c>
      <c r="AB128" s="174"/>
      <c r="AC128" s="174"/>
      <c r="AD128" s="174"/>
      <c r="AE128" s="174"/>
      <c r="AF128" s="174"/>
      <c r="AG128" s="174"/>
      <c r="AH128" s="174"/>
      <c r="AI128" s="174"/>
      <c r="AJ128" s="174"/>
      <c r="AK128" s="174"/>
      <c r="AL128" s="174"/>
      <c r="AM128" s="174"/>
      <c r="AN128" s="174"/>
      <c r="AO128" s="174"/>
      <c r="AP128" s="174"/>
      <c r="AQ128" s="174"/>
      <c r="AR128" s="174"/>
      <c r="AS128" s="174"/>
      <c r="AT128" s="174"/>
      <c r="AU128" s="174"/>
      <c r="AV128" s="174"/>
      <c r="AW128" s="174"/>
      <c r="AX128" s="175" t="b">
        <f t="shared" si="13"/>
        <v>1</v>
      </c>
      <c r="AY128" s="181"/>
      <c r="AZ128" s="182">
        <f t="shared" si="8"/>
        <v>15000000</v>
      </c>
    </row>
    <row r="129" spans="2:52" hidden="1" x14ac:dyDescent="0.25">
      <c r="B129" s="340">
        <f>'סיכום לועדה- הזנת נתונים'!B129</f>
        <v>0</v>
      </c>
      <c r="C129" s="340">
        <f>'סיכום לועדה- הזנת נתונים'!C129</f>
        <v>0</v>
      </c>
      <c r="D129" s="340">
        <f>'סיכום לועדה- הזנת נתונים'!D129</f>
        <v>0</v>
      </c>
      <c r="E129" s="340">
        <f>'סיכום לועדה- הזנת נתונים'!E129</f>
        <v>0</v>
      </c>
      <c r="F129" s="340">
        <f>'סיכום לועדה- הזנת נתונים'!F129</f>
        <v>0</v>
      </c>
      <c r="G129" s="340" t="str">
        <f>'סיכום לועדה- הזנת נתונים'!G129</f>
        <v/>
      </c>
      <c r="H129" s="340" t="str">
        <f>'סיכום לועדה- הזנת נתונים'!H129</f>
        <v/>
      </c>
      <c r="I129" s="340" t="str">
        <f>'סיכום לועדה- הזנת נתונים'!I129</f>
        <v/>
      </c>
      <c r="J129" s="340" t="str">
        <f>'סיכום לועדה- הזנת נתונים'!J129</f>
        <v/>
      </c>
      <c r="K129" s="340" t="str">
        <f>'סיכום לועדה- הזנת נתונים'!K129</f>
        <v/>
      </c>
      <c r="L129" s="340" t="str">
        <f>'סיכום לועדה- הזנת נתונים'!L129</f>
        <v/>
      </c>
      <c r="M129" s="340" t="str">
        <f>'סיכום לועדה- הזנת נתונים'!M129</f>
        <v/>
      </c>
      <c r="N129" s="341">
        <f>'סיכום לועדה- הזנת נתונים'!N129</f>
        <v>0</v>
      </c>
      <c r="O129" s="341" t="str">
        <f>'סיכום לועדה- הזנת נתונים'!O129</f>
        <v/>
      </c>
      <c r="P129" s="445" t="str">
        <f>'סיכום לועדה- הזנת נתונים'!P129</f>
        <v/>
      </c>
      <c r="Q129" s="341">
        <f>'סיכום לועדה- הזנת נתונים'!Q129</f>
        <v>0</v>
      </c>
      <c r="R129" s="341">
        <f>'סיכום לועדה- הזנת נתונים'!R129</f>
        <v>0</v>
      </c>
      <c r="S129" s="341">
        <f>'סיכום לועדה- הזנת נתונים'!S129</f>
        <v>0</v>
      </c>
      <c r="T129" s="341">
        <f>'סיכום לועדה- הזנת נתונים'!T129</f>
        <v>0</v>
      </c>
      <c r="U129" s="447">
        <f>'סיכום לועדה- הזנת נתונים'!U129</f>
        <v>0</v>
      </c>
      <c r="V129" s="447">
        <f>'סיכום לועדה- הזנת נתונים'!V129</f>
        <v>0</v>
      </c>
      <c r="W129" s="178" t="e">
        <f t="shared" si="9"/>
        <v>#VALUE!</v>
      </c>
      <c r="X129" s="179">
        <f t="shared" si="10"/>
        <v>0</v>
      </c>
      <c r="Y129" s="175" t="e">
        <f t="shared" si="11"/>
        <v>#VALUE!</v>
      </c>
      <c r="Z129" s="175" t="str">
        <f t="shared" si="12"/>
        <v>הצג חריגים</v>
      </c>
      <c r="AA129" s="180">
        <f t="shared" si="7"/>
        <v>0</v>
      </c>
      <c r="AB129" s="174"/>
      <c r="AC129" s="174"/>
      <c r="AD129" s="174"/>
      <c r="AE129" s="174"/>
      <c r="AF129" s="174"/>
      <c r="AG129" s="174"/>
      <c r="AH129" s="174"/>
      <c r="AI129" s="174"/>
      <c r="AJ129" s="174"/>
      <c r="AK129" s="174"/>
      <c r="AL129" s="174"/>
      <c r="AM129" s="174"/>
      <c r="AN129" s="174"/>
      <c r="AO129" s="174"/>
      <c r="AP129" s="174"/>
      <c r="AQ129" s="174"/>
      <c r="AR129" s="174"/>
      <c r="AS129" s="174"/>
      <c r="AT129" s="174"/>
      <c r="AU129" s="174"/>
      <c r="AV129" s="174"/>
      <c r="AW129" s="174"/>
      <c r="AX129" s="175" t="b">
        <f t="shared" si="13"/>
        <v>1</v>
      </c>
      <c r="AY129" s="181"/>
      <c r="AZ129" s="182">
        <f t="shared" si="8"/>
        <v>15000000</v>
      </c>
    </row>
    <row r="130" spans="2:52" hidden="1" x14ac:dyDescent="0.25">
      <c r="B130" s="340">
        <f>'סיכום לועדה- הזנת נתונים'!B130</f>
        <v>0</v>
      </c>
      <c r="C130" s="340">
        <f>'סיכום לועדה- הזנת נתונים'!C130</f>
        <v>0</v>
      </c>
      <c r="D130" s="340">
        <f>'סיכום לועדה- הזנת נתונים'!D130</f>
        <v>0</v>
      </c>
      <c r="E130" s="340">
        <f>'סיכום לועדה- הזנת נתונים'!E130</f>
        <v>0</v>
      </c>
      <c r="F130" s="340">
        <f>'סיכום לועדה- הזנת נתונים'!F130</f>
        <v>0</v>
      </c>
      <c r="G130" s="340" t="str">
        <f>'סיכום לועדה- הזנת נתונים'!G130</f>
        <v/>
      </c>
      <c r="H130" s="340" t="str">
        <f>'סיכום לועדה- הזנת נתונים'!H130</f>
        <v/>
      </c>
      <c r="I130" s="340" t="str">
        <f>'סיכום לועדה- הזנת נתונים'!I130</f>
        <v/>
      </c>
      <c r="J130" s="340" t="str">
        <f>'סיכום לועדה- הזנת נתונים'!J130</f>
        <v/>
      </c>
      <c r="K130" s="340" t="str">
        <f>'סיכום לועדה- הזנת נתונים'!K130</f>
        <v/>
      </c>
      <c r="L130" s="340" t="str">
        <f>'סיכום לועדה- הזנת נתונים'!L130</f>
        <v/>
      </c>
      <c r="M130" s="340" t="str">
        <f>'סיכום לועדה- הזנת נתונים'!M130</f>
        <v/>
      </c>
      <c r="N130" s="341">
        <f>'סיכום לועדה- הזנת נתונים'!N130</f>
        <v>0</v>
      </c>
      <c r="O130" s="341" t="str">
        <f>'סיכום לועדה- הזנת נתונים'!O130</f>
        <v/>
      </c>
      <c r="P130" s="445" t="str">
        <f>'סיכום לועדה- הזנת נתונים'!P130</f>
        <v/>
      </c>
      <c r="Q130" s="341">
        <f>'סיכום לועדה- הזנת נתונים'!Q130</f>
        <v>0</v>
      </c>
      <c r="R130" s="341">
        <f>'סיכום לועדה- הזנת נתונים'!R130</f>
        <v>0</v>
      </c>
      <c r="S130" s="341">
        <f>'סיכום לועדה- הזנת נתונים'!S130</f>
        <v>0</v>
      </c>
      <c r="T130" s="341">
        <f>'סיכום לועדה- הזנת נתונים'!T130</f>
        <v>0</v>
      </c>
      <c r="U130" s="447">
        <f>'סיכום לועדה- הזנת נתונים'!U130</f>
        <v>0</v>
      </c>
      <c r="V130" s="447">
        <f>'סיכום לועדה- הזנת נתונים'!V130</f>
        <v>0</v>
      </c>
      <c r="W130" s="178" t="e">
        <f t="shared" si="9"/>
        <v>#VALUE!</v>
      </c>
      <c r="X130" s="179">
        <f t="shared" si="10"/>
        <v>0</v>
      </c>
      <c r="Y130" s="175" t="e">
        <f t="shared" si="11"/>
        <v>#VALUE!</v>
      </c>
      <c r="Z130" s="175" t="str">
        <f t="shared" si="12"/>
        <v>הצג חריגים</v>
      </c>
      <c r="AA130" s="180">
        <f t="shared" si="7"/>
        <v>0</v>
      </c>
      <c r="AB130" s="174"/>
      <c r="AC130" s="174"/>
      <c r="AD130" s="174"/>
      <c r="AE130" s="174"/>
      <c r="AF130" s="174"/>
      <c r="AG130" s="174"/>
      <c r="AH130" s="174"/>
      <c r="AI130" s="174"/>
      <c r="AJ130" s="174"/>
      <c r="AK130" s="174"/>
      <c r="AL130" s="174"/>
      <c r="AM130" s="174"/>
      <c r="AN130" s="174"/>
      <c r="AO130" s="174"/>
      <c r="AP130" s="174"/>
      <c r="AQ130" s="174"/>
      <c r="AR130" s="174"/>
      <c r="AS130" s="174"/>
      <c r="AT130" s="174"/>
      <c r="AU130" s="174"/>
      <c r="AV130" s="174"/>
      <c r="AW130" s="174"/>
      <c r="AX130" s="175" t="b">
        <f t="shared" si="13"/>
        <v>1</v>
      </c>
      <c r="AY130" s="181"/>
      <c r="AZ130" s="182">
        <f t="shared" si="8"/>
        <v>15000000</v>
      </c>
    </row>
    <row r="131" spans="2:52" ht="19.5" hidden="1" thickBot="1" x14ac:dyDescent="0.3">
      <c r="B131" s="586"/>
      <c r="C131" s="614"/>
      <c r="D131" s="331"/>
      <c r="E131" s="331"/>
      <c r="F131" s="331"/>
      <c r="G131" s="332"/>
      <c r="H131" s="331"/>
      <c r="I131" s="331"/>
      <c r="J131" s="331"/>
      <c r="K131" s="331"/>
      <c r="L131" s="331"/>
      <c r="M131" s="331"/>
      <c r="N131" s="350">
        <f t="shared" ref="N131:T131" si="14">SUM(N30:N130)</f>
        <v>11658629.93</v>
      </c>
      <c r="O131" s="350">
        <f t="shared" si="14"/>
        <v>26113200</v>
      </c>
      <c r="P131" s="446"/>
      <c r="Q131" s="350">
        <f t="shared" ca="1" si="14"/>
        <v>0</v>
      </c>
      <c r="R131" s="350">
        <f t="shared" ca="1" si="14"/>
        <v>0</v>
      </c>
      <c r="S131" s="350">
        <f t="shared" ca="1" si="14"/>
        <v>15000000</v>
      </c>
      <c r="T131" s="350">
        <f t="shared" ca="1" si="14"/>
        <v>15000000</v>
      </c>
      <c r="U131" s="448"/>
      <c r="V131" s="192" t="str">
        <f>IF(U131="","",'סיכום לועדה- הזנת נתונים'!V131)</f>
        <v/>
      </c>
      <c r="W131" s="178" t="str">
        <f t="shared" si="9"/>
        <v/>
      </c>
      <c r="X131" s="179" t="str">
        <f t="shared" si="10"/>
        <v/>
      </c>
      <c r="Y131" s="174"/>
      <c r="Z131" s="174"/>
      <c r="AA131" s="180" t="str">
        <f t="shared" si="7"/>
        <v/>
      </c>
      <c r="AB131" s="174"/>
      <c r="AC131" s="174"/>
      <c r="AD131" s="174"/>
      <c r="AE131" s="174"/>
      <c r="AF131" s="174"/>
      <c r="AG131" s="174"/>
      <c r="AH131" s="174"/>
      <c r="AI131" s="174"/>
      <c r="AJ131" s="174"/>
      <c r="AK131" s="174"/>
      <c r="AL131" s="174"/>
      <c r="AM131" s="174"/>
      <c r="AN131" s="174"/>
      <c r="AO131" s="174"/>
      <c r="AP131" s="174"/>
      <c r="AQ131" s="174"/>
      <c r="AR131" s="174"/>
      <c r="AS131" s="174"/>
      <c r="AT131" s="174"/>
      <c r="AU131" s="174"/>
      <c r="AV131" s="174"/>
      <c r="AW131" s="174"/>
      <c r="AX131" s="175" t="b">
        <f t="shared" si="13"/>
        <v>0</v>
      </c>
      <c r="AY131" s="181"/>
      <c r="AZ131" s="182">
        <f t="shared" si="8"/>
        <v>15000000</v>
      </c>
    </row>
    <row r="132" spans="2:52" x14ac:dyDescent="0.25">
      <c r="B132" s="174"/>
      <c r="C132" s="174"/>
      <c r="D132" s="174"/>
      <c r="E132" s="174"/>
      <c r="F132" s="174"/>
      <c r="G132" s="191"/>
      <c r="H132" s="174"/>
      <c r="I132" s="174"/>
      <c r="J132" s="174"/>
      <c r="K132" s="174"/>
      <c r="L132" s="174"/>
      <c r="M132" s="174"/>
      <c r="N132" s="348"/>
      <c r="O132" s="348"/>
      <c r="P132" s="443"/>
      <c r="Q132" s="348"/>
      <c r="R132" s="348"/>
      <c r="S132" s="348"/>
      <c r="T132" s="348"/>
      <c r="U132" s="191"/>
      <c r="V132" s="191"/>
      <c r="W132" s="174"/>
      <c r="X132" s="174"/>
      <c r="Y132" s="174"/>
      <c r="Z132" s="174"/>
      <c r="AA132" s="174"/>
      <c r="AB132" s="174"/>
      <c r="AC132" s="174"/>
      <c r="AD132" s="174"/>
      <c r="AE132" s="174"/>
      <c r="AF132" s="174"/>
      <c r="AG132" s="174"/>
      <c r="AH132" s="174"/>
      <c r="AI132" s="174"/>
      <c r="AJ132" s="174"/>
      <c r="AK132" s="174"/>
      <c r="AL132" s="174"/>
      <c r="AM132" s="174"/>
      <c r="AN132" s="174"/>
      <c r="AO132" s="174"/>
      <c r="AP132" s="174"/>
      <c r="AQ132" s="174"/>
      <c r="AR132" s="174"/>
      <c r="AS132" s="174"/>
      <c r="AT132" s="174"/>
      <c r="AU132" s="174"/>
      <c r="AV132" s="174"/>
      <c r="AW132" s="174"/>
      <c r="AX132" s="174"/>
      <c r="AY132" s="174"/>
      <c r="AZ132" s="174"/>
    </row>
  </sheetData>
  <sheetProtection algorithmName="SHA-512" hashValue="LziZmcfUqjcHFePS8YdrJv4lRevmu6MVd3zgGDduYQEMpDWSU41VfGKdMBeWhA97Qk9KARMUmtcUooSbbnLe0A==" saltValue="KhB8MMLHJjtbOoaxh3jr+A==" spinCount="100000" sheet="1" scenarios="1" formatColumns="0" formatRows="0" autoFilter="0"/>
  <autoFilter ref="A30:GR131" xr:uid="{00000000-0001-0000-1A00-000000000000}">
    <filterColumn colId="2">
      <filters>
        <filter val="א.ב. חדשות השומרונים"/>
        <filter val="אורות הגליל"/>
        <filter val="אלמז"/>
        <filter val="אעלה בתמר"/>
        <filter val="ברית יוצאי מרוקו"/>
        <filter val="החברה לטיפוח חברה תרבות תיעוד"/>
        <filter val="הפדרציה העולמית של יהדות מרוקו"/>
        <filter val="הקם - בית הקונפדרציה"/>
        <filter val="התאחדות עולי מצרים"/>
        <filter val="חיבה"/>
        <filter val="יהדות שאלוניקי יוון"/>
        <filter val="יהודים יוצאי לוב"/>
        <filter val="ישיבת קרלין סטולין"/>
        <filter val="כולנא"/>
        <filter val="מוסיקה מזרח מערב"/>
        <filter val="מורשת יהדות קוצין"/>
        <filter val="מורשת יהודי צפון  אפריקה"/>
        <filter val="מכון הברמן"/>
        <filter val="מרכז מורשת בבל"/>
        <filter val="עמותת אור שלום"/>
        <filter val="עמותת הנני"/>
        <filter val="ענבל מרכז אתני"/>
        <filter val="קונגרס יהודי בוכרה"/>
        <filter val="שרשרת הדורות"/>
      </filters>
    </filterColumn>
  </autoFilter>
  <mergeCells count="1">
    <mergeCell ref="B131:C131"/>
  </mergeCells>
  <conditionalFormatting sqref="B32:V130 V131 B31:C31 E31:V31">
    <cfRule type="containsBlanks" dxfId="29" priority="5">
      <formula>LEN(TRIM(B31))=0</formula>
    </cfRule>
  </conditionalFormatting>
  <conditionalFormatting sqref="C1:C2">
    <cfRule type="containsBlanks" dxfId="28" priority="2">
      <formula>LEN(TRIM(C1))=0</formula>
    </cfRule>
  </conditionalFormatting>
  <conditionalFormatting sqref="D28:E28">
    <cfRule type="containsBlanks" dxfId="27" priority="4">
      <formula>LEN(TRIM(D28))=0</formula>
    </cfRule>
  </conditionalFormatting>
  <conditionalFormatting sqref="B31:V130">
    <cfRule type="containsBlanks" dxfId="26" priority="1">
      <formula>LEN(TRIM(B31))=0</formula>
    </cfRule>
  </conditionalFormatting>
  <printOptions horizontalCentered="1"/>
  <pageMargins left="0.51181102362204722" right="0.51181102362204722" top="0.74803149606299213" bottom="0.74803149606299213" header="0.31496062992125984" footer="0.31496062992125984"/>
  <pageSetup paperSize="9" scale="35" orientation="landscape" r:id="rId1"/>
  <headerFooter>
    <oddHeader>&amp;C&amp;Uמבחנים לתמיכה של משרד התרבות והספורט</oddHeader>
    <oddFooter>&amp;Lא. חפץ ושות'
יעוץ כלכלי&amp;C&amp;P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D77B5-E9F5-49AB-960B-EDF198FE95E4}">
  <sheetPr filterMode="1">
    <tabColor rgb="FFFFFF00"/>
  </sheetPr>
  <dimension ref="A1:K689"/>
  <sheetViews>
    <sheetView rightToLeft="1" workbookViewId="0">
      <pane ySplit="1" topLeftCell="A28" activePane="bottomLeft" state="frozen"/>
      <selection pane="bottomLeft" activeCell="K1" sqref="A1:K1048576"/>
    </sheetView>
  </sheetViews>
  <sheetFormatPr defaultColWidth="9.140625" defaultRowHeight="15.75" x14ac:dyDescent="0.25"/>
  <cols>
    <col min="1" max="1" width="18.28515625" style="651" hidden="1" customWidth="1"/>
    <col min="2" max="2" width="43.5703125" style="641" hidden="1" customWidth="1"/>
    <col min="3" max="3" width="6.7109375" style="641" hidden="1" customWidth="1"/>
    <col min="4" max="4" width="15.5703125" style="641" hidden="1" customWidth="1"/>
    <col min="5" max="5" width="13.5703125" style="641" hidden="1" customWidth="1"/>
    <col min="6" max="6" width="36.85546875" style="641" hidden="1" customWidth="1"/>
    <col min="7" max="7" width="9.140625" style="641" hidden="1" customWidth="1"/>
    <col min="8" max="9" width="14.140625" style="652" hidden="1" customWidth="1"/>
    <col min="10" max="10" width="12.28515625" style="641" hidden="1" customWidth="1"/>
    <col min="11" max="11" width="20.85546875" style="641" hidden="1" customWidth="1"/>
    <col min="12" max="16384" width="9.140625" style="641"/>
  </cols>
  <sheetData>
    <row r="1" spans="1:11" ht="15" x14ac:dyDescent="0.25">
      <c r="A1" s="637" t="s">
        <v>372</v>
      </c>
      <c r="B1" s="638" t="s">
        <v>373</v>
      </c>
      <c r="C1" s="638" t="s">
        <v>374</v>
      </c>
      <c r="D1" s="638" t="s">
        <v>375</v>
      </c>
      <c r="E1" s="638" t="s">
        <v>376</v>
      </c>
      <c r="F1" s="638" t="s">
        <v>377</v>
      </c>
      <c r="G1" s="638" t="s">
        <v>378</v>
      </c>
      <c r="H1" s="639" t="s">
        <v>379</v>
      </c>
      <c r="I1" s="639" t="s">
        <v>380</v>
      </c>
      <c r="J1" s="638" t="s">
        <v>381</v>
      </c>
      <c r="K1" s="640" t="s">
        <v>382</v>
      </c>
    </row>
    <row r="2" spans="1:11" x14ac:dyDescent="0.25">
      <c r="A2" s="642">
        <v>1001720680</v>
      </c>
      <c r="B2" s="643" t="s">
        <v>729</v>
      </c>
      <c r="C2" s="643" t="s">
        <v>523</v>
      </c>
      <c r="D2" s="643">
        <v>510748734</v>
      </c>
      <c r="E2" s="643">
        <v>40000028</v>
      </c>
      <c r="F2" s="643" t="s">
        <v>556</v>
      </c>
      <c r="G2" s="643">
        <v>2024</v>
      </c>
      <c r="H2" s="644">
        <v>1400000</v>
      </c>
      <c r="I2" s="644">
        <v>612871.59</v>
      </c>
      <c r="J2" s="643" t="s">
        <v>777</v>
      </c>
      <c r="K2" s="643" t="str">
        <f>J2</f>
        <v>משרד מורשת</v>
      </c>
    </row>
    <row r="3" spans="1:11" x14ac:dyDescent="0.25">
      <c r="A3" s="642">
        <v>1001721635</v>
      </c>
      <c r="B3" s="643" t="s">
        <v>730</v>
      </c>
      <c r="C3" s="643" t="s">
        <v>516</v>
      </c>
      <c r="D3" s="643">
        <v>580314177</v>
      </c>
      <c r="E3" s="643">
        <v>40388150</v>
      </c>
      <c r="F3" s="643" t="s">
        <v>691</v>
      </c>
      <c r="G3" s="643">
        <v>2024</v>
      </c>
      <c r="H3" s="644">
        <v>4000000</v>
      </c>
      <c r="I3" s="644">
        <v>0</v>
      </c>
      <c r="J3" s="643" t="s">
        <v>777</v>
      </c>
      <c r="K3" s="643" t="str">
        <f t="shared" ref="K3:K39" si="0">J3</f>
        <v>משרד מורשת</v>
      </c>
    </row>
    <row r="4" spans="1:11" x14ac:dyDescent="0.25">
      <c r="A4" s="642">
        <v>1001722471</v>
      </c>
      <c r="B4" s="643" t="s">
        <v>731</v>
      </c>
      <c r="C4" s="643" t="s">
        <v>516</v>
      </c>
      <c r="D4" s="643">
        <v>580485878</v>
      </c>
      <c r="E4" s="643">
        <v>40457637</v>
      </c>
      <c r="F4" s="643" t="s">
        <v>763</v>
      </c>
      <c r="G4" s="643">
        <v>2024</v>
      </c>
      <c r="H4" s="644">
        <v>750000</v>
      </c>
      <c r="I4" s="644">
        <v>0</v>
      </c>
      <c r="J4" s="643" t="s">
        <v>777</v>
      </c>
      <c r="K4" s="643" t="str">
        <f t="shared" si="0"/>
        <v>משרד מורשת</v>
      </c>
    </row>
    <row r="5" spans="1:11" x14ac:dyDescent="0.25">
      <c r="A5" s="642">
        <v>1001722546</v>
      </c>
      <c r="B5" s="643" t="s">
        <v>732</v>
      </c>
      <c r="C5" s="643" t="s">
        <v>516</v>
      </c>
      <c r="D5" s="643">
        <v>580082824</v>
      </c>
      <c r="E5" s="643">
        <v>40000448</v>
      </c>
      <c r="F5" s="643" t="s">
        <v>764</v>
      </c>
      <c r="G5" s="643">
        <v>2024</v>
      </c>
      <c r="H5" s="644">
        <v>100000</v>
      </c>
      <c r="I5" s="644">
        <v>0</v>
      </c>
      <c r="J5" s="643" t="s">
        <v>777</v>
      </c>
      <c r="K5" s="643" t="str">
        <f t="shared" si="0"/>
        <v>משרד מורשת</v>
      </c>
    </row>
    <row r="6" spans="1:11" x14ac:dyDescent="0.25">
      <c r="A6" s="642">
        <v>1001722595</v>
      </c>
      <c r="B6" s="643" t="s">
        <v>733</v>
      </c>
      <c r="C6" s="643" t="s">
        <v>523</v>
      </c>
      <c r="D6" s="643">
        <v>580186278</v>
      </c>
      <c r="E6" s="643">
        <v>40000541</v>
      </c>
      <c r="F6" s="643" t="s">
        <v>550</v>
      </c>
      <c r="G6" s="643">
        <v>2024</v>
      </c>
      <c r="H6" s="644">
        <v>1600000</v>
      </c>
      <c r="I6" s="644">
        <v>690258.18</v>
      </c>
      <c r="J6" s="643" t="s">
        <v>777</v>
      </c>
      <c r="K6" s="643" t="str">
        <f t="shared" si="0"/>
        <v>משרד מורשת</v>
      </c>
    </row>
    <row r="7" spans="1:11" x14ac:dyDescent="0.25">
      <c r="A7" s="642">
        <v>1001722596</v>
      </c>
      <c r="B7" s="643" t="s">
        <v>734</v>
      </c>
      <c r="C7" s="643" t="s">
        <v>523</v>
      </c>
      <c r="D7" s="643">
        <v>514560531</v>
      </c>
      <c r="E7" s="643">
        <v>41496069</v>
      </c>
      <c r="F7" s="643" t="s">
        <v>643</v>
      </c>
      <c r="G7" s="643">
        <v>2024</v>
      </c>
      <c r="H7" s="644">
        <v>500000</v>
      </c>
      <c r="I7" s="644">
        <v>89206.74</v>
      </c>
      <c r="J7" s="643" t="s">
        <v>777</v>
      </c>
      <c r="K7" s="643" t="str">
        <f t="shared" si="0"/>
        <v>משרד מורשת</v>
      </c>
    </row>
    <row r="8" spans="1:11" x14ac:dyDescent="0.25">
      <c r="A8" s="642">
        <v>1001722703</v>
      </c>
      <c r="B8" s="643" t="s">
        <v>735</v>
      </c>
      <c r="C8" s="643" t="s">
        <v>523</v>
      </c>
      <c r="D8" s="643">
        <v>580571206</v>
      </c>
      <c r="E8" s="643">
        <v>40970756</v>
      </c>
      <c r="F8" s="643" t="s">
        <v>625</v>
      </c>
      <c r="G8" s="643">
        <v>2024</v>
      </c>
      <c r="H8" s="644">
        <v>300000</v>
      </c>
      <c r="I8" s="644">
        <v>103736.29</v>
      </c>
      <c r="J8" s="643" t="s">
        <v>777</v>
      </c>
      <c r="K8" s="643" t="str">
        <f t="shared" si="0"/>
        <v>משרד מורשת</v>
      </c>
    </row>
    <row r="9" spans="1:11" x14ac:dyDescent="0.25">
      <c r="A9" s="642">
        <v>1001736685</v>
      </c>
      <c r="B9" s="643" t="s">
        <v>736</v>
      </c>
      <c r="C9" s="643" t="s">
        <v>523</v>
      </c>
      <c r="D9" s="643">
        <v>580065167</v>
      </c>
      <c r="E9" s="643">
        <v>40000417</v>
      </c>
      <c r="F9" s="643" t="s">
        <v>682</v>
      </c>
      <c r="G9" s="643">
        <v>2024</v>
      </c>
      <c r="H9" s="644">
        <v>260000</v>
      </c>
      <c r="I9" s="644">
        <v>192461.67</v>
      </c>
      <c r="J9" s="643" t="s">
        <v>777</v>
      </c>
      <c r="K9" s="643" t="str">
        <f t="shared" si="0"/>
        <v>משרד מורשת</v>
      </c>
    </row>
    <row r="10" spans="1:11" x14ac:dyDescent="0.25">
      <c r="A10" s="642">
        <v>1001745303</v>
      </c>
      <c r="B10" s="643" t="s">
        <v>737</v>
      </c>
      <c r="C10" s="643" t="s">
        <v>523</v>
      </c>
      <c r="D10" s="643">
        <v>580361285</v>
      </c>
      <c r="E10" s="643">
        <v>40016837</v>
      </c>
      <c r="F10" s="643" t="s">
        <v>630</v>
      </c>
      <c r="G10" s="643">
        <v>2024</v>
      </c>
      <c r="H10" s="644">
        <v>1500000</v>
      </c>
      <c r="I10" s="644">
        <v>1071864</v>
      </c>
      <c r="J10" s="643" t="s">
        <v>777</v>
      </c>
      <c r="K10" s="643" t="str">
        <f t="shared" si="0"/>
        <v>משרד מורשת</v>
      </c>
    </row>
    <row r="11" spans="1:11" x14ac:dyDescent="0.25">
      <c r="A11" s="642">
        <v>1001745312</v>
      </c>
      <c r="B11" s="643" t="s">
        <v>738</v>
      </c>
      <c r="C11" s="643" t="s">
        <v>523</v>
      </c>
      <c r="D11" s="643">
        <v>580222552</v>
      </c>
      <c r="E11" s="643">
        <v>40000574</v>
      </c>
      <c r="F11" s="643" t="s">
        <v>765</v>
      </c>
      <c r="G11" s="643">
        <v>2024</v>
      </c>
      <c r="H11" s="644">
        <v>700000</v>
      </c>
      <c r="I11" s="644">
        <v>387242.95</v>
      </c>
      <c r="J11" s="643" t="s">
        <v>777</v>
      </c>
      <c r="K11" s="643" t="str">
        <f t="shared" si="0"/>
        <v>משרד מורשת</v>
      </c>
    </row>
    <row r="12" spans="1:11" x14ac:dyDescent="0.25">
      <c r="A12" s="642">
        <v>1001745370</v>
      </c>
      <c r="B12" s="643" t="s">
        <v>739</v>
      </c>
      <c r="C12" s="643" t="s">
        <v>523</v>
      </c>
      <c r="D12" s="643">
        <v>580013522</v>
      </c>
      <c r="E12" s="643">
        <v>40000333</v>
      </c>
      <c r="F12" s="643" t="s">
        <v>678</v>
      </c>
      <c r="G12" s="643">
        <v>2024</v>
      </c>
      <c r="H12" s="644">
        <v>2250000</v>
      </c>
      <c r="I12" s="644">
        <v>1514521.42</v>
      </c>
      <c r="J12" s="643" t="s">
        <v>777</v>
      </c>
      <c r="K12" s="643" t="str">
        <f t="shared" si="0"/>
        <v>משרד מורשת</v>
      </c>
    </row>
    <row r="13" spans="1:11" x14ac:dyDescent="0.25">
      <c r="A13" s="642">
        <v>1001745378</v>
      </c>
      <c r="B13" s="643" t="s">
        <v>740</v>
      </c>
      <c r="C13" s="643" t="s">
        <v>523</v>
      </c>
      <c r="D13" s="643">
        <v>580281095</v>
      </c>
      <c r="E13" s="643">
        <v>40221530</v>
      </c>
      <c r="F13" s="643" t="s">
        <v>561</v>
      </c>
      <c r="G13" s="643">
        <v>2024</v>
      </c>
      <c r="H13" s="644">
        <v>800000</v>
      </c>
      <c r="I13" s="644">
        <v>510958.73</v>
      </c>
      <c r="J13" s="643" t="s">
        <v>777</v>
      </c>
      <c r="K13" s="643" t="str">
        <f t="shared" si="0"/>
        <v>משרד מורשת</v>
      </c>
    </row>
    <row r="14" spans="1:11" x14ac:dyDescent="0.25">
      <c r="A14" s="642">
        <v>1001745797</v>
      </c>
      <c r="B14" s="643" t="s">
        <v>741</v>
      </c>
      <c r="C14" s="643" t="s">
        <v>762</v>
      </c>
      <c r="D14" s="643">
        <v>580370344</v>
      </c>
      <c r="E14" s="643">
        <v>40132386</v>
      </c>
      <c r="F14" s="643" t="s">
        <v>699</v>
      </c>
      <c r="G14" s="643">
        <v>2024</v>
      </c>
      <c r="H14" s="644">
        <v>700000</v>
      </c>
      <c r="I14" s="644">
        <v>308058</v>
      </c>
      <c r="J14" s="643" t="s">
        <v>777</v>
      </c>
      <c r="K14" s="643" t="str">
        <f t="shared" si="0"/>
        <v>משרד מורשת</v>
      </c>
    </row>
    <row r="15" spans="1:11" x14ac:dyDescent="0.25">
      <c r="A15" s="642">
        <v>1001746369</v>
      </c>
      <c r="B15" s="643" t="s">
        <v>742</v>
      </c>
      <c r="C15" s="643" t="s">
        <v>523</v>
      </c>
      <c r="D15" s="643">
        <v>580229771</v>
      </c>
      <c r="E15" s="643">
        <v>40000188</v>
      </c>
      <c r="F15" s="643" t="s">
        <v>634</v>
      </c>
      <c r="G15" s="643">
        <v>2024</v>
      </c>
      <c r="H15" s="644">
        <v>725000</v>
      </c>
      <c r="I15" s="644">
        <v>268632.15999999997</v>
      </c>
      <c r="J15" s="643" t="s">
        <v>777</v>
      </c>
      <c r="K15" s="643" t="str">
        <f t="shared" si="0"/>
        <v>משרד מורשת</v>
      </c>
    </row>
    <row r="16" spans="1:11" x14ac:dyDescent="0.25">
      <c r="A16" s="642">
        <v>1001746495</v>
      </c>
      <c r="B16" s="643" t="s">
        <v>743</v>
      </c>
      <c r="C16" s="643" t="s">
        <v>523</v>
      </c>
      <c r="D16" s="643">
        <v>580002996</v>
      </c>
      <c r="E16" s="643">
        <v>40188794</v>
      </c>
      <c r="F16" s="643" t="s">
        <v>583</v>
      </c>
      <c r="G16" s="643">
        <v>2024</v>
      </c>
      <c r="H16" s="644">
        <v>800000</v>
      </c>
      <c r="I16" s="644">
        <v>375308.62</v>
      </c>
      <c r="J16" s="643" t="s">
        <v>777</v>
      </c>
      <c r="K16" s="643" t="str">
        <f t="shared" si="0"/>
        <v>משרד מורשת</v>
      </c>
    </row>
    <row r="17" spans="1:11" x14ac:dyDescent="0.25">
      <c r="A17" s="642">
        <v>1001746503</v>
      </c>
      <c r="B17" s="643" t="s">
        <v>733</v>
      </c>
      <c r="C17" s="643" t="s">
        <v>523</v>
      </c>
      <c r="D17" s="643">
        <v>580041770</v>
      </c>
      <c r="E17" s="643">
        <v>40299606</v>
      </c>
      <c r="F17" s="643" t="s">
        <v>521</v>
      </c>
      <c r="G17" s="643">
        <v>2024</v>
      </c>
      <c r="H17" s="644">
        <v>500000</v>
      </c>
      <c r="I17" s="644">
        <v>295429.61</v>
      </c>
      <c r="J17" s="643" t="s">
        <v>777</v>
      </c>
      <c r="K17" s="643" t="str">
        <f t="shared" si="0"/>
        <v>משרד מורשת</v>
      </c>
    </row>
    <row r="18" spans="1:11" x14ac:dyDescent="0.25">
      <c r="A18" s="642">
        <v>1001746504</v>
      </c>
      <c r="B18" s="643" t="s">
        <v>744</v>
      </c>
      <c r="C18" s="643" t="s">
        <v>523</v>
      </c>
      <c r="D18" s="643">
        <v>580433399</v>
      </c>
      <c r="E18" s="643">
        <v>40170359</v>
      </c>
      <c r="F18" s="643" t="s">
        <v>766</v>
      </c>
      <c r="G18" s="643">
        <v>2024</v>
      </c>
      <c r="H18" s="644">
        <v>750000</v>
      </c>
      <c r="I18" s="644">
        <v>354428.48</v>
      </c>
      <c r="J18" s="643" t="s">
        <v>777</v>
      </c>
      <c r="K18" s="643" t="str">
        <f t="shared" si="0"/>
        <v>משרד מורשת</v>
      </c>
    </row>
    <row r="19" spans="1:11" x14ac:dyDescent="0.25">
      <c r="A19" s="642">
        <v>1001747586</v>
      </c>
      <c r="B19" s="643" t="s">
        <v>745</v>
      </c>
      <c r="C19" s="643" t="s">
        <v>523</v>
      </c>
      <c r="D19" s="643">
        <v>580094977</v>
      </c>
      <c r="E19" s="643">
        <v>40000458</v>
      </c>
      <c r="F19" s="643" t="s">
        <v>558</v>
      </c>
      <c r="G19" s="643">
        <v>2024</v>
      </c>
      <c r="H19" s="644">
        <v>2200000</v>
      </c>
      <c r="I19" s="644">
        <v>828405.49</v>
      </c>
      <c r="J19" s="643" t="s">
        <v>777</v>
      </c>
      <c r="K19" s="643" t="str">
        <f t="shared" si="0"/>
        <v>משרד מורשת</v>
      </c>
    </row>
    <row r="20" spans="1:11" x14ac:dyDescent="0.25">
      <c r="A20" s="642">
        <v>1001754442</v>
      </c>
      <c r="B20" s="643" t="s">
        <v>746</v>
      </c>
      <c r="C20" s="643" t="s">
        <v>523</v>
      </c>
      <c r="D20" s="643">
        <v>580037596</v>
      </c>
      <c r="E20" s="643">
        <v>40000094</v>
      </c>
      <c r="F20" s="643" t="s">
        <v>637</v>
      </c>
      <c r="G20" s="643">
        <v>2024</v>
      </c>
      <c r="H20" s="644">
        <v>3000000</v>
      </c>
      <c r="I20" s="644">
        <v>1206197.58</v>
      </c>
      <c r="J20" s="643" t="s">
        <v>777</v>
      </c>
      <c r="K20" s="643" t="str">
        <f t="shared" si="0"/>
        <v>משרד מורשת</v>
      </c>
    </row>
    <row r="21" spans="1:11" x14ac:dyDescent="0.25">
      <c r="A21" s="642">
        <v>1001754585</v>
      </c>
      <c r="B21" s="643" t="s">
        <v>747</v>
      </c>
      <c r="C21" s="643" t="s">
        <v>516</v>
      </c>
      <c r="D21" s="643">
        <v>580181741</v>
      </c>
      <c r="E21" s="643">
        <v>40000538</v>
      </c>
      <c r="F21" s="643" t="s">
        <v>767</v>
      </c>
      <c r="G21" s="643">
        <v>2024</v>
      </c>
      <c r="H21" s="644">
        <v>800000</v>
      </c>
      <c r="I21" s="644">
        <v>0</v>
      </c>
      <c r="J21" s="643" t="s">
        <v>777</v>
      </c>
      <c r="K21" s="643" t="str">
        <f t="shared" si="0"/>
        <v>משרד מורשת</v>
      </c>
    </row>
    <row r="22" spans="1:11" x14ac:dyDescent="0.25">
      <c r="A22" s="642">
        <v>1001774155</v>
      </c>
      <c r="B22" s="643" t="s">
        <v>748</v>
      </c>
      <c r="C22" s="643" t="s">
        <v>516</v>
      </c>
      <c r="D22" s="643">
        <v>580065159</v>
      </c>
      <c r="E22" s="643">
        <v>40016889</v>
      </c>
      <c r="F22" s="643" t="s">
        <v>668</v>
      </c>
      <c r="G22" s="643">
        <v>2024</v>
      </c>
      <c r="H22" s="644">
        <v>1000000</v>
      </c>
      <c r="I22" s="644">
        <v>0</v>
      </c>
      <c r="J22" s="643" t="s">
        <v>777</v>
      </c>
      <c r="K22" s="643" t="str">
        <f t="shared" si="0"/>
        <v>משרד מורשת</v>
      </c>
    </row>
    <row r="23" spans="1:11" x14ac:dyDescent="0.25">
      <c r="A23" s="642">
        <v>1001774198</v>
      </c>
      <c r="B23" s="643" t="s">
        <v>749</v>
      </c>
      <c r="C23" s="643" t="s">
        <v>523</v>
      </c>
      <c r="D23" s="643">
        <v>580008027</v>
      </c>
      <c r="E23" s="643">
        <v>40000056</v>
      </c>
      <c r="F23" s="643" t="s">
        <v>645</v>
      </c>
      <c r="G23" s="643">
        <v>2024</v>
      </c>
      <c r="H23" s="644">
        <v>187500</v>
      </c>
      <c r="I23" s="644">
        <v>162810.15</v>
      </c>
      <c r="J23" s="643" t="s">
        <v>777</v>
      </c>
      <c r="K23" s="643" t="str">
        <f t="shared" si="0"/>
        <v>משרד מורשת</v>
      </c>
    </row>
    <row r="24" spans="1:11" x14ac:dyDescent="0.25">
      <c r="A24" s="642">
        <v>1001774549</v>
      </c>
      <c r="B24" s="643" t="s">
        <v>543</v>
      </c>
      <c r="C24" s="643" t="s">
        <v>523</v>
      </c>
      <c r="D24" s="643">
        <v>580014231</v>
      </c>
      <c r="E24" s="643">
        <v>40471611</v>
      </c>
      <c r="F24" s="643" t="s">
        <v>544</v>
      </c>
      <c r="G24" s="643">
        <v>2024</v>
      </c>
      <c r="H24" s="644">
        <v>1608200</v>
      </c>
      <c r="I24" s="644">
        <v>248599.4</v>
      </c>
      <c r="J24" s="643" t="s">
        <v>777</v>
      </c>
      <c r="K24" s="643" t="str">
        <f t="shared" si="0"/>
        <v>משרד מורשת</v>
      </c>
    </row>
    <row r="25" spans="1:11" x14ac:dyDescent="0.25">
      <c r="A25" s="642">
        <v>1001775282</v>
      </c>
      <c r="B25" s="643" t="s">
        <v>750</v>
      </c>
      <c r="C25" s="643" t="s">
        <v>523</v>
      </c>
      <c r="D25" s="643">
        <v>580332229</v>
      </c>
      <c r="E25" s="643">
        <v>40016978</v>
      </c>
      <c r="F25" s="643" t="s">
        <v>560</v>
      </c>
      <c r="G25" s="643">
        <v>2024</v>
      </c>
      <c r="H25" s="644">
        <v>8100000</v>
      </c>
      <c r="I25" s="644">
        <v>440077.17</v>
      </c>
      <c r="J25" s="643" t="s">
        <v>777</v>
      </c>
      <c r="K25" s="643" t="str">
        <f t="shared" si="0"/>
        <v>משרד מורשת</v>
      </c>
    </row>
    <row r="26" spans="1:11" x14ac:dyDescent="0.25">
      <c r="A26" s="642">
        <v>1001776903</v>
      </c>
      <c r="B26" s="643" t="s">
        <v>751</v>
      </c>
      <c r="C26" s="643" t="s">
        <v>523</v>
      </c>
      <c r="D26" s="643">
        <v>580450146</v>
      </c>
      <c r="E26" s="643">
        <v>40988882</v>
      </c>
      <c r="F26" s="643" t="s">
        <v>632</v>
      </c>
      <c r="G26" s="643">
        <v>2024</v>
      </c>
      <c r="H26" s="644">
        <v>800000</v>
      </c>
      <c r="I26" s="644">
        <v>367491.24</v>
      </c>
      <c r="J26" s="643" t="s">
        <v>777</v>
      </c>
      <c r="K26" s="643" t="str">
        <f t="shared" si="0"/>
        <v>משרד מורשת</v>
      </c>
    </row>
    <row r="27" spans="1:11" x14ac:dyDescent="0.25">
      <c r="A27" s="642">
        <v>1001777071</v>
      </c>
      <c r="B27" s="643" t="s">
        <v>752</v>
      </c>
      <c r="C27" s="643" t="s">
        <v>516</v>
      </c>
      <c r="D27" s="643">
        <v>580007425</v>
      </c>
      <c r="E27" s="643">
        <v>40255232</v>
      </c>
      <c r="F27" s="643" t="s">
        <v>768</v>
      </c>
      <c r="G27" s="643">
        <v>2024</v>
      </c>
      <c r="H27" s="644">
        <v>250000</v>
      </c>
      <c r="I27" s="644">
        <v>0</v>
      </c>
      <c r="J27" s="643" t="s">
        <v>777</v>
      </c>
      <c r="K27" s="643" t="str">
        <f t="shared" si="0"/>
        <v>משרד מורשת</v>
      </c>
    </row>
    <row r="28" spans="1:11" x14ac:dyDescent="0.25">
      <c r="A28" s="642">
        <v>1001777835</v>
      </c>
      <c r="B28" s="643" t="s">
        <v>753</v>
      </c>
      <c r="C28" s="643" t="s">
        <v>523</v>
      </c>
      <c r="D28" s="643">
        <v>580135903</v>
      </c>
      <c r="E28" s="643">
        <v>40216034</v>
      </c>
      <c r="F28" s="643" t="s">
        <v>686</v>
      </c>
      <c r="G28" s="643">
        <v>2024</v>
      </c>
      <c r="H28" s="644">
        <v>1000000</v>
      </c>
      <c r="I28" s="644">
        <v>501135.74</v>
      </c>
      <c r="J28" s="643" t="s">
        <v>777</v>
      </c>
      <c r="K28" s="643" t="str">
        <f t="shared" si="0"/>
        <v>משרד מורשת</v>
      </c>
    </row>
    <row r="29" spans="1:11" x14ac:dyDescent="0.25">
      <c r="A29" s="642">
        <v>1001779197</v>
      </c>
      <c r="B29" s="643" t="s">
        <v>733</v>
      </c>
      <c r="C29" s="643" t="s">
        <v>516</v>
      </c>
      <c r="D29" s="643">
        <v>580542264</v>
      </c>
      <c r="E29" s="643">
        <v>41386301</v>
      </c>
      <c r="F29" s="643" t="s">
        <v>769</v>
      </c>
      <c r="G29" s="643">
        <v>2024</v>
      </c>
      <c r="H29" s="644">
        <v>300000</v>
      </c>
      <c r="I29" s="644">
        <v>0</v>
      </c>
      <c r="J29" s="643" t="s">
        <v>777</v>
      </c>
      <c r="K29" s="643" t="str">
        <f t="shared" si="0"/>
        <v>משרד מורשת</v>
      </c>
    </row>
    <row r="30" spans="1:11" x14ac:dyDescent="0.25">
      <c r="A30" s="645">
        <v>1001779292</v>
      </c>
      <c r="B30" s="643" t="s">
        <v>539</v>
      </c>
      <c r="C30" s="643" t="s">
        <v>523</v>
      </c>
      <c r="D30" s="643">
        <v>580029866</v>
      </c>
      <c r="E30" s="643">
        <v>40000365</v>
      </c>
      <c r="F30" s="643" t="s">
        <v>540</v>
      </c>
      <c r="G30" s="643">
        <v>2024</v>
      </c>
      <c r="H30" s="646">
        <v>1500000</v>
      </c>
      <c r="I30" s="644">
        <v>656553.68000000005</v>
      </c>
      <c r="J30" s="643" t="s">
        <v>777</v>
      </c>
      <c r="K30" s="643" t="str">
        <f t="shared" si="0"/>
        <v>משרד מורשת</v>
      </c>
    </row>
    <row r="31" spans="1:11" x14ac:dyDescent="0.25">
      <c r="A31" s="645">
        <v>1001779641</v>
      </c>
      <c r="B31" s="643" t="s">
        <v>754</v>
      </c>
      <c r="C31" s="643" t="s">
        <v>516</v>
      </c>
      <c r="D31" s="643">
        <v>580330058</v>
      </c>
      <c r="E31" s="643">
        <v>40000237</v>
      </c>
      <c r="F31" s="643" t="s">
        <v>770</v>
      </c>
      <c r="G31" s="643">
        <v>2024</v>
      </c>
      <c r="H31" s="646">
        <v>100000000</v>
      </c>
      <c r="I31" s="644">
        <v>0</v>
      </c>
      <c r="J31" s="643" t="s">
        <v>777</v>
      </c>
      <c r="K31" s="643" t="str">
        <f t="shared" si="0"/>
        <v>משרד מורשת</v>
      </c>
    </row>
    <row r="32" spans="1:11" x14ac:dyDescent="0.25">
      <c r="A32" s="645">
        <v>1001779761</v>
      </c>
      <c r="B32" s="643" t="s">
        <v>755</v>
      </c>
      <c r="C32" s="643" t="s">
        <v>523</v>
      </c>
      <c r="D32" s="643">
        <v>580041887</v>
      </c>
      <c r="E32" s="643">
        <v>40000102</v>
      </c>
      <c r="F32" s="643" t="s">
        <v>689</v>
      </c>
      <c r="G32" s="643">
        <v>2024</v>
      </c>
      <c r="H32" s="646">
        <v>300000</v>
      </c>
      <c r="I32" s="644">
        <v>182409</v>
      </c>
      <c r="J32" s="643" t="s">
        <v>777</v>
      </c>
      <c r="K32" s="643" t="str">
        <f t="shared" si="0"/>
        <v>משרד מורשת</v>
      </c>
    </row>
    <row r="33" spans="1:11" x14ac:dyDescent="0.25">
      <c r="A33" s="645">
        <v>1001780581</v>
      </c>
      <c r="B33" s="643" t="s">
        <v>756</v>
      </c>
      <c r="C33" s="643" t="s">
        <v>516</v>
      </c>
      <c r="D33" s="643">
        <v>580019735</v>
      </c>
      <c r="E33" s="643">
        <v>40135062</v>
      </c>
      <c r="F33" s="643" t="s">
        <v>771</v>
      </c>
      <c r="G33" s="643">
        <v>2024</v>
      </c>
      <c r="H33" s="646">
        <v>3000000</v>
      </c>
      <c r="I33" s="644">
        <v>0</v>
      </c>
      <c r="J33" s="643" t="s">
        <v>777</v>
      </c>
      <c r="K33" s="643" t="str">
        <f t="shared" si="0"/>
        <v>משרד מורשת</v>
      </c>
    </row>
    <row r="34" spans="1:11" x14ac:dyDescent="0.25">
      <c r="A34" s="645">
        <v>1001780695</v>
      </c>
      <c r="B34" s="643" t="s">
        <v>757</v>
      </c>
      <c r="C34" s="643" t="s">
        <v>523</v>
      </c>
      <c r="D34" s="643">
        <v>580567212</v>
      </c>
      <c r="E34" s="643">
        <v>41482887</v>
      </c>
      <c r="F34" s="643" t="s">
        <v>772</v>
      </c>
      <c r="G34" s="643">
        <v>2024</v>
      </c>
      <c r="H34" s="646">
        <v>200000</v>
      </c>
      <c r="I34" s="644">
        <v>137789.1</v>
      </c>
      <c r="J34" s="643" t="s">
        <v>777</v>
      </c>
      <c r="K34" s="643" t="str">
        <f t="shared" si="0"/>
        <v>משרד מורשת</v>
      </c>
    </row>
    <row r="35" spans="1:11" x14ac:dyDescent="0.25">
      <c r="A35" s="645">
        <v>1001780852</v>
      </c>
      <c r="B35" s="643" t="s">
        <v>758</v>
      </c>
      <c r="C35" s="643" t="s">
        <v>516</v>
      </c>
      <c r="D35" s="643">
        <v>580049849</v>
      </c>
      <c r="E35" s="643">
        <v>40547011</v>
      </c>
      <c r="F35" s="643" t="s">
        <v>773</v>
      </c>
      <c r="G35" s="643">
        <v>2024</v>
      </c>
      <c r="H35" s="646">
        <v>100000</v>
      </c>
      <c r="I35" s="644">
        <v>0</v>
      </c>
      <c r="J35" s="643" t="s">
        <v>777</v>
      </c>
      <c r="K35" s="643" t="str">
        <f t="shared" si="0"/>
        <v>משרד מורשת</v>
      </c>
    </row>
    <row r="36" spans="1:11" x14ac:dyDescent="0.25">
      <c r="A36" s="645">
        <v>1001781383</v>
      </c>
      <c r="B36" s="643" t="s">
        <v>759</v>
      </c>
      <c r="C36" s="643" t="s">
        <v>516</v>
      </c>
      <c r="D36" s="643">
        <v>580145993</v>
      </c>
      <c r="E36" s="643">
        <v>40394813</v>
      </c>
      <c r="F36" s="643" t="s">
        <v>774</v>
      </c>
      <c r="G36" s="643">
        <v>2024</v>
      </c>
      <c r="H36" s="646">
        <v>1262900</v>
      </c>
      <c r="I36" s="644">
        <v>0</v>
      </c>
      <c r="J36" s="643" t="s">
        <v>777</v>
      </c>
      <c r="K36" s="643" t="str">
        <f t="shared" si="0"/>
        <v>משרד מורשת</v>
      </c>
    </row>
    <row r="37" spans="1:11" x14ac:dyDescent="0.25">
      <c r="A37" s="645">
        <v>1001784375</v>
      </c>
      <c r="B37" s="643" t="s">
        <v>760</v>
      </c>
      <c r="C37" s="643" t="s">
        <v>523</v>
      </c>
      <c r="D37" s="643">
        <v>580542637</v>
      </c>
      <c r="E37" s="643">
        <v>41493956</v>
      </c>
      <c r="F37" s="643" t="s">
        <v>775</v>
      </c>
      <c r="G37" s="643">
        <v>2024</v>
      </c>
      <c r="H37" s="646">
        <v>2000000</v>
      </c>
      <c r="I37" s="644">
        <v>264243.15000000002</v>
      </c>
      <c r="J37" s="643" t="s">
        <v>777</v>
      </c>
      <c r="K37" s="643" t="str">
        <f t="shared" si="0"/>
        <v>משרד מורשת</v>
      </c>
    </row>
    <row r="38" spans="1:11" x14ac:dyDescent="0.25">
      <c r="A38" s="645">
        <v>1001784607</v>
      </c>
      <c r="B38" s="643" t="s">
        <v>761</v>
      </c>
      <c r="C38" s="643" t="s">
        <v>516</v>
      </c>
      <c r="D38" s="643">
        <v>580527406</v>
      </c>
      <c r="E38" s="643">
        <v>42321264</v>
      </c>
      <c r="F38" s="643" t="s">
        <v>776</v>
      </c>
      <c r="G38" s="643">
        <v>2024</v>
      </c>
      <c r="H38" s="646">
        <v>337500</v>
      </c>
      <c r="I38" s="644">
        <v>0</v>
      </c>
      <c r="J38" s="643" t="s">
        <v>777</v>
      </c>
      <c r="K38" s="643" t="str">
        <f t="shared" si="0"/>
        <v>משרד מורשת</v>
      </c>
    </row>
    <row r="39" spans="1:11" x14ac:dyDescent="0.25">
      <c r="A39" s="645">
        <v>1001789357</v>
      </c>
      <c r="B39" s="643" t="s">
        <v>564</v>
      </c>
      <c r="C39" s="643" t="s">
        <v>523</v>
      </c>
      <c r="D39" s="643">
        <v>580145381</v>
      </c>
      <c r="E39" s="643">
        <v>40000151</v>
      </c>
      <c r="F39" s="643" t="s">
        <v>565</v>
      </c>
      <c r="G39" s="643">
        <v>2024</v>
      </c>
      <c r="H39" s="646">
        <v>300000</v>
      </c>
      <c r="I39" s="644">
        <v>242368.27</v>
      </c>
      <c r="J39" s="643" t="s">
        <v>777</v>
      </c>
      <c r="K39" s="643" t="str">
        <f t="shared" si="0"/>
        <v>משרד מורשת</v>
      </c>
    </row>
    <row r="40" spans="1:11" x14ac:dyDescent="0.25">
      <c r="A40" s="642">
        <v>1001960875</v>
      </c>
      <c r="B40" s="643" t="s">
        <v>541</v>
      </c>
      <c r="C40" s="643"/>
      <c r="D40" s="643">
        <v>580567212</v>
      </c>
      <c r="E40" s="643">
        <v>41482887</v>
      </c>
      <c r="F40" s="643" t="s">
        <v>772</v>
      </c>
      <c r="G40" s="643">
        <v>2025</v>
      </c>
      <c r="H40" s="644">
        <v>200000</v>
      </c>
      <c r="I40" s="644"/>
      <c r="J40" s="643"/>
      <c r="K40" s="643"/>
    </row>
    <row r="41" spans="1:11" s="326" customFormat="1" hidden="1" x14ac:dyDescent="0.25">
      <c r="A41" s="433">
        <v>1001823450</v>
      </c>
      <c r="B41" s="328" t="s">
        <v>506</v>
      </c>
      <c r="C41" s="328" t="s">
        <v>523</v>
      </c>
      <c r="D41" s="328">
        <v>580331833</v>
      </c>
      <c r="E41" s="328">
        <v>40190321</v>
      </c>
      <c r="F41" s="328" t="s">
        <v>508</v>
      </c>
      <c r="G41" s="328">
        <v>2025</v>
      </c>
      <c r="H41" s="434">
        <v>540000</v>
      </c>
      <c r="I41" s="434">
        <v>54639</v>
      </c>
      <c r="J41" s="328" t="s">
        <v>509</v>
      </c>
      <c r="K41" s="328" t="s">
        <v>510</v>
      </c>
    </row>
    <row r="42" spans="1:11" s="326" customFormat="1" hidden="1" x14ac:dyDescent="0.25">
      <c r="A42" s="433">
        <v>1001825217</v>
      </c>
      <c r="B42" s="328" t="s">
        <v>511</v>
      </c>
      <c r="C42" s="328" t="s">
        <v>523</v>
      </c>
      <c r="D42" s="328">
        <v>580416154</v>
      </c>
      <c r="E42" s="328">
        <v>40473456</v>
      </c>
      <c r="F42" s="328" t="s">
        <v>512</v>
      </c>
      <c r="G42" s="328">
        <v>2025</v>
      </c>
      <c r="H42" s="434">
        <v>500000</v>
      </c>
      <c r="I42" s="434">
        <v>328110</v>
      </c>
      <c r="J42" s="328" t="s">
        <v>509</v>
      </c>
      <c r="K42" s="328" t="s">
        <v>510</v>
      </c>
    </row>
    <row r="43" spans="1:11" s="326" customFormat="1" hidden="1" x14ac:dyDescent="0.25">
      <c r="A43" s="433">
        <v>1001826748</v>
      </c>
      <c r="B43" s="328" t="s">
        <v>513</v>
      </c>
      <c r="C43" s="328" t="s">
        <v>523</v>
      </c>
      <c r="D43" s="328">
        <v>580096865</v>
      </c>
      <c r="E43" s="328">
        <v>40215999</v>
      </c>
      <c r="F43" s="328" t="s">
        <v>514</v>
      </c>
      <c r="G43" s="328">
        <v>2025</v>
      </c>
      <c r="H43" s="434">
        <v>700000</v>
      </c>
      <c r="I43" s="434">
        <v>282471</v>
      </c>
      <c r="J43" s="328" t="s">
        <v>509</v>
      </c>
      <c r="K43" s="328" t="s">
        <v>510</v>
      </c>
    </row>
    <row r="44" spans="1:11" s="326" customFormat="1" hidden="1" x14ac:dyDescent="0.25">
      <c r="A44" s="433">
        <v>1001828987</v>
      </c>
      <c r="B44" s="328" t="s">
        <v>515</v>
      </c>
      <c r="C44" s="328" t="s">
        <v>793</v>
      </c>
      <c r="D44" s="328">
        <v>580232239</v>
      </c>
      <c r="E44" s="328">
        <v>40000590</v>
      </c>
      <c r="F44" s="328" t="s">
        <v>517</v>
      </c>
      <c r="G44" s="328">
        <v>2025</v>
      </c>
      <c r="H44" s="434">
        <v>1200000</v>
      </c>
      <c r="I44" s="434">
        <v>0</v>
      </c>
      <c r="J44" s="328" t="s">
        <v>509</v>
      </c>
      <c r="K44" s="328" t="s">
        <v>510</v>
      </c>
    </row>
    <row r="45" spans="1:11" s="326" customFormat="1" hidden="1" x14ac:dyDescent="0.25">
      <c r="A45" s="433">
        <v>1001830173</v>
      </c>
      <c r="B45" s="328" t="s">
        <v>518</v>
      </c>
      <c r="C45" s="328" t="s">
        <v>523</v>
      </c>
      <c r="D45" s="328">
        <v>580108660</v>
      </c>
      <c r="E45" s="328">
        <v>40009103</v>
      </c>
      <c r="F45" s="328" t="s">
        <v>519</v>
      </c>
      <c r="G45" s="328">
        <v>2025</v>
      </c>
      <c r="H45" s="434">
        <v>300000</v>
      </c>
      <c r="I45" s="434">
        <v>219927</v>
      </c>
      <c r="J45" s="328" t="s">
        <v>509</v>
      </c>
      <c r="K45" s="328" t="s">
        <v>510</v>
      </c>
    </row>
    <row r="46" spans="1:11" s="326" customFormat="1" hidden="1" x14ac:dyDescent="0.25">
      <c r="A46" s="433">
        <v>1001830849</v>
      </c>
      <c r="B46" s="328" t="s">
        <v>584</v>
      </c>
      <c r="C46" s="328" t="s">
        <v>794</v>
      </c>
      <c r="D46" s="328">
        <v>580035236</v>
      </c>
      <c r="E46" s="328">
        <v>40015651</v>
      </c>
      <c r="F46" s="328" t="s">
        <v>536</v>
      </c>
      <c r="G46" s="328">
        <v>2025</v>
      </c>
      <c r="H46" s="434">
        <v>600000</v>
      </c>
      <c r="I46" s="434">
        <v>0</v>
      </c>
      <c r="J46" s="328" t="s">
        <v>509</v>
      </c>
      <c r="K46" s="328" t="s">
        <v>510</v>
      </c>
    </row>
    <row r="47" spans="1:11" s="326" customFormat="1" hidden="1" x14ac:dyDescent="0.25">
      <c r="A47" s="433">
        <v>1001831742</v>
      </c>
      <c r="B47" s="328" t="s">
        <v>778</v>
      </c>
      <c r="C47" s="328" t="s">
        <v>794</v>
      </c>
      <c r="D47" s="328">
        <v>510290026</v>
      </c>
      <c r="E47" s="328">
        <v>40216012</v>
      </c>
      <c r="F47" s="328" t="s">
        <v>534</v>
      </c>
      <c r="G47" s="328">
        <v>2025</v>
      </c>
      <c r="H47" s="434">
        <v>400000</v>
      </c>
      <c r="I47" s="434">
        <v>0</v>
      </c>
      <c r="J47" s="328" t="s">
        <v>509</v>
      </c>
      <c r="K47" s="328" t="s">
        <v>510</v>
      </c>
    </row>
    <row r="48" spans="1:11" s="326" customFormat="1" hidden="1" x14ac:dyDescent="0.25">
      <c r="A48" s="433">
        <v>1001832471</v>
      </c>
      <c r="B48" s="328" t="s">
        <v>779</v>
      </c>
      <c r="C48" s="328" t="s">
        <v>794</v>
      </c>
      <c r="D48" s="328">
        <v>511186256</v>
      </c>
      <c r="E48" s="328">
        <v>40000287</v>
      </c>
      <c r="F48" s="328" t="s">
        <v>795</v>
      </c>
      <c r="G48" s="328">
        <v>2025</v>
      </c>
      <c r="H48" s="434">
        <v>400000</v>
      </c>
      <c r="I48" s="434">
        <v>0</v>
      </c>
      <c r="J48" s="328" t="s">
        <v>509</v>
      </c>
      <c r="K48" s="328" t="s">
        <v>510</v>
      </c>
    </row>
    <row r="49" spans="1:11" s="326" customFormat="1" hidden="1" x14ac:dyDescent="0.25">
      <c r="A49" s="433">
        <v>1001833051</v>
      </c>
      <c r="B49" s="328" t="s">
        <v>780</v>
      </c>
      <c r="C49" s="328" t="s">
        <v>794</v>
      </c>
      <c r="D49" s="328">
        <v>580467736</v>
      </c>
      <c r="E49" s="328">
        <v>41462320</v>
      </c>
      <c r="F49" s="328" t="s">
        <v>796</v>
      </c>
      <c r="G49" s="328">
        <v>2025</v>
      </c>
      <c r="H49" s="434">
        <v>100000</v>
      </c>
      <c r="I49" s="434">
        <v>0</v>
      </c>
      <c r="J49" s="328" t="s">
        <v>509</v>
      </c>
      <c r="K49" s="328" t="s">
        <v>510</v>
      </c>
    </row>
    <row r="50" spans="1:11" s="326" customFormat="1" hidden="1" x14ac:dyDescent="0.25">
      <c r="A50" s="433">
        <v>1001833985</v>
      </c>
      <c r="B50" s="328" t="s">
        <v>781</v>
      </c>
      <c r="C50" s="328" t="s">
        <v>794</v>
      </c>
      <c r="D50" s="328">
        <v>580311058</v>
      </c>
      <c r="E50" s="328">
        <v>40225521</v>
      </c>
      <c r="F50" s="328" t="s">
        <v>797</v>
      </c>
      <c r="G50" s="328">
        <v>2025</v>
      </c>
      <c r="H50" s="434">
        <v>6000000</v>
      </c>
      <c r="I50" s="434">
        <v>0</v>
      </c>
      <c r="J50" s="328" t="s">
        <v>509</v>
      </c>
      <c r="K50" s="328" t="s">
        <v>510</v>
      </c>
    </row>
    <row r="51" spans="1:11" s="326" customFormat="1" hidden="1" x14ac:dyDescent="0.25">
      <c r="A51" s="433">
        <v>1001834143</v>
      </c>
      <c r="B51" s="328" t="s">
        <v>782</v>
      </c>
      <c r="C51" s="328" t="s">
        <v>794</v>
      </c>
      <c r="D51" s="328">
        <v>580035756</v>
      </c>
      <c r="E51" s="328">
        <v>40000088</v>
      </c>
      <c r="F51" s="328" t="s">
        <v>798</v>
      </c>
      <c r="G51" s="328">
        <v>2025</v>
      </c>
      <c r="H51" s="434">
        <v>2000000</v>
      </c>
      <c r="I51" s="434">
        <v>0</v>
      </c>
      <c r="J51" s="328" t="s">
        <v>509</v>
      </c>
      <c r="K51" s="328" t="s">
        <v>510</v>
      </c>
    </row>
    <row r="52" spans="1:11" s="326" customFormat="1" hidden="1" x14ac:dyDescent="0.25">
      <c r="A52" s="433">
        <v>1001835445</v>
      </c>
      <c r="B52" s="328" t="s">
        <v>520</v>
      </c>
      <c r="C52" s="328" t="s">
        <v>793</v>
      </c>
      <c r="D52" s="328">
        <v>580041770</v>
      </c>
      <c r="E52" s="328">
        <v>40299606</v>
      </c>
      <c r="F52" s="328" t="s">
        <v>521</v>
      </c>
      <c r="G52" s="328">
        <v>2025</v>
      </c>
      <c r="H52" s="434">
        <v>300000</v>
      </c>
      <c r="I52" s="434">
        <v>0</v>
      </c>
      <c r="J52" s="328" t="s">
        <v>509</v>
      </c>
      <c r="K52" s="328" t="s">
        <v>510</v>
      </c>
    </row>
    <row r="53" spans="1:11" s="326" customFormat="1" hidden="1" x14ac:dyDescent="0.25">
      <c r="A53" s="433">
        <v>1001839732</v>
      </c>
      <c r="B53" s="328" t="s">
        <v>783</v>
      </c>
      <c r="C53" s="328" t="s">
        <v>794</v>
      </c>
      <c r="D53" s="328">
        <v>510290026</v>
      </c>
      <c r="E53" s="328">
        <v>40543674</v>
      </c>
      <c r="F53" s="328" t="s">
        <v>799</v>
      </c>
      <c r="G53" s="328">
        <v>2025</v>
      </c>
      <c r="H53" s="434">
        <v>120000</v>
      </c>
      <c r="I53" s="434">
        <v>0</v>
      </c>
      <c r="J53" s="328" t="s">
        <v>509</v>
      </c>
      <c r="K53" s="328" t="s">
        <v>510</v>
      </c>
    </row>
    <row r="54" spans="1:11" s="326" customFormat="1" hidden="1" x14ac:dyDescent="0.25">
      <c r="A54" s="433">
        <v>1001840519</v>
      </c>
      <c r="B54" s="328" t="s">
        <v>522</v>
      </c>
      <c r="C54" s="328" t="s">
        <v>523</v>
      </c>
      <c r="D54" s="328">
        <v>580346898</v>
      </c>
      <c r="E54" s="328">
        <v>40001702</v>
      </c>
      <c r="F54" s="328" t="s">
        <v>524</v>
      </c>
      <c r="G54" s="328">
        <v>2025</v>
      </c>
      <c r="H54" s="434">
        <v>250000</v>
      </c>
      <c r="I54" s="434">
        <v>149858</v>
      </c>
      <c r="J54" s="328" t="s">
        <v>509</v>
      </c>
      <c r="K54" s="328" t="s">
        <v>510</v>
      </c>
    </row>
    <row r="55" spans="1:11" s="326" customFormat="1" hidden="1" x14ac:dyDescent="0.25">
      <c r="A55" s="433">
        <v>1001841773</v>
      </c>
      <c r="B55" s="328" t="s">
        <v>525</v>
      </c>
      <c r="C55" s="328" t="s">
        <v>523</v>
      </c>
      <c r="D55" s="328">
        <v>511034688</v>
      </c>
      <c r="E55" s="328">
        <v>40000284</v>
      </c>
      <c r="F55" s="328" t="s">
        <v>526</v>
      </c>
      <c r="G55" s="328">
        <v>2025</v>
      </c>
      <c r="H55" s="434">
        <v>4000000</v>
      </c>
      <c r="I55" s="434">
        <v>2206420</v>
      </c>
      <c r="J55" s="328" t="s">
        <v>509</v>
      </c>
      <c r="K55" s="328" t="s">
        <v>510</v>
      </c>
    </row>
    <row r="56" spans="1:11" s="326" customFormat="1" hidden="1" x14ac:dyDescent="0.25">
      <c r="A56" s="433">
        <v>1001842390</v>
      </c>
      <c r="B56" s="328" t="s">
        <v>527</v>
      </c>
      <c r="C56" s="328" t="s">
        <v>523</v>
      </c>
      <c r="D56" s="328">
        <v>580373710</v>
      </c>
      <c r="E56" s="328">
        <v>40209201</v>
      </c>
      <c r="F56" s="328" t="s">
        <v>528</v>
      </c>
      <c r="G56" s="328">
        <v>2025</v>
      </c>
      <c r="H56" s="434">
        <v>300000</v>
      </c>
      <c r="I56" s="434">
        <v>40454</v>
      </c>
      <c r="J56" s="328" t="s">
        <v>509</v>
      </c>
      <c r="K56" s="328" t="s">
        <v>510</v>
      </c>
    </row>
    <row r="57" spans="1:11" s="326" customFormat="1" hidden="1" x14ac:dyDescent="0.25">
      <c r="A57" s="433">
        <v>1001843906</v>
      </c>
      <c r="B57" s="328" t="s">
        <v>529</v>
      </c>
      <c r="C57" s="328" t="s">
        <v>523</v>
      </c>
      <c r="D57" s="328">
        <v>580578276</v>
      </c>
      <c r="E57" s="328">
        <v>40997664</v>
      </c>
      <c r="F57" s="328" t="s">
        <v>530</v>
      </c>
      <c r="G57" s="328">
        <v>2025</v>
      </c>
      <c r="H57" s="434">
        <v>600000</v>
      </c>
      <c r="I57" s="434">
        <v>144269</v>
      </c>
      <c r="J57" s="328" t="s">
        <v>509</v>
      </c>
      <c r="K57" s="328" t="s">
        <v>510</v>
      </c>
    </row>
    <row r="58" spans="1:11" s="326" customFormat="1" hidden="1" x14ac:dyDescent="0.25">
      <c r="A58" s="433">
        <v>1001843961</v>
      </c>
      <c r="B58" s="328" t="s">
        <v>531</v>
      </c>
      <c r="C58" s="328" t="s">
        <v>523</v>
      </c>
      <c r="D58" s="328">
        <v>580574267</v>
      </c>
      <c r="E58" s="328">
        <v>41107352</v>
      </c>
      <c r="F58" s="328" t="s">
        <v>532</v>
      </c>
      <c r="G58" s="328">
        <v>2025</v>
      </c>
      <c r="H58" s="434">
        <v>1000000</v>
      </c>
      <c r="I58" s="434">
        <v>63059</v>
      </c>
      <c r="J58" s="328" t="s">
        <v>509</v>
      </c>
      <c r="K58" s="328" t="s">
        <v>510</v>
      </c>
    </row>
    <row r="59" spans="1:11" s="326" customFormat="1" hidden="1" x14ac:dyDescent="0.25">
      <c r="A59" s="433">
        <v>1001843987</v>
      </c>
      <c r="B59" s="328" t="s">
        <v>533</v>
      </c>
      <c r="C59" s="328" t="s">
        <v>523</v>
      </c>
      <c r="D59" s="328">
        <v>510290026</v>
      </c>
      <c r="E59" s="328">
        <v>40216012</v>
      </c>
      <c r="F59" s="328" t="s">
        <v>534</v>
      </c>
      <c r="G59" s="328">
        <v>2025</v>
      </c>
      <c r="H59" s="434">
        <v>300000</v>
      </c>
      <c r="I59" s="434">
        <v>174447</v>
      </c>
      <c r="J59" s="328" t="s">
        <v>509</v>
      </c>
      <c r="K59" s="328" t="s">
        <v>510</v>
      </c>
    </row>
    <row r="60" spans="1:11" s="326" customFormat="1" hidden="1" x14ac:dyDescent="0.25">
      <c r="A60" s="433">
        <v>1001844753</v>
      </c>
      <c r="B60" s="328" t="s">
        <v>535</v>
      </c>
      <c r="C60" s="328" t="s">
        <v>523</v>
      </c>
      <c r="D60" s="328">
        <v>580035236</v>
      </c>
      <c r="E60" s="328">
        <v>40015651</v>
      </c>
      <c r="F60" s="328" t="s">
        <v>536</v>
      </c>
      <c r="G60" s="328">
        <v>2025</v>
      </c>
      <c r="H60" s="434">
        <v>250000</v>
      </c>
      <c r="I60" s="434">
        <v>193533</v>
      </c>
      <c r="J60" s="328" t="s">
        <v>509</v>
      </c>
      <c r="K60" s="328" t="s">
        <v>510</v>
      </c>
    </row>
    <row r="61" spans="1:11" s="326" customFormat="1" hidden="1" x14ac:dyDescent="0.25">
      <c r="A61" s="433">
        <v>1001844812</v>
      </c>
      <c r="B61" s="328" t="s">
        <v>537</v>
      </c>
      <c r="C61" s="328" t="s">
        <v>523</v>
      </c>
      <c r="D61" s="328">
        <v>580129328</v>
      </c>
      <c r="E61" s="328">
        <v>40005778</v>
      </c>
      <c r="F61" s="328" t="s">
        <v>538</v>
      </c>
      <c r="G61" s="328">
        <v>2025</v>
      </c>
      <c r="H61" s="434">
        <v>200000</v>
      </c>
      <c r="I61" s="434">
        <v>92814</v>
      </c>
      <c r="J61" s="328" t="s">
        <v>509</v>
      </c>
      <c r="K61" s="328" t="s">
        <v>510</v>
      </c>
    </row>
    <row r="62" spans="1:11" s="326" customFormat="1" hidden="1" x14ac:dyDescent="0.25">
      <c r="A62" s="433">
        <v>1001900297</v>
      </c>
      <c r="B62" s="328" t="s">
        <v>784</v>
      </c>
      <c r="C62" s="328" t="s">
        <v>794</v>
      </c>
      <c r="D62" s="328">
        <v>580377356</v>
      </c>
      <c r="E62" s="328">
        <v>40997495</v>
      </c>
      <c r="F62" s="328" t="s">
        <v>800</v>
      </c>
      <c r="G62" s="328">
        <v>2025</v>
      </c>
      <c r="H62" s="434">
        <v>650000</v>
      </c>
      <c r="I62" s="434">
        <v>0</v>
      </c>
      <c r="J62" s="328" t="s">
        <v>509</v>
      </c>
      <c r="K62" s="328" t="s">
        <v>510</v>
      </c>
    </row>
    <row r="63" spans="1:11" s="326" customFormat="1" hidden="1" x14ac:dyDescent="0.25">
      <c r="A63" s="433">
        <v>1001906873</v>
      </c>
      <c r="B63" s="328" t="s">
        <v>539</v>
      </c>
      <c r="C63" s="328" t="s">
        <v>507</v>
      </c>
      <c r="D63" s="328">
        <v>580029866</v>
      </c>
      <c r="E63" s="328">
        <v>40000365</v>
      </c>
      <c r="F63" s="328" t="s">
        <v>540</v>
      </c>
      <c r="G63" s="328">
        <v>2025</v>
      </c>
      <c r="H63" s="434">
        <v>1500000</v>
      </c>
      <c r="I63" s="434">
        <v>0</v>
      </c>
      <c r="J63" s="328" t="s">
        <v>509</v>
      </c>
      <c r="K63" s="328" t="s">
        <v>510</v>
      </c>
    </row>
    <row r="64" spans="1:11" s="326" customFormat="1" hidden="1" x14ac:dyDescent="0.25">
      <c r="A64" s="433">
        <v>1001907344</v>
      </c>
      <c r="B64" s="328" t="s">
        <v>541</v>
      </c>
      <c r="C64" s="328" t="s">
        <v>507</v>
      </c>
      <c r="D64" s="328">
        <v>580542629</v>
      </c>
      <c r="E64" s="328">
        <v>40997573</v>
      </c>
      <c r="F64" s="328" t="s">
        <v>542</v>
      </c>
      <c r="G64" s="328">
        <v>2025</v>
      </c>
      <c r="H64" s="434">
        <v>200000</v>
      </c>
      <c r="I64" s="434">
        <v>0</v>
      </c>
      <c r="J64" s="328" t="s">
        <v>509</v>
      </c>
      <c r="K64" s="328" t="s">
        <v>510</v>
      </c>
    </row>
    <row r="65" spans="1:11" s="326" customFormat="1" hidden="1" x14ac:dyDescent="0.25">
      <c r="A65" s="433">
        <v>1001907384</v>
      </c>
      <c r="B65" s="328" t="s">
        <v>543</v>
      </c>
      <c r="C65" s="328" t="s">
        <v>507</v>
      </c>
      <c r="D65" s="328">
        <v>580014231</v>
      </c>
      <c r="E65" s="328">
        <v>40471611</v>
      </c>
      <c r="F65" s="328" t="s">
        <v>544</v>
      </c>
      <c r="G65" s="328">
        <v>2025</v>
      </c>
      <c r="H65" s="434">
        <v>1608200</v>
      </c>
      <c r="I65" s="434">
        <v>0</v>
      </c>
      <c r="J65" s="328" t="s">
        <v>509</v>
      </c>
      <c r="K65" s="328" t="s">
        <v>510</v>
      </c>
    </row>
    <row r="66" spans="1:11" s="326" customFormat="1" hidden="1" x14ac:dyDescent="0.25">
      <c r="A66" s="433">
        <v>1001907485</v>
      </c>
      <c r="B66" s="328" t="s">
        <v>545</v>
      </c>
      <c r="C66" s="328" t="s">
        <v>507</v>
      </c>
      <c r="D66" s="328">
        <v>580063568</v>
      </c>
      <c r="E66" s="328">
        <v>40818068</v>
      </c>
      <c r="F66" s="328" t="s">
        <v>546</v>
      </c>
      <c r="G66" s="328">
        <v>2025</v>
      </c>
      <c r="H66" s="434">
        <v>90000</v>
      </c>
      <c r="I66" s="434">
        <v>0</v>
      </c>
      <c r="J66" s="328" t="s">
        <v>509</v>
      </c>
      <c r="K66" s="328" t="s">
        <v>510</v>
      </c>
    </row>
    <row r="67" spans="1:11" s="326" customFormat="1" hidden="1" x14ac:dyDescent="0.25">
      <c r="A67" s="433">
        <v>1001907503</v>
      </c>
      <c r="B67" s="328" t="s">
        <v>547</v>
      </c>
      <c r="C67" s="328" t="s">
        <v>507</v>
      </c>
      <c r="D67" s="328">
        <v>580318590</v>
      </c>
      <c r="E67" s="328">
        <v>40000679</v>
      </c>
      <c r="F67" s="328" t="s">
        <v>548</v>
      </c>
      <c r="G67" s="328">
        <v>2025</v>
      </c>
      <c r="H67" s="434">
        <v>410000</v>
      </c>
      <c r="I67" s="434">
        <v>0</v>
      </c>
      <c r="J67" s="328" t="s">
        <v>509</v>
      </c>
      <c r="K67" s="328" t="s">
        <v>510</v>
      </c>
    </row>
    <row r="68" spans="1:11" s="326" customFormat="1" hidden="1" x14ac:dyDescent="0.25">
      <c r="A68" s="433">
        <v>1001907504</v>
      </c>
      <c r="B68" s="328" t="s">
        <v>549</v>
      </c>
      <c r="C68" s="328" t="s">
        <v>507</v>
      </c>
      <c r="D68" s="328">
        <v>580186278</v>
      </c>
      <c r="E68" s="328">
        <v>40000541</v>
      </c>
      <c r="F68" s="328" t="s">
        <v>550</v>
      </c>
      <c r="G68" s="328">
        <v>2025</v>
      </c>
      <c r="H68" s="434">
        <v>1600000</v>
      </c>
      <c r="I68" s="434">
        <v>0</v>
      </c>
      <c r="J68" s="328" t="s">
        <v>509</v>
      </c>
      <c r="K68" s="328" t="s">
        <v>510</v>
      </c>
    </row>
    <row r="69" spans="1:11" s="326" customFormat="1" hidden="1" x14ac:dyDescent="0.25">
      <c r="A69" s="433">
        <v>1001907570</v>
      </c>
      <c r="B69" s="328" t="s">
        <v>551</v>
      </c>
      <c r="C69" s="328" t="s">
        <v>507</v>
      </c>
      <c r="D69" s="328">
        <v>580021228</v>
      </c>
      <c r="E69" s="328">
        <v>40000073</v>
      </c>
      <c r="F69" s="328" t="s">
        <v>552</v>
      </c>
      <c r="G69" s="328">
        <v>2025</v>
      </c>
      <c r="H69" s="434">
        <v>140000</v>
      </c>
      <c r="I69" s="434">
        <v>0</v>
      </c>
      <c r="J69" s="328" t="s">
        <v>509</v>
      </c>
      <c r="K69" s="328" t="s">
        <v>510</v>
      </c>
    </row>
    <row r="70" spans="1:11" s="326" customFormat="1" hidden="1" x14ac:dyDescent="0.25">
      <c r="A70" s="433">
        <v>1001907611</v>
      </c>
      <c r="B70" s="328" t="s">
        <v>553</v>
      </c>
      <c r="C70" s="328" t="s">
        <v>507</v>
      </c>
      <c r="D70" s="328">
        <v>580498657</v>
      </c>
      <c r="E70" s="328">
        <v>40468737</v>
      </c>
      <c r="F70" s="328" t="s">
        <v>554</v>
      </c>
      <c r="G70" s="328">
        <v>2025</v>
      </c>
      <c r="H70" s="434">
        <v>300000</v>
      </c>
      <c r="I70" s="434">
        <v>0</v>
      </c>
      <c r="J70" s="328" t="s">
        <v>509</v>
      </c>
      <c r="K70" s="328" t="s">
        <v>510</v>
      </c>
    </row>
    <row r="71" spans="1:11" s="326" customFormat="1" hidden="1" x14ac:dyDescent="0.25">
      <c r="A71" s="433">
        <v>1001907627</v>
      </c>
      <c r="B71" s="328" t="s">
        <v>555</v>
      </c>
      <c r="C71" s="328" t="s">
        <v>507</v>
      </c>
      <c r="D71" s="328">
        <v>510748734</v>
      </c>
      <c r="E71" s="328">
        <v>40000028</v>
      </c>
      <c r="F71" s="328" t="s">
        <v>556</v>
      </c>
      <c r="G71" s="328">
        <v>2025</v>
      </c>
      <c r="H71" s="434">
        <v>1400000</v>
      </c>
      <c r="I71" s="434">
        <v>0</v>
      </c>
      <c r="J71" s="328" t="s">
        <v>509</v>
      </c>
      <c r="K71" s="328" t="s">
        <v>510</v>
      </c>
    </row>
    <row r="72" spans="1:11" s="326" customFormat="1" hidden="1" x14ac:dyDescent="0.25">
      <c r="A72" s="433">
        <v>1001907637</v>
      </c>
      <c r="B72" s="328" t="s">
        <v>785</v>
      </c>
      <c r="C72" s="328" t="s">
        <v>794</v>
      </c>
      <c r="D72" s="328">
        <v>510748734</v>
      </c>
      <c r="E72" s="328">
        <v>40000028</v>
      </c>
      <c r="F72" s="328" t="s">
        <v>556</v>
      </c>
      <c r="G72" s="328">
        <v>2025</v>
      </c>
      <c r="H72" s="434">
        <v>115000</v>
      </c>
      <c r="I72" s="434">
        <v>0</v>
      </c>
      <c r="J72" s="328" t="s">
        <v>509</v>
      </c>
      <c r="K72" s="328" t="s">
        <v>510</v>
      </c>
    </row>
    <row r="73" spans="1:11" s="326" customFormat="1" hidden="1" x14ac:dyDescent="0.25">
      <c r="A73" s="433">
        <v>1001907656</v>
      </c>
      <c r="B73" s="328" t="s">
        <v>557</v>
      </c>
      <c r="C73" s="328" t="s">
        <v>507</v>
      </c>
      <c r="D73" s="328">
        <v>580094977</v>
      </c>
      <c r="E73" s="328">
        <v>40000458</v>
      </c>
      <c r="F73" s="328" t="s">
        <v>558</v>
      </c>
      <c r="G73" s="328">
        <v>2025</v>
      </c>
      <c r="H73" s="434">
        <v>1500000</v>
      </c>
      <c r="I73" s="434">
        <v>0</v>
      </c>
      <c r="J73" s="328" t="s">
        <v>509</v>
      </c>
      <c r="K73" s="328" t="s">
        <v>510</v>
      </c>
    </row>
    <row r="74" spans="1:11" s="326" customFormat="1" hidden="1" x14ac:dyDescent="0.25">
      <c r="A74" s="433">
        <v>1001907759</v>
      </c>
      <c r="B74" s="328" t="s">
        <v>559</v>
      </c>
      <c r="C74" s="328" t="s">
        <v>794</v>
      </c>
      <c r="D74" s="328">
        <v>580332229</v>
      </c>
      <c r="E74" s="328">
        <v>40016978</v>
      </c>
      <c r="F74" s="328" t="s">
        <v>560</v>
      </c>
      <c r="G74" s="328">
        <v>2025</v>
      </c>
      <c r="H74" s="434">
        <v>712500</v>
      </c>
      <c r="I74" s="434">
        <v>0</v>
      </c>
      <c r="J74" s="328" t="s">
        <v>509</v>
      </c>
      <c r="K74" s="328" t="s">
        <v>510</v>
      </c>
    </row>
    <row r="75" spans="1:11" s="326" customFormat="1" hidden="1" x14ac:dyDescent="0.25">
      <c r="A75" s="433">
        <v>1001907770</v>
      </c>
      <c r="B75" s="328" t="s">
        <v>559</v>
      </c>
      <c r="C75" s="328" t="s">
        <v>507</v>
      </c>
      <c r="D75" s="328">
        <v>580332229</v>
      </c>
      <c r="E75" s="328">
        <v>40016978</v>
      </c>
      <c r="F75" s="328" t="s">
        <v>560</v>
      </c>
      <c r="G75" s="328">
        <v>2025</v>
      </c>
      <c r="H75" s="434">
        <v>712500</v>
      </c>
      <c r="I75" s="434">
        <v>0</v>
      </c>
      <c r="J75" s="328" t="s">
        <v>509</v>
      </c>
      <c r="K75" s="328" t="s">
        <v>510</v>
      </c>
    </row>
    <row r="76" spans="1:11" s="326" customFormat="1" hidden="1" x14ac:dyDescent="0.25">
      <c r="A76" s="433">
        <v>1001907862</v>
      </c>
      <c r="B76" s="328" t="s">
        <v>541</v>
      </c>
      <c r="C76" s="328" t="s">
        <v>507</v>
      </c>
      <c r="D76" s="328">
        <v>580281095</v>
      </c>
      <c r="E76" s="328">
        <v>40221530</v>
      </c>
      <c r="F76" s="328" t="s">
        <v>561</v>
      </c>
      <c r="G76" s="328">
        <v>2025</v>
      </c>
      <c r="H76" s="434">
        <v>680000</v>
      </c>
      <c r="I76" s="434">
        <v>0</v>
      </c>
      <c r="J76" s="328" t="s">
        <v>509</v>
      </c>
      <c r="K76" s="328" t="s">
        <v>510</v>
      </c>
    </row>
    <row r="77" spans="1:11" s="326" customFormat="1" hidden="1" x14ac:dyDescent="0.25">
      <c r="A77" s="433">
        <v>1001907926</v>
      </c>
      <c r="B77" s="328" t="s">
        <v>562</v>
      </c>
      <c r="C77" s="328" t="s">
        <v>507</v>
      </c>
      <c r="D77" s="328">
        <v>580046860</v>
      </c>
      <c r="E77" s="328">
        <v>40000397</v>
      </c>
      <c r="F77" s="328" t="s">
        <v>563</v>
      </c>
      <c r="G77" s="328">
        <v>2025</v>
      </c>
      <c r="H77" s="434">
        <v>600000</v>
      </c>
      <c r="I77" s="434">
        <v>0</v>
      </c>
      <c r="J77" s="328" t="s">
        <v>509</v>
      </c>
      <c r="K77" s="328" t="s">
        <v>510</v>
      </c>
    </row>
    <row r="78" spans="1:11" s="326" customFormat="1" hidden="1" x14ac:dyDescent="0.25">
      <c r="A78" s="433">
        <v>1001908240</v>
      </c>
      <c r="B78" s="328" t="s">
        <v>786</v>
      </c>
      <c r="C78" s="328" t="s">
        <v>794</v>
      </c>
      <c r="D78" s="328">
        <v>580450146</v>
      </c>
      <c r="E78" s="328">
        <v>40988882</v>
      </c>
      <c r="F78" s="328" t="s">
        <v>632</v>
      </c>
      <c r="G78" s="328">
        <v>2025</v>
      </c>
      <c r="H78" s="434">
        <v>1000000</v>
      </c>
      <c r="I78" s="434">
        <v>0</v>
      </c>
      <c r="J78" s="328" t="s">
        <v>509</v>
      </c>
      <c r="K78" s="328" t="s">
        <v>510</v>
      </c>
    </row>
    <row r="79" spans="1:11" s="326" customFormat="1" hidden="1" x14ac:dyDescent="0.25">
      <c r="A79" s="433">
        <v>1001908297</v>
      </c>
      <c r="B79" s="328" t="s">
        <v>564</v>
      </c>
      <c r="C79" s="328" t="s">
        <v>507</v>
      </c>
      <c r="D79" s="328">
        <v>580145381</v>
      </c>
      <c r="E79" s="328">
        <v>40000151</v>
      </c>
      <c r="F79" s="328" t="s">
        <v>565</v>
      </c>
      <c r="G79" s="328">
        <v>2025</v>
      </c>
      <c r="H79" s="434">
        <v>300000</v>
      </c>
      <c r="I79" s="434">
        <v>0</v>
      </c>
      <c r="J79" s="328" t="s">
        <v>509</v>
      </c>
      <c r="K79" s="328" t="s">
        <v>510</v>
      </c>
    </row>
    <row r="80" spans="1:11" s="326" customFormat="1" hidden="1" x14ac:dyDescent="0.25">
      <c r="A80" s="433">
        <v>1001908303</v>
      </c>
      <c r="B80" s="328" t="s">
        <v>566</v>
      </c>
      <c r="C80" s="328" t="s">
        <v>507</v>
      </c>
      <c r="D80" s="328">
        <v>580088706</v>
      </c>
      <c r="E80" s="328">
        <v>40215998</v>
      </c>
      <c r="F80" s="328" t="s">
        <v>567</v>
      </c>
      <c r="G80" s="328">
        <v>2025</v>
      </c>
      <c r="H80" s="434">
        <v>380000</v>
      </c>
      <c r="I80" s="434">
        <v>0</v>
      </c>
      <c r="J80" s="328" t="s">
        <v>509</v>
      </c>
      <c r="K80" s="328" t="s">
        <v>510</v>
      </c>
    </row>
    <row r="81" spans="1:11" s="326" customFormat="1" hidden="1" x14ac:dyDescent="0.25">
      <c r="A81" s="433">
        <v>1001908408</v>
      </c>
      <c r="B81" s="328" t="s">
        <v>568</v>
      </c>
      <c r="C81" s="328" t="s">
        <v>507</v>
      </c>
      <c r="D81" s="328">
        <v>580228856</v>
      </c>
      <c r="E81" s="328">
        <v>40216047</v>
      </c>
      <c r="F81" s="328" t="s">
        <v>569</v>
      </c>
      <c r="G81" s="328">
        <v>2025</v>
      </c>
      <c r="H81" s="434">
        <v>300000</v>
      </c>
      <c r="I81" s="434">
        <v>0</v>
      </c>
      <c r="J81" s="328" t="s">
        <v>509</v>
      </c>
      <c r="K81" s="328" t="s">
        <v>510</v>
      </c>
    </row>
    <row r="82" spans="1:11" s="326" customFormat="1" hidden="1" x14ac:dyDescent="0.25">
      <c r="A82" s="433">
        <v>1001908446</v>
      </c>
      <c r="B82" s="328" t="s">
        <v>570</v>
      </c>
      <c r="C82" s="328" t="s">
        <v>507</v>
      </c>
      <c r="D82" s="328">
        <v>580356210</v>
      </c>
      <c r="E82" s="328">
        <v>40216073</v>
      </c>
      <c r="F82" s="328" t="s">
        <v>571</v>
      </c>
      <c r="G82" s="328">
        <v>2025</v>
      </c>
      <c r="H82" s="434">
        <v>2000000</v>
      </c>
      <c r="I82" s="434">
        <v>0</v>
      </c>
      <c r="J82" s="328" t="s">
        <v>509</v>
      </c>
      <c r="K82" s="328" t="s">
        <v>510</v>
      </c>
    </row>
    <row r="83" spans="1:11" s="326" customFormat="1" hidden="1" x14ac:dyDescent="0.25">
      <c r="A83" s="433">
        <v>1001908461</v>
      </c>
      <c r="B83" s="328" t="s">
        <v>572</v>
      </c>
      <c r="C83" s="328" t="s">
        <v>507</v>
      </c>
      <c r="D83" s="328">
        <v>580092187</v>
      </c>
      <c r="E83" s="328">
        <v>40394714</v>
      </c>
      <c r="F83" s="328" t="s">
        <v>573</v>
      </c>
      <c r="G83" s="328">
        <v>2025</v>
      </c>
      <c r="H83" s="434">
        <v>500000</v>
      </c>
      <c r="I83" s="434">
        <v>0</v>
      </c>
      <c r="J83" s="328" t="s">
        <v>509</v>
      </c>
      <c r="K83" s="328" t="s">
        <v>510</v>
      </c>
    </row>
    <row r="84" spans="1:11" s="326" customFormat="1" hidden="1" x14ac:dyDescent="0.25">
      <c r="A84" s="433">
        <v>1001908471</v>
      </c>
      <c r="B84" s="328" t="s">
        <v>574</v>
      </c>
      <c r="C84" s="328" t="s">
        <v>507</v>
      </c>
      <c r="D84" s="328">
        <v>580004729</v>
      </c>
      <c r="E84" s="328">
        <v>40000319</v>
      </c>
      <c r="F84" s="328" t="s">
        <v>575</v>
      </c>
      <c r="G84" s="328">
        <v>2025</v>
      </c>
      <c r="H84" s="434">
        <v>350000</v>
      </c>
      <c r="I84" s="434">
        <v>0</v>
      </c>
      <c r="J84" s="328" t="s">
        <v>509</v>
      </c>
      <c r="K84" s="328" t="s">
        <v>510</v>
      </c>
    </row>
    <row r="85" spans="1:11" s="326" customFormat="1" hidden="1" x14ac:dyDescent="0.25">
      <c r="A85" s="433">
        <v>1001908554</v>
      </c>
      <c r="B85" s="328" t="s">
        <v>576</v>
      </c>
      <c r="C85" s="328" t="s">
        <v>507</v>
      </c>
      <c r="D85" s="328">
        <v>580010015</v>
      </c>
      <c r="E85" s="328">
        <v>40215993</v>
      </c>
      <c r="F85" s="328" t="s">
        <v>577</v>
      </c>
      <c r="G85" s="328">
        <v>2025</v>
      </c>
      <c r="H85" s="434">
        <v>800000</v>
      </c>
      <c r="I85" s="434">
        <v>0</v>
      </c>
      <c r="J85" s="328" t="s">
        <v>509</v>
      </c>
      <c r="K85" s="328" t="s">
        <v>510</v>
      </c>
    </row>
    <row r="86" spans="1:11" s="326" customFormat="1" hidden="1" x14ac:dyDescent="0.25">
      <c r="A86" s="433">
        <v>1001908572</v>
      </c>
      <c r="B86" s="328" t="s">
        <v>522</v>
      </c>
      <c r="C86" s="328" t="s">
        <v>507</v>
      </c>
      <c r="D86" s="328">
        <v>580099810</v>
      </c>
      <c r="E86" s="328">
        <v>40216028</v>
      </c>
      <c r="F86" s="328" t="s">
        <v>578</v>
      </c>
      <c r="G86" s="328">
        <v>2025</v>
      </c>
      <c r="H86" s="434">
        <v>700000</v>
      </c>
      <c r="I86" s="434">
        <v>0</v>
      </c>
      <c r="J86" s="328" t="s">
        <v>509</v>
      </c>
      <c r="K86" s="328" t="s">
        <v>510</v>
      </c>
    </row>
    <row r="87" spans="1:11" s="326" customFormat="1" hidden="1" x14ac:dyDescent="0.25">
      <c r="A87" s="433">
        <v>1001908574</v>
      </c>
      <c r="B87" s="328" t="s">
        <v>568</v>
      </c>
      <c r="C87" s="328" t="s">
        <v>507</v>
      </c>
      <c r="D87" s="328">
        <v>580144327</v>
      </c>
      <c r="E87" s="328">
        <v>40216036</v>
      </c>
      <c r="F87" s="328" t="s">
        <v>579</v>
      </c>
      <c r="G87" s="328">
        <v>2025</v>
      </c>
      <c r="H87" s="434">
        <v>450000</v>
      </c>
      <c r="I87" s="434">
        <v>0</v>
      </c>
      <c r="J87" s="328" t="s">
        <v>509</v>
      </c>
      <c r="K87" s="328" t="s">
        <v>510</v>
      </c>
    </row>
    <row r="88" spans="1:11" s="326" customFormat="1" hidden="1" x14ac:dyDescent="0.25">
      <c r="A88" s="433">
        <v>1001908700</v>
      </c>
      <c r="B88" s="328" t="s">
        <v>580</v>
      </c>
      <c r="C88" s="328" t="s">
        <v>507</v>
      </c>
      <c r="D88" s="328">
        <v>580092609</v>
      </c>
      <c r="E88" s="328">
        <v>40000457</v>
      </c>
      <c r="F88" s="328" t="s">
        <v>581</v>
      </c>
      <c r="G88" s="328">
        <v>2025</v>
      </c>
      <c r="H88" s="434">
        <v>400000</v>
      </c>
      <c r="I88" s="434">
        <v>0</v>
      </c>
      <c r="J88" s="328" t="s">
        <v>509</v>
      </c>
      <c r="K88" s="328" t="s">
        <v>510</v>
      </c>
    </row>
    <row r="89" spans="1:11" s="326" customFormat="1" hidden="1" x14ac:dyDescent="0.25">
      <c r="A89" s="433">
        <v>1001908702</v>
      </c>
      <c r="B89" s="328" t="s">
        <v>582</v>
      </c>
      <c r="C89" s="328" t="s">
        <v>507</v>
      </c>
      <c r="D89" s="328">
        <v>580002996</v>
      </c>
      <c r="E89" s="328">
        <v>40188794</v>
      </c>
      <c r="F89" s="328" t="s">
        <v>583</v>
      </c>
      <c r="G89" s="328">
        <v>2025</v>
      </c>
      <c r="H89" s="434">
        <v>700000</v>
      </c>
      <c r="I89" s="434">
        <v>0</v>
      </c>
      <c r="J89" s="328" t="s">
        <v>509</v>
      </c>
      <c r="K89" s="328" t="s">
        <v>510</v>
      </c>
    </row>
    <row r="90" spans="1:11" s="326" customFormat="1" hidden="1" x14ac:dyDescent="0.25">
      <c r="A90" s="433">
        <v>1001908704</v>
      </c>
      <c r="B90" s="328" t="s">
        <v>584</v>
      </c>
      <c r="C90" s="328" t="s">
        <v>507</v>
      </c>
      <c r="D90" s="328">
        <v>580035236</v>
      </c>
      <c r="E90" s="328">
        <v>40015651</v>
      </c>
      <c r="F90" s="328" t="s">
        <v>536</v>
      </c>
      <c r="G90" s="328">
        <v>2025</v>
      </c>
      <c r="H90" s="434">
        <v>600000</v>
      </c>
      <c r="I90" s="434">
        <v>0</v>
      </c>
      <c r="J90" s="328" t="s">
        <v>509</v>
      </c>
      <c r="K90" s="328" t="s">
        <v>510</v>
      </c>
    </row>
    <row r="91" spans="1:11" s="326" customFormat="1" hidden="1" x14ac:dyDescent="0.25">
      <c r="A91" s="433">
        <v>1001908711</v>
      </c>
      <c r="B91" s="328" t="s">
        <v>585</v>
      </c>
      <c r="C91" s="328" t="s">
        <v>507</v>
      </c>
      <c r="D91" s="328">
        <v>580544427</v>
      </c>
      <c r="E91" s="328">
        <v>41479304</v>
      </c>
      <c r="F91" s="328" t="s">
        <v>586</v>
      </c>
      <c r="G91" s="328">
        <v>2025</v>
      </c>
      <c r="H91" s="434">
        <v>950000</v>
      </c>
      <c r="I91" s="434">
        <v>0</v>
      </c>
      <c r="J91" s="328" t="s">
        <v>509</v>
      </c>
      <c r="K91" s="328" t="s">
        <v>510</v>
      </c>
    </row>
    <row r="92" spans="1:11" s="326" customFormat="1" hidden="1" x14ac:dyDescent="0.25">
      <c r="A92" s="433">
        <v>1001908830</v>
      </c>
      <c r="B92" s="328" t="s">
        <v>587</v>
      </c>
      <c r="C92" s="328" t="s">
        <v>507</v>
      </c>
      <c r="D92" s="328">
        <v>580198802</v>
      </c>
      <c r="E92" s="328">
        <v>40000548</v>
      </c>
      <c r="F92" s="328" t="s">
        <v>588</v>
      </c>
      <c r="G92" s="328">
        <v>2025</v>
      </c>
      <c r="H92" s="434">
        <v>200000</v>
      </c>
      <c r="I92" s="434">
        <v>0</v>
      </c>
      <c r="J92" s="328" t="s">
        <v>509</v>
      </c>
      <c r="K92" s="328" t="s">
        <v>510</v>
      </c>
    </row>
    <row r="93" spans="1:11" s="326" customFormat="1" hidden="1" x14ac:dyDescent="0.25">
      <c r="A93" s="433">
        <v>1001908834</v>
      </c>
      <c r="B93" s="328" t="s">
        <v>589</v>
      </c>
      <c r="C93" s="328" t="s">
        <v>507</v>
      </c>
      <c r="D93" s="328">
        <v>580118420</v>
      </c>
      <c r="E93" s="328">
        <v>40000481</v>
      </c>
      <c r="F93" s="328" t="s">
        <v>590</v>
      </c>
      <c r="G93" s="328">
        <v>2025</v>
      </c>
      <c r="H93" s="434">
        <v>800000</v>
      </c>
      <c r="I93" s="434">
        <v>0</v>
      </c>
      <c r="J93" s="328" t="s">
        <v>509</v>
      </c>
      <c r="K93" s="328" t="s">
        <v>510</v>
      </c>
    </row>
    <row r="94" spans="1:11" s="326" customFormat="1" hidden="1" x14ac:dyDescent="0.25">
      <c r="A94" s="433">
        <v>1001908939</v>
      </c>
      <c r="B94" s="328" t="s">
        <v>591</v>
      </c>
      <c r="C94" s="328" t="s">
        <v>507</v>
      </c>
      <c r="D94" s="328">
        <v>580018653</v>
      </c>
      <c r="E94" s="328">
        <v>40221455</v>
      </c>
      <c r="F94" s="328" t="s">
        <v>592</v>
      </c>
      <c r="G94" s="328">
        <v>2025</v>
      </c>
      <c r="H94" s="434">
        <v>520000</v>
      </c>
      <c r="I94" s="434">
        <v>0</v>
      </c>
      <c r="J94" s="328" t="s">
        <v>509</v>
      </c>
      <c r="K94" s="328" t="s">
        <v>510</v>
      </c>
    </row>
    <row r="95" spans="1:11" s="326" customFormat="1" hidden="1" x14ac:dyDescent="0.25">
      <c r="A95" s="433">
        <v>1001909019</v>
      </c>
      <c r="B95" s="328" t="s">
        <v>593</v>
      </c>
      <c r="C95" s="328" t="s">
        <v>507</v>
      </c>
      <c r="D95" s="328">
        <v>580581395</v>
      </c>
      <c r="E95" s="328">
        <v>41557519</v>
      </c>
      <c r="F95" s="328" t="s">
        <v>594</v>
      </c>
      <c r="G95" s="328">
        <v>2025</v>
      </c>
      <c r="H95" s="434">
        <v>650000</v>
      </c>
      <c r="I95" s="434">
        <v>0</v>
      </c>
      <c r="J95" s="328" t="s">
        <v>509</v>
      </c>
      <c r="K95" s="328" t="s">
        <v>510</v>
      </c>
    </row>
    <row r="96" spans="1:11" s="326" customFormat="1" hidden="1" x14ac:dyDescent="0.25">
      <c r="A96" s="433">
        <v>1001909170</v>
      </c>
      <c r="B96" s="328" t="s">
        <v>593</v>
      </c>
      <c r="C96" s="328" t="s">
        <v>794</v>
      </c>
      <c r="D96" s="328">
        <v>580581395</v>
      </c>
      <c r="E96" s="328">
        <v>41557519</v>
      </c>
      <c r="F96" s="328" t="s">
        <v>594</v>
      </c>
      <c r="G96" s="328">
        <v>2025</v>
      </c>
      <c r="H96" s="434">
        <v>650000</v>
      </c>
      <c r="I96" s="434">
        <v>0</v>
      </c>
      <c r="J96" s="328" t="s">
        <v>509</v>
      </c>
      <c r="K96" s="328" t="s">
        <v>510</v>
      </c>
    </row>
    <row r="97" spans="1:11" s="326" customFormat="1" hidden="1" x14ac:dyDescent="0.25">
      <c r="A97" s="433">
        <v>1001909171</v>
      </c>
      <c r="B97" s="328" t="s">
        <v>572</v>
      </c>
      <c r="C97" s="328" t="s">
        <v>794</v>
      </c>
      <c r="D97" s="328">
        <v>580270403</v>
      </c>
      <c r="E97" s="328">
        <v>40299523</v>
      </c>
      <c r="F97" s="328" t="s">
        <v>595</v>
      </c>
      <c r="G97" s="328">
        <v>2025</v>
      </c>
      <c r="H97" s="434">
        <v>1000000</v>
      </c>
      <c r="I97" s="434">
        <v>0</v>
      </c>
      <c r="J97" s="328" t="s">
        <v>509</v>
      </c>
      <c r="K97" s="328" t="s">
        <v>510</v>
      </c>
    </row>
    <row r="98" spans="1:11" s="326" customFormat="1" hidden="1" x14ac:dyDescent="0.25">
      <c r="A98" s="433">
        <v>1001909172</v>
      </c>
      <c r="B98" s="328" t="s">
        <v>572</v>
      </c>
      <c r="C98" s="328" t="s">
        <v>794</v>
      </c>
      <c r="D98" s="328">
        <v>580270403</v>
      </c>
      <c r="E98" s="328">
        <v>40299523</v>
      </c>
      <c r="F98" s="328" t="s">
        <v>595</v>
      </c>
      <c r="G98" s="328">
        <v>2025</v>
      </c>
      <c r="H98" s="434">
        <v>1000000</v>
      </c>
      <c r="I98" s="434">
        <v>0</v>
      </c>
      <c r="J98" s="328" t="s">
        <v>509</v>
      </c>
      <c r="K98" s="328" t="s">
        <v>510</v>
      </c>
    </row>
    <row r="99" spans="1:11" s="326" customFormat="1" hidden="1" x14ac:dyDescent="0.25">
      <c r="A99" s="433">
        <v>1001909173</v>
      </c>
      <c r="B99" s="328" t="s">
        <v>572</v>
      </c>
      <c r="C99" s="328" t="s">
        <v>794</v>
      </c>
      <c r="D99" s="328">
        <v>580270403</v>
      </c>
      <c r="E99" s="328">
        <v>40299523</v>
      </c>
      <c r="F99" s="328" t="s">
        <v>595</v>
      </c>
      <c r="G99" s="328">
        <v>2025</v>
      </c>
      <c r="H99" s="434">
        <v>1000000</v>
      </c>
      <c r="I99" s="434">
        <v>0</v>
      </c>
      <c r="J99" s="328" t="s">
        <v>509</v>
      </c>
      <c r="K99" s="328" t="s">
        <v>510</v>
      </c>
    </row>
    <row r="100" spans="1:11" s="326" customFormat="1" hidden="1" x14ac:dyDescent="0.25">
      <c r="A100" s="433">
        <v>1001909174</v>
      </c>
      <c r="B100" s="328" t="s">
        <v>572</v>
      </c>
      <c r="C100" s="328" t="s">
        <v>507</v>
      </c>
      <c r="D100" s="328">
        <v>580270403</v>
      </c>
      <c r="E100" s="328">
        <v>40299523</v>
      </c>
      <c r="F100" s="328" t="s">
        <v>595</v>
      </c>
      <c r="G100" s="328">
        <v>2025</v>
      </c>
      <c r="H100" s="434">
        <v>1000000</v>
      </c>
      <c r="I100" s="434">
        <v>0</v>
      </c>
      <c r="J100" s="328" t="s">
        <v>509</v>
      </c>
      <c r="K100" s="328" t="s">
        <v>510</v>
      </c>
    </row>
    <row r="101" spans="1:11" s="326" customFormat="1" hidden="1" x14ac:dyDescent="0.25">
      <c r="A101" s="433">
        <v>1001909177</v>
      </c>
      <c r="B101" s="328" t="s">
        <v>596</v>
      </c>
      <c r="C101" s="328" t="s">
        <v>507</v>
      </c>
      <c r="D101" s="328">
        <v>580041101</v>
      </c>
      <c r="E101" s="328">
        <v>40303383</v>
      </c>
      <c r="F101" s="328" t="s">
        <v>597</v>
      </c>
      <c r="G101" s="328">
        <v>2025</v>
      </c>
      <c r="H101" s="434">
        <v>380000</v>
      </c>
      <c r="I101" s="434">
        <v>0</v>
      </c>
      <c r="J101" s="328" t="s">
        <v>509</v>
      </c>
      <c r="K101" s="328" t="s">
        <v>510</v>
      </c>
    </row>
    <row r="102" spans="1:11" s="326" customFormat="1" hidden="1" x14ac:dyDescent="0.25">
      <c r="A102" s="433">
        <v>1001909179</v>
      </c>
      <c r="B102" s="328" t="s">
        <v>598</v>
      </c>
      <c r="C102" s="328" t="s">
        <v>507</v>
      </c>
      <c r="D102" s="328">
        <v>580529725</v>
      </c>
      <c r="E102" s="328">
        <v>41375764</v>
      </c>
      <c r="F102" s="328" t="s">
        <v>599</v>
      </c>
      <c r="G102" s="328">
        <v>2025</v>
      </c>
      <c r="H102" s="434">
        <v>500000</v>
      </c>
      <c r="I102" s="434">
        <v>0</v>
      </c>
      <c r="J102" s="328" t="s">
        <v>509</v>
      </c>
      <c r="K102" s="328" t="s">
        <v>510</v>
      </c>
    </row>
    <row r="103" spans="1:11" s="326" customFormat="1" hidden="1" x14ac:dyDescent="0.25">
      <c r="A103" s="433">
        <v>1001909202</v>
      </c>
      <c r="B103" s="328" t="s">
        <v>600</v>
      </c>
      <c r="C103" s="328" t="s">
        <v>507</v>
      </c>
      <c r="D103" s="328">
        <v>580004133</v>
      </c>
      <c r="E103" s="328">
        <v>40000317</v>
      </c>
      <c r="F103" s="328" t="s">
        <v>601</v>
      </c>
      <c r="G103" s="328">
        <v>2025</v>
      </c>
      <c r="H103" s="434">
        <v>250000</v>
      </c>
      <c r="I103" s="434">
        <v>0</v>
      </c>
      <c r="J103" s="328" t="s">
        <v>509</v>
      </c>
      <c r="K103" s="328" t="s">
        <v>510</v>
      </c>
    </row>
    <row r="104" spans="1:11" s="326" customFormat="1" hidden="1" x14ac:dyDescent="0.25">
      <c r="A104" s="433">
        <v>1001909288</v>
      </c>
      <c r="B104" s="328" t="s">
        <v>602</v>
      </c>
      <c r="C104" s="328" t="s">
        <v>507</v>
      </c>
      <c r="D104" s="328">
        <v>580151728</v>
      </c>
      <c r="E104" s="328">
        <v>40216037</v>
      </c>
      <c r="F104" s="328" t="s">
        <v>603</v>
      </c>
      <c r="G104" s="328">
        <v>2025</v>
      </c>
      <c r="H104" s="434">
        <v>340000</v>
      </c>
      <c r="I104" s="434">
        <v>0</v>
      </c>
      <c r="J104" s="328" t="s">
        <v>509</v>
      </c>
      <c r="K104" s="328" t="s">
        <v>510</v>
      </c>
    </row>
    <row r="105" spans="1:11" s="326" customFormat="1" hidden="1" x14ac:dyDescent="0.25">
      <c r="A105" s="433">
        <v>1001909362</v>
      </c>
      <c r="B105" s="328" t="s">
        <v>604</v>
      </c>
      <c r="C105" s="328" t="s">
        <v>507</v>
      </c>
      <c r="D105" s="328">
        <v>580383107</v>
      </c>
      <c r="E105" s="328">
        <v>40370620</v>
      </c>
      <c r="F105" s="328" t="s">
        <v>605</v>
      </c>
      <c r="G105" s="328">
        <v>2025</v>
      </c>
      <c r="H105" s="434">
        <v>700000</v>
      </c>
      <c r="I105" s="434">
        <v>0</v>
      </c>
      <c r="J105" s="328" t="s">
        <v>509</v>
      </c>
      <c r="K105" s="328" t="s">
        <v>510</v>
      </c>
    </row>
    <row r="106" spans="1:11" s="326" customFormat="1" hidden="1" x14ac:dyDescent="0.25">
      <c r="A106" s="433">
        <v>1001909384</v>
      </c>
      <c r="B106" s="328" t="s">
        <v>606</v>
      </c>
      <c r="C106" s="328" t="s">
        <v>507</v>
      </c>
      <c r="D106" s="328">
        <v>580604999</v>
      </c>
      <c r="E106" s="328">
        <v>41906703</v>
      </c>
      <c r="F106" s="328" t="s">
        <v>607</v>
      </c>
      <c r="G106" s="328">
        <v>2025</v>
      </c>
      <c r="H106" s="434">
        <v>600000</v>
      </c>
      <c r="I106" s="434">
        <v>0</v>
      </c>
      <c r="J106" s="328" t="s">
        <v>509</v>
      </c>
      <c r="K106" s="328" t="s">
        <v>510</v>
      </c>
    </row>
    <row r="107" spans="1:11" s="326" customFormat="1" hidden="1" x14ac:dyDescent="0.25">
      <c r="A107" s="433">
        <v>1001909535</v>
      </c>
      <c r="B107" s="328" t="s">
        <v>608</v>
      </c>
      <c r="C107" s="328" t="s">
        <v>516</v>
      </c>
      <c r="D107" s="328">
        <v>580655553</v>
      </c>
      <c r="E107" s="328">
        <v>42201127</v>
      </c>
      <c r="F107" s="328" t="s">
        <v>609</v>
      </c>
      <c r="G107" s="328">
        <v>2025</v>
      </c>
      <c r="H107" s="434">
        <v>300000</v>
      </c>
      <c r="I107" s="434">
        <v>0</v>
      </c>
      <c r="J107" s="328" t="s">
        <v>509</v>
      </c>
      <c r="K107" s="328" t="s">
        <v>510</v>
      </c>
    </row>
    <row r="108" spans="1:11" s="326" customFormat="1" hidden="1" x14ac:dyDescent="0.25">
      <c r="A108" s="433">
        <v>1001910121</v>
      </c>
      <c r="B108" s="328" t="s">
        <v>610</v>
      </c>
      <c r="C108" s="328" t="s">
        <v>507</v>
      </c>
      <c r="D108" s="328">
        <v>580010536</v>
      </c>
      <c r="E108" s="328">
        <v>40293106</v>
      </c>
      <c r="F108" s="328" t="s">
        <v>611</v>
      </c>
      <c r="G108" s="328">
        <v>2025</v>
      </c>
      <c r="H108" s="434">
        <v>750000</v>
      </c>
      <c r="I108" s="434">
        <v>0</v>
      </c>
      <c r="J108" s="328" t="s">
        <v>509</v>
      </c>
      <c r="K108" s="328" t="s">
        <v>510</v>
      </c>
    </row>
    <row r="109" spans="1:11" s="326" customFormat="1" hidden="1" x14ac:dyDescent="0.25">
      <c r="A109" s="433">
        <v>1001910209</v>
      </c>
      <c r="B109" s="328" t="s">
        <v>612</v>
      </c>
      <c r="C109" s="328" t="s">
        <v>516</v>
      </c>
      <c r="D109" s="328">
        <v>580647956</v>
      </c>
      <c r="E109" s="328">
        <v>42797623</v>
      </c>
      <c r="F109" s="328" t="s">
        <v>613</v>
      </c>
      <c r="G109" s="328">
        <v>2025</v>
      </c>
      <c r="H109" s="434">
        <v>120000</v>
      </c>
      <c r="I109" s="434">
        <v>0</v>
      </c>
      <c r="J109" s="328" t="s">
        <v>509</v>
      </c>
      <c r="K109" s="328" t="s">
        <v>510</v>
      </c>
    </row>
    <row r="110" spans="1:11" s="326" customFormat="1" hidden="1" x14ac:dyDescent="0.25">
      <c r="A110" s="433">
        <v>1001910210</v>
      </c>
      <c r="B110" s="328" t="s">
        <v>614</v>
      </c>
      <c r="C110" s="328" t="s">
        <v>507</v>
      </c>
      <c r="D110" s="328">
        <v>580228625</v>
      </c>
      <c r="E110" s="328">
        <v>40216046</v>
      </c>
      <c r="F110" s="328" t="s">
        <v>615</v>
      </c>
      <c r="G110" s="328">
        <v>2025</v>
      </c>
      <c r="H110" s="434">
        <v>240000</v>
      </c>
      <c r="I110" s="434">
        <v>0</v>
      </c>
      <c r="J110" s="328" t="s">
        <v>509</v>
      </c>
      <c r="K110" s="328" t="s">
        <v>510</v>
      </c>
    </row>
    <row r="111" spans="1:11" s="326" customFormat="1" hidden="1" x14ac:dyDescent="0.25">
      <c r="A111" s="433">
        <v>1001910214</v>
      </c>
      <c r="B111" s="328" t="s">
        <v>616</v>
      </c>
      <c r="C111" s="328" t="s">
        <v>507</v>
      </c>
      <c r="D111" s="328">
        <v>580149540</v>
      </c>
      <c r="E111" s="328">
        <v>40000508</v>
      </c>
      <c r="F111" s="328" t="s">
        <v>617</v>
      </c>
      <c r="G111" s="328">
        <v>2025</v>
      </c>
      <c r="H111" s="434">
        <v>850000</v>
      </c>
      <c r="I111" s="434">
        <v>0</v>
      </c>
      <c r="J111" s="328" t="s">
        <v>509</v>
      </c>
      <c r="K111" s="328" t="s">
        <v>510</v>
      </c>
    </row>
    <row r="112" spans="1:11" s="326" customFormat="1" hidden="1" x14ac:dyDescent="0.25">
      <c r="A112" s="433">
        <v>1001910273</v>
      </c>
      <c r="B112" s="328" t="s">
        <v>618</v>
      </c>
      <c r="C112" s="328" t="s">
        <v>507</v>
      </c>
      <c r="D112" s="328">
        <v>580379428</v>
      </c>
      <c r="E112" s="328">
        <v>40216093</v>
      </c>
      <c r="F112" s="328" t="s">
        <v>619</v>
      </c>
      <c r="G112" s="328">
        <v>2025</v>
      </c>
      <c r="H112" s="434">
        <v>450000</v>
      </c>
      <c r="I112" s="434">
        <v>0</v>
      </c>
      <c r="J112" s="328" t="s">
        <v>509</v>
      </c>
      <c r="K112" s="328" t="s">
        <v>510</v>
      </c>
    </row>
    <row r="113" spans="1:11" s="326" customFormat="1" hidden="1" x14ac:dyDescent="0.25">
      <c r="A113" s="433">
        <v>1001910294</v>
      </c>
      <c r="B113" s="328" t="s">
        <v>620</v>
      </c>
      <c r="C113" s="328" t="s">
        <v>507</v>
      </c>
      <c r="D113" s="328">
        <v>580176808</v>
      </c>
      <c r="E113" s="328">
        <v>40272403</v>
      </c>
      <c r="F113" s="328" t="s">
        <v>621</v>
      </c>
      <c r="G113" s="328">
        <v>2025</v>
      </c>
      <c r="H113" s="434">
        <v>450000</v>
      </c>
      <c r="I113" s="434">
        <v>0</v>
      </c>
      <c r="J113" s="328" t="s">
        <v>509</v>
      </c>
      <c r="K113" s="328" t="s">
        <v>510</v>
      </c>
    </row>
    <row r="114" spans="1:11" s="326" customFormat="1" hidden="1" x14ac:dyDescent="0.25">
      <c r="A114" s="433">
        <v>1001910301</v>
      </c>
      <c r="B114" s="328" t="s">
        <v>622</v>
      </c>
      <c r="C114" s="328" t="s">
        <v>516</v>
      </c>
      <c r="D114" s="328">
        <v>580033181</v>
      </c>
      <c r="E114" s="328">
        <v>40255238</v>
      </c>
      <c r="F114" s="328" t="s">
        <v>623</v>
      </c>
      <c r="G114" s="328">
        <v>2025</v>
      </c>
      <c r="H114" s="434">
        <v>600000</v>
      </c>
      <c r="I114" s="434">
        <v>0</v>
      </c>
      <c r="J114" s="328" t="s">
        <v>509</v>
      </c>
      <c r="K114" s="328" t="s">
        <v>510</v>
      </c>
    </row>
    <row r="115" spans="1:11" s="326" customFormat="1" hidden="1" x14ac:dyDescent="0.25">
      <c r="A115" s="433">
        <v>1001910373</v>
      </c>
      <c r="B115" s="328" t="s">
        <v>624</v>
      </c>
      <c r="C115" s="328" t="s">
        <v>507</v>
      </c>
      <c r="D115" s="328">
        <v>580571206</v>
      </c>
      <c r="E115" s="328">
        <v>40970756</v>
      </c>
      <c r="F115" s="328" t="s">
        <v>625</v>
      </c>
      <c r="G115" s="328">
        <v>2025</v>
      </c>
      <c r="H115" s="434">
        <v>300000</v>
      </c>
      <c r="I115" s="434">
        <v>0</v>
      </c>
      <c r="J115" s="328" t="s">
        <v>509</v>
      </c>
      <c r="K115" s="328" t="s">
        <v>510</v>
      </c>
    </row>
    <row r="116" spans="1:11" s="326" customFormat="1" hidden="1" x14ac:dyDescent="0.25">
      <c r="A116" s="433">
        <v>1001910394</v>
      </c>
      <c r="B116" s="328" t="s">
        <v>626</v>
      </c>
      <c r="C116" s="328" t="s">
        <v>507</v>
      </c>
      <c r="D116" s="328">
        <v>580007433</v>
      </c>
      <c r="E116" s="328">
        <v>40188797</v>
      </c>
      <c r="F116" s="328" t="s">
        <v>627</v>
      </c>
      <c r="G116" s="328">
        <v>2025</v>
      </c>
      <c r="H116" s="434">
        <v>750000</v>
      </c>
      <c r="I116" s="434">
        <v>0</v>
      </c>
      <c r="J116" s="328" t="s">
        <v>509</v>
      </c>
      <c r="K116" s="328" t="s">
        <v>510</v>
      </c>
    </row>
    <row r="117" spans="1:11" s="326" customFormat="1" hidden="1" x14ac:dyDescent="0.25">
      <c r="A117" s="433">
        <v>1001910511</v>
      </c>
      <c r="B117" s="328" t="s">
        <v>620</v>
      </c>
      <c r="C117" s="328" t="s">
        <v>507</v>
      </c>
      <c r="D117" s="328">
        <v>580020022</v>
      </c>
      <c r="E117" s="328">
        <v>40216015</v>
      </c>
      <c r="F117" s="328" t="s">
        <v>628</v>
      </c>
      <c r="G117" s="328">
        <v>2025</v>
      </c>
      <c r="H117" s="434">
        <v>400000</v>
      </c>
      <c r="I117" s="434">
        <v>0</v>
      </c>
      <c r="J117" s="328" t="s">
        <v>509</v>
      </c>
      <c r="K117" s="328" t="s">
        <v>510</v>
      </c>
    </row>
    <row r="118" spans="1:11" s="326" customFormat="1" hidden="1" x14ac:dyDescent="0.25">
      <c r="A118" s="433">
        <v>1001910973</v>
      </c>
      <c r="B118" s="328" t="s">
        <v>629</v>
      </c>
      <c r="C118" s="328" t="s">
        <v>507</v>
      </c>
      <c r="D118" s="328">
        <v>580361285</v>
      </c>
      <c r="E118" s="328">
        <v>40016837</v>
      </c>
      <c r="F118" s="328" t="s">
        <v>630</v>
      </c>
      <c r="G118" s="328">
        <v>2025</v>
      </c>
      <c r="H118" s="434">
        <v>1800000</v>
      </c>
      <c r="I118" s="434">
        <v>0</v>
      </c>
      <c r="J118" s="328" t="s">
        <v>509</v>
      </c>
      <c r="K118" s="328" t="s">
        <v>510</v>
      </c>
    </row>
    <row r="119" spans="1:11" s="326" customFormat="1" hidden="1" x14ac:dyDescent="0.25">
      <c r="A119" s="433">
        <v>1001910978</v>
      </c>
      <c r="B119" s="328" t="s">
        <v>631</v>
      </c>
      <c r="C119" s="328" t="s">
        <v>507</v>
      </c>
      <c r="D119" s="328">
        <v>580450146</v>
      </c>
      <c r="E119" s="328">
        <v>40988882</v>
      </c>
      <c r="F119" s="328" t="s">
        <v>632</v>
      </c>
      <c r="G119" s="328">
        <v>2025</v>
      </c>
      <c r="H119" s="434">
        <v>1500000</v>
      </c>
      <c r="I119" s="434">
        <v>0</v>
      </c>
      <c r="J119" s="328" t="s">
        <v>509</v>
      </c>
      <c r="K119" s="328" t="s">
        <v>510</v>
      </c>
    </row>
    <row r="120" spans="1:11" s="326" customFormat="1" hidden="1" x14ac:dyDescent="0.25">
      <c r="A120" s="433">
        <v>1001910979</v>
      </c>
      <c r="B120" s="328" t="s">
        <v>633</v>
      </c>
      <c r="C120" s="328" t="s">
        <v>507</v>
      </c>
      <c r="D120" s="328">
        <v>580229771</v>
      </c>
      <c r="E120" s="328">
        <v>40000188</v>
      </c>
      <c r="F120" s="328" t="s">
        <v>634</v>
      </c>
      <c r="G120" s="328">
        <v>2025</v>
      </c>
      <c r="H120" s="434">
        <v>725000</v>
      </c>
      <c r="I120" s="434">
        <v>0</v>
      </c>
      <c r="J120" s="328" t="s">
        <v>509</v>
      </c>
      <c r="K120" s="328" t="s">
        <v>510</v>
      </c>
    </row>
    <row r="121" spans="1:11" s="326" customFormat="1" hidden="1" x14ac:dyDescent="0.25">
      <c r="A121" s="433">
        <v>1001910988</v>
      </c>
      <c r="B121" s="328" t="s">
        <v>572</v>
      </c>
      <c r="C121" s="328" t="s">
        <v>507</v>
      </c>
      <c r="D121" s="328">
        <v>580026235</v>
      </c>
      <c r="E121" s="328">
        <v>40215994</v>
      </c>
      <c r="F121" s="328" t="s">
        <v>635</v>
      </c>
      <c r="G121" s="328">
        <v>2025</v>
      </c>
      <c r="H121" s="434">
        <v>900000</v>
      </c>
      <c r="I121" s="434">
        <v>0</v>
      </c>
      <c r="J121" s="328" t="s">
        <v>509</v>
      </c>
      <c r="K121" s="328" t="s">
        <v>510</v>
      </c>
    </row>
    <row r="122" spans="1:11" s="326" customFormat="1" hidden="1" x14ac:dyDescent="0.25">
      <c r="A122" s="433">
        <v>1001911063</v>
      </c>
      <c r="B122" s="328" t="s">
        <v>636</v>
      </c>
      <c r="C122" s="328" t="s">
        <v>507</v>
      </c>
      <c r="D122" s="328">
        <v>580037596</v>
      </c>
      <c r="E122" s="328">
        <v>40000094</v>
      </c>
      <c r="F122" s="328" t="s">
        <v>637</v>
      </c>
      <c r="G122" s="328">
        <v>2025</v>
      </c>
      <c r="H122" s="434">
        <v>1500000</v>
      </c>
      <c r="I122" s="434">
        <v>0</v>
      </c>
      <c r="J122" s="328" t="s">
        <v>509</v>
      </c>
      <c r="K122" s="328" t="s">
        <v>510</v>
      </c>
    </row>
    <row r="123" spans="1:11" s="326" customFormat="1" hidden="1" x14ac:dyDescent="0.25">
      <c r="A123" s="433">
        <v>1001911067</v>
      </c>
      <c r="B123" s="328" t="s">
        <v>638</v>
      </c>
      <c r="C123" s="328" t="s">
        <v>516</v>
      </c>
      <c r="D123" s="328">
        <v>580646040</v>
      </c>
      <c r="E123" s="328">
        <v>42736870</v>
      </c>
      <c r="F123" s="328" t="s">
        <v>801</v>
      </c>
      <c r="G123" s="328">
        <v>2025</v>
      </c>
      <c r="H123" s="434">
        <v>1000000</v>
      </c>
      <c r="I123" s="434">
        <v>0</v>
      </c>
      <c r="J123" s="328" t="s">
        <v>509</v>
      </c>
      <c r="K123" s="328" t="s">
        <v>510</v>
      </c>
    </row>
    <row r="124" spans="1:11" s="326" customFormat="1" hidden="1" x14ac:dyDescent="0.25">
      <c r="A124" s="433">
        <v>1001911160</v>
      </c>
      <c r="B124" s="328" t="s">
        <v>639</v>
      </c>
      <c r="C124" s="328" t="s">
        <v>507</v>
      </c>
      <c r="D124" s="328">
        <v>580317535</v>
      </c>
      <c r="E124" s="328">
        <v>40216063</v>
      </c>
      <c r="F124" s="328" t="s">
        <v>640</v>
      </c>
      <c r="G124" s="328">
        <v>2025</v>
      </c>
      <c r="H124" s="434">
        <v>750000</v>
      </c>
      <c r="I124" s="434">
        <v>0</v>
      </c>
      <c r="J124" s="328" t="s">
        <v>509</v>
      </c>
      <c r="K124" s="328" t="s">
        <v>510</v>
      </c>
    </row>
    <row r="125" spans="1:11" s="326" customFormat="1" hidden="1" x14ac:dyDescent="0.25">
      <c r="A125" s="433">
        <v>1001911163</v>
      </c>
      <c r="B125" s="328" t="s">
        <v>580</v>
      </c>
      <c r="C125" s="328" t="s">
        <v>507</v>
      </c>
      <c r="D125" s="328">
        <v>580462661</v>
      </c>
      <c r="E125" s="328">
        <v>41970075</v>
      </c>
      <c r="F125" s="328" t="s">
        <v>641</v>
      </c>
      <c r="G125" s="328">
        <v>2025</v>
      </c>
      <c r="H125" s="434">
        <v>450000</v>
      </c>
      <c r="I125" s="434">
        <v>0</v>
      </c>
      <c r="J125" s="328" t="s">
        <v>509</v>
      </c>
      <c r="K125" s="328" t="s">
        <v>510</v>
      </c>
    </row>
    <row r="126" spans="1:11" s="326" customFormat="1" hidden="1" x14ac:dyDescent="0.25">
      <c r="A126" s="433">
        <v>1001911238</v>
      </c>
      <c r="B126" s="328" t="s">
        <v>787</v>
      </c>
      <c r="C126" s="328" t="s">
        <v>794</v>
      </c>
      <c r="D126" s="328">
        <v>580497071</v>
      </c>
      <c r="E126" s="328">
        <v>40467074</v>
      </c>
      <c r="F126" s="328" t="s">
        <v>802</v>
      </c>
      <c r="G126" s="328">
        <v>2025</v>
      </c>
      <c r="H126" s="434">
        <v>500000</v>
      </c>
      <c r="I126" s="434">
        <v>0</v>
      </c>
      <c r="J126" s="328" t="s">
        <v>509</v>
      </c>
      <c r="K126" s="328" t="s">
        <v>510</v>
      </c>
    </row>
    <row r="127" spans="1:11" s="326" customFormat="1" hidden="1" x14ac:dyDescent="0.25">
      <c r="A127" s="433">
        <v>1001911382</v>
      </c>
      <c r="B127" s="328" t="s">
        <v>642</v>
      </c>
      <c r="C127" s="328" t="s">
        <v>507</v>
      </c>
      <c r="D127" s="328">
        <v>514560531</v>
      </c>
      <c r="E127" s="328">
        <v>41496069</v>
      </c>
      <c r="F127" s="328" t="s">
        <v>643</v>
      </c>
      <c r="G127" s="328">
        <v>2025</v>
      </c>
      <c r="H127" s="434">
        <v>500000</v>
      </c>
      <c r="I127" s="434">
        <v>0</v>
      </c>
      <c r="J127" s="328" t="s">
        <v>509</v>
      </c>
      <c r="K127" s="328" t="s">
        <v>510</v>
      </c>
    </row>
    <row r="128" spans="1:11" s="326" customFormat="1" hidden="1" x14ac:dyDescent="0.25">
      <c r="A128" s="433">
        <v>1001911485</v>
      </c>
      <c r="B128" s="328" t="s">
        <v>644</v>
      </c>
      <c r="C128" s="328" t="s">
        <v>507</v>
      </c>
      <c r="D128" s="328">
        <v>580008027</v>
      </c>
      <c r="E128" s="328">
        <v>40000056</v>
      </c>
      <c r="F128" s="328" t="s">
        <v>645</v>
      </c>
      <c r="G128" s="328">
        <v>2025</v>
      </c>
      <c r="H128" s="434">
        <v>187500</v>
      </c>
      <c r="I128" s="434">
        <v>0</v>
      </c>
      <c r="J128" s="328" t="s">
        <v>509</v>
      </c>
      <c r="K128" s="328" t="s">
        <v>510</v>
      </c>
    </row>
    <row r="129" spans="1:11" s="326" customFormat="1" hidden="1" x14ac:dyDescent="0.25">
      <c r="A129" s="433">
        <v>1001911486</v>
      </c>
      <c r="B129" s="328" t="s">
        <v>644</v>
      </c>
      <c r="C129" s="328" t="s">
        <v>794</v>
      </c>
      <c r="D129" s="328">
        <v>580008027</v>
      </c>
      <c r="E129" s="328">
        <v>40000056</v>
      </c>
      <c r="F129" s="328" t="s">
        <v>645</v>
      </c>
      <c r="G129" s="328">
        <v>2025</v>
      </c>
      <c r="H129" s="434">
        <v>187500</v>
      </c>
      <c r="I129" s="434">
        <v>0</v>
      </c>
      <c r="J129" s="328" t="s">
        <v>509</v>
      </c>
      <c r="K129" s="328" t="s">
        <v>510</v>
      </c>
    </row>
    <row r="130" spans="1:11" s="326" customFormat="1" hidden="1" x14ac:dyDescent="0.25">
      <c r="A130" s="433">
        <v>1001911538</v>
      </c>
      <c r="B130" s="328" t="s">
        <v>646</v>
      </c>
      <c r="C130" s="328" t="s">
        <v>507</v>
      </c>
      <c r="D130" s="328">
        <v>580106177</v>
      </c>
      <c r="E130" s="328">
        <v>40300458</v>
      </c>
      <c r="F130" s="328" t="s">
        <v>647</v>
      </c>
      <c r="G130" s="328">
        <v>2025</v>
      </c>
      <c r="H130" s="434">
        <v>500000</v>
      </c>
      <c r="I130" s="434">
        <v>0</v>
      </c>
      <c r="J130" s="328" t="s">
        <v>509</v>
      </c>
      <c r="K130" s="328" t="s">
        <v>510</v>
      </c>
    </row>
    <row r="131" spans="1:11" s="326" customFormat="1" hidden="1" x14ac:dyDescent="0.25">
      <c r="A131" s="433">
        <v>1001911567</v>
      </c>
      <c r="B131" s="328" t="s">
        <v>648</v>
      </c>
      <c r="C131" s="328" t="s">
        <v>507</v>
      </c>
      <c r="D131" s="328">
        <v>580024503</v>
      </c>
      <c r="E131" s="328">
        <v>40188700</v>
      </c>
      <c r="F131" s="328" t="s">
        <v>649</v>
      </c>
      <c r="G131" s="328">
        <v>2025</v>
      </c>
      <c r="H131" s="434">
        <v>1000000</v>
      </c>
      <c r="I131" s="434">
        <v>0</v>
      </c>
      <c r="J131" s="328" t="s">
        <v>509</v>
      </c>
      <c r="K131" s="328" t="s">
        <v>510</v>
      </c>
    </row>
    <row r="132" spans="1:11" s="326" customFormat="1" hidden="1" x14ac:dyDescent="0.25">
      <c r="A132" s="433">
        <v>1001911608</v>
      </c>
      <c r="B132" s="328" t="s">
        <v>572</v>
      </c>
      <c r="C132" s="328" t="s">
        <v>516</v>
      </c>
      <c r="D132" s="328">
        <v>580665552</v>
      </c>
      <c r="E132" s="328">
        <v>42821131</v>
      </c>
      <c r="F132" s="328" t="s">
        <v>650</v>
      </c>
      <c r="G132" s="328">
        <v>2025</v>
      </c>
      <c r="H132" s="434">
        <v>800000</v>
      </c>
      <c r="I132" s="434">
        <v>0</v>
      </c>
      <c r="J132" s="328" t="s">
        <v>509</v>
      </c>
      <c r="K132" s="328" t="s">
        <v>510</v>
      </c>
    </row>
    <row r="133" spans="1:11" s="326" customFormat="1" hidden="1" x14ac:dyDescent="0.25">
      <c r="A133" s="433">
        <v>1001911609</v>
      </c>
      <c r="B133" s="328" t="s">
        <v>572</v>
      </c>
      <c r="C133" s="328" t="s">
        <v>794</v>
      </c>
      <c r="D133" s="328">
        <v>580665552</v>
      </c>
      <c r="E133" s="328">
        <v>42821131</v>
      </c>
      <c r="F133" s="328" t="s">
        <v>650</v>
      </c>
      <c r="G133" s="328">
        <v>2025</v>
      </c>
      <c r="H133" s="434">
        <v>500000</v>
      </c>
      <c r="I133" s="434">
        <v>0</v>
      </c>
      <c r="J133" s="328" t="s">
        <v>509</v>
      </c>
      <c r="K133" s="328" t="s">
        <v>510</v>
      </c>
    </row>
    <row r="134" spans="1:11" s="326" customFormat="1" hidden="1" x14ac:dyDescent="0.25">
      <c r="A134" s="433">
        <v>1001911616</v>
      </c>
      <c r="B134" s="328" t="s">
        <v>651</v>
      </c>
      <c r="C134" s="328" t="s">
        <v>507</v>
      </c>
      <c r="D134" s="328">
        <v>580270163</v>
      </c>
      <c r="E134" s="328">
        <v>40383313</v>
      </c>
      <c r="F134" s="328" t="s">
        <v>652</v>
      </c>
      <c r="G134" s="328">
        <v>2025</v>
      </c>
      <c r="H134" s="434">
        <v>570000</v>
      </c>
      <c r="I134" s="434">
        <v>0</v>
      </c>
      <c r="J134" s="328" t="s">
        <v>509</v>
      </c>
      <c r="K134" s="328" t="s">
        <v>510</v>
      </c>
    </row>
    <row r="135" spans="1:11" s="326" customFormat="1" hidden="1" x14ac:dyDescent="0.25">
      <c r="A135" s="433">
        <v>1001911631</v>
      </c>
      <c r="B135" s="328" t="s">
        <v>653</v>
      </c>
      <c r="C135" s="328" t="s">
        <v>507</v>
      </c>
      <c r="D135" s="328">
        <v>580111573</v>
      </c>
      <c r="E135" s="328">
        <v>40216032</v>
      </c>
      <c r="F135" s="328" t="s">
        <v>654</v>
      </c>
      <c r="G135" s="328">
        <v>2025</v>
      </c>
      <c r="H135" s="434">
        <v>995000</v>
      </c>
      <c r="I135" s="434">
        <v>0</v>
      </c>
      <c r="J135" s="328" t="s">
        <v>509</v>
      </c>
      <c r="K135" s="328" t="s">
        <v>510</v>
      </c>
    </row>
    <row r="136" spans="1:11" s="326" customFormat="1" hidden="1" x14ac:dyDescent="0.25">
      <c r="A136" s="433">
        <v>1001911688</v>
      </c>
      <c r="B136" s="328" t="s">
        <v>572</v>
      </c>
      <c r="C136" s="328" t="s">
        <v>507</v>
      </c>
      <c r="D136" s="328">
        <v>580611689</v>
      </c>
      <c r="E136" s="328">
        <v>42425354</v>
      </c>
      <c r="F136" s="328" t="s">
        <v>655</v>
      </c>
      <c r="G136" s="328">
        <v>2025</v>
      </c>
      <c r="H136" s="434">
        <v>350000</v>
      </c>
      <c r="I136" s="434">
        <v>0</v>
      </c>
      <c r="J136" s="328" t="s">
        <v>509</v>
      </c>
      <c r="K136" s="328" t="s">
        <v>510</v>
      </c>
    </row>
    <row r="137" spans="1:11" s="326" customFormat="1" hidden="1" x14ac:dyDescent="0.25">
      <c r="A137" s="433">
        <v>1001911733</v>
      </c>
      <c r="B137" s="328" t="s">
        <v>656</v>
      </c>
      <c r="C137" s="328" t="s">
        <v>507</v>
      </c>
      <c r="D137" s="328">
        <v>580292167</v>
      </c>
      <c r="E137" s="328">
        <v>40216006</v>
      </c>
      <c r="F137" s="328" t="s">
        <v>657</v>
      </c>
      <c r="G137" s="328">
        <v>2025</v>
      </c>
      <c r="H137" s="434">
        <v>600000</v>
      </c>
      <c r="I137" s="434">
        <v>0</v>
      </c>
      <c r="J137" s="328" t="s">
        <v>509</v>
      </c>
      <c r="K137" s="328" t="s">
        <v>510</v>
      </c>
    </row>
    <row r="138" spans="1:11" s="326" customFormat="1" hidden="1" x14ac:dyDescent="0.25">
      <c r="A138" s="433">
        <v>1001911734</v>
      </c>
      <c r="B138" s="328" t="s">
        <v>658</v>
      </c>
      <c r="C138" s="328" t="s">
        <v>516</v>
      </c>
      <c r="D138" s="328">
        <v>580284800</v>
      </c>
      <c r="E138" s="328">
        <v>40216056</v>
      </c>
      <c r="F138" s="328" t="s">
        <v>659</v>
      </c>
      <c r="G138" s="328">
        <v>2025</v>
      </c>
      <c r="H138" s="434">
        <v>400000</v>
      </c>
      <c r="I138" s="434">
        <v>0</v>
      </c>
      <c r="J138" s="328" t="s">
        <v>509</v>
      </c>
      <c r="K138" s="328" t="s">
        <v>510</v>
      </c>
    </row>
    <row r="139" spans="1:11" s="326" customFormat="1" hidden="1" x14ac:dyDescent="0.25">
      <c r="A139" s="433">
        <v>1001911934</v>
      </c>
      <c r="B139" s="328" t="s">
        <v>660</v>
      </c>
      <c r="C139" s="328" t="s">
        <v>507</v>
      </c>
      <c r="D139" s="328">
        <v>580365443</v>
      </c>
      <c r="E139" s="328">
        <v>40006204</v>
      </c>
      <c r="F139" s="328" t="s">
        <v>661</v>
      </c>
      <c r="G139" s="328">
        <v>2025</v>
      </c>
      <c r="H139" s="434">
        <v>450000</v>
      </c>
      <c r="I139" s="434">
        <v>0</v>
      </c>
      <c r="J139" s="328" t="s">
        <v>509</v>
      </c>
      <c r="K139" s="328" t="s">
        <v>510</v>
      </c>
    </row>
    <row r="140" spans="1:11" s="326" customFormat="1" hidden="1" x14ac:dyDescent="0.25">
      <c r="A140" s="433">
        <v>1001911972</v>
      </c>
      <c r="B140" s="328" t="s">
        <v>622</v>
      </c>
      <c r="C140" s="328" t="s">
        <v>507</v>
      </c>
      <c r="D140" s="328">
        <v>580041770</v>
      </c>
      <c r="E140" s="328">
        <v>40299606</v>
      </c>
      <c r="F140" s="328" t="s">
        <v>521</v>
      </c>
      <c r="G140" s="328">
        <v>2025</v>
      </c>
      <c r="H140" s="434">
        <v>450000</v>
      </c>
      <c r="I140" s="434">
        <v>0</v>
      </c>
      <c r="J140" s="328" t="s">
        <v>509</v>
      </c>
      <c r="K140" s="328" t="s">
        <v>510</v>
      </c>
    </row>
    <row r="141" spans="1:11" s="326" customFormat="1" hidden="1" x14ac:dyDescent="0.25">
      <c r="A141" s="433">
        <v>1001911993</v>
      </c>
      <c r="B141" s="328" t="s">
        <v>662</v>
      </c>
      <c r="C141" s="328" t="s">
        <v>507</v>
      </c>
      <c r="D141" s="328">
        <v>580008589</v>
      </c>
      <c r="E141" s="328">
        <v>40015160</v>
      </c>
      <c r="F141" s="328" t="s">
        <v>663</v>
      </c>
      <c r="G141" s="328">
        <v>2025</v>
      </c>
      <c r="H141" s="434">
        <v>500000</v>
      </c>
      <c r="I141" s="434">
        <v>0</v>
      </c>
      <c r="J141" s="328" t="s">
        <v>509</v>
      </c>
      <c r="K141" s="328" t="s">
        <v>510</v>
      </c>
    </row>
    <row r="142" spans="1:11" s="326" customFormat="1" hidden="1" x14ac:dyDescent="0.25">
      <c r="A142" s="433">
        <v>1001912019</v>
      </c>
      <c r="B142" s="328" t="s">
        <v>572</v>
      </c>
      <c r="C142" s="328" t="s">
        <v>507</v>
      </c>
      <c r="D142" s="328">
        <v>580098689</v>
      </c>
      <c r="E142" s="328">
        <v>40216027</v>
      </c>
      <c r="F142" s="328" t="s">
        <v>664</v>
      </c>
      <c r="G142" s="328">
        <v>2025</v>
      </c>
      <c r="H142" s="434">
        <v>1000000</v>
      </c>
      <c r="I142" s="434">
        <v>0</v>
      </c>
      <c r="J142" s="328" t="s">
        <v>509</v>
      </c>
      <c r="K142" s="328" t="s">
        <v>510</v>
      </c>
    </row>
    <row r="143" spans="1:11" s="326" customFormat="1" hidden="1" x14ac:dyDescent="0.25">
      <c r="A143" s="433">
        <v>1001912649</v>
      </c>
      <c r="B143" s="328" t="s">
        <v>665</v>
      </c>
      <c r="C143" s="328" t="s">
        <v>507</v>
      </c>
      <c r="D143" s="328">
        <v>580120129</v>
      </c>
      <c r="E143" s="328">
        <v>40015161</v>
      </c>
      <c r="F143" s="328" t="s">
        <v>666</v>
      </c>
      <c r="G143" s="328">
        <v>2025</v>
      </c>
      <c r="H143" s="434">
        <v>518000</v>
      </c>
      <c r="I143" s="434">
        <v>0</v>
      </c>
      <c r="J143" s="328" t="s">
        <v>509</v>
      </c>
      <c r="K143" s="328" t="s">
        <v>510</v>
      </c>
    </row>
    <row r="144" spans="1:11" s="326" customFormat="1" hidden="1" x14ac:dyDescent="0.25">
      <c r="A144" s="433">
        <v>1001912681</v>
      </c>
      <c r="B144" s="328" t="s">
        <v>667</v>
      </c>
      <c r="C144" s="328" t="s">
        <v>516</v>
      </c>
      <c r="D144" s="328">
        <v>580065159</v>
      </c>
      <c r="E144" s="328">
        <v>40016889</v>
      </c>
      <c r="F144" s="328" t="s">
        <v>668</v>
      </c>
      <c r="G144" s="328">
        <v>2025</v>
      </c>
      <c r="H144" s="434">
        <v>1000000</v>
      </c>
      <c r="I144" s="434">
        <v>0</v>
      </c>
      <c r="J144" s="328" t="s">
        <v>509</v>
      </c>
      <c r="K144" s="328" t="s">
        <v>510</v>
      </c>
    </row>
    <row r="145" spans="1:11" s="326" customFormat="1" hidden="1" x14ac:dyDescent="0.25">
      <c r="A145" s="433">
        <v>1001912700</v>
      </c>
      <c r="B145" s="328" t="s">
        <v>522</v>
      </c>
      <c r="C145" s="328" t="s">
        <v>507</v>
      </c>
      <c r="D145" s="328">
        <v>580185544</v>
      </c>
      <c r="E145" s="328">
        <v>40216001</v>
      </c>
      <c r="F145" s="328" t="s">
        <v>669</v>
      </c>
      <c r="G145" s="328">
        <v>2025</v>
      </c>
      <c r="H145" s="434">
        <v>600000</v>
      </c>
      <c r="I145" s="434">
        <v>0</v>
      </c>
      <c r="J145" s="328" t="s">
        <v>509</v>
      </c>
      <c r="K145" s="328" t="s">
        <v>510</v>
      </c>
    </row>
    <row r="146" spans="1:11" s="326" customFormat="1" hidden="1" x14ac:dyDescent="0.25">
      <c r="A146" s="433">
        <v>1001912702</v>
      </c>
      <c r="B146" s="328" t="s">
        <v>522</v>
      </c>
      <c r="C146" s="328" t="s">
        <v>507</v>
      </c>
      <c r="D146" s="328">
        <v>510058738</v>
      </c>
      <c r="E146" s="328">
        <v>40215985</v>
      </c>
      <c r="F146" s="328" t="s">
        <v>670</v>
      </c>
      <c r="G146" s="328">
        <v>2025</v>
      </c>
      <c r="H146" s="434">
        <v>1500000</v>
      </c>
      <c r="I146" s="434">
        <v>0</v>
      </c>
      <c r="J146" s="328" t="s">
        <v>509</v>
      </c>
      <c r="K146" s="328" t="s">
        <v>510</v>
      </c>
    </row>
    <row r="147" spans="1:11" s="326" customFormat="1" hidden="1" x14ac:dyDescent="0.25">
      <c r="A147" s="433">
        <v>1001912723</v>
      </c>
      <c r="B147" s="328" t="s">
        <v>671</v>
      </c>
      <c r="C147" s="328" t="s">
        <v>507</v>
      </c>
      <c r="D147" s="328">
        <v>580314847</v>
      </c>
      <c r="E147" s="328">
        <v>40016969</v>
      </c>
      <c r="F147" s="328" t="s">
        <v>672</v>
      </c>
      <c r="G147" s="328">
        <v>2025</v>
      </c>
      <c r="H147" s="434">
        <v>300000</v>
      </c>
      <c r="I147" s="434">
        <v>0</v>
      </c>
      <c r="J147" s="328" t="s">
        <v>509</v>
      </c>
      <c r="K147" s="328" t="s">
        <v>510</v>
      </c>
    </row>
    <row r="148" spans="1:11" s="326" customFormat="1" hidden="1" x14ac:dyDescent="0.25">
      <c r="A148" s="433">
        <v>1001912836</v>
      </c>
      <c r="B148" s="328" t="s">
        <v>673</v>
      </c>
      <c r="C148" s="328" t="s">
        <v>516</v>
      </c>
      <c r="D148" s="328">
        <v>580024917</v>
      </c>
      <c r="E148" s="328">
        <v>41068775</v>
      </c>
      <c r="F148" s="328" t="s">
        <v>674</v>
      </c>
      <c r="G148" s="328">
        <v>2025</v>
      </c>
      <c r="H148" s="434">
        <v>800000</v>
      </c>
      <c r="I148" s="434">
        <v>0</v>
      </c>
      <c r="J148" s="328" t="s">
        <v>509</v>
      </c>
      <c r="K148" s="328" t="s">
        <v>510</v>
      </c>
    </row>
    <row r="149" spans="1:11" s="326" customFormat="1" hidden="1" x14ac:dyDescent="0.25">
      <c r="A149" s="433">
        <v>1001913517</v>
      </c>
      <c r="B149" s="328" t="s">
        <v>675</v>
      </c>
      <c r="C149" s="328" t="s">
        <v>507</v>
      </c>
      <c r="D149" s="328">
        <v>580461754</v>
      </c>
      <c r="E149" s="328">
        <v>40526317</v>
      </c>
      <c r="F149" s="328" t="s">
        <v>676</v>
      </c>
      <c r="G149" s="328">
        <v>2025</v>
      </c>
      <c r="H149" s="434">
        <v>1200000</v>
      </c>
      <c r="I149" s="434">
        <v>0</v>
      </c>
      <c r="J149" s="328" t="s">
        <v>509</v>
      </c>
      <c r="K149" s="328" t="s">
        <v>510</v>
      </c>
    </row>
    <row r="150" spans="1:11" s="326" customFormat="1" hidden="1" x14ac:dyDescent="0.25">
      <c r="A150" s="433">
        <v>1001913646</v>
      </c>
      <c r="B150" s="328" t="s">
        <v>677</v>
      </c>
      <c r="C150" s="328" t="s">
        <v>507</v>
      </c>
      <c r="D150" s="328">
        <v>580013522</v>
      </c>
      <c r="E150" s="328">
        <v>40000333</v>
      </c>
      <c r="F150" s="328" t="s">
        <v>678</v>
      </c>
      <c r="G150" s="328">
        <v>2025</v>
      </c>
      <c r="H150" s="434">
        <v>2400000</v>
      </c>
      <c r="I150" s="434">
        <v>0</v>
      </c>
      <c r="J150" s="328" t="s">
        <v>509</v>
      </c>
      <c r="K150" s="328" t="s">
        <v>510</v>
      </c>
    </row>
    <row r="151" spans="1:11" s="326" customFormat="1" hidden="1" x14ac:dyDescent="0.25">
      <c r="A151" s="433">
        <v>1001913753</v>
      </c>
      <c r="B151" s="328" t="s">
        <v>679</v>
      </c>
      <c r="C151" s="328" t="s">
        <v>507</v>
      </c>
      <c r="D151" s="328">
        <v>580140143</v>
      </c>
      <c r="E151" s="328">
        <v>40216035</v>
      </c>
      <c r="F151" s="328" t="s">
        <v>680</v>
      </c>
      <c r="G151" s="328">
        <v>2025</v>
      </c>
      <c r="H151" s="434">
        <v>850000</v>
      </c>
      <c r="I151" s="434">
        <v>0</v>
      </c>
      <c r="J151" s="328" t="s">
        <v>509</v>
      </c>
      <c r="K151" s="328" t="s">
        <v>510</v>
      </c>
    </row>
    <row r="152" spans="1:11" s="326" customFormat="1" ht="15" hidden="1" x14ac:dyDescent="0.25">
      <c r="A152" s="327">
        <v>1001913827</v>
      </c>
      <c r="B152" s="328" t="s">
        <v>681</v>
      </c>
      <c r="C152" s="328" t="s">
        <v>507</v>
      </c>
      <c r="D152" s="328">
        <v>580065167</v>
      </c>
      <c r="E152" s="328">
        <v>40000417</v>
      </c>
      <c r="F152" s="328" t="s">
        <v>682</v>
      </c>
      <c r="G152" s="328">
        <v>2025</v>
      </c>
      <c r="H152" s="329">
        <v>250000</v>
      </c>
      <c r="I152" s="329">
        <v>0</v>
      </c>
      <c r="J152" s="328" t="s">
        <v>509</v>
      </c>
      <c r="K152" s="328" t="s">
        <v>510</v>
      </c>
    </row>
    <row r="153" spans="1:11" s="326" customFormat="1" ht="15" hidden="1" x14ac:dyDescent="0.25">
      <c r="A153" s="327">
        <v>1001913910</v>
      </c>
      <c r="B153" s="328" t="s">
        <v>683</v>
      </c>
      <c r="C153" s="328" t="s">
        <v>507</v>
      </c>
      <c r="D153" s="328">
        <v>580528560</v>
      </c>
      <c r="E153" s="328">
        <v>41090390</v>
      </c>
      <c r="F153" s="328" t="s">
        <v>684</v>
      </c>
      <c r="G153" s="328">
        <v>2025</v>
      </c>
      <c r="H153" s="329">
        <v>750000</v>
      </c>
      <c r="I153" s="329">
        <v>0</v>
      </c>
      <c r="J153" s="328" t="s">
        <v>509</v>
      </c>
      <c r="K153" s="328" t="s">
        <v>510</v>
      </c>
    </row>
    <row r="154" spans="1:11" s="326" customFormat="1" ht="15" hidden="1" x14ac:dyDescent="0.25">
      <c r="A154" s="327">
        <v>1001913911</v>
      </c>
      <c r="B154" s="328" t="s">
        <v>683</v>
      </c>
      <c r="C154" s="328" t="s">
        <v>794</v>
      </c>
      <c r="D154" s="328">
        <v>580528560</v>
      </c>
      <c r="E154" s="328">
        <v>41090390</v>
      </c>
      <c r="F154" s="328" t="s">
        <v>684</v>
      </c>
      <c r="G154" s="328">
        <v>2025</v>
      </c>
      <c r="H154" s="329">
        <v>750000</v>
      </c>
      <c r="I154" s="329">
        <v>0</v>
      </c>
      <c r="J154" s="328" t="s">
        <v>509</v>
      </c>
      <c r="K154" s="328" t="s">
        <v>510</v>
      </c>
    </row>
    <row r="155" spans="1:11" s="326" customFormat="1" ht="15" hidden="1" x14ac:dyDescent="0.25">
      <c r="A155" s="327">
        <v>1001914229</v>
      </c>
      <c r="B155" s="328" t="s">
        <v>685</v>
      </c>
      <c r="C155" s="328" t="s">
        <v>507</v>
      </c>
      <c r="D155" s="328">
        <v>580135903</v>
      </c>
      <c r="E155" s="328">
        <v>40216034</v>
      </c>
      <c r="F155" s="328" t="s">
        <v>686</v>
      </c>
      <c r="G155" s="328">
        <v>2025</v>
      </c>
      <c r="H155" s="329">
        <v>1200000</v>
      </c>
      <c r="I155" s="329">
        <v>0</v>
      </c>
      <c r="J155" s="328" t="s">
        <v>509</v>
      </c>
      <c r="K155" s="328" t="s">
        <v>510</v>
      </c>
    </row>
    <row r="156" spans="1:11" s="326" customFormat="1" ht="15" hidden="1" x14ac:dyDescent="0.25">
      <c r="A156" s="327">
        <v>1001914269</v>
      </c>
      <c r="B156" s="328" t="s">
        <v>551</v>
      </c>
      <c r="C156" s="328" t="s">
        <v>507</v>
      </c>
      <c r="D156" s="328">
        <v>580254845</v>
      </c>
      <c r="E156" s="328">
        <v>40216048</v>
      </c>
      <c r="F156" s="328" t="s">
        <v>687</v>
      </c>
      <c r="G156" s="328">
        <v>2025</v>
      </c>
      <c r="H156" s="329">
        <v>703500</v>
      </c>
      <c r="I156" s="329">
        <v>0</v>
      </c>
      <c r="J156" s="328" t="s">
        <v>509</v>
      </c>
      <c r="K156" s="328" t="s">
        <v>510</v>
      </c>
    </row>
    <row r="157" spans="1:11" s="326" customFormat="1" ht="15" hidden="1" x14ac:dyDescent="0.25">
      <c r="A157" s="327">
        <v>1001914329</v>
      </c>
      <c r="B157" s="328" t="s">
        <v>688</v>
      </c>
      <c r="C157" s="328" t="s">
        <v>507</v>
      </c>
      <c r="D157" s="328">
        <v>580041887</v>
      </c>
      <c r="E157" s="328">
        <v>40000102</v>
      </c>
      <c r="F157" s="328" t="s">
        <v>689</v>
      </c>
      <c r="G157" s="328">
        <v>2025</v>
      </c>
      <c r="H157" s="329">
        <v>200000</v>
      </c>
      <c r="I157" s="329">
        <v>0</v>
      </c>
      <c r="J157" s="328" t="s">
        <v>509</v>
      </c>
      <c r="K157" s="328" t="s">
        <v>510</v>
      </c>
    </row>
    <row r="158" spans="1:11" s="326" customFormat="1" ht="15" hidden="1" x14ac:dyDescent="0.25">
      <c r="A158" s="327">
        <v>1001914401</v>
      </c>
      <c r="B158" s="328" t="s">
        <v>690</v>
      </c>
      <c r="C158" s="328" t="s">
        <v>516</v>
      </c>
      <c r="D158" s="328">
        <v>580314177</v>
      </c>
      <c r="E158" s="328">
        <v>40388150</v>
      </c>
      <c r="F158" s="328" t="s">
        <v>691</v>
      </c>
      <c r="G158" s="328">
        <v>2025</v>
      </c>
      <c r="H158" s="329">
        <v>2500000</v>
      </c>
      <c r="I158" s="329">
        <v>0</v>
      </c>
      <c r="J158" s="328" t="s">
        <v>509</v>
      </c>
      <c r="K158" s="328" t="s">
        <v>510</v>
      </c>
    </row>
    <row r="159" spans="1:11" s="326" customFormat="1" ht="15" hidden="1" x14ac:dyDescent="0.25">
      <c r="A159" s="327">
        <v>1001914417</v>
      </c>
      <c r="B159" s="328" t="s">
        <v>692</v>
      </c>
      <c r="C159" s="328" t="s">
        <v>516</v>
      </c>
      <c r="D159" s="328">
        <v>580031680</v>
      </c>
      <c r="E159" s="328">
        <v>40188815</v>
      </c>
      <c r="F159" s="328" t="s">
        <v>693</v>
      </c>
      <c r="G159" s="328">
        <v>2025</v>
      </c>
      <c r="H159" s="329">
        <v>280000</v>
      </c>
      <c r="I159" s="329">
        <v>0</v>
      </c>
      <c r="J159" s="328" t="s">
        <v>509</v>
      </c>
      <c r="K159" s="328" t="s">
        <v>510</v>
      </c>
    </row>
    <row r="160" spans="1:11" s="326" customFormat="1" ht="15" hidden="1" x14ac:dyDescent="0.25">
      <c r="A160" s="327">
        <v>1001914419</v>
      </c>
      <c r="B160" s="328" t="s">
        <v>596</v>
      </c>
      <c r="C160" s="328" t="s">
        <v>507</v>
      </c>
      <c r="D160" s="328">
        <v>580210060</v>
      </c>
      <c r="E160" s="328">
        <v>40140418</v>
      </c>
      <c r="F160" s="328" t="s">
        <v>694</v>
      </c>
      <c r="G160" s="328">
        <v>2025</v>
      </c>
      <c r="H160" s="329">
        <v>540000</v>
      </c>
      <c r="I160" s="329">
        <v>0</v>
      </c>
      <c r="J160" s="328" t="s">
        <v>509</v>
      </c>
      <c r="K160" s="328" t="s">
        <v>510</v>
      </c>
    </row>
    <row r="161" spans="1:11" s="326" customFormat="1" ht="15" hidden="1" x14ac:dyDescent="0.25">
      <c r="A161" s="327">
        <v>1001914429</v>
      </c>
      <c r="B161" s="328" t="s">
        <v>695</v>
      </c>
      <c r="C161" s="328" t="s">
        <v>507</v>
      </c>
      <c r="D161" s="328">
        <v>580419042</v>
      </c>
      <c r="E161" s="328">
        <v>41968452</v>
      </c>
      <c r="F161" s="328" t="s">
        <v>696</v>
      </c>
      <c r="G161" s="328">
        <v>2025</v>
      </c>
      <c r="H161" s="329">
        <v>506000</v>
      </c>
      <c r="I161" s="329">
        <v>0</v>
      </c>
      <c r="J161" s="328" t="s">
        <v>509</v>
      </c>
      <c r="K161" s="328" t="s">
        <v>510</v>
      </c>
    </row>
    <row r="162" spans="1:11" s="326" customFormat="1" ht="15" hidden="1" x14ac:dyDescent="0.25">
      <c r="A162" s="327">
        <v>1001914440</v>
      </c>
      <c r="B162" s="328" t="s">
        <v>697</v>
      </c>
      <c r="C162" s="328" t="s">
        <v>516</v>
      </c>
      <c r="D162" s="328">
        <v>580024917</v>
      </c>
      <c r="E162" s="328">
        <v>41068775</v>
      </c>
      <c r="F162" s="328" t="s">
        <v>674</v>
      </c>
      <c r="G162" s="328">
        <v>2025</v>
      </c>
      <c r="H162" s="329">
        <v>800000</v>
      </c>
      <c r="I162" s="329">
        <v>0</v>
      </c>
      <c r="J162" s="328" t="s">
        <v>509</v>
      </c>
      <c r="K162" s="328" t="s">
        <v>510</v>
      </c>
    </row>
    <row r="163" spans="1:11" s="326" customFormat="1" ht="15" hidden="1" x14ac:dyDescent="0.25">
      <c r="A163" s="327">
        <v>1001914441</v>
      </c>
      <c r="B163" s="328" t="s">
        <v>698</v>
      </c>
      <c r="C163" s="328" t="s">
        <v>516</v>
      </c>
      <c r="D163" s="328">
        <v>580370344</v>
      </c>
      <c r="E163" s="328">
        <v>40132386</v>
      </c>
      <c r="F163" s="328" t="s">
        <v>699</v>
      </c>
      <c r="G163" s="328">
        <v>2025</v>
      </c>
      <c r="H163" s="329">
        <v>1500000</v>
      </c>
      <c r="I163" s="329">
        <v>0</v>
      </c>
      <c r="J163" s="328" t="s">
        <v>509</v>
      </c>
      <c r="K163" s="328" t="s">
        <v>510</v>
      </c>
    </row>
    <row r="164" spans="1:11" s="326" customFormat="1" ht="15" hidden="1" x14ac:dyDescent="0.25">
      <c r="A164" s="327">
        <v>1001915379</v>
      </c>
      <c r="B164" s="328" t="s">
        <v>700</v>
      </c>
      <c r="C164" s="328" t="s">
        <v>507</v>
      </c>
      <c r="D164" s="328">
        <v>580108611</v>
      </c>
      <c r="E164" s="328">
        <v>40303431</v>
      </c>
      <c r="F164" s="328" t="s">
        <v>701</v>
      </c>
      <c r="G164" s="328">
        <v>2025</v>
      </c>
      <c r="H164" s="329">
        <v>275000</v>
      </c>
      <c r="I164" s="329">
        <v>0</v>
      </c>
      <c r="J164" s="328" t="s">
        <v>509</v>
      </c>
      <c r="K164" s="328" t="s">
        <v>510</v>
      </c>
    </row>
    <row r="165" spans="1:11" s="326" customFormat="1" ht="15" hidden="1" x14ac:dyDescent="0.25">
      <c r="A165" s="327">
        <v>1001915397</v>
      </c>
      <c r="B165" s="328" t="s">
        <v>541</v>
      </c>
      <c r="C165" s="328" t="s">
        <v>507</v>
      </c>
      <c r="D165" s="328">
        <v>580412278</v>
      </c>
      <c r="E165" s="328">
        <v>40375459</v>
      </c>
      <c r="F165" s="328" t="s">
        <v>702</v>
      </c>
      <c r="G165" s="328">
        <v>2025</v>
      </c>
      <c r="H165" s="329">
        <v>200000</v>
      </c>
      <c r="I165" s="329">
        <v>0</v>
      </c>
      <c r="J165" s="328" t="s">
        <v>509</v>
      </c>
      <c r="K165" s="328" t="s">
        <v>510</v>
      </c>
    </row>
    <row r="166" spans="1:11" s="326" customFormat="1" ht="15" hidden="1" x14ac:dyDescent="0.25">
      <c r="A166" s="327">
        <v>1001916140</v>
      </c>
      <c r="B166" s="328" t="s">
        <v>572</v>
      </c>
      <c r="C166" s="328" t="s">
        <v>507</v>
      </c>
      <c r="D166" s="328">
        <v>580575108</v>
      </c>
      <c r="E166" s="328">
        <v>42821770</v>
      </c>
      <c r="F166" s="328" t="s">
        <v>703</v>
      </c>
      <c r="G166" s="328">
        <v>2025</v>
      </c>
      <c r="H166" s="329">
        <v>1000000</v>
      </c>
      <c r="I166" s="329">
        <v>0</v>
      </c>
      <c r="J166" s="328" t="s">
        <v>509</v>
      </c>
      <c r="K166" s="328" t="s">
        <v>510</v>
      </c>
    </row>
    <row r="167" spans="1:11" s="326" customFormat="1" ht="15" hidden="1" x14ac:dyDescent="0.25">
      <c r="A167" s="327">
        <v>1001916147</v>
      </c>
      <c r="B167" s="328" t="s">
        <v>704</v>
      </c>
      <c r="C167" s="328" t="s">
        <v>516</v>
      </c>
      <c r="D167" s="328">
        <v>580000768</v>
      </c>
      <c r="E167" s="328">
        <v>40011305</v>
      </c>
      <c r="F167" s="328" t="s">
        <v>705</v>
      </c>
      <c r="G167" s="328">
        <v>2025</v>
      </c>
      <c r="H167" s="329">
        <v>350000</v>
      </c>
      <c r="I167" s="329">
        <v>0</v>
      </c>
      <c r="J167" s="328" t="s">
        <v>509</v>
      </c>
      <c r="K167" s="328" t="s">
        <v>510</v>
      </c>
    </row>
    <row r="168" spans="1:11" s="326" customFormat="1" ht="15" hidden="1" x14ac:dyDescent="0.25">
      <c r="A168" s="327">
        <v>1001916260</v>
      </c>
      <c r="B168" s="328" t="s">
        <v>706</v>
      </c>
      <c r="C168" s="328" t="s">
        <v>507</v>
      </c>
      <c r="D168" s="328">
        <v>580024560</v>
      </c>
      <c r="E168" s="328">
        <v>40216019</v>
      </c>
      <c r="F168" s="328" t="s">
        <v>707</v>
      </c>
      <c r="G168" s="328">
        <v>2025</v>
      </c>
      <c r="H168" s="329">
        <v>500000</v>
      </c>
      <c r="I168" s="329">
        <v>0</v>
      </c>
      <c r="J168" s="328" t="s">
        <v>509</v>
      </c>
      <c r="K168" s="328" t="s">
        <v>510</v>
      </c>
    </row>
    <row r="169" spans="1:11" s="326" customFormat="1" ht="15" hidden="1" x14ac:dyDescent="0.25">
      <c r="A169" s="327">
        <v>1001916263</v>
      </c>
      <c r="B169" s="328" t="s">
        <v>708</v>
      </c>
      <c r="C169" s="328" t="s">
        <v>507</v>
      </c>
      <c r="D169" s="328">
        <v>580213973</v>
      </c>
      <c r="E169" s="328">
        <v>40394900</v>
      </c>
      <c r="F169" s="328" t="s">
        <v>709</v>
      </c>
      <c r="G169" s="328">
        <v>2025</v>
      </c>
      <c r="H169" s="329">
        <v>1000000</v>
      </c>
      <c r="I169" s="329">
        <v>0</v>
      </c>
      <c r="J169" s="328" t="s">
        <v>509</v>
      </c>
      <c r="K169" s="328" t="s">
        <v>510</v>
      </c>
    </row>
    <row r="170" spans="1:11" s="326" customFormat="1" ht="15" hidden="1" x14ac:dyDescent="0.25">
      <c r="A170" s="327">
        <v>1001916324</v>
      </c>
      <c r="B170" s="328" t="s">
        <v>710</v>
      </c>
      <c r="C170" s="328" t="s">
        <v>507</v>
      </c>
      <c r="D170" s="328">
        <v>580548808</v>
      </c>
      <c r="E170" s="328">
        <v>41482605</v>
      </c>
      <c r="F170" s="328" t="s">
        <v>711</v>
      </c>
      <c r="G170" s="328">
        <v>2025</v>
      </c>
      <c r="H170" s="329">
        <v>350000</v>
      </c>
      <c r="I170" s="329">
        <v>0</v>
      </c>
      <c r="J170" s="328" t="s">
        <v>509</v>
      </c>
      <c r="K170" s="328" t="s">
        <v>510</v>
      </c>
    </row>
    <row r="171" spans="1:11" s="326" customFormat="1" ht="15" hidden="1" x14ac:dyDescent="0.25">
      <c r="A171" s="327">
        <v>1001916456</v>
      </c>
      <c r="B171" s="328" t="s">
        <v>712</v>
      </c>
      <c r="C171" s="328" t="s">
        <v>516</v>
      </c>
      <c r="D171" s="328">
        <v>580496255</v>
      </c>
      <c r="E171" s="328">
        <v>41500049</v>
      </c>
      <c r="F171" s="328" t="s">
        <v>713</v>
      </c>
      <c r="G171" s="328">
        <v>2025</v>
      </c>
      <c r="H171" s="329">
        <v>400000</v>
      </c>
      <c r="I171" s="329">
        <v>0</v>
      </c>
      <c r="J171" s="328" t="s">
        <v>509</v>
      </c>
      <c r="K171" s="328" t="s">
        <v>510</v>
      </c>
    </row>
    <row r="172" spans="1:11" s="326" customFormat="1" ht="15" hidden="1" x14ac:dyDescent="0.25">
      <c r="A172" s="327">
        <v>1001916559</v>
      </c>
      <c r="B172" s="328" t="s">
        <v>714</v>
      </c>
      <c r="C172" s="328" t="s">
        <v>516</v>
      </c>
      <c r="D172" s="328">
        <v>580051209</v>
      </c>
      <c r="E172" s="328">
        <v>40350559</v>
      </c>
      <c r="F172" s="328" t="s">
        <v>715</v>
      </c>
      <c r="G172" s="328">
        <v>2025</v>
      </c>
      <c r="H172" s="329">
        <v>550000</v>
      </c>
      <c r="I172" s="329">
        <v>0</v>
      </c>
      <c r="J172" s="328" t="s">
        <v>509</v>
      </c>
      <c r="K172" s="328" t="s">
        <v>510</v>
      </c>
    </row>
    <row r="173" spans="1:11" s="326" customFormat="1" ht="15" hidden="1" x14ac:dyDescent="0.25">
      <c r="A173" s="327">
        <v>1001916617</v>
      </c>
      <c r="B173" s="328" t="s">
        <v>716</v>
      </c>
      <c r="C173" s="328" t="s">
        <v>507</v>
      </c>
      <c r="D173" s="328">
        <v>580070035</v>
      </c>
      <c r="E173" s="328">
        <v>40143373</v>
      </c>
      <c r="F173" s="328" t="s">
        <v>717</v>
      </c>
      <c r="G173" s="328">
        <v>2025</v>
      </c>
      <c r="H173" s="329">
        <v>600000</v>
      </c>
      <c r="I173" s="329">
        <v>0</v>
      </c>
      <c r="J173" s="328" t="s">
        <v>509</v>
      </c>
      <c r="K173" s="328" t="s">
        <v>510</v>
      </c>
    </row>
    <row r="174" spans="1:11" s="326" customFormat="1" ht="15" hidden="1" x14ac:dyDescent="0.25">
      <c r="A174" s="327">
        <v>1001916618</v>
      </c>
      <c r="B174" s="328" t="s">
        <v>716</v>
      </c>
      <c r="C174" s="328" t="s">
        <v>794</v>
      </c>
      <c r="D174" s="328">
        <v>580070035</v>
      </c>
      <c r="E174" s="328">
        <v>40143373</v>
      </c>
      <c r="F174" s="328" t="s">
        <v>717</v>
      </c>
      <c r="G174" s="328">
        <v>2025</v>
      </c>
      <c r="H174" s="329">
        <v>750000</v>
      </c>
      <c r="I174" s="329">
        <v>0</v>
      </c>
      <c r="J174" s="328" t="s">
        <v>509</v>
      </c>
      <c r="K174" s="328" t="s">
        <v>510</v>
      </c>
    </row>
    <row r="175" spans="1:11" s="326" customFormat="1" ht="15" hidden="1" x14ac:dyDescent="0.25">
      <c r="A175" s="327">
        <v>1001916628</v>
      </c>
      <c r="B175" s="328" t="s">
        <v>648</v>
      </c>
      <c r="C175" s="328" t="s">
        <v>507</v>
      </c>
      <c r="D175" s="328">
        <v>580004059</v>
      </c>
      <c r="E175" s="328">
        <v>40016849</v>
      </c>
      <c r="F175" s="328" t="s">
        <v>718</v>
      </c>
      <c r="G175" s="328">
        <v>2025</v>
      </c>
      <c r="H175" s="329">
        <v>600000</v>
      </c>
      <c r="I175" s="329">
        <v>0</v>
      </c>
      <c r="J175" s="328" t="s">
        <v>509</v>
      </c>
      <c r="K175" s="328" t="s">
        <v>510</v>
      </c>
    </row>
    <row r="176" spans="1:11" s="326" customFormat="1" ht="15" hidden="1" x14ac:dyDescent="0.25">
      <c r="A176" s="327">
        <v>1001916808</v>
      </c>
      <c r="B176" s="328" t="s">
        <v>591</v>
      </c>
      <c r="C176" s="328" t="s">
        <v>794</v>
      </c>
      <c r="D176" s="328">
        <v>580671675</v>
      </c>
      <c r="E176" s="328">
        <v>42824243</v>
      </c>
      <c r="F176" s="328" t="s">
        <v>726</v>
      </c>
      <c r="G176" s="328">
        <v>2025</v>
      </c>
      <c r="H176" s="329">
        <v>1500000</v>
      </c>
      <c r="I176" s="329">
        <v>0</v>
      </c>
      <c r="J176" s="328" t="s">
        <v>509</v>
      </c>
      <c r="K176" s="328" t="s">
        <v>510</v>
      </c>
    </row>
    <row r="177" spans="1:11" s="326" customFormat="1" ht="15" hidden="1" x14ac:dyDescent="0.25">
      <c r="A177" s="327">
        <v>1001916809</v>
      </c>
      <c r="B177" s="328" t="s">
        <v>591</v>
      </c>
      <c r="C177" s="328" t="s">
        <v>794</v>
      </c>
      <c r="D177" s="328">
        <v>580671675</v>
      </c>
      <c r="E177" s="328">
        <v>42824243</v>
      </c>
      <c r="F177" s="328" t="s">
        <v>726</v>
      </c>
      <c r="G177" s="328">
        <v>2025</v>
      </c>
      <c r="H177" s="329">
        <v>1500000</v>
      </c>
      <c r="I177" s="329">
        <v>0</v>
      </c>
      <c r="J177" s="328" t="s">
        <v>509</v>
      </c>
      <c r="K177" s="328" t="s">
        <v>510</v>
      </c>
    </row>
    <row r="178" spans="1:11" s="326" customFormat="1" ht="15" hidden="1" x14ac:dyDescent="0.25">
      <c r="A178" s="327">
        <v>1001916843</v>
      </c>
      <c r="B178" s="328" t="s">
        <v>719</v>
      </c>
      <c r="C178" s="328" t="s">
        <v>507</v>
      </c>
      <c r="D178" s="328">
        <v>580009546</v>
      </c>
      <c r="E178" s="328">
        <v>40215992</v>
      </c>
      <c r="F178" s="328" t="s">
        <v>720</v>
      </c>
      <c r="G178" s="328">
        <v>2025</v>
      </c>
      <c r="H178" s="329">
        <v>1100000</v>
      </c>
      <c r="I178" s="329">
        <v>0</v>
      </c>
      <c r="J178" s="328" t="s">
        <v>509</v>
      </c>
      <c r="K178" s="328" t="s">
        <v>510</v>
      </c>
    </row>
    <row r="179" spans="1:11" s="326" customFormat="1" ht="15" hidden="1" x14ac:dyDescent="0.25">
      <c r="A179" s="327">
        <v>1001916929</v>
      </c>
      <c r="B179" s="328" t="s">
        <v>722</v>
      </c>
      <c r="C179" s="328" t="s">
        <v>794</v>
      </c>
      <c r="D179" s="328">
        <v>580268563</v>
      </c>
      <c r="E179" s="328">
        <v>40127702</v>
      </c>
      <c r="F179" s="328" t="s">
        <v>723</v>
      </c>
      <c r="G179" s="328">
        <v>2025</v>
      </c>
      <c r="H179" s="329">
        <v>600000</v>
      </c>
      <c r="I179" s="329">
        <v>0</v>
      </c>
      <c r="J179" s="328" t="s">
        <v>509</v>
      </c>
      <c r="K179" s="328" t="s">
        <v>510</v>
      </c>
    </row>
    <row r="180" spans="1:11" s="326" customFormat="1" ht="15" hidden="1" x14ac:dyDescent="0.25">
      <c r="A180" s="327">
        <v>1001916941</v>
      </c>
      <c r="B180" s="328" t="s">
        <v>572</v>
      </c>
      <c r="C180" s="328" t="s">
        <v>507</v>
      </c>
      <c r="D180" s="328">
        <v>580271856</v>
      </c>
      <c r="E180" s="328">
        <v>40370657</v>
      </c>
      <c r="F180" s="328" t="s">
        <v>721</v>
      </c>
      <c r="G180" s="328">
        <v>2025</v>
      </c>
      <c r="H180" s="329">
        <v>650000</v>
      </c>
      <c r="I180" s="329">
        <v>0</v>
      </c>
      <c r="J180" s="328" t="s">
        <v>509</v>
      </c>
      <c r="K180" s="328" t="s">
        <v>510</v>
      </c>
    </row>
    <row r="181" spans="1:11" s="326" customFormat="1" ht="15" hidden="1" x14ac:dyDescent="0.25">
      <c r="A181" s="327">
        <v>1001916960</v>
      </c>
      <c r="B181" s="328" t="s">
        <v>722</v>
      </c>
      <c r="C181" s="328" t="s">
        <v>507</v>
      </c>
      <c r="D181" s="328">
        <v>580268563</v>
      </c>
      <c r="E181" s="328">
        <v>40127702</v>
      </c>
      <c r="F181" s="328" t="s">
        <v>723</v>
      </c>
      <c r="G181" s="328">
        <v>2025</v>
      </c>
      <c r="H181" s="329">
        <v>600000</v>
      </c>
      <c r="I181" s="329">
        <v>0</v>
      </c>
      <c r="J181" s="328" t="s">
        <v>509</v>
      </c>
      <c r="K181" s="328" t="s">
        <v>510</v>
      </c>
    </row>
    <row r="182" spans="1:11" s="326" customFormat="1" ht="15" hidden="1" x14ac:dyDescent="0.25">
      <c r="A182" s="327">
        <v>1001916968</v>
      </c>
      <c r="B182" s="328" t="s">
        <v>788</v>
      </c>
      <c r="C182" s="328" t="s">
        <v>794</v>
      </c>
      <c r="D182" s="328">
        <v>580671675</v>
      </c>
      <c r="E182" s="328">
        <v>42824243</v>
      </c>
      <c r="F182" s="328" t="s">
        <v>726</v>
      </c>
      <c r="G182" s="328">
        <v>2025</v>
      </c>
      <c r="H182" s="329">
        <v>1500000</v>
      </c>
      <c r="I182" s="329">
        <v>0</v>
      </c>
      <c r="J182" s="328" t="s">
        <v>509</v>
      </c>
      <c r="K182" s="328" t="s">
        <v>510</v>
      </c>
    </row>
    <row r="183" spans="1:11" s="326" customFormat="1" ht="15" hidden="1" x14ac:dyDescent="0.25">
      <c r="A183" s="327">
        <v>1001916996</v>
      </c>
      <c r="B183" s="328" t="s">
        <v>572</v>
      </c>
      <c r="C183" s="328" t="s">
        <v>516</v>
      </c>
      <c r="D183" s="328">
        <v>580624120</v>
      </c>
      <c r="E183" s="328">
        <v>41905038</v>
      </c>
      <c r="F183" s="328" t="s">
        <v>724</v>
      </c>
      <c r="G183" s="328">
        <v>2025</v>
      </c>
      <c r="H183" s="329">
        <v>270000</v>
      </c>
      <c r="I183" s="329">
        <v>0</v>
      </c>
      <c r="J183" s="328" t="s">
        <v>509</v>
      </c>
      <c r="K183" s="328" t="s">
        <v>510</v>
      </c>
    </row>
    <row r="184" spans="1:11" s="326" customFormat="1" ht="15" hidden="1" x14ac:dyDescent="0.25">
      <c r="A184" s="327">
        <v>1001916997</v>
      </c>
      <c r="B184" s="328" t="s">
        <v>572</v>
      </c>
      <c r="C184" s="328" t="s">
        <v>516</v>
      </c>
      <c r="D184" s="328">
        <v>580585479</v>
      </c>
      <c r="E184" s="328">
        <v>41589467</v>
      </c>
      <c r="F184" s="328" t="s">
        <v>725</v>
      </c>
      <c r="G184" s="328">
        <v>2025</v>
      </c>
      <c r="H184" s="329">
        <v>800000</v>
      </c>
      <c r="I184" s="329">
        <v>0</v>
      </c>
      <c r="J184" s="328" t="s">
        <v>509</v>
      </c>
      <c r="K184" s="328" t="s">
        <v>510</v>
      </c>
    </row>
    <row r="185" spans="1:11" s="326" customFormat="1" ht="15" hidden="1" x14ac:dyDescent="0.25">
      <c r="A185" s="327">
        <v>1001916998</v>
      </c>
      <c r="B185" s="328" t="s">
        <v>591</v>
      </c>
      <c r="C185" s="328" t="s">
        <v>516</v>
      </c>
      <c r="D185" s="328">
        <v>580671675</v>
      </c>
      <c r="E185" s="328">
        <v>42824243</v>
      </c>
      <c r="F185" s="328" t="s">
        <v>726</v>
      </c>
      <c r="G185" s="328">
        <v>2025</v>
      </c>
      <c r="H185" s="329">
        <v>1500000</v>
      </c>
      <c r="I185" s="329">
        <v>0</v>
      </c>
      <c r="J185" s="328" t="s">
        <v>509</v>
      </c>
      <c r="K185" s="328" t="s">
        <v>510</v>
      </c>
    </row>
    <row r="186" spans="1:11" s="326" customFormat="1" ht="15" hidden="1" x14ac:dyDescent="0.25">
      <c r="A186" s="327">
        <v>1001917036</v>
      </c>
      <c r="B186" s="328" t="s">
        <v>591</v>
      </c>
      <c r="C186" s="328" t="s">
        <v>794</v>
      </c>
      <c r="D186" s="328">
        <v>580671675</v>
      </c>
      <c r="E186" s="328">
        <v>42824243</v>
      </c>
      <c r="F186" s="328" t="s">
        <v>726</v>
      </c>
      <c r="G186" s="328">
        <v>2025</v>
      </c>
      <c r="H186" s="329">
        <v>1500000</v>
      </c>
      <c r="I186" s="329">
        <v>0</v>
      </c>
      <c r="J186" s="328" t="s">
        <v>509</v>
      </c>
      <c r="K186" s="328" t="s">
        <v>510</v>
      </c>
    </row>
    <row r="187" spans="1:11" s="326" customFormat="1" ht="15" hidden="1" x14ac:dyDescent="0.25">
      <c r="A187" s="327">
        <v>1001919567</v>
      </c>
      <c r="B187" s="328" t="s">
        <v>727</v>
      </c>
      <c r="C187" s="328" t="s">
        <v>516</v>
      </c>
      <c r="D187" s="328">
        <v>580484830</v>
      </c>
      <c r="E187" s="328">
        <v>42914293</v>
      </c>
      <c r="F187" s="328" t="s">
        <v>728</v>
      </c>
      <c r="G187" s="328">
        <v>2025</v>
      </c>
      <c r="H187" s="329">
        <v>631468</v>
      </c>
      <c r="I187" s="329">
        <v>0</v>
      </c>
      <c r="J187" s="328" t="s">
        <v>509</v>
      </c>
      <c r="K187" s="328" t="s">
        <v>510</v>
      </c>
    </row>
    <row r="188" spans="1:11" s="326" customFormat="1" ht="15" hidden="1" x14ac:dyDescent="0.25">
      <c r="A188" s="327">
        <v>1001933152</v>
      </c>
      <c r="B188" s="328" t="s">
        <v>748</v>
      </c>
      <c r="C188" s="328" t="s">
        <v>794</v>
      </c>
      <c r="D188" s="328">
        <v>580065159</v>
      </c>
      <c r="E188" s="328">
        <v>40016889</v>
      </c>
      <c r="F188" s="328" t="s">
        <v>668</v>
      </c>
      <c r="G188" s="328">
        <v>2025</v>
      </c>
      <c r="H188" s="329">
        <v>1000000</v>
      </c>
      <c r="I188" s="329">
        <v>0</v>
      </c>
      <c r="J188" s="328" t="s">
        <v>509</v>
      </c>
      <c r="K188" s="328" t="s">
        <v>510</v>
      </c>
    </row>
    <row r="189" spans="1:11" s="326" customFormat="1" ht="15" hidden="1" x14ac:dyDescent="0.25">
      <c r="A189" s="327">
        <v>1001933178</v>
      </c>
      <c r="B189" s="328" t="s">
        <v>789</v>
      </c>
      <c r="C189" s="328" t="s">
        <v>516</v>
      </c>
      <c r="D189" s="328">
        <v>580542637</v>
      </c>
      <c r="E189" s="328">
        <v>41493956</v>
      </c>
      <c r="F189" s="328" t="s">
        <v>775</v>
      </c>
      <c r="G189" s="328">
        <v>2025</v>
      </c>
      <c r="H189" s="329">
        <v>2700000</v>
      </c>
      <c r="I189" s="329">
        <v>0</v>
      </c>
      <c r="J189" s="328" t="s">
        <v>509</v>
      </c>
      <c r="K189" s="328" t="s">
        <v>510</v>
      </c>
    </row>
    <row r="190" spans="1:11" s="326" customFormat="1" ht="15" hidden="1" x14ac:dyDescent="0.25">
      <c r="A190" s="327">
        <v>1001933290</v>
      </c>
      <c r="B190" s="328" t="s">
        <v>790</v>
      </c>
      <c r="C190" s="328" t="s">
        <v>516</v>
      </c>
      <c r="D190" s="328">
        <v>580222552</v>
      </c>
      <c r="E190" s="328">
        <v>40000574</v>
      </c>
      <c r="F190" s="328" t="s">
        <v>765</v>
      </c>
      <c r="G190" s="328">
        <v>2025</v>
      </c>
      <c r="H190" s="329">
        <v>700000</v>
      </c>
      <c r="I190" s="329">
        <v>0</v>
      </c>
      <c r="J190" s="328" t="s">
        <v>509</v>
      </c>
      <c r="K190" s="328" t="s">
        <v>510</v>
      </c>
    </row>
    <row r="191" spans="1:11" s="326" customFormat="1" ht="15" hidden="1" x14ac:dyDescent="0.25">
      <c r="A191" s="327">
        <v>1001933416</v>
      </c>
      <c r="B191" s="328" t="s">
        <v>791</v>
      </c>
      <c r="C191" s="328" t="s">
        <v>516</v>
      </c>
      <c r="D191" s="328">
        <v>580180883</v>
      </c>
      <c r="E191" s="328">
        <v>40155709</v>
      </c>
      <c r="F191" s="328" t="s">
        <v>803</v>
      </c>
      <c r="G191" s="328">
        <v>2025</v>
      </c>
      <c r="H191" s="329">
        <v>100000</v>
      </c>
      <c r="I191" s="329">
        <v>0</v>
      </c>
      <c r="J191" s="328" t="s">
        <v>509</v>
      </c>
      <c r="K191" s="328" t="s">
        <v>510</v>
      </c>
    </row>
    <row r="192" spans="1:11" s="326" customFormat="1" ht="15" hidden="1" x14ac:dyDescent="0.25">
      <c r="A192" s="327">
        <v>1001933417</v>
      </c>
      <c r="B192" s="328" t="s">
        <v>791</v>
      </c>
      <c r="C192" s="328" t="s">
        <v>516</v>
      </c>
      <c r="D192" s="328">
        <v>580180883</v>
      </c>
      <c r="E192" s="328">
        <v>40155709</v>
      </c>
      <c r="F192" s="328" t="s">
        <v>803</v>
      </c>
      <c r="G192" s="328">
        <v>2025</v>
      </c>
      <c r="H192" s="329">
        <v>100000</v>
      </c>
      <c r="I192" s="329">
        <v>0</v>
      </c>
      <c r="J192" s="328" t="s">
        <v>509</v>
      </c>
      <c r="K192" s="328" t="s">
        <v>510</v>
      </c>
    </row>
    <row r="193" spans="1:11" s="326" customFormat="1" ht="15" hidden="1" x14ac:dyDescent="0.25">
      <c r="A193" s="327">
        <v>1001934133</v>
      </c>
      <c r="B193" s="328" t="s">
        <v>792</v>
      </c>
      <c r="C193" s="328" t="s">
        <v>516</v>
      </c>
      <c r="D193" s="328">
        <v>510833924</v>
      </c>
      <c r="E193" s="328">
        <v>40000030</v>
      </c>
      <c r="F193" s="328" t="s">
        <v>804</v>
      </c>
      <c r="G193" s="328">
        <v>2025</v>
      </c>
      <c r="H193" s="329">
        <v>200000</v>
      </c>
      <c r="I193" s="329">
        <v>0</v>
      </c>
      <c r="J193" s="328" t="s">
        <v>509</v>
      </c>
      <c r="K193" s="328" t="s">
        <v>510</v>
      </c>
    </row>
    <row r="194" spans="1:11" ht="15" x14ac:dyDescent="0.25">
      <c r="A194" s="645">
        <v>1001780695</v>
      </c>
      <c r="B194" s="643" t="s">
        <v>541</v>
      </c>
      <c r="C194" s="643"/>
      <c r="D194" s="643">
        <v>580567212</v>
      </c>
      <c r="E194" s="643">
        <v>41482887</v>
      </c>
      <c r="F194" s="643" t="s">
        <v>772</v>
      </c>
      <c r="G194" s="643">
        <v>2024</v>
      </c>
      <c r="H194" s="646"/>
      <c r="I194" s="646">
        <v>140000</v>
      </c>
      <c r="J194" s="643"/>
      <c r="K194" s="643"/>
    </row>
    <row r="195" spans="1:11" ht="15" x14ac:dyDescent="0.25">
      <c r="A195" s="645"/>
      <c r="B195" s="643"/>
      <c r="C195" s="643"/>
      <c r="D195" s="643"/>
      <c r="E195" s="643"/>
      <c r="F195" s="643"/>
      <c r="G195" s="643"/>
      <c r="H195" s="646"/>
      <c r="I195" s="646"/>
      <c r="J195" s="643"/>
      <c r="K195" s="643"/>
    </row>
    <row r="196" spans="1:11" ht="15" x14ac:dyDescent="0.25">
      <c r="A196" s="645"/>
      <c r="B196" s="643"/>
      <c r="C196" s="643"/>
      <c r="D196" s="643"/>
      <c r="E196" s="643"/>
      <c r="F196" s="643"/>
      <c r="G196" s="643"/>
      <c r="H196" s="646"/>
      <c r="I196" s="646"/>
      <c r="J196" s="643"/>
      <c r="K196" s="643"/>
    </row>
    <row r="197" spans="1:11" ht="15" x14ac:dyDescent="0.25">
      <c r="A197" s="645"/>
      <c r="B197" s="643"/>
      <c r="C197" s="643"/>
      <c r="D197" s="643"/>
      <c r="E197" s="643"/>
      <c r="F197" s="643"/>
      <c r="G197" s="643"/>
      <c r="H197" s="646"/>
      <c r="I197" s="646"/>
      <c r="J197" s="643"/>
      <c r="K197" s="643"/>
    </row>
    <row r="198" spans="1:11" ht="15" x14ac:dyDescent="0.25">
      <c r="A198" s="645"/>
      <c r="B198" s="643"/>
      <c r="C198" s="643"/>
      <c r="D198" s="643"/>
      <c r="E198" s="643"/>
      <c r="F198" s="643"/>
      <c r="G198" s="643"/>
      <c r="H198" s="646"/>
      <c r="I198" s="646"/>
      <c r="J198" s="643"/>
      <c r="K198" s="643"/>
    </row>
    <row r="199" spans="1:11" ht="15" x14ac:dyDescent="0.25">
      <c r="A199" s="645"/>
      <c r="B199" s="643"/>
      <c r="C199" s="643"/>
      <c r="D199" s="643"/>
      <c r="E199" s="643"/>
      <c r="F199" s="643"/>
      <c r="G199" s="643"/>
      <c r="H199" s="646"/>
      <c r="I199" s="646"/>
      <c r="J199" s="643"/>
      <c r="K199" s="643"/>
    </row>
    <row r="200" spans="1:11" ht="15" x14ac:dyDescent="0.25">
      <c r="A200" s="645"/>
      <c r="B200" s="643"/>
      <c r="C200" s="643"/>
      <c r="D200" s="643"/>
      <c r="E200" s="643"/>
      <c r="F200" s="643"/>
      <c r="G200" s="643"/>
      <c r="H200" s="646"/>
      <c r="I200" s="646"/>
      <c r="J200" s="643"/>
      <c r="K200" s="643"/>
    </row>
    <row r="201" spans="1:11" ht="15" x14ac:dyDescent="0.25">
      <c r="A201" s="645"/>
      <c r="B201" s="643"/>
      <c r="C201" s="643"/>
      <c r="D201" s="643"/>
      <c r="E201" s="643"/>
      <c r="F201" s="643"/>
      <c r="G201" s="643"/>
      <c r="H201" s="646"/>
      <c r="I201" s="646"/>
      <c r="J201" s="643"/>
      <c r="K201" s="643"/>
    </row>
    <row r="202" spans="1:11" ht="15" x14ac:dyDescent="0.25">
      <c r="A202" s="645"/>
      <c r="B202" s="643"/>
      <c r="C202" s="643"/>
      <c r="D202" s="643"/>
      <c r="E202" s="643"/>
      <c r="F202" s="643"/>
      <c r="G202" s="643"/>
      <c r="H202" s="646"/>
      <c r="I202" s="646"/>
      <c r="J202" s="643"/>
      <c r="K202" s="643"/>
    </row>
    <row r="203" spans="1:11" ht="15" x14ac:dyDescent="0.25">
      <c r="A203" s="645"/>
      <c r="B203" s="643"/>
      <c r="C203" s="643"/>
      <c r="D203" s="643"/>
      <c r="E203" s="643"/>
      <c r="F203" s="643"/>
      <c r="G203" s="643"/>
      <c r="H203" s="646"/>
      <c r="I203" s="646"/>
      <c r="J203" s="643"/>
      <c r="K203" s="643"/>
    </row>
    <row r="204" spans="1:11" ht="15" x14ac:dyDescent="0.25">
      <c r="A204" s="645"/>
      <c r="B204" s="643"/>
      <c r="C204" s="643"/>
      <c r="D204" s="643"/>
      <c r="E204" s="643"/>
      <c r="F204" s="643"/>
      <c r="G204" s="643"/>
      <c r="H204" s="646"/>
      <c r="I204" s="646"/>
      <c r="J204" s="643"/>
      <c r="K204" s="643"/>
    </row>
    <row r="205" spans="1:11" ht="15" x14ac:dyDescent="0.25">
      <c r="A205" s="645"/>
      <c r="B205" s="643"/>
      <c r="C205" s="643"/>
      <c r="D205" s="643"/>
      <c r="E205" s="643"/>
      <c r="F205" s="643"/>
      <c r="G205" s="643"/>
      <c r="H205" s="646"/>
      <c r="I205" s="646"/>
      <c r="J205" s="643"/>
      <c r="K205" s="643"/>
    </row>
    <row r="206" spans="1:11" ht="15" x14ac:dyDescent="0.25">
      <c r="A206" s="645"/>
      <c r="B206" s="643"/>
      <c r="C206" s="643"/>
      <c r="D206" s="643"/>
      <c r="E206" s="643"/>
      <c r="F206" s="643"/>
      <c r="G206" s="643"/>
      <c r="H206" s="646"/>
      <c r="I206" s="646"/>
      <c r="J206" s="643"/>
      <c r="K206" s="643"/>
    </row>
    <row r="207" spans="1:11" ht="15" x14ac:dyDescent="0.25">
      <c r="A207" s="645"/>
      <c r="B207" s="643"/>
      <c r="C207" s="643"/>
      <c r="D207" s="643"/>
      <c r="E207" s="643"/>
      <c r="F207" s="643"/>
      <c r="G207" s="643"/>
      <c r="H207" s="646"/>
      <c r="I207" s="646"/>
      <c r="J207" s="643"/>
      <c r="K207" s="643"/>
    </row>
    <row r="208" spans="1:11" ht="15" x14ac:dyDescent="0.25">
      <c r="A208" s="645"/>
      <c r="B208" s="643"/>
      <c r="C208" s="643"/>
      <c r="D208" s="643"/>
      <c r="E208" s="643"/>
      <c r="F208" s="643"/>
      <c r="G208" s="643"/>
      <c r="H208" s="646"/>
      <c r="I208" s="646"/>
      <c r="J208" s="643"/>
      <c r="K208" s="643"/>
    </row>
    <row r="209" spans="1:11" ht="15" x14ac:dyDescent="0.25">
      <c r="A209" s="645"/>
      <c r="B209" s="643"/>
      <c r="C209" s="643"/>
      <c r="D209" s="643"/>
      <c r="E209" s="643"/>
      <c r="F209" s="643"/>
      <c r="G209" s="643"/>
      <c r="H209" s="646"/>
      <c r="I209" s="646"/>
      <c r="J209" s="643"/>
      <c r="K209" s="643"/>
    </row>
    <row r="210" spans="1:11" ht="15" x14ac:dyDescent="0.25">
      <c r="A210" s="645"/>
      <c r="B210" s="643"/>
      <c r="C210" s="643"/>
      <c r="D210" s="643"/>
      <c r="E210" s="643"/>
      <c r="F210" s="643"/>
      <c r="G210" s="643"/>
      <c r="H210" s="646"/>
      <c r="I210" s="646"/>
      <c r="J210" s="643"/>
      <c r="K210" s="643"/>
    </row>
    <row r="211" spans="1:11" ht="15" x14ac:dyDescent="0.25">
      <c r="A211" s="645"/>
      <c r="B211" s="643"/>
      <c r="C211" s="643"/>
      <c r="D211" s="643"/>
      <c r="E211" s="643"/>
      <c r="F211" s="643"/>
      <c r="G211" s="643"/>
      <c r="H211" s="646"/>
      <c r="I211" s="646"/>
      <c r="J211" s="643"/>
      <c r="K211" s="643"/>
    </row>
    <row r="212" spans="1:11" ht="15" x14ac:dyDescent="0.25">
      <c r="A212" s="645"/>
      <c r="B212" s="643"/>
      <c r="C212" s="643"/>
      <c r="D212" s="643"/>
      <c r="E212" s="643"/>
      <c r="F212" s="643"/>
      <c r="G212" s="643"/>
      <c r="H212" s="646"/>
      <c r="I212" s="646"/>
      <c r="J212" s="643"/>
      <c r="K212" s="643"/>
    </row>
    <row r="213" spans="1:11" ht="15" x14ac:dyDescent="0.25">
      <c r="A213" s="645"/>
      <c r="B213" s="643"/>
      <c r="C213" s="643"/>
      <c r="D213" s="643"/>
      <c r="E213" s="643"/>
      <c r="F213" s="643"/>
      <c r="G213" s="643"/>
      <c r="H213" s="646"/>
      <c r="I213" s="646"/>
      <c r="J213" s="643"/>
      <c r="K213" s="643"/>
    </row>
    <row r="214" spans="1:11" ht="15" x14ac:dyDescent="0.25">
      <c r="A214" s="645"/>
      <c r="B214" s="643"/>
      <c r="C214" s="643"/>
      <c r="D214" s="643"/>
      <c r="E214" s="643"/>
      <c r="F214" s="643"/>
      <c r="G214" s="643"/>
      <c r="H214" s="646"/>
      <c r="I214" s="646"/>
      <c r="J214" s="643"/>
      <c r="K214" s="643"/>
    </row>
    <row r="215" spans="1:11" ht="15" x14ac:dyDescent="0.25">
      <c r="A215" s="645"/>
      <c r="B215" s="643"/>
      <c r="C215" s="643"/>
      <c r="D215" s="643"/>
      <c r="E215" s="643"/>
      <c r="F215" s="643"/>
      <c r="G215" s="643"/>
      <c r="H215" s="646"/>
      <c r="I215" s="646"/>
      <c r="J215" s="643"/>
      <c r="K215" s="643"/>
    </row>
    <row r="216" spans="1:11" ht="15" x14ac:dyDescent="0.25">
      <c r="A216" s="645"/>
      <c r="B216" s="643"/>
      <c r="C216" s="643"/>
      <c r="D216" s="643"/>
      <c r="E216" s="643"/>
      <c r="F216" s="643"/>
      <c r="G216" s="643"/>
      <c r="H216" s="646"/>
      <c r="I216" s="646"/>
      <c r="J216" s="643"/>
      <c r="K216" s="643"/>
    </row>
    <row r="217" spans="1:11" ht="15" x14ac:dyDescent="0.25">
      <c r="A217" s="645"/>
      <c r="B217" s="643"/>
      <c r="C217" s="643"/>
      <c r="D217" s="643"/>
      <c r="E217" s="643"/>
      <c r="F217" s="643"/>
      <c r="G217" s="643"/>
      <c r="H217" s="646"/>
      <c r="I217" s="646"/>
      <c r="J217" s="643"/>
      <c r="K217" s="643"/>
    </row>
    <row r="218" spans="1:11" ht="15" x14ac:dyDescent="0.25">
      <c r="A218" s="645"/>
      <c r="B218" s="643"/>
      <c r="C218" s="643"/>
      <c r="D218" s="643"/>
      <c r="E218" s="643"/>
      <c r="F218" s="643"/>
      <c r="G218" s="643"/>
      <c r="H218" s="646"/>
      <c r="I218" s="646"/>
      <c r="J218" s="643"/>
      <c r="K218" s="643"/>
    </row>
    <row r="219" spans="1:11" ht="15" x14ac:dyDescent="0.25">
      <c r="A219" s="645"/>
      <c r="B219" s="643"/>
      <c r="C219" s="643"/>
      <c r="D219" s="643"/>
      <c r="E219" s="643"/>
      <c r="F219" s="643"/>
      <c r="G219" s="643"/>
      <c r="H219" s="646"/>
      <c r="I219" s="646"/>
      <c r="J219" s="643"/>
      <c r="K219" s="643"/>
    </row>
    <row r="220" spans="1:11" ht="15" x14ac:dyDescent="0.25">
      <c r="A220" s="645"/>
      <c r="B220" s="643"/>
      <c r="C220" s="643"/>
      <c r="D220" s="643"/>
      <c r="E220" s="643"/>
      <c r="F220" s="643"/>
      <c r="G220" s="643"/>
      <c r="H220" s="646"/>
      <c r="I220" s="646"/>
      <c r="J220" s="643"/>
      <c r="K220" s="643"/>
    </row>
    <row r="221" spans="1:11" ht="15" x14ac:dyDescent="0.25">
      <c r="A221" s="645"/>
      <c r="B221" s="643"/>
      <c r="C221" s="643"/>
      <c r="D221" s="643"/>
      <c r="E221" s="643"/>
      <c r="F221" s="643"/>
      <c r="G221" s="643"/>
      <c r="H221" s="646"/>
      <c r="I221" s="646"/>
      <c r="J221" s="643"/>
      <c r="K221" s="643"/>
    </row>
    <row r="222" spans="1:11" ht="15" x14ac:dyDescent="0.25">
      <c r="A222" s="645"/>
      <c r="B222" s="643"/>
      <c r="C222" s="643"/>
      <c r="D222" s="643"/>
      <c r="E222" s="643"/>
      <c r="F222" s="643"/>
      <c r="G222" s="643"/>
      <c r="H222" s="646"/>
      <c r="I222" s="646"/>
      <c r="J222" s="643"/>
      <c r="K222" s="643"/>
    </row>
    <row r="223" spans="1:11" ht="15" x14ac:dyDescent="0.25">
      <c r="A223" s="645"/>
      <c r="B223" s="643"/>
      <c r="C223" s="643"/>
      <c r="D223" s="643"/>
      <c r="E223" s="643"/>
      <c r="F223" s="643"/>
      <c r="G223" s="643"/>
      <c r="H223" s="646"/>
      <c r="I223" s="646"/>
      <c r="J223" s="643"/>
      <c r="K223" s="643"/>
    </row>
    <row r="224" spans="1:11" ht="15" x14ac:dyDescent="0.25">
      <c r="A224" s="645"/>
      <c r="B224" s="643"/>
      <c r="C224" s="643"/>
      <c r="D224" s="643"/>
      <c r="E224" s="643"/>
      <c r="F224" s="643"/>
      <c r="G224" s="643"/>
      <c r="H224" s="646"/>
      <c r="I224" s="646"/>
      <c r="J224" s="643"/>
      <c r="K224" s="643"/>
    </row>
    <row r="225" spans="1:11" ht="15" x14ac:dyDescent="0.25">
      <c r="A225" s="645"/>
      <c r="B225" s="643"/>
      <c r="C225" s="643"/>
      <c r="D225" s="643"/>
      <c r="E225" s="643"/>
      <c r="F225" s="643"/>
      <c r="G225" s="643"/>
      <c r="H225" s="646"/>
      <c r="I225" s="646"/>
      <c r="J225" s="643"/>
      <c r="K225" s="643"/>
    </row>
    <row r="226" spans="1:11" ht="15" x14ac:dyDescent="0.25">
      <c r="A226" s="645"/>
      <c r="B226" s="643"/>
      <c r="C226" s="643"/>
      <c r="D226" s="643"/>
      <c r="E226" s="643"/>
      <c r="F226" s="643"/>
      <c r="G226" s="643"/>
      <c r="H226" s="646"/>
      <c r="I226" s="646"/>
      <c r="J226" s="643"/>
      <c r="K226" s="643"/>
    </row>
    <row r="227" spans="1:11" ht="15" x14ac:dyDescent="0.25">
      <c r="A227" s="645"/>
      <c r="B227" s="643"/>
      <c r="C227" s="643"/>
      <c r="D227" s="643"/>
      <c r="E227" s="643"/>
      <c r="F227" s="643"/>
      <c r="G227" s="643"/>
      <c r="H227" s="646"/>
      <c r="I227" s="646"/>
      <c r="J227" s="643"/>
      <c r="K227" s="643"/>
    </row>
    <row r="228" spans="1:11" ht="15" x14ac:dyDescent="0.25">
      <c r="A228" s="645"/>
      <c r="B228" s="643"/>
      <c r="C228" s="643"/>
      <c r="D228" s="643"/>
      <c r="E228" s="643"/>
      <c r="F228" s="643"/>
      <c r="G228" s="643"/>
      <c r="H228" s="646"/>
      <c r="I228" s="646"/>
      <c r="J228" s="643"/>
      <c r="K228" s="643"/>
    </row>
    <row r="229" spans="1:11" ht="15" x14ac:dyDescent="0.25">
      <c r="A229" s="645"/>
      <c r="B229" s="643"/>
      <c r="C229" s="643"/>
      <c r="D229" s="643"/>
      <c r="E229" s="643"/>
      <c r="F229" s="643"/>
      <c r="G229" s="643"/>
      <c r="H229" s="646"/>
      <c r="I229" s="646"/>
      <c r="J229" s="643"/>
      <c r="K229" s="643"/>
    </row>
    <row r="230" spans="1:11" ht="15" x14ac:dyDescent="0.25">
      <c r="A230" s="645"/>
      <c r="B230" s="643"/>
      <c r="C230" s="643"/>
      <c r="D230" s="643"/>
      <c r="E230" s="643"/>
      <c r="F230" s="643"/>
      <c r="G230" s="643"/>
      <c r="H230" s="646"/>
      <c r="I230" s="646"/>
      <c r="J230" s="643"/>
      <c r="K230" s="643"/>
    </row>
    <row r="231" spans="1:11" ht="15" x14ac:dyDescent="0.25">
      <c r="A231" s="645"/>
      <c r="B231" s="643"/>
      <c r="C231" s="643"/>
      <c r="D231" s="643"/>
      <c r="E231" s="643"/>
      <c r="F231" s="643"/>
      <c r="G231" s="643"/>
      <c r="H231" s="646"/>
      <c r="I231" s="646"/>
      <c r="J231" s="643"/>
      <c r="K231" s="643"/>
    </row>
    <row r="232" spans="1:11" ht="15" x14ac:dyDescent="0.25">
      <c r="A232" s="645"/>
      <c r="B232" s="643"/>
      <c r="C232" s="643"/>
      <c r="D232" s="643"/>
      <c r="E232" s="643"/>
      <c r="F232" s="643"/>
      <c r="G232" s="643"/>
      <c r="H232" s="646"/>
      <c r="I232" s="646"/>
      <c r="J232" s="643"/>
      <c r="K232" s="643"/>
    </row>
    <row r="233" spans="1:11" ht="15" x14ac:dyDescent="0.25">
      <c r="A233" s="645"/>
      <c r="B233" s="643"/>
      <c r="C233" s="643"/>
      <c r="D233" s="643"/>
      <c r="E233" s="643"/>
      <c r="F233" s="643"/>
      <c r="G233" s="643"/>
      <c r="H233" s="646"/>
      <c r="I233" s="646"/>
      <c r="J233" s="643"/>
      <c r="K233" s="643"/>
    </row>
    <row r="234" spans="1:11" ht="15" x14ac:dyDescent="0.25">
      <c r="A234" s="645"/>
      <c r="B234" s="643"/>
      <c r="C234" s="643"/>
      <c r="D234" s="643"/>
      <c r="E234" s="643"/>
      <c r="F234" s="643"/>
      <c r="G234" s="643"/>
      <c r="H234" s="646"/>
      <c r="I234" s="646"/>
      <c r="J234" s="643"/>
      <c r="K234" s="643"/>
    </row>
    <row r="235" spans="1:11" ht="15" x14ac:dyDescent="0.25">
      <c r="A235" s="645"/>
      <c r="B235" s="643"/>
      <c r="C235" s="643"/>
      <c r="D235" s="647"/>
      <c r="E235" s="647"/>
      <c r="F235" s="647"/>
      <c r="G235" s="643"/>
      <c r="H235" s="646"/>
      <c r="I235" s="646"/>
      <c r="J235" s="643"/>
      <c r="K235" s="643"/>
    </row>
    <row r="236" spans="1:11" ht="15" x14ac:dyDescent="0.25">
      <c r="A236" s="645"/>
      <c r="B236" s="643"/>
      <c r="C236" s="643"/>
      <c r="D236" s="647"/>
      <c r="E236" s="647"/>
      <c r="F236" s="647"/>
      <c r="G236" s="643"/>
      <c r="H236" s="646"/>
      <c r="I236" s="646"/>
      <c r="J236" s="643"/>
      <c r="K236" s="643"/>
    </row>
    <row r="237" spans="1:11" ht="15" x14ac:dyDescent="0.25">
      <c r="A237" s="645"/>
      <c r="B237" s="643"/>
      <c r="C237" s="643"/>
      <c r="D237" s="647"/>
      <c r="E237" s="647"/>
      <c r="F237" s="647"/>
      <c r="G237" s="643"/>
      <c r="H237" s="646"/>
      <c r="I237" s="646"/>
      <c r="J237" s="643"/>
      <c r="K237" s="643"/>
    </row>
    <row r="238" spans="1:11" ht="15" x14ac:dyDescent="0.25">
      <c r="A238" s="645"/>
      <c r="B238" s="643"/>
      <c r="C238" s="643"/>
      <c r="D238" s="647"/>
      <c r="E238" s="647"/>
      <c r="F238" s="647"/>
      <c r="G238" s="643"/>
      <c r="H238" s="646"/>
      <c r="I238" s="646"/>
      <c r="J238" s="643"/>
      <c r="K238" s="643"/>
    </row>
    <row r="239" spans="1:11" ht="15" x14ac:dyDescent="0.25">
      <c r="A239" s="645"/>
      <c r="B239" s="643"/>
      <c r="C239" s="643"/>
      <c r="D239" s="647"/>
      <c r="E239" s="647"/>
      <c r="F239" s="647"/>
      <c r="G239" s="643"/>
      <c r="H239" s="646"/>
      <c r="I239" s="646"/>
      <c r="J239" s="643"/>
      <c r="K239" s="643"/>
    </row>
    <row r="240" spans="1:11" ht="15" x14ac:dyDescent="0.25">
      <c r="A240" s="645"/>
      <c r="B240" s="643"/>
      <c r="C240" s="643"/>
      <c r="D240" s="647"/>
      <c r="E240" s="647"/>
      <c r="F240" s="647"/>
      <c r="G240" s="643"/>
      <c r="H240" s="646"/>
      <c r="I240" s="646"/>
      <c r="J240" s="643"/>
      <c r="K240" s="643"/>
    </row>
    <row r="241" spans="1:11" ht="15" x14ac:dyDescent="0.25">
      <c r="A241" s="645"/>
      <c r="B241" s="643"/>
      <c r="C241" s="643"/>
      <c r="D241" s="647"/>
      <c r="E241" s="647"/>
      <c r="F241" s="647"/>
      <c r="G241" s="643"/>
      <c r="H241" s="646"/>
      <c r="I241" s="646"/>
      <c r="J241" s="643"/>
      <c r="K241" s="643"/>
    </row>
    <row r="242" spans="1:11" ht="15" x14ac:dyDescent="0.25">
      <c r="A242" s="645"/>
      <c r="B242" s="643"/>
      <c r="C242" s="643"/>
      <c r="D242" s="647"/>
      <c r="E242" s="647"/>
      <c r="F242" s="647"/>
      <c r="G242" s="643"/>
      <c r="H242" s="646"/>
      <c r="I242" s="646"/>
      <c r="J242" s="643"/>
      <c r="K242" s="643"/>
    </row>
    <row r="243" spans="1:11" ht="15" x14ac:dyDescent="0.25">
      <c r="A243" s="645"/>
      <c r="B243" s="643"/>
      <c r="C243" s="643"/>
      <c r="D243" s="647"/>
      <c r="E243" s="647"/>
      <c r="F243" s="647"/>
      <c r="G243" s="643"/>
      <c r="H243" s="646"/>
      <c r="I243" s="646"/>
      <c r="J243" s="643"/>
      <c r="K243" s="643"/>
    </row>
    <row r="244" spans="1:11" ht="15" x14ac:dyDescent="0.25">
      <c r="A244" s="645"/>
      <c r="B244" s="643"/>
      <c r="C244" s="643"/>
      <c r="D244" s="647"/>
      <c r="E244" s="647"/>
      <c r="F244" s="647"/>
      <c r="G244" s="643"/>
      <c r="H244" s="646"/>
      <c r="I244" s="646"/>
      <c r="J244" s="643"/>
      <c r="K244" s="643"/>
    </row>
    <row r="245" spans="1:11" ht="15" x14ac:dyDescent="0.25">
      <c r="A245" s="645"/>
      <c r="B245" s="643"/>
      <c r="C245" s="643"/>
      <c r="D245" s="647"/>
      <c r="E245" s="647"/>
      <c r="F245" s="647"/>
      <c r="G245" s="643"/>
      <c r="H245" s="646"/>
      <c r="I245" s="646"/>
      <c r="J245" s="643"/>
      <c r="K245" s="643"/>
    </row>
    <row r="246" spans="1:11" ht="15" x14ac:dyDescent="0.25">
      <c r="A246" s="645"/>
      <c r="B246" s="643"/>
      <c r="C246" s="643"/>
      <c r="D246" s="647"/>
      <c r="E246" s="647"/>
      <c r="F246" s="647"/>
      <c r="G246" s="643"/>
      <c r="H246" s="646"/>
      <c r="I246" s="646"/>
      <c r="J246" s="643"/>
      <c r="K246" s="643"/>
    </row>
    <row r="247" spans="1:11" ht="15" x14ac:dyDescent="0.25">
      <c r="A247" s="645"/>
      <c r="B247" s="643"/>
      <c r="C247" s="643"/>
      <c r="D247" s="647"/>
      <c r="E247" s="647"/>
      <c r="F247" s="647"/>
      <c r="G247" s="643"/>
      <c r="H247" s="646"/>
      <c r="I247" s="646"/>
      <c r="J247" s="643"/>
      <c r="K247" s="643"/>
    </row>
    <row r="248" spans="1:11" ht="15" x14ac:dyDescent="0.25">
      <c r="A248" s="645"/>
      <c r="B248" s="643"/>
      <c r="C248" s="643"/>
      <c r="D248" s="647"/>
      <c r="E248" s="647"/>
      <c r="F248" s="647"/>
      <c r="G248" s="643"/>
      <c r="H248" s="646"/>
      <c r="I248" s="646"/>
      <c r="J248" s="643"/>
      <c r="K248" s="643"/>
    </row>
    <row r="249" spans="1:11" ht="15" x14ac:dyDescent="0.25">
      <c r="A249" s="645"/>
      <c r="B249" s="643"/>
      <c r="C249" s="643"/>
      <c r="D249" s="647"/>
      <c r="E249" s="647"/>
      <c r="F249" s="647"/>
      <c r="G249" s="643"/>
      <c r="H249" s="646"/>
      <c r="I249" s="646"/>
      <c r="J249" s="643"/>
      <c r="K249" s="643"/>
    </row>
    <row r="250" spans="1:11" ht="15" x14ac:dyDescent="0.25">
      <c r="A250" s="645"/>
      <c r="B250" s="643"/>
      <c r="C250" s="643"/>
      <c r="D250" s="647"/>
      <c r="E250" s="647"/>
      <c r="F250" s="647"/>
      <c r="G250" s="643"/>
      <c r="H250" s="646"/>
      <c r="I250" s="646"/>
      <c r="J250" s="643"/>
      <c r="K250" s="643"/>
    </row>
    <row r="251" spans="1:11" ht="15" x14ac:dyDescent="0.25">
      <c r="A251" s="645"/>
      <c r="B251" s="643"/>
      <c r="C251" s="643"/>
      <c r="D251" s="647"/>
      <c r="E251" s="647"/>
      <c r="F251" s="647"/>
      <c r="G251" s="643"/>
      <c r="H251" s="646"/>
      <c r="I251" s="646"/>
      <c r="J251" s="643"/>
      <c r="K251" s="643"/>
    </row>
    <row r="252" spans="1:11" ht="15" x14ac:dyDescent="0.25">
      <c r="A252" s="645"/>
      <c r="B252" s="643"/>
      <c r="C252" s="643"/>
      <c r="D252" s="647"/>
      <c r="E252" s="647"/>
      <c r="F252" s="647"/>
      <c r="G252" s="643"/>
      <c r="H252" s="646"/>
      <c r="I252" s="646"/>
      <c r="J252" s="643"/>
      <c r="K252" s="643"/>
    </row>
    <row r="253" spans="1:11" ht="15" x14ac:dyDescent="0.25">
      <c r="A253" s="645"/>
      <c r="B253" s="643"/>
      <c r="C253" s="643"/>
      <c r="D253" s="647"/>
      <c r="E253" s="647"/>
      <c r="F253" s="647"/>
      <c r="G253" s="643"/>
      <c r="H253" s="646"/>
      <c r="I253" s="646"/>
      <c r="J253" s="643"/>
      <c r="K253" s="643"/>
    </row>
    <row r="254" spans="1:11" ht="15" x14ac:dyDescent="0.25">
      <c r="A254" s="645"/>
      <c r="B254" s="643"/>
      <c r="C254" s="643"/>
      <c r="D254" s="647"/>
      <c r="E254" s="647"/>
      <c r="F254" s="647"/>
      <c r="G254" s="643"/>
      <c r="H254" s="646"/>
      <c r="I254" s="646"/>
      <c r="J254" s="643"/>
      <c r="K254" s="643"/>
    </row>
    <row r="255" spans="1:11" ht="15" x14ac:dyDescent="0.25">
      <c r="A255" s="645"/>
      <c r="B255" s="643"/>
      <c r="C255" s="643"/>
      <c r="D255" s="647"/>
      <c r="E255" s="647"/>
      <c r="F255" s="647"/>
      <c r="G255" s="643"/>
      <c r="H255" s="646"/>
      <c r="I255" s="646"/>
      <c r="J255" s="643"/>
      <c r="K255" s="643"/>
    </row>
    <row r="256" spans="1:11" ht="15" x14ac:dyDescent="0.25">
      <c r="A256" s="645"/>
      <c r="B256" s="643"/>
      <c r="C256" s="643"/>
      <c r="D256" s="647"/>
      <c r="E256" s="647"/>
      <c r="F256" s="647"/>
      <c r="G256" s="643"/>
      <c r="H256" s="646"/>
      <c r="I256" s="646"/>
      <c r="J256" s="643"/>
      <c r="K256" s="643"/>
    </row>
    <row r="257" spans="1:11" ht="15" x14ac:dyDescent="0.25">
      <c r="A257" s="645"/>
      <c r="B257" s="643"/>
      <c r="C257" s="643"/>
      <c r="D257" s="647"/>
      <c r="E257" s="647"/>
      <c r="F257" s="647"/>
      <c r="G257" s="643"/>
      <c r="H257" s="646"/>
      <c r="I257" s="646"/>
      <c r="J257" s="643"/>
      <c r="K257" s="643"/>
    </row>
    <row r="258" spans="1:11" ht="15" x14ac:dyDescent="0.25">
      <c r="A258" s="645"/>
      <c r="B258" s="643"/>
      <c r="C258" s="643"/>
      <c r="D258" s="647"/>
      <c r="E258" s="647"/>
      <c r="F258" s="647"/>
      <c r="G258" s="643"/>
      <c r="H258" s="646"/>
      <c r="I258" s="646"/>
      <c r="J258" s="643"/>
      <c r="K258" s="643"/>
    </row>
    <row r="259" spans="1:11" ht="15" x14ac:dyDescent="0.25">
      <c r="A259" s="645"/>
      <c r="B259" s="643"/>
      <c r="C259" s="643"/>
      <c r="D259" s="647"/>
      <c r="E259" s="647"/>
      <c r="F259" s="647"/>
      <c r="G259" s="643"/>
      <c r="H259" s="646"/>
      <c r="I259" s="646"/>
      <c r="J259" s="643"/>
      <c r="K259" s="643"/>
    </row>
    <row r="260" spans="1:11" ht="15" x14ac:dyDescent="0.25">
      <c r="A260" s="645"/>
      <c r="B260" s="643"/>
      <c r="C260" s="643"/>
      <c r="D260" s="647"/>
      <c r="E260" s="647"/>
      <c r="F260" s="647"/>
      <c r="G260" s="643"/>
      <c r="H260" s="646"/>
      <c r="I260" s="646"/>
      <c r="J260" s="643"/>
      <c r="K260" s="643"/>
    </row>
    <row r="261" spans="1:11" ht="15" x14ac:dyDescent="0.25">
      <c r="A261" s="645"/>
      <c r="B261" s="643"/>
      <c r="C261" s="643"/>
      <c r="D261" s="647"/>
      <c r="E261" s="647"/>
      <c r="F261" s="647"/>
      <c r="G261" s="643"/>
      <c r="H261" s="646"/>
      <c r="I261" s="646"/>
      <c r="J261" s="643"/>
      <c r="K261" s="643"/>
    </row>
    <row r="262" spans="1:11" ht="15" x14ac:dyDescent="0.25">
      <c r="A262" s="645"/>
      <c r="B262" s="643"/>
      <c r="C262" s="643"/>
      <c r="D262" s="647"/>
      <c r="E262" s="647"/>
      <c r="F262" s="647"/>
      <c r="G262" s="643"/>
      <c r="H262" s="646"/>
      <c r="I262" s="646"/>
      <c r="J262" s="643"/>
      <c r="K262" s="643"/>
    </row>
    <row r="263" spans="1:11" ht="15" x14ac:dyDescent="0.25">
      <c r="A263" s="645"/>
      <c r="B263" s="643"/>
      <c r="C263" s="643"/>
      <c r="D263" s="647"/>
      <c r="E263" s="647"/>
      <c r="F263" s="647"/>
      <c r="G263" s="643"/>
      <c r="H263" s="646"/>
      <c r="I263" s="646"/>
      <c r="J263" s="643"/>
      <c r="K263" s="643"/>
    </row>
    <row r="264" spans="1:11" ht="15" x14ac:dyDescent="0.25">
      <c r="A264" s="645"/>
      <c r="B264" s="643"/>
      <c r="C264" s="643"/>
      <c r="D264" s="647"/>
      <c r="E264" s="647"/>
      <c r="F264" s="647"/>
      <c r="G264" s="643"/>
      <c r="H264" s="646"/>
      <c r="I264" s="646"/>
      <c r="J264" s="643"/>
      <c r="K264" s="643"/>
    </row>
    <row r="265" spans="1:11" ht="15" x14ac:dyDescent="0.25">
      <c r="A265" s="645"/>
      <c r="B265" s="643"/>
      <c r="C265" s="643"/>
      <c r="D265" s="647"/>
      <c r="E265" s="647"/>
      <c r="F265" s="647"/>
      <c r="G265" s="643"/>
      <c r="H265" s="646"/>
      <c r="I265" s="646"/>
      <c r="J265" s="643"/>
      <c r="K265" s="643"/>
    </row>
    <row r="266" spans="1:11" ht="15" x14ac:dyDescent="0.25">
      <c r="A266" s="645"/>
      <c r="B266" s="643"/>
      <c r="C266" s="643"/>
      <c r="D266" s="647"/>
      <c r="E266" s="647"/>
      <c r="F266" s="647"/>
      <c r="G266" s="643"/>
      <c r="H266" s="646"/>
      <c r="I266" s="646"/>
      <c r="J266" s="643"/>
      <c r="K266" s="643"/>
    </row>
    <row r="267" spans="1:11" ht="15" x14ac:dyDescent="0.25">
      <c r="A267" s="645"/>
      <c r="B267" s="643"/>
      <c r="C267" s="643"/>
      <c r="D267" s="647"/>
      <c r="E267" s="647"/>
      <c r="F267" s="647"/>
      <c r="G267" s="643"/>
      <c r="H267" s="646"/>
      <c r="I267" s="646"/>
      <c r="J267" s="643"/>
      <c r="K267" s="643"/>
    </row>
    <row r="268" spans="1:11" ht="15" x14ac:dyDescent="0.25">
      <c r="A268" s="645"/>
      <c r="B268" s="643"/>
      <c r="C268" s="643"/>
      <c r="D268" s="647"/>
      <c r="E268" s="647"/>
      <c r="F268" s="647"/>
      <c r="G268" s="643"/>
      <c r="H268" s="646"/>
      <c r="I268" s="646"/>
      <c r="J268" s="643"/>
      <c r="K268" s="643"/>
    </row>
    <row r="269" spans="1:11" ht="15" x14ac:dyDescent="0.25">
      <c r="A269" s="645"/>
      <c r="B269" s="643"/>
      <c r="C269" s="643"/>
      <c r="D269" s="647"/>
      <c r="E269" s="647"/>
      <c r="F269" s="647"/>
      <c r="G269" s="643"/>
      <c r="H269" s="646"/>
      <c r="I269" s="646"/>
      <c r="J269" s="643"/>
      <c r="K269" s="643"/>
    </row>
    <row r="270" spans="1:11" ht="15" x14ac:dyDescent="0.25">
      <c r="A270" s="645"/>
      <c r="B270" s="643"/>
      <c r="C270" s="643"/>
      <c r="D270" s="647"/>
      <c r="E270" s="647"/>
      <c r="F270" s="647"/>
      <c r="G270" s="643"/>
      <c r="H270" s="646"/>
      <c r="I270" s="646"/>
      <c r="J270" s="643"/>
      <c r="K270" s="643"/>
    </row>
    <row r="271" spans="1:11" ht="15" x14ac:dyDescent="0.25">
      <c r="A271" s="645"/>
      <c r="B271" s="643"/>
      <c r="C271" s="643"/>
      <c r="D271" s="647"/>
      <c r="E271" s="647"/>
      <c r="F271" s="647"/>
      <c r="G271" s="643"/>
      <c r="H271" s="646"/>
      <c r="I271" s="646"/>
      <c r="J271" s="643"/>
      <c r="K271" s="643"/>
    </row>
    <row r="272" spans="1:11" ht="15" x14ac:dyDescent="0.25">
      <c r="A272" s="645"/>
      <c r="B272" s="643"/>
      <c r="C272" s="643"/>
      <c r="D272" s="647"/>
      <c r="E272" s="647"/>
      <c r="F272" s="647"/>
      <c r="G272" s="643"/>
      <c r="H272" s="646"/>
      <c r="I272" s="646"/>
      <c r="J272" s="643"/>
      <c r="K272" s="643"/>
    </row>
    <row r="273" spans="1:11" ht="15" x14ac:dyDescent="0.25">
      <c r="A273" s="645"/>
      <c r="B273" s="643"/>
      <c r="C273" s="643"/>
      <c r="D273" s="647"/>
      <c r="E273" s="647"/>
      <c r="F273" s="647"/>
      <c r="G273" s="643"/>
      <c r="H273" s="646"/>
      <c r="I273" s="646"/>
      <c r="J273" s="643"/>
      <c r="K273" s="643"/>
    </row>
    <row r="274" spans="1:11" ht="15" x14ac:dyDescent="0.25">
      <c r="A274" s="645"/>
      <c r="B274" s="643"/>
      <c r="C274" s="643"/>
      <c r="D274" s="647"/>
      <c r="E274" s="647"/>
      <c r="F274" s="647"/>
      <c r="G274" s="643"/>
      <c r="H274" s="646"/>
      <c r="I274" s="646"/>
      <c r="J274" s="643"/>
      <c r="K274" s="643"/>
    </row>
    <row r="275" spans="1:11" ht="15" x14ac:dyDescent="0.25">
      <c r="A275" s="645"/>
      <c r="B275" s="643"/>
      <c r="C275" s="643"/>
      <c r="D275" s="647"/>
      <c r="E275" s="647"/>
      <c r="F275" s="647"/>
      <c r="G275" s="643"/>
      <c r="H275" s="646"/>
      <c r="I275" s="646"/>
      <c r="J275" s="643"/>
      <c r="K275" s="643"/>
    </row>
    <row r="276" spans="1:11" ht="15" x14ac:dyDescent="0.25">
      <c r="A276" s="645"/>
      <c r="B276" s="643"/>
      <c r="C276" s="643"/>
      <c r="D276" s="647"/>
      <c r="E276" s="647"/>
      <c r="F276" s="647"/>
      <c r="G276" s="643"/>
      <c r="H276" s="646"/>
      <c r="I276" s="646"/>
      <c r="J276" s="643"/>
      <c r="K276" s="643"/>
    </row>
    <row r="277" spans="1:11" ht="15" x14ac:dyDescent="0.25">
      <c r="A277" s="645"/>
      <c r="B277" s="643"/>
      <c r="C277" s="643"/>
      <c r="D277" s="647"/>
      <c r="E277" s="647"/>
      <c r="F277" s="647"/>
      <c r="G277" s="643"/>
      <c r="H277" s="646"/>
      <c r="I277" s="646"/>
      <c r="J277" s="643"/>
      <c r="K277" s="643"/>
    </row>
    <row r="278" spans="1:11" ht="15" x14ac:dyDescent="0.25">
      <c r="A278" s="645"/>
      <c r="B278" s="643"/>
      <c r="C278" s="643"/>
      <c r="D278" s="647"/>
      <c r="E278" s="647"/>
      <c r="F278" s="647"/>
      <c r="G278" s="643"/>
      <c r="H278" s="646"/>
      <c r="I278" s="646"/>
      <c r="J278" s="643"/>
      <c r="K278" s="643"/>
    </row>
    <row r="279" spans="1:11" ht="15" x14ac:dyDescent="0.25">
      <c r="A279" s="645"/>
      <c r="B279" s="643"/>
      <c r="C279" s="643"/>
      <c r="D279" s="647"/>
      <c r="E279" s="647"/>
      <c r="F279" s="647"/>
      <c r="G279" s="643"/>
      <c r="H279" s="646"/>
      <c r="I279" s="646"/>
      <c r="J279" s="643"/>
      <c r="K279" s="643"/>
    </row>
    <row r="280" spans="1:11" ht="15" x14ac:dyDescent="0.25">
      <c r="A280" s="645"/>
      <c r="B280" s="643"/>
      <c r="C280" s="643"/>
      <c r="D280" s="647"/>
      <c r="E280" s="647"/>
      <c r="F280" s="647"/>
      <c r="G280" s="643"/>
      <c r="H280" s="646"/>
      <c r="I280" s="646"/>
      <c r="J280" s="643"/>
      <c r="K280" s="643"/>
    </row>
    <row r="281" spans="1:11" ht="15" x14ac:dyDescent="0.25">
      <c r="A281" s="645"/>
      <c r="B281" s="643"/>
      <c r="C281" s="643"/>
      <c r="D281" s="647"/>
      <c r="E281" s="647"/>
      <c r="F281" s="647"/>
      <c r="G281" s="643"/>
      <c r="H281" s="646"/>
      <c r="I281" s="646"/>
      <c r="J281" s="643"/>
      <c r="K281" s="643"/>
    </row>
    <row r="282" spans="1:11" ht="15" x14ac:dyDescent="0.25">
      <c r="A282" s="645"/>
      <c r="B282" s="643"/>
      <c r="C282" s="643"/>
      <c r="D282" s="647"/>
      <c r="E282" s="647"/>
      <c r="F282" s="647"/>
      <c r="G282" s="643"/>
      <c r="H282" s="646"/>
      <c r="I282" s="646"/>
      <c r="J282" s="643"/>
      <c r="K282" s="643"/>
    </row>
    <row r="283" spans="1:11" ht="15" x14ac:dyDescent="0.25">
      <c r="A283" s="645"/>
      <c r="B283" s="643"/>
      <c r="C283" s="643"/>
      <c r="D283" s="647"/>
      <c r="E283" s="647"/>
      <c r="F283" s="647"/>
      <c r="G283" s="643"/>
      <c r="H283" s="646"/>
      <c r="I283" s="646"/>
      <c r="J283" s="643"/>
      <c r="K283" s="643"/>
    </row>
    <row r="284" spans="1:11" ht="15" x14ac:dyDescent="0.25">
      <c r="A284" s="645"/>
      <c r="B284" s="643"/>
      <c r="C284" s="643"/>
      <c r="D284" s="647"/>
      <c r="E284" s="647"/>
      <c r="F284" s="647"/>
      <c r="G284" s="643"/>
      <c r="H284" s="646"/>
      <c r="I284" s="646"/>
      <c r="J284" s="643"/>
      <c r="K284" s="643"/>
    </row>
    <row r="285" spans="1:11" ht="15" x14ac:dyDescent="0.25">
      <c r="A285" s="645"/>
      <c r="B285" s="643"/>
      <c r="C285" s="643"/>
      <c r="D285" s="647"/>
      <c r="E285" s="647"/>
      <c r="F285" s="647"/>
      <c r="G285" s="643"/>
      <c r="H285" s="646"/>
      <c r="I285" s="646"/>
      <c r="J285" s="643"/>
      <c r="K285" s="643"/>
    </row>
    <row r="286" spans="1:11" ht="15" x14ac:dyDescent="0.25">
      <c r="A286" s="645"/>
      <c r="B286" s="643"/>
      <c r="C286" s="643"/>
      <c r="D286" s="647"/>
      <c r="E286" s="647"/>
      <c r="F286" s="647"/>
      <c r="G286" s="643"/>
      <c r="H286" s="646"/>
      <c r="I286" s="646"/>
      <c r="J286" s="643"/>
      <c r="K286" s="643"/>
    </row>
    <row r="287" spans="1:11" ht="15" x14ac:dyDescent="0.25">
      <c r="A287" s="645"/>
      <c r="B287" s="643"/>
      <c r="C287" s="643"/>
      <c r="D287" s="647"/>
      <c r="E287" s="647"/>
      <c r="F287" s="647"/>
      <c r="G287" s="643"/>
      <c r="H287" s="646"/>
      <c r="I287" s="646"/>
      <c r="J287" s="643"/>
      <c r="K287" s="643"/>
    </row>
    <row r="288" spans="1:11" ht="15" x14ac:dyDescent="0.25">
      <c r="A288" s="645"/>
      <c r="B288" s="643"/>
      <c r="C288" s="643"/>
      <c r="D288" s="647"/>
      <c r="E288" s="647"/>
      <c r="F288" s="647"/>
      <c r="G288" s="643"/>
      <c r="H288" s="646"/>
      <c r="I288" s="646"/>
      <c r="J288" s="643"/>
      <c r="K288" s="643"/>
    </row>
    <row r="289" spans="1:11" ht="15" x14ac:dyDescent="0.25">
      <c r="A289" s="645"/>
      <c r="B289" s="643"/>
      <c r="C289" s="643"/>
      <c r="D289" s="647"/>
      <c r="E289" s="647"/>
      <c r="F289" s="647"/>
      <c r="G289" s="643"/>
      <c r="H289" s="646"/>
      <c r="I289" s="646"/>
      <c r="J289" s="643"/>
      <c r="K289" s="643"/>
    </row>
    <row r="290" spans="1:11" ht="15" x14ac:dyDescent="0.25">
      <c r="A290" s="645"/>
      <c r="B290" s="643"/>
      <c r="C290" s="643"/>
      <c r="D290" s="647"/>
      <c r="E290" s="647"/>
      <c r="F290" s="647"/>
      <c r="G290" s="643"/>
      <c r="H290" s="646"/>
      <c r="I290" s="646"/>
      <c r="J290" s="643"/>
      <c r="K290" s="643"/>
    </row>
    <row r="291" spans="1:11" ht="15" x14ac:dyDescent="0.25">
      <c r="A291" s="645"/>
      <c r="B291" s="643"/>
      <c r="C291" s="643"/>
      <c r="D291" s="647"/>
      <c r="E291" s="647"/>
      <c r="F291" s="647"/>
      <c r="G291" s="643"/>
      <c r="H291" s="646"/>
      <c r="I291" s="646"/>
      <c r="J291" s="643"/>
      <c r="K291" s="643"/>
    </row>
    <row r="292" spans="1:11" ht="15" x14ac:dyDescent="0.25">
      <c r="A292" s="645"/>
      <c r="B292" s="643"/>
      <c r="C292" s="643"/>
      <c r="D292" s="647"/>
      <c r="E292" s="647"/>
      <c r="F292" s="647"/>
      <c r="G292" s="643"/>
      <c r="H292" s="646"/>
      <c r="I292" s="646"/>
      <c r="J292" s="643"/>
      <c r="K292" s="643"/>
    </row>
    <row r="293" spans="1:11" ht="15" x14ac:dyDescent="0.25">
      <c r="A293" s="645"/>
      <c r="B293" s="643"/>
      <c r="C293" s="643"/>
      <c r="D293" s="647"/>
      <c r="E293" s="647"/>
      <c r="F293" s="647"/>
      <c r="G293" s="643"/>
      <c r="H293" s="646"/>
      <c r="I293" s="646"/>
      <c r="J293" s="643"/>
      <c r="K293" s="643"/>
    </row>
    <row r="294" spans="1:11" ht="15" x14ac:dyDescent="0.25">
      <c r="A294" s="645"/>
      <c r="B294" s="643"/>
      <c r="C294" s="643"/>
      <c r="D294" s="647"/>
      <c r="E294" s="647"/>
      <c r="F294" s="647"/>
      <c r="G294" s="643"/>
      <c r="H294" s="646"/>
      <c r="I294" s="646"/>
      <c r="J294" s="643"/>
      <c r="K294" s="643"/>
    </row>
    <row r="295" spans="1:11" ht="15" x14ac:dyDescent="0.25">
      <c r="A295" s="645"/>
      <c r="B295" s="643"/>
      <c r="C295" s="643"/>
      <c r="D295" s="647"/>
      <c r="E295" s="647"/>
      <c r="F295" s="647"/>
      <c r="G295" s="643"/>
      <c r="H295" s="646"/>
      <c r="I295" s="646"/>
      <c r="J295" s="643"/>
      <c r="K295" s="643"/>
    </row>
    <row r="296" spans="1:11" ht="15" x14ac:dyDescent="0.25">
      <c r="A296" s="645"/>
      <c r="B296" s="643"/>
      <c r="C296" s="643"/>
      <c r="D296" s="647"/>
      <c r="E296" s="647"/>
      <c r="F296" s="647"/>
      <c r="G296" s="643"/>
      <c r="H296" s="646"/>
      <c r="I296" s="646"/>
      <c r="J296" s="643"/>
      <c r="K296" s="643"/>
    </row>
    <row r="297" spans="1:11" ht="15" x14ac:dyDescent="0.25">
      <c r="A297" s="645"/>
      <c r="B297" s="643"/>
      <c r="C297" s="643"/>
      <c r="D297" s="647"/>
      <c r="E297" s="647"/>
      <c r="F297" s="647"/>
      <c r="G297" s="643"/>
      <c r="H297" s="646"/>
      <c r="I297" s="646"/>
      <c r="J297" s="643"/>
      <c r="K297" s="643"/>
    </row>
    <row r="298" spans="1:11" ht="15" x14ac:dyDescent="0.25">
      <c r="A298" s="645"/>
      <c r="B298" s="643"/>
      <c r="C298" s="643"/>
      <c r="D298" s="647"/>
      <c r="E298" s="647"/>
      <c r="F298" s="647"/>
      <c r="G298" s="643"/>
      <c r="H298" s="646"/>
      <c r="I298" s="646"/>
      <c r="J298" s="643"/>
      <c r="K298" s="643"/>
    </row>
    <row r="299" spans="1:11" ht="15" x14ac:dyDescent="0.25">
      <c r="A299" s="645"/>
      <c r="B299" s="643"/>
      <c r="C299" s="643"/>
      <c r="D299" s="647"/>
      <c r="E299" s="647"/>
      <c r="F299" s="647"/>
      <c r="G299" s="643"/>
      <c r="H299" s="646"/>
      <c r="I299" s="646"/>
      <c r="J299" s="643"/>
      <c r="K299" s="643"/>
    </row>
    <row r="300" spans="1:11" ht="15" x14ac:dyDescent="0.25">
      <c r="A300" s="645"/>
      <c r="B300" s="643"/>
      <c r="C300" s="643"/>
      <c r="D300" s="647"/>
      <c r="E300" s="647"/>
      <c r="F300" s="647"/>
      <c r="G300" s="643"/>
      <c r="H300" s="646"/>
      <c r="I300" s="646"/>
      <c r="J300" s="643"/>
      <c r="K300" s="643"/>
    </row>
    <row r="301" spans="1:11" ht="15" x14ac:dyDescent="0.25">
      <c r="A301" s="645"/>
      <c r="B301" s="643"/>
      <c r="C301" s="643"/>
      <c r="D301" s="647"/>
      <c r="E301" s="647"/>
      <c r="F301" s="647"/>
      <c r="G301" s="643"/>
      <c r="H301" s="646"/>
      <c r="I301" s="646"/>
      <c r="J301" s="643"/>
      <c r="K301" s="643"/>
    </row>
    <row r="302" spans="1:11" ht="15" x14ac:dyDescent="0.25">
      <c r="A302" s="645"/>
      <c r="B302" s="643"/>
      <c r="C302" s="643"/>
      <c r="D302" s="647"/>
      <c r="E302" s="647"/>
      <c r="F302" s="647"/>
      <c r="G302" s="643"/>
      <c r="H302" s="646"/>
      <c r="I302" s="646"/>
      <c r="J302" s="643"/>
      <c r="K302" s="643"/>
    </row>
    <row r="303" spans="1:11" ht="15" x14ac:dyDescent="0.25">
      <c r="A303" s="645"/>
      <c r="B303" s="643"/>
      <c r="C303" s="643"/>
      <c r="D303" s="647"/>
      <c r="E303" s="647"/>
      <c r="F303" s="647"/>
      <c r="G303" s="643"/>
      <c r="H303" s="646"/>
      <c r="I303" s="646"/>
      <c r="J303" s="643"/>
      <c r="K303" s="643"/>
    </row>
    <row r="304" spans="1:11" ht="15" x14ac:dyDescent="0.25">
      <c r="A304" s="645"/>
      <c r="B304" s="643"/>
      <c r="C304" s="643"/>
      <c r="D304" s="647"/>
      <c r="E304" s="647"/>
      <c r="F304" s="647"/>
      <c r="G304" s="643"/>
      <c r="H304" s="646"/>
      <c r="I304" s="646"/>
      <c r="J304" s="643"/>
      <c r="K304" s="643"/>
    </row>
    <row r="305" spans="1:11" ht="15" x14ac:dyDescent="0.25">
      <c r="A305" s="645"/>
      <c r="B305" s="643"/>
      <c r="C305" s="643"/>
      <c r="D305" s="647"/>
      <c r="E305" s="647"/>
      <c r="F305" s="647"/>
      <c r="G305" s="643"/>
      <c r="H305" s="646"/>
      <c r="I305" s="646"/>
      <c r="J305" s="643"/>
      <c r="K305" s="643"/>
    </row>
    <row r="306" spans="1:11" ht="15" x14ac:dyDescent="0.25">
      <c r="A306" s="645"/>
      <c r="B306" s="643"/>
      <c r="C306" s="643"/>
      <c r="D306" s="647"/>
      <c r="E306" s="647"/>
      <c r="F306" s="647"/>
      <c r="G306" s="643"/>
      <c r="H306" s="646"/>
      <c r="I306" s="646"/>
      <c r="J306" s="643"/>
      <c r="K306" s="643"/>
    </row>
    <row r="307" spans="1:11" ht="15" x14ac:dyDescent="0.25">
      <c r="A307" s="645"/>
      <c r="B307" s="643"/>
      <c r="C307" s="643"/>
      <c r="D307" s="647"/>
      <c r="E307" s="647"/>
      <c r="F307" s="647"/>
      <c r="G307" s="643"/>
      <c r="H307" s="646"/>
      <c r="I307" s="646"/>
      <c r="J307" s="643"/>
      <c r="K307" s="643"/>
    </row>
    <row r="308" spans="1:11" ht="15" x14ac:dyDescent="0.25">
      <c r="A308" s="645"/>
      <c r="B308" s="643"/>
      <c r="C308" s="643"/>
      <c r="D308" s="647"/>
      <c r="E308" s="647"/>
      <c r="F308" s="647"/>
      <c r="G308" s="643"/>
      <c r="H308" s="646"/>
      <c r="I308" s="646"/>
      <c r="J308" s="643"/>
      <c r="K308" s="643"/>
    </row>
    <row r="309" spans="1:11" ht="15" x14ac:dyDescent="0.25">
      <c r="A309" s="645"/>
      <c r="B309" s="643"/>
      <c r="C309" s="643"/>
      <c r="D309" s="647"/>
      <c r="E309" s="647"/>
      <c r="F309" s="647"/>
      <c r="G309" s="643"/>
      <c r="H309" s="646"/>
      <c r="I309" s="646"/>
      <c r="J309" s="643"/>
      <c r="K309" s="643"/>
    </row>
    <row r="310" spans="1:11" ht="15" x14ac:dyDescent="0.25">
      <c r="A310" s="645"/>
      <c r="B310" s="643"/>
      <c r="C310" s="643"/>
      <c r="D310" s="647"/>
      <c r="E310" s="647"/>
      <c r="F310" s="647"/>
      <c r="G310" s="643"/>
      <c r="H310" s="646"/>
      <c r="I310" s="646"/>
      <c r="J310" s="643"/>
      <c r="K310" s="643"/>
    </row>
    <row r="311" spans="1:11" ht="15" x14ac:dyDescent="0.25">
      <c r="A311" s="645"/>
      <c r="B311" s="643"/>
      <c r="C311" s="643"/>
      <c r="D311" s="647"/>
      <c r="E311" s="647"/>
      <c r="F311" s="647"/>
      <c r="G311" s="643"/>
      <c r="H311" s="646"/>
      <c r="I311" s="646"/>
      <c r="J311" s="643"/>
      <c r="K311" s="643"/>
    </row>
    <row r="312" spans="1:11" ht="15" x14ac:dyDescent="0.25">
      <c r="A312" s="645"/>
      <c r="B312" s="643"/>
      <c r="C312" s="643"/>
      <c r="D312" s="647"/>
      <c r="E312" s="647"/>
      <c r="F312" s="647"/>
      <c r="G312" s="643"/>
      <c r="H312" s="646"/>
      <c r="I312" s="646"/>
      <c r="J312" s="643"/>
      <c r="K312" s="643"/>
    </row>
    <row r="313" spans="1:11" ht="15" x14ac:dyDescent="0.25">
      <c r="A313" s="645"/>
      <c r="B313" s="643"/>
      <c r="C313" s="643"/>
      <c r="D313" s="647"/>
      <c r="E313" s="647"/>
      <c r="F313" s="647"/>
      <c r="G313" s="643"/>
      <c r="H313" s="646"/>
      <c r="I313" s="646"/>
      <c r="J313" s="643"/>
      <c r="K313" s="643"/>
    </row>
    <row r="314" spans="1:11" ht="15" x14ac:dyDescent="0.25">
      <c r="A314" s="645"/>
      <c r="B314" s="643"/>
      <c r="C314" s="643"/>
      <c r="D314" s="647"/>
      <c r="E314" s="647"/>
      <c r="F314" s="647"/>
      <c r="G314" s="643"/>
      <c r="H314" s="646"/>
      <c r="I314" s="646"/>
      <c r="J314" s="643"/>
      <c r="K314" s="643"/>
    </row>
    <row r="315" spans="1:11" ht="15" x14ac:dyDescent="0.25">
      <c r="A315" s="645"/>
      <c r="B315" s="643"/>
      <c r="C315" s="643"/>
      <c r="D315" s="647"/>
      <c r="E315" s="647"/>
      <c r="F315" s="647"/>
      <c r="G315" s="643"/>
      <c r="H315" s="646"/>
      <c r="I315" s="646"/>
      <c r="J315" s="643"/>
      <c r="K315" s="643"/>
    </row>
    <row r="316" spans="1:11" ht="15" x14ac:dyDescent="0.25">
      <c r="A316" s="645"/>
      <c r="B316" s="643"/>
      <c r="C316" s="643"/>
      <c r="D316" s="647"/>
      <c r="E316" s="647"/>
      <c r="F316" s="647"/>
      <c r="G316" s="643"/>
      <c r="H316" s="646"/>
      <c r="I316" s="646"/>
      <c r="J316" s="643"/>
      <c r="K316" s="643"/>
    </row>
    <row r="317" spans="1:11" ht="15" x14ac:dyDescent="0.25">
      <c r="A317" s="645"/>
      <c r="B317" s="643"/>
      <c r="C317" s="643"/>
      <c r="D317" s="647"/>
      <c r="E317" s="647"/>
      <c r="F317" s="647"/>
      <c r="G317" s="643"/>
      <c r="H317" s="646"/>
      <c r="I317" s="646"/>
      <c r="J317" s="643"/>
      <c r="K317" s="643"/>
    </row>
    <row r="318" spans="1:11" ht="15" x14ac:dyDescent="0.25">
      <c r="A318" s="645"/>
      <c r="B318" s="643"/>
      <c r="C318" s="643"/>
      <c r="D318" s="647"/>
      <c r="E318" s="647"/>
      <c r="F318" s="647"/>
      <c r="G318" s="643"/>
      <c r="H318" s="646"/>
      <c r="I318" s="646"/>
      <c r="J318" s="643"/>
      <c r="K318" s="643"/>
    </row>
    <row r="319" spans="1:11" ht="15" x14ac:dyDescent="0.25">
      <c r="A319" s="645"/>
      <c r="B319" s="643"/>
      <c r="C319" s="643"/>
      <c r="D319" s="647"/>
      <c r="E319" s="647"/>
      <c r="F319" s="647"/>
      <c r="G319" s="643"/>
      <c r="H319" s="646"/>
      <c r="I319" s="646"/>
      <c r="J319" s="643"/>
      <c r="K319" s="643"/>
    </row>
    <row r="320" spans="1:11" ht="15" x14ac:dyDescent="0.25">
      <c r="A320" s="645"/>
      <c r="B320" s="643"/>
      <c r="C320" s="643"/>
      <c r="D320" s="647"/>
      <c r="E320" s="647"/>
      <c r="F320" s="647"/>
      <c r="G320" s="643"/>
      <c r="H320" s="646"/>
      <c r="I320" s="646"/>
      <c r="J320" s="643"/>
      <c r="K320" s="643"/>
    </row>
    <row r="321" spans="1:11" ht="15" x14ac:dyDescent="0.25">
      <c r="A321" s="645"/>
      <c r="B321" s="643"/>
      <c r="C321" s="643"/>
      <c r="D321" s="647"/>
      <c r="E321" s="647"/>
      <c r="F321" s="647"/>
      <c r="G321" s="643"/>
      <c r="H321" s="646"/>
      <c r="I321" s="646"/>
      <c r="J321" s="643"/>
      <c r="K321" s="643"/>
    </row>
    <row r="322" spans="1:11" ht="15" x14ac:dyDescent="0.25">
      <c r="A322" s="645"/>
      <c r="B322" s="643"/>
      <c r="C322" s="643"/>
      <c r="D322" s="647"/>
      <c r="E322" s="647"/>
      <c r="F322" s="647"/>
      <c r="G322" s="643"/>
      <c r="H322" s="646"/>
      <c r="I322" s="646"/>
      <c r="J322" s="643"/>
      <c r="K322" s="643"/>
    </row>
    <row r="323" spans="1:11" ht="15" x14ac:dyDescent="0.25">
      <c r="A323" s="645"/>
      <c r="B323" s="643"/>
      <c r="C323" s="643"/>
      <c r="D323" s="647"/>
      <c r="E323" s="647"/>
      <c r="F323" s="647"/>
      <c r="G323" s="643"/>
      <c r="H323" s="646"/>
      <c r="I323" s="646"/>
      <c r="J323" s="643"/>
      <c r="K323" s="643"/>
    </row>
    <row r="324" spans="1:11" ht="15" x14ac:dyDescent="0.25">
      <c r="A324" s="645"/>
      <c r="B324" s="643"/>
      <c r="C324" s="643"/>
      <c r="D324" s="647"/>
      <c r="E324" s="647"/>
      <c r="F324" s="647"/>
      <c r="G324" s="643"/>
      <c r="H324" s="646"/>
      <c r="I324" s="646"/>
      <c r="J324" s="643"/>
      <c r="K324" s="643"/>
    </row>
    <row r="325" spans="1:11" ht="15" x14ac:dyDescent="0.25">
      <c r="A325" s="645"/>
      <c r="B325" s="643"/>
      <c r="C325" s="643"/>
      <c r="D325" s="647"/>
      <c r="E325" s="647"/>
      <c r="F325" s="647"/>
      <c r="G325" s="643"/>
      <c r="H325" s="646"/>
      <c r="I325" s="646"/>
      <c r="J325" s="643"/>
      <c r="K325" s="643"/>
    </row>
    <row r="326" spans="1:11" ht="15" x14ac:dyDescent="0.25">
      <c r="A326" s="645"/>
      <c r="B326" s="643"/>
      <c r="C326" s="643"/>
      <c r="D326" s="647"/>
      <c r="E326" s="647"/>
      <c r="F326" s="647"/>
      <c r="G326" s="643"/>
      <c r="H326" s="646"/>
      <c r="I326" s="646"/>
      <c r="J326" s="643"/>
      <c r="K326" s="643"/>
    </row>
    <row r="327" spans="1:11" ht="15" x14ac:dyDescent="0.25">
      <c r="A327" s="645"/>
      <c r="B327" s="643"/>
      <c r="C327" s="643"/>
      <c r="D327" s="647"/>
      <c r="E327" s="647"/>
      <c r="F327" s="647"/>
      <c r="G327" s="643"/>
      <c r="H327" s="646"/>
      <c r="I327" s="646"/>
      <c r="J327" s="643"/>
      <c r="K327" s="643"/>
    </row>
    <row r="328" spans="1:11" ht="15" x14ac:dyDescent="0.25">
      <c r="A328" s="645"/>
      <c r="B328" s="643"/>
      <c r="C328" s="643"/>
      <c r="D328" s="647"/>
      <c r="E328" s="647"/>
      <c r="F328" s="647"/>
      <c r="G328" s="643"/>
      <c r="H328" s="646"/>
      <c r="I328" s="646"/>
      <c r="J328" s="643"/>
      <c r="K328" s="643"/>
    </row>
    <row r="329" spans="1:11" ht="15" x14ac:dyDescent="0.25">
      <c r="A329" s="645"/>
      <c r="B329" s="643"/>
      <c r="C329" s="643"/>
      <c r="D329" s="647"/>
      <c r="E329" s="647"/>
      <c r="F329" s="647"/>
      <c r="G329" s="643"/>
      <c r="H329" s="646"/>
      <c r="I329" s="646"/>
      <c r="J329" s="643"/>
      <c r="K329" s="643"/>
    </row>
    <row r="330" spans="1:11" ht="15" x14ac:dyDescent="0.25">
      <c r="A330" s="645"/>
      <c r="B330" s="643"/>
      <c r="C330" s="643"/>
      <c r="D330" s="647"/>
      <c r="E330" s="647"/>
      <c r="F330" s="647"/>
      <c r="G330" s="643"/>
      <c r="H330" s="646"/>
      <c r="I330" s="646"/>
      <c r="J330" s="643"/>
      <c r="K330" s="643"/>
    </row>
    <row r="331" spans="1:11" ht="15" x14ac:dyDescent="0.25">
      <c r="A331" s="645"/>
      <c r="B331" s="643"/>
      <c r="C331" s="643"/>
      <c r="D331" s="647"/>
      <c r="E331" s="647"/>
      <c r="F331" s="647"/>
      <c r="G331" s="643"/>
      <c r="H331" s="646"/>
      <c r="I331" s="646"/>
      <c r="J331" s="643"/>
      <c r="K331" s="643"/>
    </row>
    <row r="332" spans="1:11" ht="15" x14ac:dyDescent="0.25">
      <c r="A332" s="645"/>
      <c r="B332" s="643"/>
      <c r="C332" s="643"/>
      <c r="D332" s="647"/>
      <c r="E332" s="647"/>
      <c r="F332" s="647"/>
      <c r="G332" s="643"/>
      <c r="H332" s="646"/>
      <c r="I332" s="646"/>
      <c r="J332" s="643"/>
      <c r="K332" s="643"/>
    </row>
    <row r="333" spans="1:11" ht="15" x14ac:dyDescent="0.25">
      <c r="A333" s="645"/>
      <c r="B333" s="643"/>
      <c r="C333" s="643"/>
      <c r="D333" s="647"/>
      <c r="E333" s="647"/>
      <c r="F333" s="647"/>
      <c r="G333" s="643"/>
      <c r="H333" s="646"/>
      <c r="I333" s="646"/>
      <c r="J333" s="643"/>
      <c r="K333" s="643"/>
    </row>
    <row r="334" spans="1:11" ht="15" x14ac:dyDescent="0.25">
      <c r="A334" s="645"/>
      <c r="B334" s="643"/>
      <c r="C334" s="643"/>
      <c r="D334" s="647"/>
      <c r="E334" s="647"/>
      <c r="F334" s="647"/>
      <c r="G334" s="643"/>
      <c r="H334" s="646"/>
      <c r="I334" s="646"/>
      <c r="J334" s="643"/>
      <c r="K334" s="643"/>
    </row>
    <row r="335" spans="1:11" ht="15" x14ac:dyDescent="0.25">
      <c r="A335" s="645"/>
      <c r="B335" s="643"/>
      <c r="C335" s="643"/>
      <c r="D335" s="647"/>
      <c r="E335" s="647"/>
      <c r="F335" s="647"/>
      <c r="G335" s="643"/>
      <c r="H335" s="646"/>
      <c r="I335" s="646"/>
      <c r="J335" s="643"/>
      <c r="K335" s="643"/>
    </row>
    <row r="336" spans="1:11" ht="15" x14ac:dyDescent="0.25">
      <c r="A336" s="645"/>
      <c r="B336" s="643"/>
      <c r="C336" s="643"/>
      <c r="D336" s="647"/>
      <c r="E336" s="647"/>
      <c r="F336" s="647"/>
      <c r="G336" s="643"/>
      <c r="H336" s="646"/>
      <c r="I336" s="646"/>
      <c r="J336" s="643"/>
      <c r="K336" s="643"/>
    </row>
    <row r="337" spans="1:11" ht="15" x14ac:dyDescent="0.25">
      <c r="A337" s="645"/>
      <c r="B337" s="643"/>
      <c r="C337" s="643"/>
      <c r="D337" s="647"/>
      <c r="E337" s="647"/>
      <c r="F337" s="647"/>
      <c r="G337" s="643"/>
      <c r="H337" s="646"/>
      <c r="I337" s="646"/>
      <c r="J337" s="643"/>
      <c r="K337" s="643"/>
    </row>
    <row r="338" spans="1:11" ht="15" x14ac:dyDescent="0.25">
      <c r="A338" s="645"/>
      <c r="B338" s="643"/>
      <c r="C338" s="643"/>
      <c r="D338" s="647"/>
      <c r="E338" s="647"/>
      <c r="F338" s="647"/>
      <c r="G338" s="643"/>
      <c r="H338" s="646"/>
      <c r="I338" s="646"/>
      <c r="J338" s="643"/>
      <c r="K338" s="643"/>
    </row>
    <row r="339" spans="1:11" ht="15" x14ac:dyDescent="0.25">
      <c r="A339" s="645"/>
      <c r="B339" s="643"/>
      <c r="C339" s="643"/>
      <c r="D339" s="647"/>
      <c r="E339" s="647"/>
      <c r="F339" s="647"/>
      <c r="G339" s="643"/>
      <c r="H339" s="646"/>
      <c r="I339" s="646"/>
      <c r="J339" s="643"/>
      <c r="K339" s="643"/>
    </row>
    <row r="340" spans="1:11" ht="15" x14ac:dyDescent="0.25">
      <c r="A340" s="645"/>
      <c r="B340" s="643"/>
      <c r="C340" s="643"/>
      <c r="D340" s="647"/>
      <c r="E340" s="647"/>
      <c r="F340" s="647"/>
      <c r="G340" s="643"/>
      <c r="H340" s="646"/>
      <c r="I340" s="646"/>
      <c r="J340" s="643"/>
      <c r="K340" s="643"/>
    </row>
    <row r="341" spans="1:11" ht="15" x14ac:dyDescent="0.25">
      <c r="A341" s="645"/>
      <c r="B341" s="643"/>
      <c r="C341" s="643"/>
      <c r="D341" s="647"/>
      <c r="E341" s="647"/>
      <c r="F341" s="647"/>
      <c r="G341" s="643"/>
      <c r="H341" s="646"/>
      <c r="I341" s="646"/>
      <c r="J341" s="643"/>
      <c r="K341" s="643"/>
    </row>
    <row r="342" spans="1:11" ht="15" x14ac:dyDescent="0.25">
      <c r="A342" s="645"/>
      <c r="B342" s="643"/>
      <c r="C342" s="643"/>
      <c r="D342" s="647"/>
      <c r="E342" s="647"/>
      <c r="F342" s="647"/>
      <c r="G342" s="643"/>
      <c r="H342" s="646"/>
      <c r="I342" s="646"/>
      <c r="J342" s="643"/>
      <c r="K342" s="643"/>
    </row>
    <row r="343" spans="1:11" ht="15" x14ac:dyDescent="0.25">
      <c r="A343" s="645"/>
      <c r="B343" s="643"/>
      <c r="C343" s="643"/>
      <c r="D343" s="647"/>
      <c r="E343" s="647"/>
      <c r="F343" s="647"/>
      <c r="G343" s="643"/>
      <c r="H343" s="646"/>
      <c r="I343" s="646"/>
      <c r="J343" s="643"/>
      <c r="K343" s="643"/>
    </row>
    <row r="344" spans="1:11" ht="15" x14ac:dyDescent="0.25">
      <c r="A344" s="645"/>
      <c r="B344" s="643"/>
      <c r="C344" s="643"/>
      <c r="D344" s="647"/>
      <c r="E344" s="647"/>
      <c r="F344" s="647"/>
      <c r="G344" s="643"/>
      <c r="H344" s="646"/>
      <c r="I344" s="646"/>
      <c r="J344" s="643"/>
      <c r="K344" s="643"/>
    </row>
    <row r="345" spans="1:11" ht="15" x14ac:dyDescent="0.25">
      <c r="A345" s="645"/>
      <c r="B345" s="643"/>
      <c r="C345" s="643"/>
      <c r="D345" s="647"/>
      <c r="E345" s="647"/>
      <c r="F345" s="647"/>
      <c r="G345" s="643"/>
      <c r="H345" s="646"/>
      <c r="I345" s="646"/>
      <c r="J345" s="643"/>
      <c r="K345" s="643"/>
    </row>
    <row r="346" spans="1:11" ht="15" x14ac:dyDescent="0.25">
      <c r="A346" s="645"/>
      <c r="B346" s="643"/>
      <c r="C346" s="643"/>
      <c r="D346" s="647"/>
      <c r="E346" s="647"/>
      <c r="F346" s="647"/>
      <c r="G346" s="643"/>
      <c r="H346" s="646"/>
      <c r="I346" s="646"/>
      <c r="J346" s="643"/>
      <c r="K346" s="643"/>
    </row>
    <row r="347" spans="1:11" ht="15" x14ac:dyDescent="0.25">
      <c r="A347" s="645"/>
      <c r="B347" s="643"/>
      <c r="C347" s="643"/>
      <c r="D347" s="647"/>
      <c r="E347" s="647"/>
      <c r="F347" s="647"/>
      <c r="G347" s="643"/>
      <c r="H347" s="646"/>
      <c r="I347" s="646"/>
      <c r="J347" s="643"/>
      <c r="K347" s="643"/>
    </row>
    <row r="348" spans="1:11" ht="15" x14ac:dyDescent="0.25">
      <c r="A348" s="645"/>
      <c r="B348" s="643"/>
      <c r="C348" s="643"/>
      <c r="D348" s="647"/>
      <c r="E348" s="647"/>
      <c r="F348" s="647"/>
      <c r="G348" s="643"/>
      <c r="H348" s="646"/>
      <c r="I348" s="646"/>
      <c r="J348" s="643"/>
      <c r="K348" s="643"/>
    </row>
    <row r="349" spans="1:11" ht="15" x14ac:dyDescent="0.25">
      <c r="A349" s="645"/>
      <c r="B349" s="643"/>
      <c r="C349" s="643"/>
      <c r="D349" s="647"/>
      <c r="E349" s="647"/>
      <c r="F349" s="647"/>
      <c r="G349" s="643"/>
      <c r="H349" s="646"/>
      <c r="I349" s="646"/>
      <c r="J349" s="643"/>
      <c r="K349" s="643"/>
    </row>
    <row r="350" spans="1:11" ht="15" x14ac:dyDescent="0.25">
      <c r="A350" s="645"/>
      <c r="B350" s="643"/>
      <c r="C350" s="643"/>
      <c r="D350" s="647"/>
      <c r="E350" s="647"/>
      <c r="F350" s="647"/>
      <c r="G350" s="643"/>
      <c r="H350" s="646"/>
      <c r="I350" s="646"/>
      <c r="J350" s="643"/>
      <c r="K350" s="643"/>
    </row>
    <row r="351" spans="1:11" ht="15" x14ac:dyDescent="0.25">
      <c r="A351" s="645"/>
      <c r="B351" s="643"/>
      <c r="C351" s="643"/>
      <c r="D351" s="647"/>
      <c r="E351" s="647"/>
      <c r="F351" s="647"/>
      <c r="G351" s="643"/>
      <c r="H351" s="646"/>
      <c r="I351" s="646"/>
      <c r="J351" s="643"/>
      <c r="K351" s="643"/>
    </row>
    <row r="352" spans="1:11" ht="15" x14ac:dyDescent="0.25">
      <c r="A352" s="645"/>
      <c r="B352" s="643"/>
      <c r="C352" s="643"/>
      <c r="D352" s="647"/>
      <c r="E352" s="647"/>
      <c r="F352" s="647"/>
      <c r="G352" s="643"/>
      <c r="H352" s="646"/>
      <c r="I352" s="646"/>
      <c r="J352" s="643"/>
      <c r="K352" s="643"/>
    </row>
    <row r="353" spans="1:11" ht="15" x14ac:dyDescent="0.25">
      <c r="A353" s="645"/>
      <c r="B353" s="643"/>
      <c r="C353" s="643"/>
      <c r="D353" s="647"/>
      <c r="E353" s="647"/>
      <c r="F353" s="647"/>
      <c r="G353" s="643"/>
      <c r="H353" s="646"/>
      <c r="I353" s="646"/>
      <c r="J353" s="643"/>
      <c r="K353" s="643"/>
    </row>
    <row r="354" spans="1:11" ht="15" x14ac:dyDescent="0.25">
      <c r="A354" s="645"/>
      <c r="B354" s="643"/>
      <c r="C354" s="643"/>
      <c r="D354" s="647"/>
      <c r="E354" s="647"/>
      <c r="F354" s="647"/>
      <c r="G354" s="643"/>
      <c r="H354" s="646"/>
      <c r="I354" s="646"/>
      <c r="J354" s="643"/>
      <c r="K354" s="643"/>
    </row>
    <row r="355" spans="1:11" ht="15" x14ac:dyDescent="0.25">
      <c r="A355" s="645"/>
      <c r="B355" s="643"/>
      <c r="C355" s="643"/>
      <c r="D355" s="647"/>
      <c r="E355" s="647"/>
      <c r="F355" s="647"/>
      <c r="G355" s="643"/>
      <c r="H355" s="646"/>
      <c r="I355" s="646"/>
      <c r="J355" s="643"/>
      <c r="K355" s="643"/>
    </row>
    <row r="356" spans="1:11" ht="15" x14ac:dyDescent="0.25">
      <c r="A356" s="645"/>
      <c r="B356" s="643"/>
      <c r="C356" s="643"/>
      <c r="D356" s="647"/>
      <c r="E356" s="647"/>
      <c r="F356" s="647"/>
      <c r="G356" s="643"/>
      <c r="H356" s="646"/>
      <c r="I356" s="646"/>
      <c r="J356" s="643"/>
      <c r="K356" s="643"/>
    </row>
    <row r="357" spans="1:11" ht="15" x14ac:dyDescent="0.25">
      <c r="A357" s="645"/>
      <c r="B357" s="643"/>
      <c r="C357" s="643"/>
      <c r="D357" s="647"/>
      <c r="E357" s="647"/>
      <c r="F357" s="647"/>
      <c r="G357" s="643"/>
      <c r="H357" s="646"/>
      <c r="I357" s="646"/>
      <c r="J357" s="643"/>
      <c r="K357" s="643"/>
    </row>
    <row r="358" spans="1:11" ht="15" x14ac:dyDescent="0.25">
      <c r="A358" s="645"/>
      <c r="B358" s="643"/>
      <c r="C358" s="643"/>
      <c r="D358" s="647"/>
      <c r="E358" s="647"/>
      <c r="F358" s="647"/>
      <c r="G358" s="643"/>
      <c r="H358" s="646"/>
      <c r="I358" s="646"/>
      <c r="J358" s="643"/>
      <c r="K358" s="643"/>
    </row>
    <row r="359" spans="1:11" ht="15" x14ac:dyDescent="0.25">
      <c r="A359" s="645"/>
      <c r="B359" s="643"/>
      <c r="C359" s="643"/>
      <c r="D359" s="647"/>
      <c r="E359" s="647"/>
      <c r="F359" s="647"/>
      <c r="G359" s="643"/>
      <c r="H359" s="646"/>
      <c r="I359" s="646"/>
      <c r="J359" s="643"/>
      <c r="K359" s="643"/>
    </row>
    <row r="360" spans="1:11" ht="15" x14ac:dyDescent="0.25">
      <c r="A360" s="645"/>
      <c r="B360" s="643"/>
      <c r="C360" s="643"/>
      <c r="D360" s="647"/>
      <c r="E360" s="647"/>
      <c r="F360" s="647"/>
      <c r="G360" s="643"/>
      <c r="H360" s="646"/>
      <c r="I360" s="646"/>
      <c r="J360" s="643"/>
      <c r="K360" s="643"/>
    </row>
    <row r="361" spans="1:11" ht="15" x14ac:dyDescent="0.25">
      <c r="A361" s="645"/>
      <c r="B361" s="643"/>
      <c r="C361" s="643"/>
      <c r="D361" s="647"/>
      <c r="E361" s="647"/>
      <c r="F361" s="647"/>
      <c r="G361" s="643"/>
      <c r="H361" s="646"/>
      <c r="I361" s="646"/>
      <c r="J361" s="643"/>
      <c r="K361" s="643"/>
    </row>
    <row r="362" spans="1:11" ht="15" x14ac:dyDescent="0.25">
      <c r="A362" s="645"/>
      <c r="B362" s="643"/>
      <c r="C362" s="643"/>
      <c r="D362" s="647"/>
      <c r="E362" s="647"/>
      <c r="F362" s="647"/>
      <c r="G362" s="643"/>
      <c r="H362" s="646"/>
      <c r="I362" s="646"/>
      <c r="J362" s="643"/>
      <c r="K362" s="643"/>
    </row>
    <row r="363" spans="1:11" ht="15" x14ac:dyDescent="0.25">
      <c r="A363" s="645"/>
      <c r="B363" s="643"/>
      <c r="C363" s="643"/>
      <c r="D363" s="647"/>
      <c r="E363" s="647"/>
      <c r="F363" s="647"/>
      <c r="G363" s="643"/>
      <c r="H363" s="646"/>
      <c r="I363" s="646"/>
      <c r="J363" s="643"/>
      <c r="K363" s="643"/>
    </row>
    <row r="364" spans="1:11" ht="15" x14ac:dyDescent="0.25">
      <c r="A364" s="645"/>
      <c r="B364" s="643"/>
      <c r="C364" s="643"/>
      <c r="D364" s="647"/>
      <c r="E364" s="647"/>
      <c r="F364" s="647"/>
      <c r="G364" s="643"/>
      <c r="H364" s="646"/>
      <c r="I364" s="646"/>
      <c r="J364" s="643"/>
      <c r="K364" s="643"/>
    </row>
    <row r="365" spans="1:11" ht="15" x14ac:dyDescent="0.25">
      <c r="A365" s="645"/>
      <c r="B365" s="643"/>
      <c r="C365" s="643"/>
      <c r="D365" s="647"/>
      <c r="E365" s="647"/>
      <c r="F365" s="647"/>
      <c r="G365" s="643"/>
      <c r="H365" s="646"/>
      <c r="I365" s="646"/>
      <c r="J365" s="643"/>
      <c r="K365" s="643"/>
    </row>
    <row r="366" spans="1:11" ht="15" x14ac:dyDescent="0.25">
      <c r="A366" s="645"/>
      <c r="B366" s="643"/>
      <c r="C366" s="643"/>
      <c r="D366" s="647"/>
      <c r="E366" s="647"/>
      <c r="F366" s="647"/>
      <c r="G366" s="643"/>
      <c r="H366" s="646"/>
      <c r="I366" s="646"/>
      <c r="J366" s="643"/>
      <c r="K366" s="643"/>
    </row>
    <row r="367" spans="1:11" ht="15" x14ac:dyDescent="0.25">
      <c r="A367" s="645"/>
      <c r="B367" s="643"/>
      <c r="C367" s="643"/>
      <c r="D367" s="647"/>
      <c r="E367" s="647"/>
      <c r="F367" s="647"/>
      <c r="G367" s="643"/>
      <c r="H367" s="646"/>
      <c r="I367" s="646"/>
      <c r="J367" s="643"/>
      <c r="K367" s="643"/>
    </row>
    <row r="368" spans="1:11" ht="15" x14ac:dyDescent="0.25">
      <c r="A368" s="645"/>
      <c r="B368" s="643"/>
      <c r="C368" s="643"/>
      <c r="D368" s="647"/>
      <c r="E368" s="647"/>
      <c r="F368" s="647"/>
      <c r="G368" s="643"/>
      <c r="H368" s="646"/>
      <c r="I368" s="646"/>
      <c r="J368" s="643"/>
      <c r="K368" s="643"/>
    </row>
    <row r="369" spans="1:11" ht="15" x14ac:dyDescent="0.25">
      <c r="A369" s="645"/>
      <c r="B369" s="643"/>
      <c r="C369" s="643"/>
      <c r="D369" s="647"/>
      <c r="E369" s="647"/>
      <c r="F369" s="647"/>
      <c r="G369" s="643"/>
      <c r="H369" s="646"/>
      <c r="I369" s="646"/>
      <c r="J369" s="643"/>
      <c r="K369" s="643"/>
    </row>
    <row r="370" spans="1:11" ht="15" x14ac:dyDescent="0.25">
      <c r="A370" s="645"/>
      <c r="B370" s="643"/>
      <c r="C370" s="643"/>
      <c r="D370" s="647"/>
      <c r="E370" s="647"/>
      <c r="F370" s="647"/>
      <c r="G370" s="643"/>
      <c r="H370" s="646"/>
      <c r="I370" s="646"/>
      <c r="J370" s="643"/>
      <c r="K370" s="643"/>
    </row>
    <row r="371" spans="1:11" ht="15" x14ac:dyDescent="0.25">
      <c r="A371" s="645"/>
      <c r="B371" s="643"/>
      <c r="C371" s="643"/>
      <c r="D371" s="647"/>
      <c r="E371" s="647"/>
      <c r="F371" s="647"/>
      <c r="G371" s="643"/>
      <c r="H371" s="646"/>
      <c r="I371" s="646"/>
      <c r="J371" s="643"/>
      <c r="K371" s="643"/>
    </row>
    <row r="372" spans="1:11" ht="15" x14ac:dyDescent="0.25">
      <c r="A372" s="645"/>
      <c r="B372" s="643"/>
      <c r="C372" s="643"/>
      <c r="D372" s="647"/>
      <c r="E372" s="647"/>
      <c r="F372" s="647"/>
      <c r="G372" s="643"/>
      <c r="H372" s="646"/>
      <c r="I372" s="646"/>
      <c r="J372" s="643"/>
      <c r="K372" s="643"/>
    </row>
    <row r="373" spans="1:11" ht="15" x14ac:dyDescent="0.25">
      <c r="A373" s="645"/>
      <c r="B373" s="643"/>
      <c r="C373" s="643"/>
      <c r="D373" s="647"/>
      <c r="E373" s="647"/>
      <c r="F373" s="647"/>
      <c r="G373" s="643"/>
      <c r="H373" s="646"/>
      <c r="I373" s="646"/>
      <c r="J373" s="643"/>
      <c r="K373" s="643"/>
    </row>
    <row r="374" spans="1:11" ht="15" x14ac:dyDescent="0.25">
      <c r="A374" s="645"/>
      <c r="B374" s="643"/>
      <c r="C374" s="643"/>
      <c r="D374" s="647"/>
      <c r="E374" s="647"/>
      <c r="F374" s="647"/>
      <c r="G374" s="643"/>
      <c r="H374" s="646"/>
      <c r="I374" s="646"/>
      <c r="J374" s="643"/>
      <c r="K374" s="643"/>
    </row>
    <row r="375" spans="1:11" ht="15" x14ac:dyDescent="0.25">
      <c r="A375" s="645"/>
      <c r="B375" s="643"/>
      <c r="C375" s="643"/>
      <c r="D375" s="647"/>
      <c r="E375" s="647"/>
      <c r="F375" s="647"/>
      <c r="G375" s="643"/>
      <c r="H375" s="646"/>
      <c r="I375" s="646"/>
      <c r="J375" s="643"/>
      <c r="K375" s="643"/>
    </row>
    <row r="376" spans="1:11" ht="15" x14ac:dyDescent="0.25">
      <c r="A376" s="645"/>
      <c r="B376" s="643"/>
      <c r="C376" s="643"/>
      <c r="D376" s="647"/>
      <c r="E376" s="647"/>
      <c r="F376" s="647"/>
      <c r="G376" s="643"/>
      <c r="H376" s="646"/>
      <c r="I376" s="646"/>
      <c r="J376" s="643"/>
      <c r="K376" s="643"/>
    </row>
    <row r="377" spans="1:11" ht="15" x14ac:dyDescent="0.25">
      <c r="A377" s="645"/>
      <c r="B377" s="643"/>
      <c r="C377" s="643"/>
      <c r="D377" s="647"/>
      <c r="E377" s="647"/>
      <c r="F377" s="647"/>
      <c r="G377" s="643"/>
      <c r="H377" s="646"/>
      <c r="I377" s="646"/>
      <c r="J377" s="643"/>
      <c r="K377" s="643"/>
    </row>
    <row r="378" spans="1:11" ht="15" x14ac:dyDescent="0.25">
      <c r="A378" s="645"/>
      <c r="B378" s="643"/>
      <c r="C378" s="643"/>
      <c r="D378" s="647"/>
      <c r="E378" s="647"/>
      <c r="F378" s="647"/>
      <c r="G378" s="643"/>
      <c r="H378" s="646"/>
      <c r="I378" s="646"/>
      <c r="J378" s="643"/>
      <c r="K378" s="643"/>
    </row>
    <row r="379" spans="1:11" ht="15" x14ac:dyDescent="0.25">
      <c r="A379" s="645"/>
      <c r="B379" s="643"/>
      <c r="C379" s="643"/>
      <c r="D379" s="647"/>
      <c r="E379" s="647"/>
      <c r="F379" s="647"/>
      <c r="G379" s="643"/>
      <c r="H379" s="646"/>
      <c r="I379" s="646"/>
      <c r="J379" s="643"/>
      <c r="K379" s="643"/>
    </row>
    <row r="380" spans="1:11" ht="15" x14ac:dyDescent="0.25">
      <c r="A380" s="645"/>
      <c r="B380" s="643"/>
      <c r="C380" s="643"/>
      <c r="D380" s="647"/>
      <c r="E380" s="647"/>
      <c r="F380" s="647"/>
      <c r="G380" s="643"/>
      <c r="H380" s="646"/>
      <c r="I380" s="646"/>
      <c r="J380" s="643"/>
      <c r="K380" s="643"/>
    </row>
    <row r="381" spans="1:11" ht="15" x14ac:dyDescent="0.25">
      <c r="A381" s="645"/>
      <c r="B381" s="643"/>
      <c r="C381" s="643"/>
      <c r="D381" s="647"/>
      <c r="E381" s="647"/>
      <c r="F381" s="647"/>
      <c r="G381" s="643"/>
      <c r="H381" s="646"/>
      <c r="I381" s="646"/>
      <c r="J381" s="643"/>
      <c r="K381" s="643"/>
    </row>
    <row r="382" spans="1:11" ht="15" x14ac:dyDescent="0.25">
      <c r="A382" s="645"/>
      <c r="B382" s="643"/>
      <c r="C382" s="643"/>
      <c r="D382" s="647"/>
      <c r="E382" s="647"/>
      <c r="F382" s="647"/>
      <c r="G382" s="643"/>
      <c r="H382" s="646"/>
      <c r="I382" s="646"/>
      <c r="J382" s="643"/>
      <c r="K382" s="643"/>
    </row>
    <row r="383" spans="1:11" ht="15" x14ac:dyDescent="0.25">
      <c r="A383" s="645"/>
      <c r="B383" s="643"/>
      <c r="C383" s="643"/>
      <c r="D383" s="647"/>
      <c r="E383" s="647"/>
      <c r="F383" s="647"/>
      <c r="G383" s="643"/>
      <c r="H383" s="646"/>
      <c r="I383" s="646"/>
      <c r="J383" s="643"/>
      <c r="K383" s="643"/>
    </row>
    <row r="384" spans="1:11" ht="15" x14ac:dyDescent="0.25">
      <c r="A384" s="645"/>
      <c r="B384" s="643"/>
      <c r="C384" s="643"/>
      <c r="D384" s="647"/>
      <c r="E384" s="647"/>
      <c r="F384" s="647"/>
      <c r="G384" s="643"/>
      <c r="H384" s="646"/>
      <c r="I384" s="646"/>
      <c r="J384" s="643"/>
      <c r="K384" s="643"/>
    </row>
    <row r="385" spans="1:11" ht="15" x14ac:dyDescent="0.25">
      <c r="A385" s="645"/>
      <c r="B385" s="643"/>
      <c r="C385" s="643"/>
      <c r="D385" s="647"/>
      <c r="E385" s="647"/>
      <c r="F385" s="647"/>
      <c r="G385" s="643"/>
      <c r="H385" s="646"/>
      <c r="I385" s="646"/>
      <c r="J385" s="643"/>
      <c r="K385" s="643"/>
    </row>
    <row r="386" spans="1:11" ht="15" x14ac:dyDescent="0.25">
      <c r="A386" s="645"/>
      <c r="B386" s="643"/>
      <c r="C386" s="643"/>
      <c r="D386" s="647"/>
      <c r="E386" s="647"/>
      <c r="F386" s="647"/>
      <c r="G386" s="643"/>
      <c r="H386" s="646"/>
      <c r="I386" s="646"/>
      <c r="J386" s="643"/>
      <c r="K386" s="643"/>
    </row>
    <row r="387" spans="1:11" ht="15" x14ac:dyDescent="0.25">
      <c r="A387" s="645"/>
      <c r="B387" s="643"/>
      <c r="C387" s="643"/>
      <c r="D387" s="647"/>
      <c r="E387" s="647"/>
      <c r="F387" s="647"/>
      <c r="G387" s="643"/>
      <c r="H387" s="646"/>
      <c r="I387" s="646"/>
      <c r="J387" s="643"/>
      <c r="K387" s="643"/>
    </row>
    <row r="388" spans="1:11" ht="15" x14ac:dyDescent="0.25">
      <c r="A388" s="645"/>
      <c r="B388" s="643"/>
      <c r="C388" s="643"/>
      <c r="D388" s="647"/>
      <c r="E388" s="647"/>
      <c r="F388" s="647"/>
      <c r="G388" s="643"/>
      <c r="H388" s="646"/>
      <c r="I388" s="646"/>
      <c r="J388" s="643"/>
      <c r="K388" s="643"/>
    </row>
    <row r="389" spans="1:11" ht="15" x14ac:dyDescent="0.25">
      <c r="A389" s="645"/>
      <c r="B389" s="643"/>
      <c r="C389" s="643"/>
      <c r="D389" s="647"/>
      <c r="E389" s="647"/>
      <c r="F389" s="647"/>
      <c r="G389" s="643"/>
      <c r="H389" s="646"/>
      <c r="I389" s="646"/>
      <c r="J389" s="643"/>
      <c r="K389" s="643"/>
    </row>
    <row r="390" spans="1:11" ht="15" x14ac:dyDescent="0.25">
      <c r="A390" s="645"/>
      <c r="B390" s="643"/>
      <c r="C390" s="643"/>
      <c r="D390" s="647"/>
      <c r="E390" s="647"/>
      <c r="F390" s="647"/>
      <c r="G390" s="643"/>
      <c r="H390" s="646"/>
      <c r="I390" s="646"/>
      <c r="J390" s="643"/>
      <c r="K390" s="643"/>
    </row>
    <row r="391" spans="1:11" ht="15" x14ac:dyDescent="0.25">
      <c r="A391" s="645"/>
      <c r="B391" s="643"/>
      <c r="C391" s="643"/>
      <c r="D391" s="647"/>
      <c r="E391" s="647"/>
      <c r="F391" s="647"/>
      <c r="G391" s="643"/>
      <c r="H391" s="646"/>
      <c r="I391" s="646"/>
      <c r="J391" s="643"/>
      <c r="K391" s="643"/>
    </row>
    <row r="392" spans="1:11" ht="15" x14ac:dyDescent="0.25">
      <c r="A392" s="645"/>
      <c r="B392" s="643"/>
      <c r="C392" s="643"/>
      <c r="D392" s="647"/>
      <c r="E392" s="647"/>
      <c r="F392" s="647"/>
      <c r="G392" s="643"/>
      <c r="H392" s="646"/>
      <c r="I392" s="646"/>
      <c r="J392" s="643"/>
      <c r="K392" s="643"/>
    </row>
    <row r="393" spans="1:11" ht="15" x14ac:dyDescent="0.25">
      <c r="A393" s="645"/>
      <c r="B393" s="643"/>
      <c r="C393" s="643"/>
      <c r="D393" s="647"/>
      <c r="E393" s="647"/>
      <c r="F393" s="647"/>
      <c r="G393" s="643"/>
      <c r="H393" s="646"/>
      <c r="I393" s="646"/>
      <c r="J393" s="643"/>
      <c r="K393" s="643"/>
    </row>
    <row r="394" spans="1:11" ht="15" x14ac:dyDescent="0.25">
      <c r="A394" s="645"/>
      <c r="B394" s="643"/>
      <c r="C394" s="643"/>
      <c r="D394" s="647"/>
      <c r="E394" s="647"/>
      <c r="F394" s="647"/>
      <c r="G394" s="643"/>
      <c r="H394" s="646"/>
      <c r="I394" s="646"/>
      <c r="J394" s="643"/>
      <c r="K394" s="643"/>
    </row>
    <row r="395" spans="1:11" ht="15" x14ac:dyDescent="0.25">
      <c r="A395" s="645"/>
      <c r="B395" s="643"/>
      <c r="C395" s="643"/>
      <c r="D395" s="647"/>
      <c r="E395" s="647"/>
      <c r="F395" s="647"/>
      <c r="G395" s="643"/>
      <c r="H395" s="646"/>
      <c r="I395" s="646"/>
      <c r="J395" s="643"/>
      <c r="K395" s="643"/>
    </row>
    <row r="396" spans="1:11" ht="15" x14ac:dyDescent="0.25">
      <c r="A396" s="645"/>
      <c r="B396" s="643"/>
      <c r="C396" s="643"/>
      <c r="D396" s="647"/>
      <c r="E396" s="647"/>
      <c r="F396" s="647"/>
      <c r="G396" s="643"/>
      <c r="H396" s="646"/>
      <c r="I396" s="646"/>
      <c r="J396" s="643"/>
      <c r="K396" s="643"/>
    </row>
    <row r="397" spans="1:11" ht="15" x14ac:dyDescent="0.25">
      <c r="A397" s="645"/>
      <c r="B397" s="643"/>
      <c r="C397" s="643"/>
      <c r="D397" s="647"/>
      <c r="E397" s="647"/>
      <c r="F397" s="647"/>
      <c r="G397" s="643"/>
      <c r="H397" s="646"/>
      <c r="I397" s="646"/>
      <c r="J397" s="643"/>
      <c r="K397" s="643"/>
    </row>
    <row r="398" spans="1:11" ht="15" x14ac:dyDescent="0.25">
      <c r="A398" s="645"/>
      <c r="B398" s="643"/>
      <c r="C398" s="643"/>
      <c r="D398" s="647"/>
      <c r="E398" s="647"/>
      <c r="F398" s="647"/>
      <c r="G398" s="643"/>
      <c r="H398" s="646"/>
      <c r="I398" s="646"/>
      <c r="J398" s="643"/>
      <c r="K398" s="643"/>
    </row>
    <row r="399" spans="1:11" ht="15" x14ac:dyDescent="0.25">
      <c r="A399" s="645"/>
      <c r="B399" s="643"/>
      <c r="C399" s="643"/>
      <c r="D399" s="647"/>
      <c r="E399" s="647"/>
      <c r="F399" s="647"/>
      <c r="G399" s="643"/>
      <c r="H399" s="646"/>
      <c r="I399" s="646"/>
      <c r="J399" s="643"/>
      <c r="K399" s="643"/>
    </row>
    <row r="400" spans="1:11" ht="15" x14ac:dyDescent="0.25">
      <c r="A400" s="645"/>
      <c r="B400" s="643"/>
      <c r="C400" s="643"/>
      <c r="D400" s="647"/>
      <c r="E400" s="647"/>
      <c r="F400" s="647"/>
      <c r="G400" s="643"/>
      <c r="H400" s="646"/>
      <c r="I400" s="646"/>
      <c r="J400" s="643"/>
      <c r="K400" s="643"/>
    </row>
    <row r="401" spans="1:11" ht="15" x14ac:dyDescent="0.25">
      <c r="A401" s="645"/>
      <c r="B401" s="643"/>
      <c r="C401" s="643"/>
      <c r="D401" s="647"/>
      <c r="E401" s="647"/>
      <c r="F401" s="647"/>
      <c r="G401" s="643"/>
      <c r="H401" s="646"/>
      <c r="I401" s="646"/>
      <c r="J401" s="643"/>
      <c r="K401" s="643"/>
    </row>
    <row r="402" spans="1:11" ht="15" x14ac:dyDescent="0.25">
      <c r="A402" s="645"/>
      <c r="B402" s="643"/>
      <c r="C402" s="643"/>
      <c r="D402" s="647"/>
      <c r="E402" s="647"/>
      <c r="F402" s="647"/>
      <c r="G402" s="643"/>
      <c r="H402" s="646"/>
      <c r="I402" s="646"/>
      <c r="J402" s="643"/>
      <c r="K402" s="643"/>
    </row>
    <row r="403" spans="1:11" ht="15" x14ac:dyDescent="0.25">
      <c r="A403" s="645"/>
      <c r="B403" s="643"/>
      <c r="C403" s="643"/>
      <c r="D403" s="647"/>
      <c r="E403" s="647"/>
      <c r="F403" s="647"/>
      <c r="G403" s="643"/>
      <c r="H403" s="646"/>
      <c r="I403" s="646"/>
      <c r="J403" s="643"/>
      <c r="K403" s="643"/>
    </row>
    <row r="404" spans="1:11" ht="15" x14ac:dyDescent="0.25">
      <c r="A404" s="645"/>
      <c r="B404" s="643"/>
      <c r="C404" s="643"/>
      <c r="D404" s="647"/>
      <c r="E404" s="647"/>
      <c r="F404" s="647"/>
      <c r="G404" s="643"/>
      <c r="H404" s="646"/>
      <c r="I404" s="646"/>
      <c r="J404" s="643"/>
      <c r="K404" s="643"/>
    </row>
    <row r="405" spans="1:11" ht="15" x14ac:dyDescent="0.25">
      <c r="A405" s="645"/>
      <c r="B405" s="643"/>
      <c r="C405" s="643"/>
      <c r="D405" s="647"/>
      <c r="E405" s="647"/>
      <c r="F405" s="647"/>
      <c r="G405" s="643"/>
      <c r="H405" s="646"/>
      <c r="I405" s="646"/>
      <c r="J405" s="643"/>
      <c r="K405" s="643"/>
    </row>
    <row r="406" spans="1:11" ht="15" x14ac:dyDescent="0.25">
      <c r="A406" s="645"/>
      <c r="B406" s="643"/>
      <c r="C406" s="643"/>
      <c r="D406" s="647"/>
      <c r="E406" s="647"/>
      <c r="F406" s="647"/>
      <c r="G406" s="643"/>
      <c r="H406" s="646"/>
      <c r="I406" s="646"/>
      <c r="J406" s="643"/>
      <c r="K406" s="643"/>
    </row>
    <row r="407" spans="1:11" ht="15" x14ac:dyDescent="0.25">
      <c r="A407" s="645"/>
      <c r="B407" s="643"/>
      <c r="C407" s="643"/>
      <c r="D407" s="647"/>
      <c r="E407" s="647"/>
      <c r="F407" s="647"/>
      <c r="G407" s="643"/>
      <c r="H407" s="646"/>
      <c r="I407" s="646"/>
      <c r="J407" s="643"/>
      <c r="K407" s="643"/>
    </row>
    <row r="408" spans="1:11" ht="15" x14ac:dyDescent="0.25">
      <c r="A408" s="645"/>
      <c r="B408" s="643"/>
      <c r="C408" s="643"/>
      <c r="D408" s="647"/>
      <c r="E408" s="647"/>
      <c r="F408" s="647"/>
      <c r="G408" s="643"/>
      <c r="H408" s="646"/>
      <c r="I408" s="646"/>
      <c r="J408" s="643"/>
      <c r="K408" s="643"/>
    </row>
    <row r="409" spans="1:11" ht="15" x14ac:dyDescent="0.25">
      <c r="A409" s="645"/>
      <c r="B409" s="643"/>
      <c r="C409" s="643"/>
      <c r="D409" s="647"/>
      <c r="E409" s="647"/>
      <c r="F409" s="647"/>
      <c r="G409" s="643"/>
      <c r="H409" s="646"/>
      <c r="I409" s="646"/>
      <c r="J409" s="643"/>
      <c r="K409" s="643"/>
    </row>
    <row r="410" spans="1:11" ht="15" x14ac:dyDescent="0.25">
      <c r="A410" s="645"/>
      <c r="B410" s="643"/>
      <c r="C410" s="643"/>
      <c r="D410" s="647"/>
      <c r="E410" s="647"/>
      <c r="F410" s="647"/>
      <c r="G410" s="643"/>
      <c r="H410" s="646"/>
      <c r="I410" s="646"/>
      <c r="J410" s="643"/>
      <c r="K410" s="643"/>
    </row>
    <row r="411" spans="1:11" ht="15" x14ac:dyDescent="0.25">
      <c r="A411" s="645"/>
      <c r="B411" s="643"/>
      <c r="C411" s="643"/>
      <c r="D411" s="647"/>
      <c r="E411" s="647"/>
      <c r="F411" s="647"/>
      <c r="G411" s="643"/>
      <c r="H411" s="646"/>
      <c r="I411" s="646"/>
      <c r="J411" s="643"/>
      <c r="K411" s="643"/>
    </row>
    <row r="412" spans="1:11" ht="15" x14ac:dyDescent="0.25">
      <c r="A412" s="645"/>
      <c r="B412" s="643"/>
      <c r="C412" s="643"/>
      <c r="D412" s="647"/>
      <c r="E412" s="647"/>
      <c r="F412" s="647"/>
      <c r="G412" s="643"/>
      <c r="H412" s="646"/>
      <c r="I412" s="646"/>
      <c r="J412" s="643"/>
      <c r="K412" s="643"/>
    </row>
    <row r="413" spans="1:11" ht="15" x14ac:dyDescent="0.25">
      <c r="A413" s="645"/>
      <c r="B413" s="643"/>
      <c r="C413" s="643"/>
      <c r="D413" s="647"/>
      <c r="E413" s="647"/>
      <c r="F413" s="647"/>
      <c r="G413" s="643"/>
      <c r="H413" s="646"/>
      <c r="I413" s="646"/>
      <c r="J413" s="643"/>
      <c r="K413" s="643"/>
    </row>
    <row r="414" spans="1:11" ht="15" x14ac:dyDescent="0.25">
      <c r="A414" s="645"/>
      <c r="B414" s="643"/>
      <c r="C414" s="643"/>
      <c r="D414" s="647"/>
      <c r="E414" s="647"/>
      <c r="F414" s="647"/>
      <c r="G414" s="643"/>
      <c r="H414" s="646"/>
      <c r="I414" s="646"/>
      <c r="J414" s="643"/>
      <c r="K414" s="643"/>
    </row>
    <row r="415" spans="1:11" ht="15" x14ac:dyDescent="0.25">
      <c r="A415" s="645"/>
      <c r="B415" s="643"/>
      <c r="C415" s="643"/>
      <c r="D415" s="647"/>
      <c r="E415" s="647"/>
      <c r="F415" s="647"/>
      <c r="G415" s="643"/>
      <c r="H415" s="646"/>
      <c r="I415" s="646"/>
      <c r="J415" s="643"/>
      <c r="K415" s="643"/>
    </row>
    <row r="416" spans="1:11" ht="15" x14ac:dyDescent="0.25">
      <c r="A416" s="645"/>
      <c r="B416" s="643"/>
      <c r="C416" s="643"/>
      <c r="D416" s="647"/>
      <c r="E416" s="647"/>
      <c r="F416" s="647"/>
      <c r="G416" s="643"/>
      <c r="H416" s="646"/>
      <c r="I416" s="646"/>
      <c r="J416" s="643"/>
      <c r="K416" s="643"/>
    </row>
    <row r="417" spans="1:11" ht="15" x14ac:dyDescent="0.25">
      <c r="A417" s="645"/>
      <c r="B417" s="643"/>
      <c r="C417" s="643"/>
      <c r="D417" s="647"/>
      <c r="E417" s="647"/>
      <c r="F417" s="647"/>
      <c r="G417" s="643"/>
      <c r="H417" s="646"/>
      <c r="I417" s="646"/>
      <c r="J417" s="643"/>
      <c r="K417" s="643"/>
    </row>
    <row r="418" spans="1:11" ht="15" x14ac:dyDescent="0.25">
      <c r="A418" s="645"/>
      <c r="B418" s="643"/>
      <c r="C418" s="643"/>
      <c r="D418" s="647"/>
      <c r="E418" s="647"/>
      <c r="F418" s="647"/>
      <c r="G418" s="643"/>
      <c r="H418" s="646"/>
      <c r="I418" s="646"/>
      <c r="J418" s="643"/>
      <c r="K418" s="643"/>
    </row>
    <row r="419" spans="1:11" ht="15" x14ac:dyDescent="0.25">
      <c r="A419" s="645"/>
      <c r="B419" s="643"/>
      <c r="C419" s="643"/>
      <c r="D419" s="647"/>
      <c r="E419" s="647"/>
      <c r="F419" s="647"/>
      <c r="G419" s="643"/>
      <c r="H419" s="646"/>
      <c r="I419" s="646"/>
      <c r="J419" s="643"/>
      <c r="K419" s="643"/>
    </row>
    <row r="420" spans="1:11" ht="15" x14ac:dyDescent="0.25">
      <c r="A420" s="645"/>
      <c r="B420" s="643"/>
      <c r="C420" s="643"/>
      <c r="D420" s="647"/>
      <c r="E420" s="647"/>
      <c r="F420" s="647"/>
      <c r="G420" s="643"/>
      <c r="H420" s="646"/>
      <c r="I420" s="646"/>
      <c r="J420" s="643"/>
      <c r="K420" s="643"/>
    </row>
    <row r="421" spans="1:11" ht="15" x14ac:dyDescent="0.25">
      <c r="A421" s="645"/>
      <c r="B421" s="643"/>
      <c r="C421" s="643"/>
      <c r="D421" s="647"/>
      <c r="E421" s="647"/>
      <c r="F421" s="647"/>
      <c r="G421" s="643"/>
      <c r="H421" s="646"/>
      <c r="I421" s="646"/>
      <c r="J421" s="643"/>
      <c r="K421" s="643"/>
    </row>
    <row r="422" spans="1:11" ht="15" x14ac:dyDescent="0.25">
      <c r="A422" s="645"/>
      <c r="B422" s="643"/>
      <c r="C422" s="643"/>
      <c r="D422" s="647"/>
      <c r="E422" s="647"/>
      <c r="F422" s="647"/>
      <c r="G422" s="643"/>
      <c r="H422" s="646"/>
      <c r="I422" s="646"/>
      <c r="J422" s="643"/>
      <c r="K422" s="643"/>
    </row>
    <row r="423" spans="1:11" ht="15" x14ac:dyDescent="0.25">
      <c r="A423" s="645"/>
      <c r="B423" s="643"/>
      <c r="C423" s="643"/>
      <c r="D423" s="647"/>
      <c r="E423" s="647"/>
      <c r="F423" s="647"/>
      <c r="G423" s="643"/>
      <c r="H423" s="646"/>
      <c r="I423" s="646"/>
      <c r="J423" s="643"/>
      <c r="K423" s="643"/>
    </row>
    <row r="424" spans="1:11" ht="15" x14ac:dyDescent="0.25">
      <c r="A424" s="645"/>
      <c r="B424" s="643"/>
      <c r="C424" s="643"/>
      <c r="D424" s="647"/>
      <c r="E424" s="647"/>
      <c r="F424" s="647"/>
      <c r="G424" s="643"/>
      <c r="H424" s="646"/>
      <c r="I424" s="646"/>
      <c r="J424" s="643"/>
      <c r="K424" s="643"/>
    </row>
    <row r="425" spans="1:11" ht="15" x14ac:dyDescent="0.25">
      <c r="A425" s="645"/>
      <c r="B425" s="643"/>
      <c r="C425" s="643"/>
      <c r="D425" s="647"/>
      <c r="E425" s="647"/>
      <c r="F425" s="647"/>
      <c r="G425" s="643"/>
      <c r="H425" s="646"/>
      <c r="I425" s="646"/>
      <c r="J425" s="643"/>
      <c r="K425" s="643"/>
    </row>
    <row r="426" spans="1:11" ht="15" x14ac:dyDescent="0.25">
      <c r="A426" s="645"/>
      <c r="B426" s="643"/>
      <c r="C426" s="643"/>
      <c r="D426" s="647"/>
      <c r="E426" s="647"/>
      <c r="F426" s="647"/>
      <c r="G426" s="643"/>
      <c r="H426" s="646"/>
      <c r="I426" s="646"/>
      <c r="J426" s="643"/>
      <c r="K426" s="643"/>
    </row>
    <row r="427" spans="1:11" ht="15" x14ac:dyDescent="0.25">
      <c r="A427" s="645"/>
      <c r="B427" s="643"/>
      <c r="C427" s="643"/>
      <c r="D427" s="647"/>
      <c r="E427" s="647"/>
      <c r="F427" s="647"/>
      <c r="G427" s="643"/>
      <c r="H427" s="646"/>
      <c r="I427" s="646"/>
      <c r="J427" s="643"/>
      <c r="K427" s="643"/>
    </row>
    <row r="428" spans="1:11" ht="15" x14ac:dyDescent="0.25">
      <c r="A428" s="645"/>
      <c r="B428" s="643"/>
      <c r="C428" s="643"/>
      <c r="D428" s="647"/>
      <c r="E428" s="647"/>
      <c r="F428" s="647"/>
      <c r="G428" s="643"/>
      <c r="H428" s="646"/>
      <c r="I428" s="646"/>
      <c r="J428" s="643"/>
      <c r="K428" s="643"/>
    </row>
    <row r="429" spans="1:11" ht="15" x14ac:dyDescent="0.25">
      <c r="A429" s="645"/>
      <c r="B429" s="643"/>
      <c r="C429" s="643"/>
      <c r="D429" s="647"/>
      <c r="E429" s="647"/>
      <c r="F429" s="647"/>
      <c r="G429" s="643"/>
      <c r="H429" s="646"/>
      <c r="I429" s="646"/>
      <c r="J429" s="643"/>
      <c r="K429" s="643"/>
    </row>
    <row r="430" spans="1:11" ht="15" x14ac:dyDescent="0.25">
      <c r="A430" s="645"/>
      <c r="B430" s="643"/>
      <c r="C430" s="643"/>
      <c r="D430" s="647"/>
      <c r="E430" s="647"/>
      <c r="F430" s="647"/>
      <c r="G430" s="643"/>
      <c r="H430" s="646"/>
      <c r="I430" s="646"/>
      <c r="J430" s="643"/>
      <c r="K430" s="643"/>
    </row>
    <row r="431" spans="1:11" x14ac:dyDescent="0.25">
      <c r="A431" s="648"/>
      <c r="B431" s="647"/>
      <c r="C431" s="647"/>
      <c r="D431" s="647"/>
      <c r="E431" s="647"/>
      <c r="F431" s="647"/>
      <c r="G431" s="647"/>
      <c r="H431" s="649"/>
      <c r="I431" s="649"/>
      <c r="J431" s="647"/>
      <c r="K431" s="647"/>
    </row>
    <row r="432" spans="1:11" x14ac:dyDescent="0.25">
      <c r="A432" s="648"/>
      <c r="B432" s="647"/>
      <c r="C432" s="647"/>
      <c r="D432" s="647"/>
      <c r="E432" s="647"/>
      <c r="F432" s="647"/>
      <c r="G432" s="647"/>
      <c r="H432" s="649"/>
      <c r="I432" s="649"/>
      <c r="J432" s="647"/>
      <c r="K432" s="647"/>
    </row>
    <row r="433" spans="1:11" x14ac:dyDescent="0.25">
      <c r="A433" s="648"/>
      <c r="B433" s="647"/>
      <c r="C433" s="647"/>
      <c r="D433" s="647"/>
      <c r="E433" s="647"/>
      <c r="F433" s="647"/>
      <c r="G433" s="647"/>
      <c r="H433" s="649"/>
      <c r="I433" s="649"/>
      <c r="J433" s="647"/>
      <c r="K433" s="647"/>
    </row>
    <row r="434" spans="1:11" x14ac:dyDescent="0.25">
      <c r="A434" s="648"/>
      <c r="B434" s="647"/>
      <c r="C434" s="647"/>
      <c r="D434" s="647"/>
      <c r="E434" s="647"/>
      <c r="F434" s="647"/>
      <c r="G434" s="647"/>
      <c r="H434" s="649"/>
      <c r="I434" s="649"/>
      <c r="J434" s="647"/>
      <c r="K434" s="647"/>
    </row>
    <row r="435" spans="1:11" x14ac:dyDescent="0.25">
      <c r="A435" s="648"/>
      <c r="B435" s="647"/>
      <c r="C435" s="647"/>
      <c r="D435" s="647"/>
      <c r="E435" s="647"/>
      <c r="F435" s="647"/>
      <c r="G435" s="647"/>
      <c r="H435" s="649"/>
      <c r="I435" s="649"/>
      <c r="J435" s="647"/>
      <c r="K435" s="647"/>
    </row>
    <row r="436" spans="1:11" x14ac:dyDescent="0.25">
      <c r="A436" s="648"/>
      <c r="B436" s="647"/>
      <c r="C436" s="647"/>
      <c r="D436" s="647"/>
      <c r="E436" s="647"/>
      <c r="F436" s="647"/>
      <c r="G436" s="647"/>
      <c r="H436" s="649"/>
      <c r="I436" s="649"/>
      <c r="J436" s="647"/>
      <c r="K436" s="647"/>
    </row>
    <row r="437" spans="1:11" x14ac:dyDescent="0.25">
      <c r="A437" s="648"/>
      <c r="B437" s="647"/>
      <c r="C437" s="647"/>
      <c r="D437" s="647"/>
      <c r="E437" s="647"/>
      <c r="F437" s="647"/>
      <c r="G437" s="647"/>
      <c r="H437" s="649"/>
      <c r="I437" s="649"/>
      <c r="J437" s="647"/>
      <c r="K437" s="647"/>
    </row>
    <row r="438" spans="1:11" x14ac:dyDescent="0.25">
      <c r="A438" s="648"/>
      <c r="B438" s="647"/>
      <c r="C438" s="647"/>
      <c r="D438" s="647"/>
      <c r="E438" s="647"/>
      <c r="F438" s="647"/>
      <c r="G438" s="647"/>
      <c r="H438" s="649"/>
      <c r="I438" s="649"/>
      <c r="J438" s="647"/>
      <c r="K438" s="647"/>
    </row>
    <row r="439" spans="1:11" x14ac:dyDescent="0.25">
      <c r="A439" s="648"/>
      <c r="B439" s="647"/>
      <c r="C439" s="647"/>
      <c r="D439" s="647"/>
      <c r="E439" s="647"/>
      <c r="F439" s="647"/>
      <c r="G439" s="647"/>
      <c r="H439" s="649"/>
      <c r="I439" s="649"/>
      <c r="J439" s="647"/>
      <c r="K439" s="647"/>
    </row>
    <row r="440" spans="1:11" x14ac:dyDescent="0.25">
      <c r="A440" s="648"/>
      <c r="B440" s="647"/>
      <c r="C440" s="647"/>
      <c r="D440" s="647"/>
      <c r="E440" s="647"/>
      <c r="F440" s="647"/>
      <c r="G440" s="647"/>
      <c r="H440" s="649"/>
      <c r="I440" s="649"/>
      <c r="J440" s="647"/>
      <c r="K440" s="647"/>
    </row>
    <row r="441" spans="1:11" x14ac:dyDescent="0.25">
      <c r="A441" s="648"/>
      <c r="B441" s="647"/>
      <c r="C441" s="647"/>
      <c r="D441" s="647"/>
      <c r="E441" s="647"/>
      <c r="F441" s="647"/>
      <c r="G441" s="647"/>
      <c r="H441" s="649"/>
      <c r="I441" s="649"/>
      <c r="J441" s="647"/>
      <c r="K441" s="647"/>
    </row>
    <row r="442" spans="1:11" x14ac:dyDescent="0.25">
      <c r="A442" s="648"/>
      <c r="B442" s="647"/>
      <c r="C442" s="647"/>
      <c r="D442" s="647"/>
      <c r="E442" s="647"/>
      <c r="F442" s="647"/>
      <c r="G442" s="647"/>
      <c r="H442" s="649"/>
      <c r="I442" s="649"/>
      <c r="J442" s="647"/>
      <c r="K442" s="647"/>
    </row>
    <row r="443" spans="1:11" x14ac:dyDescent="0.25">
      <c r="A443" s="648"/>
      <c r="B443" s="647"/>
      <c r="C443" s="647"/>
      <c r="D443" s="647"/>
      <c r="E443" s="647"/>
      <c r="F443" s="647"/>
      <c r="G443" s="647"/>
      <c r="H443" s="649"/>
      <c r="I443" s="649"/>
      <c r="J443" s="647"/>
      <c r="K443" s="647"/>
    </row>
    <row r="444" spans="1:11" x14ac:dyDescent="0.25">
      <c r="A444" s="648"/>
      <c r="B444" s="647"/>
      <c r="C444" s="647"/>
      <c r="D444" s="647"/>
      <c r="E444" s="647"/>
      <c r="F444" s="647"/>
      <c r="G444" s="647"/>
      <c r="H444" s="649"/>
      <c r="I444" s="649"/>
      <c r="J444" s="647"/>
      <c r="K444" s="647"/>
    </row>
    <row r="445" spans="1:11" x14ac:dyDescent="0.25">
      <c r="A445" s="648"/>
      <c r="B445" s="647"/>
      <c r="C445" s="647"/>
      <c r="D445" s="647"/>
      <c r="E445" s="647"/>
      <c r="F445" s="647"/>
      <c r="G445" s="647"/>
      <c r="H445" s="649"/>
      <c r="I445" s="649"/>
      <c r="J445" s="647"/>
      <c r="K445" s="647"/>
    </row>
    <row r="446" spans="1:11" x14ac:dyDescent="0.25">
      <c r="A446" s="648"/>
      <c r="B446" s="647"/>
      <c r="C446" s="647"/>
      <c r="D446" s="647"/>
      <c r="E446" s="647"/>
      <c r="F446" s="647"/>
      <c r="G446" s="647"/>
      <c r="H446" s="649"/>
      <c r="I446" s="649"/>
      <c r="J446" s="647"/>
      <c r="K446" s="647"/>
    </row>
    <row r="447" spans="1:11" x14ac:dyDescent="0.25">
      <c r="A447" s="648"/>
      <c r="B447" s="647"/>
      <c r="C447" s="647"/>
      <c r="D447" s="647"/>
      <c r="E447" s="647"/>
      <c r="F447" s="647"/>
      <c r="G447" s="647"/>
      <c r="H447" s="649"/>
      <c r="I447" s="649"/>
      <c r="J447" s="647"/>
      <c r="K447" s="647"/>
    </row>
    <row r="448" spans="1:11" x14ac:dyDescent="0.25">
      <c r="A448" s="648"/>
      <c r="B448" s="647"/>
      <c r="C448" s="647"/>
      <c r="D448" s="647"/>
      <c r="E448" s="647"/>
      <c r="F448" s="647"/>
      <c r="G448" s="647"/>
      <c r="H448" s="649"/>
      <c r="I448" s="649"/>
      <c r="J448" s="647"/>
      <c r="K448" s="647"/>
    </row>
    <row r="449" spans="1:11" x14ac:dyDescent="0.25">
      <c r="A449" s="648"/>
      <c r="B449" s="647"/>
      <c r="C449" s="647"/>
      <c r="D449" s="647"/>
      <c r="E449" s="647"/>
      <c r="F449" s="647"/>
      <c r="G449" s="647"/>
      <c r="H449" s="649"/>
      <c r="I449" s="649"/>
      <c r="J449" s="647"/>
      <c r="K449" s="647"/>
    </row>
    <row r="450" spans="1:11" x14ac:dyDescent="0.25">
      <c r="A450" s="648"/>
      <c r="B450" s="647"/>
      <c r="C450" s="647"/>
      <c r="D450" s="647"/>
      <c r="E450" s="647"/>
      <c r="F450" s="647"/>
      <c r="G450" s="647"/>
      <c r="H450" s="649"/>
      <c r="I450" s="649"/>
      <c r="J450" s="647"/>
      <c r="K450" s="647"/>
    </row>
    <row r="451" spans="1:11" x14ac:dyDescent="0.25">
      <c r="A451" s="648"/>
      <c r="B451" s="647"/>
      <c r="C451" s="647"/>
      <c r="D451" s="647"/>
      <c r="E451" s="647"/>
      <c r="F451" s="647"/>
      <c r="G451" s="647"/>
      <c r="H451" s="649"/>
      <c r="I451" s="649"/>
      <c r="J451" s="647"/>
      <c r="K451" s="647"/>
    </row>
    <row r="452" spans="1:11" x14ac:dyDescent="0.25">
      <c r="A452" s="648"/>
      <c r="B452" s="647"/>
      <c r="C452" s="647"/>
      <c r="D452" s="647"/>
      <c r="E452" s="647"/>
      <c r="F452" s="647"/>
      <c r="G452" s="647"/>
      <c r="H452" s="649"/>
      <c r="I452" s="649"/>
      <c r="J452" s="647"/>
      <c r="K452" s="647"/>
    </row>
    <row r="453" spans="1:11" x14ac:dyDescent="0.25">
      <c r="A453" s="648"/>
      <c r="B453" s="647"/>
      <c r="C453" s="647"/>
      <c r="D453" s="647"/>
      <c r="E453" s="647"/>
      <c r="F453" s="647"/>
      <c r="G453" s="647"/>
      <c r="H453" s="649"/>
      <c r="I453" s="649"/>
      <c r="J453" s="647"/>
      <c r="K453" s="647"/>
    </row>
    <row r="454" spans="1:11" x14ac:dyDescent="0.25">
      <c r="A454" s="648"/>
      <c r="B454" s="647"/>
      <c r="C454" s="647"/>
      <c r="D454" s="647"/>
      <c r="E454" s="647"/>
      <c r="F454" s="647"/>
      <c r="G454" s="647"/>
      <c r="H454" s="649"/>
      <c r="I454" s="649"/>
      <c r="J454" s="647"/>
      <c r="K454" s="647"/>
    </row>
    <row r="455" spans="1:11" x14ac:dyDescent="0.25">
      <c r="A455" s="648"/>
      <c r="B455" s="647"/>
      <c r="C455" s="647"/>
      <c r="D455" s="647"/>
      <c r="E455" s="647"/>
      <c r="F455" s="647"/>
      <c r="G455" s="647"/>
      <c r="H455" s="649"/>
      <c r="I455" s="649"/>
      <c r="J455" s="647"/>
      <c r="K455" s="647"/>
    </row>
    <row r="456" spans="1:11" x14ac:dyDescent="0.25">
      <c r="A456" s="648"/>
      <c r="B456" s="647"/>
      <c r="C456" s="647"/>
      <c r="D456" s="647"/>
      <c r="E456" s="647"/>
      <c r="F456" s="647"/>
      <c r="G456" s="647"/>
      <c r="H456" s="649"/>
      <c r="I456" s="649"/>
      <c r="J456" s="647"/>
      <c r="K456" s="647"/>
    </row>
    <row r="457" spans="1:11" x14ac:dyDescent="0.25">
      <c r="A457" s="648"/>
      <c r="B457" s="647"/>
      <c r="C457" s="647"/>
      <c r="D457" s="647"/>
      <c r="E457" s="647"/>
      <c r="F457" s="647"/>
      <c r="G457" s="647"/>
      <c r="H457" s="649"/>
      <c r="I457" s="649"/>
      <c r="J457" s="647"/>
      <c r="K457" s="647"/>
    </row>
    <row r="458" spans="1:11" x14ac:dyDescent="0.25">
      <c r="A458" s="648"/>
      <c r="B458" s="647"/>
      <c r="C458" s="647"/>
      <c r="D458" s="647"/>
      <c r="E458" s="647"/>
      <c r="F458" s="647"/>
      <c r="G458" s="647"/>
      <c r="H458" s="649"/>
      <c r="I458" s="649"/>
      <c r="J458" s="647"/>
      <c r="K458" s="647"/>
    </row>
    <row r="459" spans="1:11" x14ac:dyDescent="0.25">
      <c r="A459" s="648"/>
      <c r="B459" s="647"/>
      <c r="C459" s="647"/>
      <c r="D459" s="647"/>
      <c r="E459" s="647"/>
      <c r="F459" s="647"/>
      <c r="G459" s="647"/>
      <c r="H459" s="649"/>
      <c r="I459" s="649"/>
      <c r="J459" s="647"/>
      <c r="K459" s="647"/>
    </row>
    <row r="460" spans="1:11" x14ac:dyDescent="0.25">
      <c r="A460" s="648"/>
      <c r="B460" s="647"/>
      <c r="C460" s="647"/>
      <c r="D460" s="647"/>
      <c r="E460" s="647"/>
      <c r="F460" s="647"/>
      <c r="G460" s="647"/>
      <c r="H460" s="649"/>
      <c r="I460" s="649"/>
      <c r="J460" s="647"/>
      <c r="K460" s="647"/>
    </row>
    <row r="461" spans="1:11" x14ac:dyDescent="0.25">
      <c r="A461" s="648"/>
      <c r="B461" s="647"/>
      <c r="C461" s="647"/>
      <c r="D461" s="647"/>
      <c r="E461" s="647"/>
      <c r="F461" s="647"/>
      <c r="G461" s="647"/>
      <c r="H461" s="649"/>
      <c r="I461" s="649"/>
      <c r="J461" s="647"/>
      <c r="K461" s="647"/>
    </row>
    <row r="462" spans="1:11" x14ac:dyDescent="0.25">
      <c r="A462" s="648"/>
      <c r="B462" s="647"/>
      <c r="C462" s="647"/>
      <c r="D462" s="647"/>
      <c r="E462" s="647"/>
      <c r="F462" s="647"/>
      <c r="G462" s="647"/>
      <c r="H462" s="649"/>
      <c r="I462" s="649"/>
      <c r="J462" s="647"/>
      <c r="K462" s="647"/>
    </row>
    <row r="463" spans="1:11" x14ac:dyDescent="0.25">
      <c r="A463" s="648"/>
      <c r="B463" s="647"/>
      <c r="C463" s="647"/>
      <c r="D463" s="647"/>
      <c r="E463" s="647"/>
      <c r="F463" s="647"/>
      <c r="G463" s="647"/>
      <c r="H463" s="649"/>
      <c r="I463" s="649"/>
      <c r="J463" s="647"/>
      <c r="K463" s="647"/>
    </row>
    <row r="464" spans="1:11" x14ac:dyDescent="0.25">
      <c r="A464" s="648"/>
      <c r="B464" s="647"/>
      <c r="C464" s="647"/>
      <c r="D464" s="647"/>
      <c r="E464" s="647"/>
      <c r="F464" s="647"/>
      <c r="G464" s="647"/>
      <c r="H464" s="649"/>
      <c r="I464" s="649"/>
      <c r="J464" s="647"/>
      <c r="K464" s="647"/>
    </row>
    <row r="465" spans="1:11" x14ac:dyDescent="0.25">
      <c r="A465" s="648"/>
      <c r="B465" s="647"/>
      <c r="C465" s="647"/>
      <c r="D465" s="647"/>
      <c r="E465" s="647"/>
      <c r="F465" s="647"/>
      <c r="G465" s="647"/>
      <c r="H465" s="649"/>
      <c r="I465" s="649"/>
      <c r="J465" s="647"/>
      <c r="K465" s="647"/>
    </row>
    <row r="466" spans="1:11" x14ac:dyDescent="0.25">
      <c r="A466" s="648"/>
      <c r="B466" s="647"/>
      <c r="C466" s="647"/>
      <c r="D466" s="647"/>
      <c r="E466" s="647"/>
      <c r="F466" s="647"/>
      <c r="G466" s="647"/>
      <c r="H466" s="649"/>
      <c r="I466" s="649"/>
      <c r="J466" s="647"/>
      <c r="K466" s="647"/>
    </row>
    <row r="467" spans="1:11" x14ac:dyDescent="0.25">
      <c r="A467" s="648"/>
      <c r="B467" s="647"/>
      <c r="C467" s="647"/>
      <c r="D467" s="647"/>
      <c r="E467" s="647"/>
      <c r="F467" s="647"/>
      <c r="G467" s="647"/>
      <c r="H467" s="649"/>
      <c r="I467" s="649"/>
      <c r="J467" s="647"/>
      <c r="K467" s="647"/>
    </row>
    <row r="468" spans="1:11" x14ac:dyDescent="0.25">
      <c r="A468" s="648"/>
      <c r="B468" s="647"/>
      <c r="C468" s="647"/>
      <c r="D468" s="647"/>
      <c r="E468" s="647"/>
      <c r="F468" s="647"/>
      <c r="G468" s="647"/>
      <c r="H468" s="649"/>
      <c r="I468" s="649"/>
      <c r="J468" s="647"/>
      <c r="K468" s="647"/>
    </row>
    <row r="469" spans="1:11" x14ac:dyDescent="0.25">
      <c r="A469" s="648"/>
      <c r="B469" s="647"/>
      <c r="C469" s="647"/>
      <c r="D469" s="647"/>
      <c r="E469" s="647"/>
      <c r="F469" s="647"/>
      <c r="G469" s="647"/>
      <c r="H469" s="649"/>
      <c r="I469" s="649"/>
      <c r="J469" s="647"/>
      <c r="K469" s="647"/>
    </row>
    <row r="470" spans="1:11" x14ac:dyDescent="0.25">
      <c r="A470" s="648"/>
      <c r="B470" s="647"/>
      <c r="C470" s="647"/>
      <c r="D470" s="647"/>
      <c r="E470" s="647"/>
      <c r="F470" s="647"/>
      <c r="G470" s="647"/>
      <c r="H470" s="649"/>
      <c r="I470" s="649"/>
      <c r="J470" s="647"/>
      <c r="K470" s="647"/>
    </row>
    <row r="471" spans="1:11" x14ac:dyDescent="0.25">
      <c r="A471" s="648"/>
      <c r="B471" s="647"/>
      <c r="C471" s="647"/>
      <c r="D471" s="647"/>
      <c r="E471" s="647"/>
      <c r="F471" s="647"/>
      <c r="G471" s="647"/>
      <c r="H471" s="649"/>
      <c r="I471" s="649"/>
      <c r="J471" s="647"/>
      <c r="K471" s="647"/>
    </row>
    <row r="472" spans="1:11" x14ac:dyDescent="0.25">
      <c r="A472" s="648"/>
      <c r="B472" s="647"/>
      <c r="C472" s="647"/>
      <c r="D472" s="647"/>
      <c r="E472" s="647"/>
      <c r="F472" s="647"/>
      <c r="G472" s="647"/>
      <c r="H472" s="649"/>
      <c r="I472" s="649"/>
      <c r="J472" s="647"/>
      <c r="K472" s="647"/>
    </row>
    <row r="473" spans="1:11" x14ac:dyDescent="0.25">
      <c r="A473" s="648"/>
      <c r="B473" s="647"/>
      <c r="C473" s="647"/>
      <c r="D473" s="647"/>
      <c r="E473" s="647"/>
      <c r="F473" s="647"/>
      <c r="G473" s="647"/>
      <c r="H473" s="649"/>
      <c r="I473" s="649"/>
      <c r="J473" s="647"/>
      <c r="K473" s="647"/>
    </row>
    <row r="474" spans="1:11" x14ac:dyDescent="0.25">
      <c r="A474" s="648"/>
      <c r="B474" s="647"/>
      <c r="C474" s="647"/>
      <c r="D474" s="647"/>
      <c r="E474" s="647"/>
      <c r="F474" s="647"/>
      <c r="G474" s="647"/>
      <c r="H474" s="649"/>
      <c r="I474" s="649"/>
      <c r="J474" s="647"/>
      <c r="K474" s="647"/>
    </row>
    <row r="475" spans="1:11" x14ac:dyDescent="0.25">
      <c r="A475" s="648"/>
      <c r="B475" s="647"/>
      <c r="C475" s="647"/>
      <c r="D475" s="647"/>
      <c r="E475" s="647"/>
      <c r="F475" s="647"/>
      <c r="G475" s="647"/>
      <c r="H475" s="649"/>
      <c r="I475" s="649"/>
      <c r="J475" s="647"/>
      <c r="K475" s="647"/>
    </row>
    <row r="476" spans="1:11" x14ac:dyDescent="0.25">
      <c r="A476" s="648"/>
      <c r="B476" s="647"/>
      <c r="C476" s="647"/>
      <c r="D476" s="647"/>
      <c r="E476" s="647"/>
      <c r="F476" s="647"/>
      <c r="G476" s="647"/>
      <c r="H476" s="649"/>
      <c r="I476" s="649"/>
      <c r="J476" s="647"/>
      <c r="K476" s="647"/>
    </row>
    <row r="477" spans="1:11" x14ac:dyDescent="0.25">
      <c r="A477" s="648"/>
      <c r="B477" s="647"/>
      <c r="C477" s="647"/>
      <c r="D477" s="647"/>
      <c r="E477" s="647"/>
      <c r="F477" s="647"/>
      <c r="G477" s="647"/>
      <c r="H477" s="649"/>
      <c r="I477" s="649"/>
      <c r="J477" s="647"/>
      <c r="K477" s="647"/>
    </row>
    <row r="478" spans="1:11" x14ac:dyDescent="0.25">
      <c r="A478" s="648"/>
      <c r="B478" s="647"/>
      <c r="C478" s="647"/>
      <c r="D478" s="647"/>
      <c r="E478" s="647"/>
      <c r="F478" s="647"/>
      <c r="G478" s="647"/>
      <c r="H478" s="649"/>
      <c r="I478" s="649"/>
      <c r="J478" s="647"/>
      <c r="K478" s="647"/>
    </row>
    <row r="479" spans="1:11" x14ac:dyDescent="0.25">
      <c r="A479" s="648"/>
      <c r="B479" s="647"/>
      <c r="C479" s="647"/>
      <c r="D479" s="647"/>
      <c r="E479" s="647"/>
      <c r="F479" s="647"/>
      <c r="G479" s="647"/>
      <c r="H479" s="649"/>
      <c r="I479" s="649"/>
      <c r="J479" s="647"/>
      <c r="K479" s="647"/>
    </row>
    <row r="480" spans="1:11" x14ac:dyDescent="0.25">
      <c r="A480" s="648"/>
      <c r="B480" s="647"/>
      <c r="C480" s="647"/>
      <c r="D480" s="647"/>
      <c r="E480" s="647"/>
      <c r="F480" s="647"/>
      <c r="G480" s="647"/>
      <c r="H480" s="649"/>
      <c r="I480" s="649"/>
      <c r="J480" s="647"/>
      <c r="K480" s="647"/>
    </row>
    <row r="481" spans="1:11" x14ac:dyDescent="0.25">
      <c r="A481" s="648"/>
      <c r="B481" s="647"/>
      <c r="C481" s="647"/>
      <c r="D481" s="647"/>
      <c r="E481" s="647"/>
      <c r="F481" s="647"/>
      <c r="G481" s="647"/>
      <c r="H481" s="649"/>
      <c r="I481" s="649"/>
      <c r="J481" s="647"/>
      <c r="K481" s="647"/>
    </row>
    <row r="482" spans="1:11" x14ac:dyDescent="0.25">
      <c r="A482" s="648"/>
      <c r="B482" s="647"/>
      <c r="C482" s="647"/>
      <c r="D482" s="647"/>
      <c r="E482" s="647"/>
      <c r="F482" s="647"/>
      <c r="G482" s="647"/>
      <c r="H482" s="649"/>
      <c r="I482" s="649"/>
      <c r="J482" s="647"/>
      <c r="K482" s="647"/>
    </row>
    <row r="483" spans="1:11" x14ac:dyDescent="0.25">
      <c r="A483" s="648"/>
      <c r="B483" s="647"/>
      <c r="C483" s="647"/>
      <c r="D483" s="647"/>
      <c r="E483" s="647"/>
      <c r="F483" s="647"/>
      <c r="G483" s="647"/>
      <c r="H483" s="649"/>
      <c r="I483" s="649"/>
      <c r="J483" s="647"/>
      <c r="K483" s="647"/>
    </row>
    <row r="484" spans="1:11" x14ac:dyDescent="0.25">
      <c r="A484" s="648"/>
      <c r="B484" s="647"/>
      <c r="C484" s="647"/>
      <c r="D484" s="647"/>
      <c r="E484" s="647"/>
      <c r="F484" s="647"/>
      <c r="G484" s="647"/>
      <c r="H484" s="649"/>
      <c r="I484" s="649"/>
      <c r="J484" s="647"/>
      <c r="K484" s="647"/>
    </row>
    <row r="485" spans="1:11" x14ac:dyDescent="0.25">
      <c r="A485" s="648"/>
      <c r="B485" s="647"/>
      <c r="C485" s="647"/>
      <c r="D485" s="647"/>
      <c r="E485" s="647"/>
      <c r="F485" s="647"/>
      <c r="G485" s="647"/>
      <c r="H485" s="649"/>
      <c r="I485" s="649"/>
      <c r="J485" s="647"/>
      <c r="K485" s="647"/>
    </row>
    <row r="486" spans="1:11" x14ac:dyDescent="0.25">
      <c r="A486" s="648"/>
      <c r="B486" s="647"/>
      <c r="C486" s="647"/>
      <c r="D486" s="647"/>
      <c r="E486" s="647"/>
      <c r="F486" s="647"/>
      <c r="G486" s="647"/>
      <c r="H486" s="649"/>
      <c r="I486" s="649"/>
      <c r="J486" s="647"/>
      <c r="K486" s="647"/>
    </row>
    <row r="487" spans="1:11" x14ac:dyDescent="0.25">
      <c r="A487" s="648"/>
      <c r="B487" s="647"/>
      <c r="C487" s="647"/>
      <c r="D487" s="647"/>
      <c r="E487" s="647"/>
      <c r="F487" s="647"/>
      <c r="G487" s="647"/>
      <c r="H487" s="649"/>
      <c r="I487" s="649"/>
      <c r="J487" s="647"/>
      <c r="K487" s="647"/>
    </row>
    <row r="488" spans="1:11" x14ac:dyDescent="0.25">
      <c r="A488" s="648"/>
      <c r="B488" s="647"/>
      <c r="C488" s="647"/>
      <c r="D488" s="647"/>
      <c r="E488" s="647"/>
      <c r="F488" s="647"/>
      <c r="G488" s="647"/>
      <c r="H488" s="649"/>
      <c r="I488" s="649"/>
      <c r="J488" s="647"/>
      <c r="K488" s="647"/>
    </row>
    <row r="489" spans="1:11" x14ac:dyDescent="0.25">
      <c r="A489" s="648"/>
      <c r="B489" s="647"/>
      <c r="C489" s="647"/>
      <c r="D489" s="647"/>
      <c r="E489" s="647"/>
      <c r="F489" s="647"/>
      <c r="G489" s="647"/>
      <c r="H489" s="649"/>
      <c r="I489" s="649"/>
      <c r="J489" s="647"/>
      <c r="K489" s="647"/>
    </row>
    <row r="490" spans="1:11" x14ac:dyDescent="0.25">
      <c r="A490" s="648"/>
      <c r="B490" s="647"/>
      <c r="C490" s="647"/>
      <c r="D490" s="647"/>
      <c r="E490" s="647"/>
      <c r="F490" s="647"/>
      <c r="G490" s="647"/>
      <c r="H490" s="649"/>
      <c r="I490" s="649"/>
      <c r="J490" s="647"/>
      <c r="K490" s="647"/>
    </row>
    <row r="491" spans="1:11" x14ac:dyDescent="0.25">
      <c r="A491" s="648"/>
      <c r="B491" s="647"/>
      <c r="C491" s="647"/>
      <c r="D491" s="647"/>
      <c r="E491" s="647"/>
      <c r="F491" s="647"/>
      <c r="G491" s="647"/>
      <c r="H491" s="649"/>
      <c r="I491" s="649"/>
      <c r="J491" s="647"/>
      <c r="K491" s="647"/>
    </row>
    <row r="492" spans="1:11" x14ac:dyDescent="0.25">
      <c r="A492" s="648"/>
      <c r="B492" s="647"/>
      <c r="C492" s="647"/>
      <c r="D492" s="647"/>
      <c r="E492" s="647"/>
      <c r="F492" s="647"/>
      <c r="G492" s="647"/>
      <c r="H492" s="649"/>
      <c r="I492" s="649"/>
      <c r="J492" s="647"/>
      <c r="K492" s="647"/>
    </row>
    <row r="493" spans="1:11" x14ac:dyDescent="0.25">
      <c r="A493" s="648"/>
      <c r="B493" s="647"/>
      <c r="C493" s="647"/>
      <c r="D493" s="647"/>
      <c r="E493" s="647"/>
      <c r="F493" s="647"/>
      <c r="G493" s="647"/>
      <c r="H493" s="649"/>
      <c r="I493" s="649"/>
      <c r="J493" s="647"/>
      <c r="K493" s="647"/>
    </row>
    <row r="494" spans="1:11" x14ac:dyDescent="0.25">
      <c r="A494" s="648"/>
      <c r="B494" s="647"/>
      <c r="C494" s="647"/>
      <c r="D494" s="647"/>
      <c r="E494" s="647"/>
      <c r="F494" s="647"/>
      <c r="G494" s="647"/>
      <c r="H494" s="649"/>
      <c r="I494" s="649"/>
      <c r="J494" s="647"/>
      <c r="K494" s="647"/>
    </row>
    <row r="495" spans="1:11" x14ac:dyDescent="0.25">
      <c r="A495" s="648"/>
      <c r="B495" s="647"/>
      <c r="C495" s="647"/>
      <c r="D495" s="647"/>
      <c r="E495" s="647"/>
      <c r="F495" s="647"/>
      <c r="G495" s="647"/>
      <c r="H495" s="649"/>
      <c r="I495" s="649"/>
      <c r="J495" s="647"/>
      <c r="K495" s="647"/>
    </row>
    <row r="496" spans="1:11" x14ac:dyDescent="0.25">
      <c r="A496" s="648"/>
      <c r="B496" s="647"/>
      <c r="C496" s="647"/>
      <c r="D496" s="647"/>
      <c r="E496" s="647"/>
      <c r="F496" s="647"/>
      <c r="G496" s="647"/>
      <c r="H496" s="649"/>
      <c r="I496" s="649"/>
      <c r="J496" s="647"/>
      <c r="K496" s="647"/>
    </row>
    <row r="497" spans="1:11" x14ac:dyDescent="0.25">
      <c r="A497" s="648"/>
      <c r="B497" s="647"/>
      <c r="C497" s="647"/>
      <c r="D497" s="647"/>
      <c r="E497" s="647"/>
      <c r="F497" s="647"/>
      <c r="G497" s="647"/>
      <c r="H497" s="649"/>
      <c r="I497" s="649"/>
      <c r="J497" s="647"/>
      <c r="K497" s="647"/>
    </row>
    <row r="498" spans="1:11" x14ac:dyDescent="0.25">
      <c r="A498" s="648"/>
      <c r="B498" s="647"/>
      <c r="C498" s="647"/>
      <c r="D498" s="647"/>
      <c r="E498" s="647"/>
      <c r="F498" s="647"/>
      <c r="G498" s="647"/>
      <c r="H498" s="649"/>
      <c r="I498" s="649"/>
      <c r="J498" s="647"/>
      <c r="K498" s="647"/>
    </row>
    <row r="499" spans="1:11" x14ac:dyDescent="0.25">
      <c r="A499" s="648"/>
      <c r="B499" s="647"/>
      <c r="C499" s="647"/>
      <c r="D499" s="647"/>
      <c r="E499" s="647"/>
      <c r="F499" s="647"/>
      <c r="G499" s="647"/>
      <c r="H499" s="649"/>
      <c r="I499" s="649"/>
      <c r="J499" s="647"/>
      <c r="K499" s="647"/>
    </row>
    <row r="500" spans="1:11" x14ac:dyDescent="0.25">
      <c r="A500" s="648"/>
      <c r="B500" s="647"/>
      <c r="C500" s="647"/>
      <c r="D500" s="647"/>
      <c r="E500" s="647"/>
      <c r="F500" s="647"/>
      <c r="G500" s="647"/>
      <c r="H500" s="649"/>
      <c r="I500" s="649"/>
      <c r="J500" s="647"/>
      <c r="K500" s="647"/>
    </row>
    <row r="501" spans="1:11" x14ac:dyDescent="0.25">
      <c r="A501" s="648"/>
      <c r="B501" s="647"/>
      <c r="C501" s="647"/>
      <c r="D501" s="647"/>
      <c r="E501" s="647"/>
      <c r="F501" s="647"/>
      <c r="G501" s="647"/>
      <c r="H501" s="649"/>
      <c r="I501" s="649"/>
      <c r="J501" s="647"/>
      <c r="K501" s="647"/>
    </row>
    <row r="502" spans="1:11" x14ac:dyDescent="0.25">
      <c r="A502" s="648"/>
      <c r="B502" s="647"/>
      <c r="C502" s="647"/>
      <c r="D502" s="647"/>
      <c r="E502" s="647"/>
      <c r="F502" s="647"/>
      <c r="G502" s="647"/>
      <c r="H502" s="649"/>
      <c r="I502" s="649"/>
      <c r="J502" s="647"/>
      <c r="K502" s="647"/>
    </row>
    <row r="503" spans="1:11" x14ac:dyDescent="0.25">
      <c r="A503" s="648"/>
      <c r="B503" s="647"/>
      <c r="C503" s="647"/>
      <c r="D503" s="647"/>
      <c r="E503" s="647"/>
      <c r="F503" s="647"/>
      <c r="G503" s="647"/>
      <c r="H503" s="649"/>
      <c r="I503" s="649"/>
      <c r="J503" s="647"/>
      <c r="K503" s="647"/>
    </row>
    <row r="504" spans="1:11" x14ac:dyDescent="0.25">
      <c r="A504" s="648"/>
      <c r="B504" s="647"/>
      <c r="C504" s="647"/>
      <c r="D504" s="647"/>
      <c r="E504" s="647"/>
      <c r="F504" s="647"/>
      <c r="G504" s="647"/>
      <c r="H504" s="649"/>
      <c r="I504" s="649"/>
      <c r="J504" s="647"/>
      <c r="K504" s="647"/>
    </row>
    <row r="505" spans="1:11" x14ac:dyDescent="0.25">
      <c r="A505" s="648"/>
      <c r="B505" s="647"/>
      <c r="C505" s="647"/>
      <c r="D505" s="647"/>
      <c r="E505" s="647"/>
      <c r="F505" s="647"/>
      <c r="G505" s="647"/>
      <c r="H505" s="649"/>
      <c r="I505" s="649"/>
      <c r="J505" s="647"/>
      <c r="K505" s="647"/>
    </row>
    <row r="506" spans="1:11" x14ac:dyDescent="0.25">
      <c r="A506" s="648"/>
      <c r="B506" s="647"/>
      <c r="C506" s="647"/>
      <c r="D506" s="647"/>
      <c r="E506" s="647"/>
      <c r="F506" s="647"/>
      <c r="G506" s="647"/>
      <c r="H506" s="649"/>
      <c r="I506" s="649"/>
      <c r="J506" s="647"/>
      <c r="K506" s="647"/>
    </row>
    <row r="507" spans="1:11" x14ac:dyDescent="0.25">
      <c r="A507" s="648"/>
      <c r="B507" s="647"/>
      <c r="C507" s="647"/>
      <c r="D507" s="647"/>
      <c r="E507" s="647"/>
      <c r="F507" s="647"/>
      <c r="G507" s="647"/>
      <c r="H507" s="649"/>
      <c r="I507" s="649"/>
      <c r="J507" s="647"/>
      <c r="K507" s="647"/>
    </row>
    <row r="508" spans="1:11" x14ac:dyDescent="0.25">
      <c r="A508" s="648"/>
      <c r="B508" s="647"/>
      <c r="C508" s="647"/>
      <c r="D508" s="647"/>
      <c r="E508" s="647"/>
      <c r="F508" s="647"/>
      <c r="G508" s="647"/>
      <c r="H508" s="649"/>
      <c r="I508" s="649"/>
      <c r="J508" s="647"/>
      <c r="K508" s="647"/>
    </row>
    <row r="509" spans="1:11" x14ac:dyDescent="0.25">
      <c r="A509" s="648"/>
      <c r="B509" s="647"/>
      <c r="C509" s="647"/>
      <c r="D509" s="647"/>
      <c r="E509" s="647"/>
      <c r="F509" s="647"/>
      <c r="G509" s="647"/>
      <c r="H509" s="649"/>
      <c r="I509" s="649"/>
      <c r="J509" s="647"/>
      <c r="K509" s="647"/>
    </row>
    <row r="510" spans="1:11" x14ac:dyDescent="0.25">
      <c r="A510" s="648"/>
      <c r="B510" s="647"/>
      <c r="C510" s="647"/>
      <c r="D510" s="647"/>
      <c r="E510" s="647"/>
      <c r="F510" s="647"/>
      <c r="G510" s="647"/>
      <c r="H510" s="649"/>
      <c r="I510" s="649"/>
      <c r="J510" s="647"/>
      <c r="K510" s="647"/>
    </row>
    <row r="511" spans="1:11" x14ac:dyDescent="0.25">
      <c r="A511" s="648"/>
      <c r="B511" s="647"/>
      <c r="C511" s="647"/>
      <c r="D511" s="647"/>
      <c r="E511" s="647"/>
      <c r="F511" s="647"/>
      <c r="G511" s="647"/>
      <c r="H511" s="649"/>
      <c r="I511" s="649"/>
      <c r="J511" s="647"/>
      <c r="K511" s="647"/>
    </row>
    <row r="512" spans="1:11" x14ac:dyDescent="0.25">
      <c r="A512" s="648"/>
      <c r="B512" s="647"/>
      <c r="C512" s="647"/>
      <c r="D512" s="647"/>
      <c r="E512" s="647"/>
      <c r="F512" s="647"/>
      <c r="G512" s="647"/>
      <c r="H512" s="649"/>
      <c r="I512" s="649"/>
      <c r="J512" s="647"/>
      <c r="K512" s="647"/>
    </row>
    <row r="513" spans="1:11" x14ac:dyDescent="0.25">
      <c r="A513" s="648"/>
      <c r="B513" s="647"/>
      <c r="C513" s="647"/>
      <c r="D513" s="647"/>
      <c r="E513" s="647"/>
      <c r="F513" s="647"/>
      <c r="G513" s="647"/>
      <c r="H513" s="649"/>
      <c r="I513" s="649"/>
      <c r="J513" s="647"/>
      <c r="K513" s="647"/>
    </row>
    <row r="514" spans="1:11" x14ac:dyDescent="0.25">
      <c r="A514" s="648"/>
      <c r="B514" s="647"/>
      <c r="C514" s="647"/>
      <c r="D514" s="647"/>
      <c r="E514" s="647"/>
      <c r="F514" s="647"/>
      <c r="G514" s="647"/>
      <c r="H514" s="649"/>
      <c r="I514" s="649"/>
      <c r="J514" s="647"/>
      <c r="K514" s="647"/>
    </row>
    <row r="515" spans="1:11" x14ac:dyDescent="0.25">
      <c r="A515" s="648"/>
      <c r="B515" s="647"/>
      <c r="C515" s="647"/>
      <c r="D515" s="647"/>
      <c r="E515" s="647"/>
      <c r="F515" s="647"/>
      <c r="G515" s="647"/>
      <c r="H515" s="649"/>
      <c r="I515" s="649"/>
      <c r="J515" s="647"/>
      <c r="K515" s="647"/>
    </row>
    <row r="516" spans="1:11" x14ac:dyDescent="0.25">
      <c r="A516" s="648"/>
      <c r="B516" s="647"/>
      <c r="C516" s="647"/>
      <c r="D516" s="647"/>
      <c r="E516" s="647"/>
      <c r="F516" s="647"/>
      <c r="G516" s="647"/>
      <c r="H516" s="649"/>
      <c r="I516" s="649"/>
      <c r="J516" s="647"/>
      <c r="K516" s="647"/>
    </row>
    <row r="517" spans="1:11" x14ac:dyDescent="0.25">
      <c r="A517" s="648"/>
      <c r="B517" s="647"/>
      <c r="C517" s="647"/>
      <c r="D517" s="647"/>
      <c r="E517" s="647"/>
      <c r="F517" s="647"/>
      <c r="G517" s="647"/>
      <c r="H517" s="649"/>
      <c r="I517" s="649"/>
      <c r="J517" s="647"/>
      <c r="K517" s="647"/>
    </row>
    <row r="518" spans="1:11" x14ac:dyDescent="0.25">
      <c r="A518" s="648"/>
      <c r="B518" s="647"/>
      <c r="C518" s="647"/>
      <c r="D518" s="647"/>
      <c r="E518" s="647"/>
      <c r="F518" s="647"/>
      <c r="G518" s="647"/>
      <c r="H518" s="649"/>
      <c r="I518" s="649"/>
      <c r="J518" s="647"/>
      <c r="K518" s="647"/>
    </row>
    <row r="519" spans="1:11" x14ac:dyDescent="0.25">
      <c r="A519" s="648"/>
      <c r="B519" s="647"/>
      <c r="C519" s="647"/>
      <c r="D519" s="647"/>
      <c r="E519" s="647"/>
      <c r="F519" s="647"/>
      <c r="G519" s="647"/>
      <c r="H519" s="649"/>
      <c r="I519" s="649"/>
      <c r="J519" s="647"/>
      <c r="K519" s="647"/>
    </row>
    <row r="520" spans="1:11" x14ac:dyDescent="0.25">
      <c r="A520" s="648"/>
      <c r="B520" s="647"/>
      <c r="C520" s="647"/>
      <c r="D520" s="647"/>
      <c r="E520" s="647"/>
      <c r="F520" s="647"/>
      <c r="G520" s="647"/>
      <c r="H520" s="649"/>
      <c r="I520" s="649"/>
      <c r="J520" s="647"/>
      <c r="K520" s="647"/>
    </row>
    <row r="521" spans="1:11" x14ac:dyDescent="0.25">
      <c r="A521" s="648"/>
      <c r="B521" s="647"/>
      <c r="C521" s="647"/>
      <c r="D521" s="647"/>
      <c r="E521" s="647"/>
      <c r="F521" s="647"/>
      <c r="G521" s="647"/>
      <c r="H521" s="649"/>
      <c r="I521" s="649"/>
      <c r="J521" s="647"/>
      <c r="K521" s="647"/>
    </row>
    <row r="522" spans="1:11" x14ac:dyDescent="0.25">
      <c r="A522" s="648"/>
      <c r="B522" s="647"/>
      <c r="C522" s="647"/>
      <c r="D522" s="647"/>
      <c r="E522" s="647"/>
      <c r="F522" s="647"/>
      <c r="G522" s="647"/>
      <c r="H522" s="649"/>
      <c r="I522" s="649"/>
      <c r="J522" s="647"/>
      <c r="K522" s="647"/>
    </row>
    <row r="523" spans="1:11" x14ac:dyDescent="0.25">
      <c r="A523" s="648"/>
      <c r="B523" s="647"/>
      <c r="C523" s="647"/>
      <c r="D523" s="647"/>
      <c r="E523" s="647"/>
      <c r="F523" s="647"/>
      <c r="G523" s="647"/>
      <c r="H523" s="649"/>
      <c r="I523" s="649"/>
      <c r="J523" s="647"/>
      <c r="K523" s="647"/>
    </row>
    <row r="524" spans="1:11" x14ac:dyDescent="0.25">
      <c r="A524" s="648"/>
      <c r="B524" s="647"/>
      <c r="C524" s="647"/>
      <c r="D524" s="647"/>
      <c r="E524" s="647"/>
      <c r="F524" s="647"/>
      <c r="G524" s="647"/>
      <c r="H524" s="649"/>
      <c r="I524" s="649"/>
      <c r="J524" s="647"/>
      <c r="K524" s="647"/>
    </row>
    <row r="525" spans="1:11" x14ac:dyDescent="0.25">
      <c r="A525" s="648"/>
      <c r="B525" s="647"/>
      <c r="C525" s="647"/>
      <c r="D525" s="647"/>
      <c r="E525" s="647"/>
      <c r="F525" s="647"/>
      <c r="G525" s="647"/>
      <c r="H525" s="649"/>
      <c r="I525" s="649"/>
      <c r="J525" s="647"/>
      <c r="K525" s="647"/>
    </row>
    <row r="526" spans="1:11" x14ac:dyDescent="0.25">
      <c r="A526" s="648"/>
      <c r="B526" s="647"/>
      <c r="C526" s="647"/>
      <c r="D526" s="647"/>
      <c r="E526" s="647"/>
      <c r="F526" s="647"/>
      <c r="G526" s="647"/>
      <c r="H526" s="649"/>
      <c r="I526" s="649"/>
      <c r="J526" s="647"/>
      <c r="K526" s="647"/>
    </row>
    <row r="527" spans="1:11" x14ac:dyDescent="0.25">
      <c r="A527" s="648"/>
      <c r="B527" s="647"/>
      <c r="C527" s="647"/>
      <c r="D527" s="647"/>
      <c r="E527" s="647"/>
      <c r="F527" s="647"/>
      <c r="G527" s="647"/>
      <c r="H527" s="649"/>
      <c r="I527" s="649"/>
      <c r="J527" s="647"/>
      <c r="K527" s="647"/>
    </row>
    <row r="528" spans="1:11" x14ac:dyDescent="0.25">
      <c r="A528" s="648"/>
      <c r="B528" s="647"/>
      <c r="C528" s="647"/>
      <c r="D528" s="647"/>
      <c r="E528" s="647"/>
      <c r="F528" s="647"/>
      <c r="G528" s="647"/>
      <c r="H528" s="649"/>
      <c r="I528" s="649"/>
      <c r="J528" s="647"/>
      <c r="K528" s="647"/>
    </row>
    <row r="529" spans="1:11" x14ac:dyDescent="0.25">
      <c r="A529" s="648"/>
      <c r="B529" s="647"/>
      <c r="C529" s="647"/>
      <c r="D529" s="647"/>
      <c r="E529" s="647"/>
      <c r="F529" s="647"/>
      <c r="G529" s="647"/>
      <c r="H529" s="649"/>
      <c r="I529" s="649"/>
      <c r="J529" s="647"/>
      <c r="K529" s="647"/>
    </row>
    <row r="530" spans="1:11" x14ac:dyDescent="0.25">
      <c r="A530" s="648"/>
      <c r="B530" s="647"/>
      <c r="C530" s="647"/>
      <c r="D530" s="647"/>
      <c r="E530" s="647"/>
      <c r="F530" s="647"/>
      <c r="G530" s="647"/>
      <c r="H530" s="649"/>
      <c r="I530" s="649"/>
      <c r="J530" s="647"/>
      <c r="K530" s="647"/>
    </row>
    <row r="531" spans="1:11" x14ac:dyDescent="0.25">
      <c r="A531" s="648"/>
      <c r="B531" s="647"/>
      <c r="C531" s="647"/>
      <c r="D531" s="647"/>
      <c r="E531" s="647"/>
      <c r="F531" s="647"/>
      <c r="G531" s="647"/>
      <c r="H531" s="649"/>
      <c r="I531" s="649"/>
      <c r="J531" s="647"/>
      <c r="K531" s="647"/>
    </row>
    <row r="532" spans="1:11" x14ac:dyDescent="0.25">
      <c r="A532" s="648"/>
      <c r="B532" s="647"/>
      <c r="C532" s="647"/>
      <c r="D532" s="647"/>
      <c r="E532" s="647"/>
      <c r="F532" s="647"/>
      <c r="G532" s="647"/>
      <c r="H532" s="649"/>
      <c r="I532" s="649"/>
      <c r="J532" s="647"/>
      <c r="K532" s="647"/>
    </row>
    <row r="533" spans="1:11" x14ac:dyDescent="0.25">
      <c r="A533" s="648"/>
      <c r="B533" s="647"/>
      <c r="C533" s="647"/>
      <c r="D533" s="647"/>
      <c r="E533" s="647"/>
      <c r="F533" s="647"/>
      <c r="G533" s="647"/>
      <c r="H533" s="649"/>
      <c r="I533" s="649"/>
      <c r="J533" s="647"/>
      <c r="K533" s="647"/>
    </row>
    <row r="534" spans="1:11" x14ac:dyDescent="0.25">
      <c r="A534" s="648"/>
      <c r="B534" s="647"/>
      <c r="C534" s="647"/>
      <c r="D534" s="647"/>
      <c r="E534" s="647"/>
      <c r="F534" s="647"/>
      <c r="G534" s="647"/>
      <c r="H534" s="649"/>
      <c r="I534" s="649"/>
      <c r="J534" s="647"/>
      <c r="K534" s="647"/>
    </row>
    <row r="535" spans="1:11" x14ac:dyDescent="0.25">
      <c r="A535" s="648"/>
      <c r="B535" s="647"/>
      <c r="C535" s="647"/>
      <c r="D535" s="647"/>
      <c r="E535" s="647"/>
      <c r="F535" s="647"/>
      <c r="G535" s="647"/>
      <c r="H535" s="649"/>
      <c r="I535" s="649"/>
      <c r="J535" s="647"/>
      <c r="K535" s="647"/>
    </row>
    <row r="536" spans="1:11" x14ac:dyDescent="0.25">
      <c r="A536" s="648"/>
      <c r="B536" s="647"/>
      <c r="C536" s="647"/>
      <c r="D536" s="647"/>
      <c r="E536" s="647"/>
      <c r="F536" s="647"/>
      <c r="G536" s="647"/>
      <c r="H536" s="649"/>
      <c r="I536" s="649"/>
      <c r="J536" s="647"/>
      <c r="K536" s="647"/>
    </row>
    <row r="537" spans="1:11" x14ac:dyDescent="0.25">
      <c r="A537" s="648"/>
      <c r="B537" s="647"/>
      <c r="C537" s="647"/>
      <c r="D537" s="647"/>
      <c r="E537" s="647"/>
      <c r="F537" s="647"/>
      <c r="G537" s="647"/>
      <c r="H537" s="649"/>
      <c r="I537" s="649"/>
      <c r="J537" s="647"/>
      <c r="K537" s="647"/>
    </row>
    <row r="538" spans="1:11" x14ac:dyDescent="0.25">
      <c r="A538" s="648"/>
      <c r="B538" s="647"/>
      <c r="C538" s="647"/>
      <c r="D538" s="647"/>
      <c r="E538" s="647"/>
      <c r="F538" s="647"/>
      <c r="G538" s="647"/>
      <c r="H538" s="649"/>
      <c r="I538" s="649"/>
      <c r="J538" s="647"/>
      <c r="K538" s="647"/>
    </row>
    <row r="539" spans="1:11" x14ac:dyDescent="0.25">
      <c r="A539" s="648"/>
      <c r="B539" s="647"/>
      <c r="C539" s="647"/>
      <c r="D539" s="647"/>
      <c r="E539" s="647"/>
      <c r="F539" s="647"/>
      <c r="G539" s="647"/>
      <c r="H539" s="649"/>
      <c r="I539" s="649"/>
      <c r="J539" s="647"/>
      <c r="K539" s="647"/>
    </row>
    <row r="540" spans="1:11" x14ac:dyDescent="0.25">
      <c r="A540" s="648"/>
      <c r="B540" s="647"/>
      <c r="C540" s="647"/>
      <c r="D540" s="647"/>
      <c r="E540" s="647"/>
      <c r="F540" s="647"/>
      <c r="G540" s="647"/>
      <c r="H540" s="649"/>
      <c r="I540" s="649"/>
      <c r="J540" s="647"/>
      <c r="K540" s="647"/>
    </row>
    <row r="541" spans="1:11" x14ac:dyDescent="0.25">
      <c r="A541" s="648"/>
      <c r="B541" s="647"/>
      <c r="C541" s="647"/>
      <c r="D541" s="647"/>
      <c r="E541" s="647"/>
      <c r="F541" s="647"/>
      <c r="G541" s="647"/>
      <c r="H541" s="649"/>
      <c r="I541" s="649"/>
      <c r="J541" s="647"/>
      <c r="K541" s="647"/>
    </row>
    <row r="542" spans="1:11" x14ac:dyDescent="0.25">
      <c r="A542" s="648"/>
      <c r="B542" s="647"/>
      <c r="C542" s="647"/>
      <c r="D542" s="647"/>
      <c r="E542" s="647"/>
      <c r="F542" s="647"/>
      <c r="G542" s="647"/>
      <c r="H542" s="649"/>
      <c r="I542" s="649"/>
      <c r="J542" s="647"/>
      <c r="K542" s="647"/>
    </row>
    <row r="543" spans="1:11" x14ac:dyDescent="0.25">
      <c r="A543" s="648"/>
      <c r="B543" s="647"/>
      <c r="C543" s="647"/>
      <c r="D543" s="647"/>
      <c r="E543" s="647"/>
      <c r="F543" s="647"/>
      <c r="G543" s="647"/>
      <c r="H543" s="649"/>
      <c r="I543" s="649"/>
      <c r="J543" s="647"/>
      <c r="K543" s="647"/>
    </row>
    <row r="544" spans="1:11" x14ac:dyDescent="0.25">
      <c r="A544" s="648"/>
      <c r="B544" s="647"/>
      <c r="C544" s="647"/>
      <c r="D544" s="647"/>
      <c r="E544" s="647"/>
      <c r="F544" s="647"/>
      <c r="G544" s="647"/>
      <c r="H544" s="649"/>
      <c r="I544" s="649"/>
      <c r="J544" s="647"/>
      <c r="K544" s="647"/>
    </row>
    <row r="545" spans="1:11" x14ac:dyDescent="0.25">
      <c r="A545" s="648"/>
      <c r="B545" s="647"/>
      <c r="C545" s="647"/>
      <c r="D545" s="647"/>
      <c r="E545" s="647"/>
      <c r="F545" s="647"/>
      <c r="G545" s="647"/>
      <c r="H545" s="649"/>
      <c r="I545" s="649"/>
      <c r="J545" s="647"/>
      <c r="K545" s="647"/>
    </row>
    <row r="546" spans="1:11" x14ac:dyDescent="0.25">
      <c r="A546" s="648"/>
      <c r="B546" s="647"/>
      <c r="C546" s="647"/>
      <c r="D546" s="647"/>
      <c r="E546" s="647"/>
      <c r="F546" s="647"/>
      <c r="G546" s="647"/>
      <c r="H546" s="649"/>
      <c r="I546" s="649"/>
      <c r="J546" s="647"/>
      <c r="K546" s="647"/>
    </row>
    <row r="547" spans="1:11" x14ac:dyDescent="0.25">
      <c r="A547" s="648"/>
      <c r="B547" s="647"/>
      <c r="C547" s="647"/>
      <c r="D547" s="647"/>
      <c r="E547" s="647"/>
      <c r="F547" s="647"/>
      <c r="G547" s="647"/>
      <c r="H547" s="649"/>
      <c r="I547" s="649"/>
      <c r="J547" s="647"/>
      <c r="K547" s="647"/>
    </row>
    <row r="548" spans="1:11" x14ac:dyDescent="0.25">
      <c r="A548" s="648"/>
      <c r="B548" s="647"/>
      <c r="C548" s="647"/>
      <c r="D548" s="647"/>
      <c r="E548" s="647"/>
      <c r="F548" s="647"/>
      <c r="G548" s="647"/>
      <c r="H548" s="649"/>
      <c r="I548" s="649"/>
      <c r="J548" s="647"/>
      <c r="K548" s="647"/>
    </row>
    <row r="549" spans="1:11" x14ac:dyDescent="0.25">
      <c r="A549" s="648"/>
      <c r="B549" s="647"/>
      <c r="C549" s="647"/>
      <c r="D549" s="647"/>
      <c r="E549" s="647"/>
      <c r="F549" s="647"/>
      <c r="G549" s="647"/>
      <c r="H549" s="649"/>
      <c r="I549" s="649"/>
      <c r="J549" s="647"/>
      <c r="K549" s="647"/>
    </row>
    <row r="550" spans="1:11" x14ac:dyDescent="0.25">
      <c r="A550" s="648"/>
      <c r="B550" s="647"/>
      <c r="C550" s="647"/>
      <c r="D550" s="647"/>
      <c r="E550" s="647"/>
      <c r="F550" s="647"/>
      <c r="G550" s="647"/>
      <c r="H550" s="649"/>
      <c r="I550" s="649"/>
      <c r="J550" s="647"/>
      <c r="K550" s="647"/>
    </row>
    <row r="551" spans="1:11" x14ac:dyDescent="0.25">
      <c r="A551" s="648"/>
      <c r="B551" s="647"/>
      <c r="C551" s="647"/>
      <c r="D551" s="647"/>
      <c r="E551" s="647"/>
      <c r="F551" s="647"/>
      <c r="G551" s="647"/>
      <c r="H551" s="649"/>
      <c r="I551" s="649"/>
      <c r="J551" s="647"/>
      <c r="K551" s="647"/>
    </row>
    <row r="552" spans="1:11" x14ac:dyDescent="0.25">
      <c r="A552" s="648"/>
      <c r="B552" s="647"/>
      <c r="C552" s="647"/>
      <c r="D552" s="647"/>
      <c r="E552" s="647"/>
      <c r="F552" s="647"/>
      <c r="G552" s="647"/>
      <c r="H552" s="649"/>
      <c r="I552" s="649"/>
      <c r="J552" s="647"/>
      <c r="K552" s="647"/>
    </row>
    <row r="553" spans="1:11" x14ac:dyDescent="0.25">
      <c r="A553" s="648"/>
      <c r="B553" s="647"/>
      <c r="C553" s="647"/>
      <c r="D553" s="647"/>
      <c r="E553" s="647"/>
      <c r="F553" s="647"/>
      <c r="G553" s="647"/>
      <c r="H553" s="649"/>
      <c r="I553" s="649"/>
      <c r="J553" s="647"/>
      <c r="K553" s="647"/>
    </row>
    <row r="554" spans="1:11" x14ac:dyDescent="0.25">
      <c r="A554" s="648"/>
      <c r="B554" s="647"/>
      <c r="C554" s="647"/>
      <c r="D554" s="647"/>
      <c r="E554" s="647"/>
      <c r="F554" s="647"/>
      <c r="G554" s="647"/>
      <c r="H554" s="649"/>
      <c r="I554" s="649"/>
      <c r="J554" s="647"/>
      <c r="K554" s="647"/>
    </row>
    <row r="555" spans="1:11" x14ac:dyDescent="0.25">
      <c r="A555" s="648"/>
      <c r="B555" s="647"/>
      <c r="C555" s="647"/>
      <c r="D555" s="647"/>
      <c r="E555" s="647"/>
      <c r="F555" s="647"/>
      <c r="G555" s="647"/>
      <c r="H555" s="649"/>
      <c r="I555" s="649"/>
      <c r="J555" s="647"/>
      <c r="K555" s="647"/>
    </row>
    <row r="556" spans="1:11" x14ac:dyDescent="0.25">
      <c r="A556" s="648"/>
      <c r="B556" s="647"/>
      <c r="C556" s="647"/>
      <c r="D556" s="647"/>
      <c r="E556" s="647"/>
      <c r="F556" s="647"/>
      <c r="G556" s="647"/>
      <c r="H556" s="649"/>
      <c r="I556" s="649"/>
      <c r="J556" s="647"/>
      <c r="K556" s="647"/>
    </row>
    <row r="557" spans="1:11" x14ac:dyDescent="0.25">
      <c r="A557" s="648"/>
      <c r="B557" s="647"/>
      <c r="C557" s="647"/>
      <c r="D557" s="647"/>
      <c r="E557" s="647"/>
      <c r="F557" s="647"/>
      <c r="G557" s="647"/>
      <c r="H557" s="649"/>
      <c r="I557" s="649"/>
      <c r="J557" s="647"/>
      <c r="K557" s="647"/>
    </row>
    <row r="558" spans="1:11" x14ac:dyDescent="0.25">
      <c r="A558" s="648"/>
      <c r="B558" s="647"/>
      <c r="C558" s="647"/>
      <c r="D558" s="647"/>
      <c r="E558" s="647"/>
      <c r="F558" s="647"/>
      <c r="G558" s="647"/>
      <c r="H558" s="649"/>
      <c r="I558" s="649"/>
      <c r="J558" s="647"/>
      <c r="K558" s="647"/>
    </row>
    <row r="559" spans="1:11" x14ac:dyDescent="0.25">
      <c r="A559" s="648"/>
      <c r="B559" s="647"/>
      <c r="C559" s="647"/>
      <c r="D559" s="647"/>
      <c r="E559" s="647"/>
      <c r="F559" s="647"/>
      <c r="G559" s="647"/>
      <c r="H559" s="649"/>
      <c r="I559" s="649"/>
      <c r="J559" s="647"/>
      <c r="K559" s="647"/>
    </row>
    <row r="560" spans="1:11" x14ac:dyDescent="0.25">
      <c r="A560" s="648"/>
      <c r="B560" s="647"/>
      <c r="C560" s="647"/>
      <c r="D560" s="647"/>
      <c r="E560" s="647"/>
      <c r="F560" s="647"/>
      <c r="G560" s="647"/>
      <c r="H560" s="649"/>
      <c r="I560" s="649"/>
      <c r="J560" s="647"/>
      <c r="K560" s="647"/>
    </row>
    <row r="561" spans="1:11" x14ac:dyDescent="0.25">
      <c r="A561" s="648"/>
      <c r="B561" s="647"/>
      <c r="C561" s="647"/>
      <c r="D561" s="647"/>
      <c r="E561" s="647"/>
      <c r="F561" s="647"/>
      <c r="G561" s="647"/>
      <c r="H561" s="649"/>
      <c r="I561" s="649"/>
      <c r="J561" s="647"/>
      <c r="K561" s="647"/>
    </row>
    <row r="562" spans="1:11" x14ac:dyDescent="0.25">
      <c r="A562" s="648"/>
      <c r="B562" s="647"/>
      <c r="C562" s="647"/>
      <c r="D562" s="647"/>
      <c r="E562" s="647"/>
      <c r="F562" s="647"/>
      <c r="G562" s="647"/>
      <c r="H562" s="649"/>
      <c r="I562" s="649"/>
      <c r="J562" s="647"/>
      <c r="K562" s="647"/>
    </row>
    <row r="563" spans="1:11" x14ac:dyDescent="0.25">
      <c r="A563" s="648"/>
      <c r="B563" s="647"/>
      <c r="C563" s="647"/>
      <c r="D563" s="647"/>
      <c r="E563" s="647"/>
      <c r="F563" s="647"/>
      <c r="G563" s="647"/>
      <c r="H563" s="649"/>
      <c r="I563" s="649"/>
      <c r="J563" s="647"/>
      <c r="K563" s="647"/>
    </row>
    <row r="564" spans="1:11" x14ac:dyDescent="0.25">
      <c r="A564" s="648"/>
      <c r="B564" s="647"/>
      <c r="C564" s="647"/>
      <c r="D564" s="647"/>
      <c r="E564" s="647"/>
      <c r="F564" s="647"/>
      <c r="G564" s="647"/>
      <c r="H564" s="649"/>
      <c r="I564" s="649"/>
      <c r="J564" s="647"/>
      <c r="K564" s="647"/>
    </row>
    <row r="565" spans="1:11" x14ac:dyDescent="0.25">
      <c r="A565" s="648"/>
      <c r="B565" s="647"/>
      <c r="C565" s="647"/>
      <c r="D565" s="647"/>
      <c r="E565" s="647"/>
      <c r="F565" s="647"/>
      <c r="G565" s="647"/>
      <c r="H565" s="649"/>
      <c r="I565" s="649"/>
      <c r="J565" s="647"/>
      <c r="K565" s="647"/>
    </row>
    <row r="566" spans="1:11" x14ac:dyDescent="0.25">
      <c r="A566" s="648"/>
      <c r="B566" s="647"/>
      <c r="C566" s="647"/>
      <c r="D566" s="647"/>
      <c r="E566" s="647"/>
      <c r="F566" s="647"/>
      <c r="G566" s="647"/>
      <c r="H566" s="649"/>
      <c r="I566" s="649"/>
      <c r="J566" s="647"/>
      <c r="K566" s="647"/>
    </row>
    <row r="567" spans="1:11" x14ac:dyDescent="0.25">
      <c r="A567" s="648"/>
      <c r="B567" s="647"/>
      <c r="C567" s="647"/>
      <c r="D567" s="647"/>
      <c r="E567" s="647"/>
      <c r="F567" s="647"/>
      <c r="G567" s="647"/>
      <c r="H567" s="649"/>
      <c r="I567" s="649"/>
      <c r="J567" s="647"/>
      <c r="K567" s="647"/>
    </row>
    <row r="568" spans="1:11" x14ac:dyDescent="0.25">
      <c r="A568" s="648"/>
      <c r="B568" s="647"/>
      <c r="C568" s="647"/>
      <c r="D568" s="647"/>
      <c r="E568" s="647"/>
      <c r="F568" s="647"/>
      <c r="G568" s="647"/>
      <c r="H568" s="649"/>
      <c r="I568" s="649"/>
      <c r="J568" s="647"/>
      <c r="K568" s="647"/>
    </row>
    <row r="569" spans="1:11" x14ac:dyDescent="0.25">
      <c r="A569" s="648"/>
      <c r="B569" s="647"/>
      <c r="C569" s="647"/>
      <c r="D569" s="647"/>
      <c r="E569" s="647"/>
      <c r="F569" s="647"/>
      <c r="G569" s="647"/>
      <c r="H569" s="649"/>
      <c r="I569" s="649"/>
      <c r="J569" s="647"/>
      <c r="K569" s="647"/>
    </row>
    <row r="570" spans="1:11" x14ac:dyDescent="0.25">
      <c r="A570" s="648"/>
      <c r="B570" s="647"/>
      <c r="C570" s="647"/>
      <c r="D570" s="647"/>
      <c r="E570" s="647"/>
      <c r="F570" s="647"/>
      <c r="G570" s="647"/>
      <c r="H570" s="649"/>
      <c r="I570" s="649"/>
      <c r="J570" s="647"/>
      <c r="K570" s="647"/>
    </row>
    <row r="571" spans="1:11" x14ac:dyDescent="0.25">
      <c r="A571" s="648"/>
      <c r="B571" s="647"/>
      <c r="C571" s="647"/>
      <c r="D571" s="647"/>
      <c r="E571" s="647"/>
      <c r="F571" s="647"/>
      <c r="G571" s="647"/>
      <c r="H571" s="649"/>
      <c r="I571" s="649"/>
      <c r="J571" s="647"/>
      <c r="K571" s="647"/>
    </row>
    <row r="572" spans="1:11" x14ac:dyDescent="0.25">
      <c r="A572" s="648"/>
      <c r="B572" s="647"/>
      <c r="C572" s="647"/>
      <c r="D572" s="647"/>
      <c r="E572" s="647"/>
      <c r="F572" s="647"/>
      <c r="G572" s="647"/>
      <c r="H572" s="649"/>
      <c r="I572" s="649"/>
      <c r="J572" s="647"/>
      <c r="K572" s="647"/>
    </row>
    <row r="573" spans="1:11" x14ac:dyDescent="0.25">
      <c r="A573" s="648"/>
      <c r="B573" s="647"/>
      <c r="C573" s="647"/>
      <c r="D573" s="647"/>
      <c r="E573" s="647"/>
      <c r="F573" s="647"/>
      <c r="G573" s="647"/>
      <c r="H573" s="649"/>
      <c r="I573" s="649"/>
      <c r="J573" s="647"/>
      <c r="K573" s="647"/>
    </row>
    <row r="574" spans="1:11" x14ac:dyDescent="0.25">
      <c r="A574" s="648"/>
      <c r="B574" s="647"/>
      <c r="C574" s="647"/>
      <c r="D574" s="647"/>
      <c r="E574" s="647"/>
      <c r="F574" s="647"/>
      <c r="G574" s="647"/>
      <c r="H574" s="649"/>
      <c r="I574" s="649"/>
      <c r="J574" s="647"/>
      <c r="K574" s="647"/>
    </row>
    <row r="575" spans="1:11" x14ac:dyDescent="0.25">
      <c r="A575" s="648"/>
      <c r="B575" s="647"/>
      <c r="C575" s="647"/>
      <c r="D575" s="647"/>
      <c r="E575" s="647"/>
      <c r="F575" s="647"/>
      <c r="G575" s="647"/>
      <c r="H575" s="649"/>
      <c r="I575" s="649"/>
      <c r="J575" s="647"/>
      <c r="K575" s="647"/>
    </row>
    <row r="576" spans="1:11" x14ac:dyDescent="0.25">
      <c r="A576" s="648"/>
      <c r="B576" s="647"/>
      <c r="C576" s="647"/>
      <c r="D576" s="647"/>
      <c r="E576" s="647"/>
      <c r="F576" s="647"/>
      <c r="G576" s="647"/>
      <c r="H576" s="649"/>
      <c r="I576" s="649"/>
      <c r="J576" s="647"/>
      <c r="K576" s="647"/>
    </row>
    <row r="577" spans="1:11" x14ac:dyDescent="0.25">
      <c r="A577" s="648"/>
      <c r="B577" s="647"/>
      <c r="C577" s="647"/>
      <c r="D577" s="647"/>
      <c r="E577" s="647"/>
      <c r="F577" s="647"/>
      <c r="G577" s="647"/>
      <c r="H577" s="649"/>
      <c r="I577" s="649"/>
      <c r="J577" s="647"/>
      <c r="K577" s="647"/>
    </row>
    <row r="578" spans="1:11" x14ac:dyDescent="0.25">
      <c r="A578" s="648"/>
      <c r="B578" s="647"/>
      <c r="C578" s="647"/>
      <c r="D578" s="647"/>
      <c r="E578" s="647"/>
      <c r="F578" s="647"/>
      <c r="G578" s="647"/>
      <c r="H578" s="649"/>
      <c r="I578" s="649"/>
      <c r="J578" s="647"/>
      <c r="K578" s="647"/>
    </row>
    <row r="579" spans="1:11" x14ac:dyDescent="0.25">
      <c r="A579" s="648"/>
      <c r="B579" s="647"/>
      <c r="C579" s="647"/>
      <c r="D579" s="647"/>
      <c r="E579" s="647"/>
      <c r="F579" s="647"/>
      <c r="G579" s="647"/>
      <c r="H579" s="649"/>
      <c r="I579" s="649"/>
      <c r="J579" s="647"/>
      <c r="K579" s="647"/>
    </row>
    <row r="580" spans="1:11" x14ac:dyDescent="0.25">
      <c r="A580" s="648"/>
      <c r="B580" s="647"/>
      <c r="C580" s="647"/>
      <c r="D580" s="647"/>
      <c r="E580" s="647"/>
      <c r="F580" s="647"/>
      <c r="G580" s="647"/>
      <c r="H580" s="649"/>
      <c r="I580" s="649"/>
      <c r="J580" s="647"/>
      <c r="K580" s="647"/>
    </row>
    <row r="581" spans="1:11" x14ac:dyDescent="0.25">
      <c r="A581" s="648"/>
      <c r="B581" s="647"/>
      <c r="C581" s="647"/>
      <c r="D581" s="647"/>
      <c r="E581" s="647"/>
      <c r="F581" s="647"/>
      <c r="G581" s="647"/>
      <c r="H581" s="649"/>
      <c r="I581" s="649"/>
      <c r="J581" s="647"/>
      <c r="K581" s="647"/>
    </row>
    <row r="582" spans="1:11" x14ac:dyDescent="0.25">
      <c r="A582" s="648"/>
      <c r="B582" s="647"/>
      <c r="C582" s="647"/>
      <c r="D582" s="647"/>
      <c r="E582" s="647"/>
      <c r="F582" s="647"/>
      <c r="G582" s="647"/>
      <c r="H582" s="649"/>
      <c r="I582" s="649"/>
      <c r="J582" s="647"/>
      <c r="K582" s="647"/>
    </row>
    <row r="583" spans="1:11" x14ac:dyDescent="0.25">
      <c r="A583" s="648"/>
      <c r="B583" s="647"/>
      <c r="C583" s="647"/>
      <c r="D583" s="647"/>
      <c r="E583" s="647"/>
      <c r="F583" s="647"/>
      <c r="G583" s="647"/>
      <c r="H583" s="649"/>
      <c r="I583" s="649"/>
      <c r="J583" s="647"/>
      <c r="K583" s="647"/>
    </row>
    <row r="584" spans="1:11" x14ac:dyDescent="0.25">
      <c r="A584" s="648"/>
      <c r="B584" s="647"/>
      <c r="C584" s="647"/>
      <c r="D584" s="647"/>
      <c r="E584" s="647"/>
      <c r="F584" s="647"/>
      <c r="G584" s="647"/>
      <c r="H584" s="649"/>
      <c r="I584" s="649"/>
      <c r="J584" s="647"/>
      <c r="K584" s="647"/>
    </row>
    <row r="585" spans="1:11" x14ac:dyDescent="0.25">
      <c r="A585" s="648"/>
      <c r="B585" s="647"/>
      <c r="C585" s="647"/>
      <c r="D585" s="647"/>
      <c r="E585" s="647"/>
      <c r="F585" s="647"/>
      <c r="G585" s="647"/>
      <c r="H585" s="649"/>
      <c r="I585" s="649"/>
      <c r="J585" s="647"/>
      <c r="K585" s="647"/>
    </row>
    <row r="586" spans="1:11" x14ac:dyDescent="0.25">
      <c r="A586" s="648"/>
      <c r="B586" s="647"/>
      <c r="C586" s="647"/>
      <c r="D586" s="647"/>
      <c r="E586" s="647"/>
      <c r="F586" s="647"/>
      <c r="G586" s="647"/>
      <c r="H586" s="649"/>
      <c r="I586" s="649"/>
      <c r="J586" s="647"/>
      <c r="K586" s="647"/>
    </row>
    <row r="587" spans="1:11" x14ac:dyDescent="0.25">
      <c r="A587" s="648"/>
      <c r="B587" s="647"/>
      <c r="C587" s="647"/>
      <c r="D587" s="647"/>
      <c r="E587" s="647"/>
      <c r="F587" s="647"/>
      <c r="G587" s="647"/>
      <c r="H587" s="649"/>
      <c r="I587" s="649"/>
      <c r="J587" s="647"/>
      <c r="K587" s="647"/>
    </row>
    <row r="588" spans="1:11" x14ac:dyDescent="0.25">
      <c r="A588" s="648"/>
      <c r="B588" s="647"/>
      <c r="C588" s="647"/>
      <c r="D588" s="647"/>
      <c r="E588" s="647"/>
      <c r="F588" s="647"/>
      <c r="G588" s="647"/>
      <c r="H588" s="649"/>
      <c r="I588" s="649"/>
      <c r="J588" s="647"/>
      <c r="K588" s="647"/>
    </row>
    <row r="589" spans="1:11" x14ac:dyDescent="0.25">
      <c r="A589" s="648"/>
      <c r="B589" s="647"/>
      <c r="C589" s="647"/>
      <c r="D589" s="647"/>
      <c r="E589" s="647"/>
      <c r="F589" s="647"/>
      <c r="G589" s="647"/>
      <c r="H589" s="649"/>
      <c r="I589" s="649"/>
      <c r="J589" s="647"/>
      <c r="K589" s="647"/>
    </row>
    <row r="590" spans="1:11" x14ac:dyDescent="0.25">
      <c r="A590" s="648"/>
      <c r="B590" s="647"/>
      <c r="C590" s="647"/>
      <c r="D590" s="647"/>
      <c r="E590" s="647"/>
      <c r="F590" s="647"/>
      <c r="G590" s="647"/>
      <c r="H590" s="649"/>
      <c r="I590" s="649"/>
      <c r="J590" s="647"/>
      <c r="K590" s="647"/>
    </row>
    <row r="591" spans="1:11" x14ac:dyDescent="0.25">
      <c r="A591" s="648"/>
      <c r="B591" s="647"/>
      <c r="C591" s="647"/>
      <c r="D591" s="647"/>
      <c r="E591" s="647"/>
      <c r="F591" s="647"/>
      <c r="G591" s="647"/>
      <c r="H591" s="649"/>
      <c r="I591" s="649"/>
      <c r="J591" s="647"/>
      <c r="K591" s="647"/>
    </row>
    <row r="592" spans="1:11" x14ac:dyDescent="0.25">
      <c r="A592" s="648"/>
      <c r="B592" s="647"/>
      <c r="C592" s="647"/>
      <c r="D592" s="647"/>
      <c r="E592" s="647"/>
      <c r="F592" s="647"/>
      <c r="G592" s="647"/>
      <c r="H592" s="649"/>
      <c r="I592" s="649"/>
      <c r="J592" s="647"/>
      <c r="K592" s="647"/>
    </row>
    <row r="593" spans="1:11" x14ac:dyDescent="0.25">
      <c r="A593" s="648"/>
      <c r="B593" s="647"/>
      <c r="C593" s="647"/>
      <c r="D593" s="647"/>
      <c r="E593" s="647"/>
      <c r="F593" s="647"/>
      <c r="G593" s="647"/>
      <c r="H593" s="649"/>
      <c r="I593" s="649"/>
      <c r="J593" s="647"/>
      <c r="K593" s="647"/>
    </row>
    <row r="594" spans="1:11" x14ac:dyDescent="0.25">
      <c r="A594" s="648"/>
      <c r="B594" s="647"/>
      <c r="C594" s="647"/>
      <c r="D594" s="647"/>
      <c r="E594" s="647"/>
      <c r="F594" s="647"/>
      <c r="G594" s="647"/>
      <c r="H594" s="649"/>
      <c r="I594" s="649"/>
      <c r="J594" s="647"/>
      <c r="K594" s="647"/>
    </row>
    <row r="595" spans="1:11" x14ac:dyDescent="0.25">
      <c r="A595" s="648"/>
      <c r="B595" s="647"/>
      <c r="C595" s="647"/>
      <c r="D595" s="647"/>
      <c r="E595" s="647"/>
      <c r="F595" s="647"/>
      <c r="G595" s="647"/>
      <c r="H595" s="649"/>
      <c r="I595" s="649"/>
      <c r="J595" s="647"/>
      <c r="K595" s="647"/>
    </row>
    <row r="596" spans="1:11" x14ac:dyDescent="0.25">
      <c r="A596" s="648"/>
      <c r="B596" s="647"/>
      <c r="C596" s="647"/>
      <c r="D596" s="647"/>
      <c r="E596" s="647"/>
      <c r="F596" s="647"/>
      <c r="G596" s="647"/>
      <c r="H596" s="649"/>
      <c r="I596" s="649"/>
      <c r="J596" s="647"/>
      <c r="K596" s="647"/>
    </row>
    <row r="597" spans="1:11" x14ac:dyDescent="0.25">
      <c r="A597" s="648"/>
      <c r="B597" s="647"/>
      <c r="C597" s="647"/>
      <c r="D597" s="647"/>
      <c r="E597" s="647"/>
      <c r="F597" s="647"/>
      <c r="G597" s="647"/>
      <c r="H597" s="649"/>
      <c r="I597" s="649"/>
      <c r="J597" s="647"/>
      <c r="K597" s="647"/>
    </row>
    <row r="598" spans="1:11" x14ac:dyDescent="0.25">
      <c r="A598" s="648"/>
      <c r="B598" s="647"/>
      <c r="C598" s="647"/>
      <c r="D598" s="647"/>
      <c r="E598" s="647"/>
      <c r="F598" s="647"/>
      <c r="G598" s="647"/>
      <c r="H598" s="649"/>
      <c r="I598" s="649"/>
      <c r="J598" s="647"/>
      <c r="K598" s="647"/>
    </row>
    <row r="599" spans="1:11" x14ac:dyDescent="0.25">
      <c r="A599" s="648"/>
      <c r="B599" s="647"/>
      <c r="C599" s="647"/>
      <c r="D599" s="647"/>
      <c r="E599" s="647"/>
      <c r="F599" s="647"/>
      <c r="G599" s="647"/>
      <c r="H599" s="649"/>
      <c r="I599" s="649"/>
      <c r="J599" s="647"/>
      <c r="K599" s="647"/>
    </row>
    <row r="600" spans="1:11" x14ac:dyDescent="0.25">
      <c r="A600" s="648"/>
      <c r="B600" s="647"/>
      <c r="C600" s="647"/>
      <c r="D600" s="647"/>
      <c r="E600" s="647"/>
      <c r="F600" s="647"/>
      <c r="G600" s="647"/>
      <c r="H600" s="649"/>
      <c r="I600" s="649"/>
      <c r="J600" s="647"/>
      <c r="K600" s="647"/>
    </row>
    <row r="601" spans="1:11" x14ac:dyDescent="0.25">
      <c r="A601" s="648"/>
      <c r="B601" s="647"/>
      <c r="C601" s="647"/>
      <c r="D601" s="647"/>
      <c r="E601" s="647"/>
      <c r="F601" s="647"/>
      <c r="G601" s="647"/>
      <c r="H601" s="649"/>
      <c r="I601" s="649"/>
      <c r="J601" s="647"/>
      <c r="K601" s="647"/>
    </row>
    <row r="602" spans="1:11" x14ac:dyDescent="0.25">
      <c r="A602" s="648"/>
      <c r="B602" s="647"/>
      <c r="C602" s="647"/>
      <c r="D602" s="647"/>
      <c r="E602" s="647"/>
      <c r="F602" s="647"/>
      <c r="G602" s="647"/>
      <c r="H602" s="649"/>
      <c r="I602" s="649"/>
      <c r="J602" s="647"/>
      <c r="K602" s="647"/>
    </row>
    <row r="603" spans="1:11" x14ac:dyDescent="0.25">
      <c r="A603" s="648"/>
      <c r="B603" s="647"/>
      <c r="C603" s="647"/>
      <c r="D603" s="647"/>
      <c r="E603" s="647"/>
      <c r="F603" s="647"/>
      <c r="G603" s="647"/>
      <c r="H603" s="649"/>
      <c r="I603" s="649"/>
      <c r="J603" s="647"/>
      <c r="K603" s="647"/>
    </row>
    <row r="604" spans="1:11" x14ac:dyDescent="0.25">
      <c r="A604" s="648"/>
      <c r="B604" s="647"/>
      <c r="C604" s="647"/>
      <c r="D604" s="647"/>
      <c r="E604" s="647"/>
      <c r="F604" s="647"/>
      <c r="G604" s="647"/>
      <c r="H604" s="649"/>
      <c r="I604" s="649"/>
      <c r="J604" s="647"/>
      <c r="K604" s="647"/>
    </row>
    <row r="605" spans="1:11" x14ac:dyDescent="0.25">
      <c r="A605" s="648"/>
      <c r="B605" s="647"/>
      <c r="C605" s="647"/>
      <c r="D605" s="647"/>
      <c r="E605" s="647"/>
      <c r="F605" s="647"/>
      <c r="G605" s="647"/>
      <c r="H605" s="649"/>
      <c r="I605" s="649"/>
      <c r="J605" s="647"/>
      <c r="K605" s="647"/>
    </row>
    <row r="606" spans="1:11" x14ac:dyDescent="0.25">
      <c r="A606" s="648"/>
      <c r="B606" s="647"/>
      <c r="C606" s="647"/>
      <c r="D606" s="647"/>
      <c r="E606" s="647"/>
      <c r="F606" s="647"/>
      <c r="G606" s="647"/>
      <c r="H606" s="649"/>
      <c r="I606" s="649"/>
      <c r="J606" s="647"/>
      <c r="K606" s="647"/>
    </row>
    <row r="607" spans="1:11" x14ac:dyDescent="0.25">
      <c r="A607" s="648"/>
      <c r="B607" s="647"/>
      <c r="C607" s="647"/>
      <c r="D607" s="647"/>
      <c r="E607" s="647"/>
      <c r="F607" s="647"/>
      <c r="G607" s="647"/>
      <c r="H607" s="649"/>
      <c r="I607" s="649"/>
      <c r="J607" s="647"/>
      <c r="K607" s="647"/>
    </row>
    <row r="608" spans="1:11" x14ac:dyDescent="0.25">
      <c r="A608" s="648"/>
      <c r="B608" s="647"/>
      <c r="C608" s="647"/>
      <c r="D608" s="647"/>
      <c r="E608" s="647"/>
      <c r="F608" s="647"/>
      <c r="G608" s="647"/>
      <c r="H608" s="649"/>
      <c r="I608" s="649"/>
      <c r="J608" s="647"/>
      <c r="K608" s="647"/>
    </row>
    <row r="609" spans="1:11" x14ac:dyDescent="0.25">
      <c r="A609" s="648"/>
      <c r="B609" s="647"/>
      <c r="C609" s="647"/>
      <c r="D609" s="647"/>
      <c r="E609" s="647"/>
      <c r="F609" s="647"/>
      <c r="G609" s="647"/>
      <c r="H609" s="649"/>
      <c r="I609" s="649"/>
      <c r="J609" s="647"/>
      <c r="K609" s="647"/>
    </row>
    <row r="610" spans="1:11" x14ac:dyDescent="0.25">
      <c r="A610" s="648"/>
      <c r="B610" s="647"/>
      <c r="C610" s="647"/>
      <c r="D610" s="647"/>
      <c r="E610" s="647"/>
      <c r="F610" s="647"/>
      <c r="G610" s="647"/>
      <c r="H610" s="649"/>
      <c r="I610" s="649"/>
      <c r="J610" s="647"/>
      <c r="K610" s="647"/>
    </row>
    <row r="611" spans="1:11" x14ac:dyDescent="0.25">
      <c r="A611" s="648"/>
      <c r="B611" s="647"/>
      <c r="C611" s="647"/>
      <c r="D611" s="647"/>
      <c r="E611" s="647"/>
      <c r="F611" s="647"/>
      <c r="G611" s="647"/>
      <c r="H611" s="649"/>
      <c r="I611" s="649"/>
      <c r="J611" s="647"/>
      <c r="K611" s="647"/>
    </row>
    <row r="612" spans="1:11" x14ac:dyDescent="0.25">
      <c r="A612" s="648"/>
      <c r="B612" s="647"/>
      <c r="C612" s="647"/>
      <c r="D612" s="647"/>
      <c r="E612" s="647"/>
      <c r="F612" s="647"/>
      <c r="G612" s="647"/>
      <c r="H612" s="649"/>
      <c r="I612" s="649"/>
      <c r="J612" s="647"/>
      <c r="K612" s="647"/>
    </row>
    <row r="613" spans="1:11" x14ac:dyDescent="0.25">
      <c r="A613" s="648"/>
      <c r="B613" s="647"/>
      <c r="C613" s="647"/>
      <c r="D613" s="647"/>
      <c r="E613" s="647"/>
      <c r="F613" s="647"/>
      <c r="G613" s="647"/>
      <c r="H613" s="649"/>
      <c r="I613" s="649"/>
      <c r="J613" s="647"/>
      <c r="K613" s="647"/>
    </row>
    <row r="614" spans="1:11" x14ac:dyDescent="0.25">
      <c r="A614" s="648"/>
      <c r="B614" s="647"/>
      <c r="C614" s="647"/>
      <c r="D614" s="647"/>
      <c r="E614" s="647"/>
      <c r="F614" s="647"/>
      <c r="G614" s="647"/>
      <c r="H614" s="649"/>
      <c r="I614" s="649"/>
      <c r="J614" s="647"/>
      <c r="K614" s="647"/>
    </row>
    <row r="615" spans="1:11" x14ac:dyDescent="0.25">
      <c r="A615" s="648"/>
      <c r="B615" s="647"/>
      <c r="C615" s="647"/>
      <c r="D615" s="647"/>
      <c r="E615" s="647"/>
      <c r="F615" s="647"/>
      <c r="G615" s="647"/>
      <c r="H615" s="649"/>
      <c r="I615" s="649"/>
      <c r="J615" s="647"/>
      <c r="K615" s="647"/>
    </row>
    <row r="616" spans="1:11" x14ac:dyDescent="0.25">
      <c r="A616" s="648"/>
      <c r="B616" s="647"/>
      <c r="C616" s="647"/>
      <c r="D616" s="647"/>
      <c r="E616" s="647"/>
      <c r="F616" s="647"/>
      <c r="G616" s="647"/>
      <c r="H616" s="649"/>
      <c r="I616" s="649"/>
      <c r="J616" s="647"/>
      <c r="K616" s="647"/>
    </row>
    <row r="617" spans="1:11" x14ac:dyDescent="0.25">
      <c r="A617" s="648"/>
      <c r="B617" s="647"/>
      <c r="C617" s="647"/>
      <c r="D617" s="647"/>
      <c r="E617" s="647"/>
      <c r="F617" s="647"/>
      <c r="G617" s="647"/>
      <c r="H617" s="649"/>
      <c r="I617" s="649"/>
      <c r="J617" s="647"/>
      <c r="K617" s="647"/>
    </row>
    <row r="618" spans="1:11" x14ac:dyDescent="0.25">
      <c r="A618" s="648"/>
      <c r="B618" s="647"/>
      <c r="C618" s="647"/>
      <c r="D618" s="647"/>
      <c r="E618" s="647"/>
      <c r="F618" s="647"/>
      <c r="G618" s="647"/>
      <c r="H618" s="649"/>
      <c r="I618" s="649"/>
      <c r="J618" s="647"/>
      <c r="K618" s="647"/>
    </row>
    <row r="619" spans="1:11" x14ac:dyDescent="0.25">
      <c r="A619" s="648"/>
      <c r="B619" s="647"/>
      <c r="C619" s="647"/>
      <c r="D619" s="647"/>
      <c r="E619" s="647"/>
      <c r="F619" s="647"/>
      <c r="G619" s="647"/>
      <c r="H619" s="649"/>
      <c r="I619" s="649"/>
      <c r="J619" s="647"/>
      <c r="K619" s="647"/>
    </row>
    <row r="620" spans="1:11" x14ac:dyDescent="0.25">
      <c r="A620" s="648"/>
      <c r="B620" s="647"/>
      <c r="C620" s="647"/>
      <c r="D620" s="647"/>
      <c r="E620" s="647"/>
      <c r="F620" s="647"/>
      <c r="G620" s="647"/>
      <c r="H620" s="649"/>
      <c r="I620" s="649"/>
      <c r="J620" s="647"/>
      <c r="K620" s="647"/>
    </row>
    <row r="621" spans="1:11" x14ac:dyDescent="0.25">
      <c r="A621" s="648"/>
      <c r="B621" s="647"/>
      <c r="C621" s="647"/>
      <c r="D621" s="647"/>
      <c r="E621" s="647"/>
      <c r="F621" s="647"/>
      <c r="G621" s="647"/>
      <c r="H621" s="649"/>
      <c r="I621" s="649"/>
      <c r="J621" s="647"/>
      <c r="K621" s="647"/>
    </row>
    <row r="622" spans="1:11" x14ac:dyDescent="0.25">
      <c r="A622" s="648"/>
      <c r="B622" s="647"/>
      <c r="C622" s="647"/>
      <c r="D622" s="647"/>
      <c r="E622" s="647"/>
      <c r="F622" s="647"/>
      <c r="G622" s="647"/>
      <c r="H622" s="649"/>
      <c r="I622" s="649"/>
      <c r="J622" s="647"/>
      <c r="K622" s="647"/>
    </row>
    <row r="623" spans="1:11" x14ac:dyDescent="0.25">
      <c r="A623" s="648"/>
      <c r="B623" s="647"/>
      <c r="C623" s="647"/>
      <c r="D623" s="647"/>
      <c r="E623" s="647"/>
      <c r="F623" s="647"/>
      <c r="G623" s="647"/>
      <c r="H623" s="649"/>
      <c r="I623" s="649"/>
      <c r="J623" s="647"/>
      <c r="K623" s="647"/>
    </row>
    <row r="624" spans="1:11" x14ac:dyDescent="0.25">
      <c r="A624" s="648"/>
      <c r="B624" s="647"/>
      <c r="C624" s="647"/>
      <c r="D624" s="647"/>
      <c r="E624" s="647"/>
      <c r="F624" s="647"/>
      <c r="G624" s="647"/>
      <c r="H624" s="649"/>
      <c r="I624" s="649"/>
      <c r="J624" s="647"/>
      <c r="K624" s="647"/>
    </row>
    <row r="625" spans="1:11" x14ac:dyDescent="0.25">
      <c r="A625" s="648"/>
      <c r="B625" s="647"/>
      <c r="C625" s="647"/>
      <c r="D625" s="647"/>
      <c r="E625" s="647"/>
      <c r="F625" s="647"/>
      <c r="G625" s="647"/>
      <c r="H625" s="649"/>
      <c r="I625" s="649"/>
      <c r="J625" s="647"/>
      <c r="K625" s="647"/>
    </row>
    <row r="626" spans="1:11" x14ac:dyDescent="0.25">
      <c r="A626" s="648"/>
      <c r="B626" s="647"/>
      <c r="C626" s="647"/>
      <c r="D626" s="647"/>
      <c r="E626" s="647"/>
      <c r="F626" s="647"/>
      <c r="G626" s="647"/>
      <c r="H626" s="649"/>
      <c r="I626" s="649"/>
      <c r="J626" s="647"/>
      <c r="K626" s="647"/>
    </row>
    <row r="627" spans="1:11" x14ac:dyDescent="0.25">
      <c r="A627" s="648"/>
      <c r="B627" s="647"/>
      <c r="C627" s="647"/>
      <c r="D627" s="647"/>
      <c r="E627" s="647"/>
      <c r="F627" s="647"/>
      <c r="G627" s="647"/>
      <c r="H627" s="649"/>
      <c r="I627" s="649"/>
      <c r="J627" s="647"/>
      <c r="K627" s="647"/>
    </row>
    <row r="628" spans="1:11" x14ac:dyDescent="0.25">
      <c r="A628" s="648"/>
      <c r="B628" s="647"/>
      <c r="C628" s="647"/>
      <c r="D628" s="647"/>
      <c r="E628" s="647"/>
      <c r="F628" s="647"/>
      <c r="G628" s="647"/>
      <c r="H628" s="649"/>
      <c r="I628" s="649"/>
      <c r="J628" s="647"/>
      <c r="K628" s="647"/>
    </row>
    <row r="629" spans="1:11" x14ac:dyDescent="0.25">
      <c r="A629" s="648"/>
      <c r="B629" s="647"/>
      <c r="C629" s="647"/>
      <c r="D629" s="647"/>
      <c r="E629" s="647"/>
      <c r="F629" s="647"/>
      <c r="G629" s="647"/>
      <c r="H629" s="649"/>
      <c r="I629" s="649"/>
      <c r="J629" s="647"/>
      <c r="K629" s="647"/>
    </row>
    <row r="630" spans="1:11" x14ac:dyDescent="0.25">
      <c r="A630" s="648"/>
      <c r="B630" s="647"/>
      <c r="C630" s="647"/>
      <c r="D630" s="647"/>
      <c r="E630" s="647"/>
      <c r="F630" s="647"/>
      <c r="G630" s="647"/>
      <c r="H630" s="649"/>
      <c r="I630" s="649"/>
      <c r="J630" s="647"/>
      <c r="K630" s="647"/>
    </row>
    <row r="631" spans="1:11" x14ac:dyDescent="0.25">
      <c r="A631" s="648"/>
      <c r="B631" s="647"/>
      <c r="C631" s="647"/>
      <c r="D631" s="647"/>
      <c r="E631" s="647"/>
      <c r="F631" s="647"/>
      <c r="G631" s="647"/>
      <c r="H631" s="649"/>
      <c r="I631" s="649"/>
      <c r="J631" s="647"/>
      <c r="K631" s="647"/>
    </row>
    <row r="632" spans="1:11" x14ac:dyDescent="0.25">
      <c r="A632" s="648"/>
      <c r="B632" s="647"/>
      <c r="C632" s="647"/>
      <c r="D632" s="647"/>
      <c r="E632" s="647"/>
      <c r="F632" s="647"/>
      <c r="G632" s="647"/>
      <c r="H632" s="649"/>
      <c r="I632" s="649"/>
      <c r="J632" s="647"/>
      <c r="K632" s="647"/>
    </row>
    <row r="633" spans="1:11" x14ac:dyDescent="0.25">
      <c r="A633" s="648"/>
      <c r="B633" s="647"/>
      <c r="C633" s="647"/>
      <c r="D633" s="647"/>
      <c r="E633" s="647"/>
      <c r="F633" s="647"/>
      <c r="G633" s="647"/>
      <c r="H633" s="649"/>
      <c r="I633" s="649"/>
      <c r="J633" s="647"/>
      <c r="K633" s="647"/>
    </row>
    <row r="634" spans="1:11" x14ac:dyDescent="0.25">
      <c r="A634" s="648"/>
      <c r="B634" s="647"/>
      <c r="C634" s="647"/>
      <c r="D634" s="647"/>
      <c r="E634" s="647"/>
      <c r="F634" s="647"/>
      <c r="G634" s="647"/>
      <c r="H634" s="649"/>
      <c r="I634" s="649"/>
      <c r="J634" s="647"/>
      <c r="K634" s="647"/>
    </row>
    <row r="635" spans="1:11" x14ac:dyDescent="0.25">
      <c r="A635" s="648"/>
      <c r="B635" s="647"/>
      <c r="C635" s="647"/>
      <c r="D635" s="647"/>
      <c r="E635" s="647"/>
      <c r="F635" s="647"/>
      <c r="G635" s="647"/>
      <c r="H635" s="649"/>
      <c r="I635" s="649"/>
      <c r="J635" s="647"/>
      <c r="K635" s="647"/>
    </row>
    <row r="636" spans="1:11" x14ac:dyDescent="0.25">
      <c r="A636" s="648"/>
      <c r="B636" s="647"/>
      <c r="C636" s="647"/>
      <c r="D636" s="647"/>
      <c r="E636" s="647"/>
      <c r="F636" s="647"/>
      <c r="G636" s="647"/>
      <c r="H636" s="649"/>
      <c r="I636" s="649"/>
      <c r="J636" s="647"/>
      <c r="K636" s="647"/>
    </row>
    <row r="637" spans="1:11" x14ac:dyDescent="0.25">
      <c r="A637" s="648"/>
      <c r="B637" s="647"/>
      <c r="C637" s="647"/>
      <c r="D637" s="647"/>
      <c r="E637" s="647"/>
      <c r="F637" s="647"/>
      <c r="G637" s="647"/>
      <c r="H637" s="649"/>
      <c r="I637" s="649"/>
      <c r="J637" s="647"/>
      <c r="K637" s="647"/>
    </row>
    <row r="638" spans="1:11" x14ac:dyDescent="0.25">
      <c r="A638" s="648"/>
      <c r="B638" s="647"/>
      <c r="C638" s="647"/>
      <c r="D638" s="647"/>
      <c r="E638" s="647"/>
      <c r="F638" s="647"/>
      <c r="G638" s="647"/>
      <c r="H638" s="649"/>
      <c r="I638" s="649"/>
      <c r="J638" s="647"/>
      <c r="K638" s="647"/>
    </row>
    <row r="639" spans="1:11" x14ac:dyDescent="0.25">
      <c r="A639" s="648"/>
      <c r="B639" s="647"/>
      <c r="C639" s="647"/>
      <c r="D639" s="647"/>
      <c r="E639" s="647"/>
      <c r="F639" s="647"/>
      <c r="G639" s="647"/>
      <c r="H639" s="649"/>
      <c r="I639" s="649"/>
      <c r="J639" s="647"/>
      <c r="K639" s="647"/>
    </row>
    <row r="640" spans="1:11" x14ac:dyDescent="0.25">
      <c r="A640" s="648"/>
      <c r="B640" s="647"/>
      <c r="C640" s="647"/>
      <c r="D640" s="647"/>
      <c r="E640" s="647"/>
      <c r="F640" s="647"/>
      <c r="G640" s="647"/>
      <c r="H640" s="649"/>
      <c r="I640" s="649"/>
      <c r="J640" s="647"/>
      <c r="K640" s="647"/>
    </row>
    <row r="641" spans="1:11" x14ac:dyDescent="0.25">
      <c r="A641" s="648"/>
      <c r="B641" s="647"/>
      <c r="C641" s="647"/>
      <c r="D641" s="647"/>
      <c r="E641" s="647"/>
      <c r="F641" s="647"/>
      <c r="G641" s="647"/>
      <c r="H641" s="649"/>
      <c r="I641" s="649"/>
      <c r="J641" s="647"/>
      <c r="K641" s="647"/>
    </row>
    <row r="642" spans="1:11" x14ac:dyDescent="0.25">
      <c r="A642" s="648"/>
      <c r="B642" s="647"/>
      <c r="C642" s="647"/>
      <c r="D642" s="647"/>
      <c r="E642" s="647"/>
      <c r="F642" s="647"/>
      <c r="G642" s="647"/>
      <c r="H642" s="649"/>
      <c r="I642" s="649"/>
      <c r="J642" s="647"/>
      <c r="K642" s="647"/>
    </row>
    <row r="643" spans="1:11" x14ac:dyDescent="0.25">
      <c r="A643" s="648"/>
      <c r="B643" s="647"/>
      <c r="C643" s="647"/>
      <c r="D643" s="647"/>
      <c r="E643" s="647"/>
      <c r="F643" s="647"/>
      <c r="G643" s="647"/>
      <c r="H643" s="649"/>
      <c r="I643" s="649"/>
      <c r="J643" s="647"/>
      <c r="K643" s="647"/>
    </row>
    <row r="644" spans="1:11" x14ac:dyDescent="0.25">
      <c r="A644" s="648"/>
      <c r="B644" s="647"/>
      <c r="C644" s="647"/>
      <c r="D644" s="647"/>
      <c r="E644" s="647"/>
      <c r="F644" s="647"/>
      <c r="G644" s="647"/>
      <c r="H644" s="649"/>
      <c r="I644" s="649"/>
      <c r="J644" s="647"/>
      <c r="K644" s="647"/>
    </row>
    <row r="645" spans="1:11" x14ac:dyDescent="0.25">
      <c r="A645" s="648"/>
      <c r="B645" s="647"/>
      <c r="C645" s="647"/>
      <c r="D645" s="647"/>
      <c r="E645" s="647"/>
      <c r="F645" s="647"/>
      <c r="G645" s="647"/>
      <c r="H645" s="649"/>
      <c r="I645" s="649"/>
      <c r="J645" s="647"/>
      <c r="K645" s="647"/>
    </row>
    <row r="646" spans="1:11" x14ac:dyDescent="0.25">
      <c r="A646" s="648"/>
      <c r="B646" s="647"/>
      <c r="C646" s="647"/>
      <c r="D646" s="647"/>
      <c r="E646" s="647"/>
      <c r="F646" s="647"/>
      <c r="G646" s="647"/>
      <c r="H646" s="649"/>
      <c r="I646" s="649"/>
      <c r="J646" s="647"/>
      <c r="K646" s="647"/>
    </row>
    <row r="647" spans="1:11" x14ac:dyDescent="0.25">
      <c r="A647" s="648"/>
      <c r="B647" s="647"/>
      <c r="C647" s="647"/>
      <c r="D647" s="647"/>
      <c r="E647" s="647"/>
      <c r="F647" s="647"/>
      <c r="G647" s="647"/>
      <c r="H647" s="649"/>
      <c r="I647" s="649"/>
      <c r="J647" s="647"/>
      <c r="K647" s="647"/>
    </row>
    <row r="648" spans="1:11" x14ac:dyDescent="0.25">
      <c r="A648" s="648"/>
      <c r="B648" s="647"/>
      <c r="C648" s="647"/>
      <c r="D648" s="647"/>
      <c r="E648" s="647"/>
      <c r="F648" s="647"/>
      <c r="G648" s="647"/>
      <c r="H648" s="649"/>
      <c r="I648" s="649"/>
      <c r="J648" s="647"/>
      <c r="K648" s="647"/>
    </row>
    <row r="649" spans="1:11" x14ac:dyDescent="0.25">
      <c r="A649" s="648"/>
      <c r="B649" s="647"/>
      <c r="C649" s="647"/>
      <c r="D649" s="647"/>
      <c r="E649" s="647"/>
      <c r="F649" s="647"/>
      <c r="G649" s="647"/>
      <c r="H649" s="649"/>
      <c r="I649" s="649"/>
      <c r="J649" s="647"/>
      <c r="K649" s="647"/>
    </row>
    <row r="650" spans="1:11" x14ac:dyDescent="0.25">
      <c r="A650" s="648"/>
      <c r="B650" s="647"/>
      <c r="C650" s="647"/>
      <c r="D650" s="647"/>
      <c r="E650" s="647"/>
      <c r="F650" s="647"/>
      <c r="G650" s="647"/>
      <c r="H650" s="649"/>
      <c r="I650" s="649"/>
      <c r="J650" s="647"/>
      <c r="K650" s="647"/>
    </row>
    <row r="651" spans="1:11" x14ac:dyDescent="0.25">
      <c r="A651" s="648"/>
      <c r="B651" s="647"/>
      <c r="C651" s="647"/>
      <c r="D651" s="647"/>
      <c r="E651" s="647"/>
      <c r="F651" s="647"/>
      <c r="G651" s="647"/>
      <c r="H651" s="649"/>
      <c r="I651" s="649"/>
      <c r="J651" s="647"/>
      <c r="K651" s="647"/>
    </row>
    <row r="652" spans="1:11" x14ac:dyDescent="0.25">
      <c r="A652" s="648"/>
      <c r="B652" s="647"/>
      <c r="C652" s="647"/>
      <c r="D652" s="647"/>
      <c r="E652" s="647"/>
      <c r="F652" s="647"/>
      <c r="G652" s="647"/>
      <c r="H652" s="649"/>
      <c r="I652" s="649"/>
      <c r="J652" s="647"/>
      <c r="K652" s="647"/>
    </row>
    <row r="653" spans="1:11" x14ac:dyDescent="0.25">
      <c r="A653" s="648"/>
      <c r="B653" s="647"/>
      <c r="C653" s="647"/>
      <c r="D653" s="647"/>
      <c r="E653" s="647"/>
      <c r="F653" s="647"/>
      <c r="G653" s="647"/>
      <c r="H653" s="649"/>
      <c r="I653" s="649"/>
      <c r="J653" s="647"/>
      <c r="K653" s="647"/>
    </row>
    <row r="654" spans="1:11" x14ac:dyDescent="0.25">
      <c r="A654" s="648"/>
      <c r="B654" s="647"/>
      <c r="C654" s="647"/>
      <c r="D654" s="647"/>
      <c r="E654" s="647"/>
      <c r="F654" s="647"/>
      <c r="G654" s="647"/>
      <c r="H654" s="649"/>
      <c r="I654" s="649"/>
      <c r="J654" s="647"/>
      <c r="K654" s="647"/>
    </row>
    <row r="655" spans="1:11" x14ac:dyDescent="0.25">
      <c r="A655" s="648"/>
      <c r="B655" s="647"/>
      <c r="C655" s="647"/>
      <c r="D655" s="647"/>
      <c r="E655" s="647"/>
      <c r="F655" s="647"/>
      <c r="G655" s="647"/>
      <c r="H655" s="649"/>
      <c r="I655" s="649"/>
      <c r="J655" s="647"/>
      <c r="K655" s="647"/>
    </row>
    <row r="656" spans="1:11" x14ac:dyDescent="0.25">
      <c r="A656" s="648"/>
      <c r="B656" s="647"/>
      <c r="C656" s="647"/>
      <c r="D656" s="647"/>
      <c r="E656" s="647"/>
      <c r="F656" s="647"/>
      <c r="G656" s="647"/>
      <c r="H656" s="649"/>
      <c r="I656" s="649"/>
      <c r="J656" s="647"/>
      <c r="K656" s="647"/>
    </row>
    <row r="657" spans="1:11" x14ac:dyDescent="0.25">
      <c r="A657" s="648"/>
      <c r="B657" s="647"/>
      <c r="C657" s="647"/>
      <c r="D657" s="647"/>
      <c r="E657" s="647"/>
      <c r="F657" s="647"/>
      <c r="G657" s="647"/>
      <c r="H657" s="649"/>
      <c r="I657" s="649"/>
      <c r="J657" s="647"/>
      <c r="K657" s="647"/>
    </row>
    <row r="658" spans="1:11" x14ac:dyDescent="0.25">
      <c r="A658" s="648"/>
      <c r="B658" s="647"/>
      <c r="C658" s="647"/>
      <c r="D658" s="647"/>
      <c r="E658" s="647"/>
      <c r="F658" s="647"/>
      <c r="G658" s="647"/>
      <c r="H658" s="649"/>
      <c r="I658" s="649"/>
      <c r="J658" s="647"/>
      <c r="K658" s="647"/>
    </row>
    <row r="659" spans="1:11" x14ac:dyDescent="0.25">
      <c r="A659" s="648"/>
      <c r="B659" s="647"/>
      <c r="C659" s="647"/>
      <c r="D659" s="647"/>
      <c r="E659" s="647"/>
      <c r="F659" s="647"/>
      <c r="G659" s="647"/>
      <c r="H659" s="649"/>
      <c r="I659" s="649"/>
      <c r="J659" s="647"/>
      <c r="K659" s="647"/>
    </row>
    <row r="660" spans="1:11" x14ac:dyDescent="0.25">
      <c r="A660" s="648"/>
      <c r="B660" s="647"/>
      <c r="C660" s="647"/>
      <c r="D660" s="647"/>
      <c r="E660" s="647"/>
      <c r="F660" s="647"/>
      <c r="G660" s="647"/>
      <c r="H660" s="649"/>
      <c r="I660" s="649"/>
      <c r="J660" s="647"/>
      <c r="K660" s="647"/>
    </row>
    <row r="661" spans="1:11" x14ac:dyDescent="0.25">
      <c r="A661" s="648"/>
      <c r="B661" s="647"/>
      <c r="C661" s="647"/>
      <c r="D661" s="647"/>
      <c r="E661" s="647"/>
      <c r="F661" s="647"/>
      <c r="G661" s="647"/>
      <c r="H661" s="649"/>
      <c r="I661" s="649"/>
      <c r="J661" s="647"/>
      <c r="K661" s="647"/>
    </row>
    <row r="662" spans="1:11" x14ac:dyDescent="0.25">
      <c r="A662" s="648"/>
      <c r="B662" s="647"/>
      <c r="C662" s="647"/>
      <c r="D662" s="647"/>
      <c r="E662" s="647"/>
      <c r="F662" s="647"/>
      <c r="G662" s="647"/>
      <c r="H662" s="649"/>
      <c r="I662" s="649"/>
      <c r="J662" s="647"/>
      <c r="K662" s="647"/>
    </row>
    <row r="663" spans="1:11" x14ac:dyDescent="0.25">
      <c r="A663" s="648"/>
      <c r="B663" s="647"/>
      <c r="C663" s="647"/>
      <c r="D663" s="647"/>
      <c r="E663" s="647"/>
      <c r="F663" s="647"/>
      <c r="G663" s="647"/>
      <c r="H663" s="649"/>
      <c r="I663" s="649"/>
      <c r="J663" s="647"/>
      <c r="K663" s="647"/>
    </row>
    <row r="664" spans="1:11" x14ac:dyDescent="0.25">
      <c r="A664" s="648"/>
      <c r="B664" s="647"/>
      <c r="C664" s="647"/>
      <c r="D664" s="647"/>
      <c r="E664" s="647"/>
      <c r="F664" s="647"/>
      <c r="G664" s="647"/>
      <c r="H664" s="649"/>
      <c r="I664" s="649"/>
      <c r="J664" s="647"/>
      <c r="K664" s="647"/>
    </row>
    <row r="665" spans="1:11" x14ac:dyDescent="0.25">
      <c r="A665" s="648"/>
      <c r="B665" s="647"/>
      <c r="C665" s="647"/>
      <c r="D665" s="647"/>
      <c r="E665" s="647"/>
      <c r="F665" s="647"/>
      <c r="G665" s="647"/>
      <c r="H665" s="649"/>
      <c r="I665" s="649"/>
      <c r="J665" s="647"/>
      <c r="K665" s="647"/>
    </row>
    <row r="666" spans="1:11" x14ac:dyDescent="0.25">
      <c r="A666" s="648"/>
      <c r="B666" s="647"/>
      <c r="C666" s="647"/>
      <c r="D666" s="647"/>
      <c r="E666" s="647"/>
      <c r="F666" s="647"/>
      <c r="G666" s="647"/>
      <c r="H666" s="649"/>
      <c r="I666" s="649"/>
      <c r="J666" s="647"/>
      <c r="K666" s="647"/>
    </row>
    <row r="667" spans="1:11" x14ac:dyDescent="0.25">
      <c r="A667" s="648"/>
      <c r="B667" s="647"/>
      <c r="C667" s="647"/>
      <c r="D667" s="647"/>
      <c r="E667" s="647"/>
      <c r="F667" s="647"/>
      <c r="G667" s="647"/>
      <c r="H667" s="649"/>
      <c r="I667" s="649"/>
      <c r="J667" s="647"/>
      <c r="K667" s="647"/>
    </row>
    <row r="668" spans="1:11" x14ac:dyDescent="0.25">
      <c r="A668" s="648"/>
      <c r="B668" s="647"/>
      <c r="C668" s="647"/>
      <c r="D668" s="647"/>
      <c r="E668" s="647"/>
      <c r="F668" s="647"/>
      <c r="G668" s="647"/>
      <c r="H668" s="649"/>
      <c r="I668" s="649"/>
      <c r="J668" s="647"/>
      <c r="K668" s="647"/>
    </row>
    <row r="669" spans="1:11" x14ac:dyDescent="0.25">
      <c r="A669" s="648"/>
      <c r="B669" s="647"/>
      <c r="C669" s="647"/>
      <c r="D669" s="647"/>
      <c r="E669" s="647"/>
      <c r="F669" s="647"/>
      <c r="G669" s="647"/>
      <c r="H669" s="649"/>
      <c r="I669" s="649"/>
      <c r="J669" s="647"/>
      <c r="K669" s="647"/>
    </row>
    <row r="670" spans="1:11" x14ac:dyDescent="0.25">
      <c r="A670" s="648"/>
      <c r="B670" s="647"/>
      <c r="C670" s="647"/>
      <c r="D670" s="647"/>
      <c r="E670" s="647"/>
      <c r="F670" s="647"/>
      <c r="G670" s="647"/>
      <c r="H670" s="649"/>
      <c r="I670" s="649"/>
      <c r="J670" s="647"/>
      <c r="K670" s="647"/>
    </row>
    <row r="671" spans="1:11" x14ac:dyDescent="0.25">
      <c r="A671" s="648"/>
      <c r="B671" s="647"/>
      <c r="C671" s="647"/>
      <c r="D671" s="647"/>
      <c r="E671" s="647"/>
      <c r="F671" s="647"/>
      <c r="G671" s="647"/>
      <c r="H671" s="649"/>
      <c r="I671" s="649"/>
      <c r="J671" s="647"/>
      <c r="K671" s="647"/>
    </row>
    <row r="672" spans="1:11" x14ac:dyDescent="0.25">
      <c r="A672" s="648"/>
      <c r="B672" s="647"/>
      <c r="C672" s="647"/>
      <c r="D672" s="647"/>
      <c r="E672" s="647"/>
      <c r="F672" s="647"/>
      <c r="G672" s="647"/>
      <c r="H672" s="649"/>
      <c r="I672" s="649"/>
      <c r="J672" s="647"/>
      <c r="K672" s="647"/>
    </row>
    <row r="673" spans="1:11" x14ac:dyDescent="0.25">
      <c r="A673" s="648"/>
      <c r="B673" s="647"/>
      <c r="C673" s="647"/>
      <c r="D673" s="647"/>
      <c r="E673" s="647"/>
      <c r="F673" s="647"/>
      <c r="G673" s="647"/>
      <c r="H673" s="649"/>
      <c r="I673" s="649"/>
      <c r="J673" s="647"/>
      <c r="K673" s="647"/>
    </row>
    <row r="674" spans="1:11" x14ac:dyDescent="0.25">
      <c r="A674" s="648"/>
      <c r="B674" s="647"/>
      <c r="C674" s="647"/>
      <c r="D674" s="647"/>
      <c r="E674" s="647"/>
      <c r="F674" s="647"/>
      <c r="G674" s="647"/>
      <c r="H674" s="649"/>
      <c r="I674" s="649"/>
      <c r="J674" s="647"/>
      <c r="K674" s="647"/>
    </row>
    <row r="675" spans="1:11" x14ac:dyDescent="0.25">
      <c r="A675" s="648"/>
      <c r="B675" s="647"/>
      <c r="C675" s="647"/>
      <c r="D675" s="647"/>
      <c r="E675" s="647"/>
      <c r="F675" s="647"/>
      <c r="G675" s="647"/>
      <c r="H675" s="649"/>
      <c r="I675" s="649"/>
      <c r="J675" s="647"/>
      <c r="K675" s="647"/>
    </row>
    <row r="676" spans="1:11" x14ac:dyDescent="0.25">
      <c r="A676" s="648"/>
      <c r="B676" s="647"/>
      <c r="C676" s="647"/>
      <c r="D676" s="647"/>
      <c r="E676" s="647"/>
      <c r="F676" s="647"/>
      <c r="G676" s="647"/>
      <c r="H676" s="649"/>
      <c r="I676" s="649"/>
      <c r="J676" s="647"/>
      <c r="K676" s="647"/>
    </row>
    <row r="677" spans="1:11" x14ac:dyDescent="0.25">
      <c r="A677" s="648"/>
      <c r="B677" s="647"/>
      <c r="C677" s="647"/>
      <c r="D677" s="647"/>
      <c r="E677" s="647"/>
      <c r="F677" s="647"/>
      <c r="G677" s="647"/>
      <c r="H677" s="649"/>
      <c r="I677" s="649"/>
      <c r="J677" s="647"/>
      <c r="K677" s="647"/>
    </row>
    <row r="678" spans="1:11" x14ac:dyDescent="0.25">
      <c r="A678" s="648"/>
      <c r="B678" s="647"/>
      <c r="C678" s="647"/>
      <c r="D678" s="647"/>
      <c r="E678" s="647"/>
      <c r="F678" s="647"/>
      <c r="G678" s="647"/>
      <c r="H678" s="649"/>
      <c r="I678" s="649"/>
      <c r="J678" s="647"/>
      <c r="K678" s="647"/>
    </row>
    <row r="679" spans="1:11" x14ac:dyDescent="0.25">
      <c r="A679" s="648"/>
      <c r="B679" s="647"/>
      <c r="C679" s="647"/>
      <c r="D679" s="647"/>
      <c r="E679" s="647"/>
      <c r="F679" s="647"/>
      <c r="G679" s="647"/>
      <c r="H679" s="649"/>
      <c r="I679" s="649"/>
      <c r="J679" s="647"/>
      <c r="K679" s="647"/>
    </row>
    <row r="680" spans="1:11" x14ac:dyDescent="0.25">
      <c r="A680" s="648"/>
      <c r="B680" s="647"/>
      <c r="C680" s="647"/>
      <c r="D680" s="647"/>
      <c r="E680" s="647"/>
      <c r="F680" s="647"/>
      <c r="G680" s="647"/>
      <c r="H680" s="649"/>
      <c r="I680" s="649"/>
      <c r="J680" s="647"/>
      <c r="K680" s="647"/>
    </row>
    <row r="681" spans="1:11" x14ac:dyDescent="0.25">
      <c r="A681" s="648"/>
      <c r="B681" s="647"/>
      <c r="C681" s="647"/>
      <c r="D681" s="647"/>
      <c r="E681" s="647"/>
      <c r="F681" s="647"/>
      <c r="G681" s="647"/>
      <c r="H681" s="649"/>
      <c r="I681" s="649"/>
      <c r="J681" s="647"/>
      <c r="K681" s="647"/>
    </row>
    <row r="682" spans="1:11" x14ac:dyDescent="0.25">
      <c r="A682" s="648"/>
      <c r="B682" s="647"/>
      <c r="C682" s="647"/>
      <c r="D682" s="647"/>
      <c r="E682" s="647"/>
      <c r="F682" s="647"/>
      <c r="G682" s="647"/>
      <c r="H682" s="649"/>
      <c r="I682" s="649"/>
      <c r="J682" s="647"/>
      <c r="K682" s="647"/>
    </row>
    <row r="683" spans="1:11" x14ac:dyDescent="0.25">
      <c r="A683" s="648"/>
      <c r="B683" s="647"/>
      <c r="C683" s="647"/>
      <c r="D683" s="647"/>
      <c r="E683" s="647"/>
      <c r="F683" s="647"/>
      <c r="G683" s="647"/>
      <c r="H683" s="649"/>
      <c r="I683" s="649"/>
      <c r="J683" s="647"/>
      <c r="K683" s="647"/>
    </row>
    <row r="684" spans="1:11" x14ac:dyDescent="0.25">
      <c r="A684" s="648"/>
      <c r="B684" s="647"/>
      <c r="C684" s="647"/>
      <c r="D684" s="647"/>
      <c r="E684" s="647"/>
      <c r="F684" s="647"/>
      <c r="G684" s="647"/>
      <c r="H684" s="649"/>
      <c r="I684" s="649"/>
      <c r="J684" s="647"/>
      <c r="K684" s="647"/>
    </row>
    <row r="685" spans="1:11" x14ac:dyDescent="0.25">
      <c r="A685" s="648"/>
      <c r="B685" s="647"/>
      <c r="C685" s="647"/>
      <c r="D685" s="647"/>
      <c r="E685" s="647"/>
      <c r="F685" s="647"/>
      <c r="G685" s="647"/>
      <c r="H685" s="649"/>
      <c r="I685" s="649"/>
      <c r="J685" s="647"/>
      <c r="K685" s="647"/>
    </row>
    <row r="686" spans="1:11" x14ac:dyDescent="0.25">
      <c r="A686" s="648"/>
      <c r="B686" s="647"/>
      <c r="C686" s="647"/>
      <c r="D686" s="647"/>
      <c r="E686" s="647"/>
      <c r="F686" s="647"/>
      <c r="G686" s="647"/>
      <c r="H686" s="649"/>
      <c r="I686" s="649"/>
      <c r="J686" s="647"/>
      <c r="K686" s="647"/>
    </row>
    <row r="687" spans="1:11" x14ac:dyDescent="0.25">
      <c r="A687" s="648"/>
      <c r="B687" s="647"/>
      <c r="C687" s="647"/>
      <c r="D687" s="647"/>
      <c r="E687" s="647"/>
      <c r="F687" s="647"/>
      <c r="G687" s="647"/>
      <c r="H687" s="649"/>
      <c r="I687" s="649"/>
      <c r="J687" s="647"/>
      <c r="K687" s="647"/>
    </row>
    <row r="688" spans="1:11" x14ac:dyDescent="0.25">
      <c r="A688" s="648"/>
      <c r="B688" s="647"/>
      <c r="C688" s="647"/>
      <c r="D688" s="647"/>
      <c r="E688" s="647"/>
      <c r="F688" s="647"/>
      <c r="G688" s="647"/>
      <c r="H688" s="649"/>
      <c r="I688" s="649"/>
      <c r="J688" s="647"/>
      <c r="K688" s="647"/>
    </row>
    <row r="689" spans="1:11" x14ac:dyDescent="0.25">
      <c r="A689" s="650" t="s">
        <v>383</v>
      </c>
      <c r="B689" s="650" t="s">
        <v>383</v>
      </c>
      <c r="C689" s="650" t="s">
        <v>383</v>
      </c>
      <c r="D689" s="650" t="s">
        <v>383</v>
      </c>
      <c r="E689" s="650" t="s">
        <v>383</v>
      </c>
      <c r="F689" s="650" t="s">
        <v>383</v>
      </c>
      <c r="G689" s="650" t="s">
        <v>383</v>
      </c>
      <c r="H689" s="650" t="s">
        <v>383</v>
      </c>
      <c r="I689" s="650" t="s">
        <v>383</v>
      </c>
      <c r="J689" s="650" t="s">
        <v>383</v>
      </c>
      <c r="K689" s="650" t="s">
        <v>383</v>
      </c>
    </row>
  </sheetData>
  <sheetProtection algorithmName="SHA-512" hashValue="r148kIH5pf1axqmDGJnk5kPTi3as4y42hH5QiDpM+zPxlitqt5NVcuUXlUfFirKEjfsqLUkLVakv4GCO8dMeGg==" saltValue="1QCDX9FvQR0qcktWnEnXYA==" spinCount="100000" sheet="1" scenarios="1" formatColumns="0" formatRows="0" autoFilter="0"/>
  <autoFilter ref="A1:K430" xr:uid="{8D93AE74-C5B9-4ECA-9FB9-E45922B75EA8}">
    <filterColumn colId="6">
      <filters blank="1">
        <filter val="2024"/>
      </filters>
    </filterColumn>
  </autoFilter>
  <dataValidations count="1">
    <dataValidation type="decimal" operator="greaterThanOrEqual" allowBlank="1" showInputMessage="1" showErrorMessage="1" error="יש להזין מספר שאינו שלילי" sqref="H40:H151 H2:H29" xr:uid="{58CA74DE-F845-4AE2-88E3-DB51E6E19BF2}">
      <formula1>0</formula1>
    </dataValidation>
  </dataValidation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גיליון18">
    <tabColor rgb="FF002060"/>
    <pageSetUpPr fitToPage="1"/>
  </sheetPr>
  <dimension ref="C2:Z79"/>
  <sheetViews>
    <sheetView rightToLeft="1" view="pageBreakPreview" topLeftCell="A21" zoomScale="80" zoomScaleNormal="80" zoomScaleSheetLayoutView="80" workbookViewId="0">
      <selection activeCell="K30" sqref="K30"/>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4" style="42" bestFit="1" customWidth="1"/>
    <col min="8" max="8" width="21.140625" style="42" customWidth="1"/>
    <col min="9" max="9" width="17.5703125" style="42" customWidth="1"/>
    <col min="10" max="10" width="16.28515625" style="42" customWidth="1"/>
    <col min="11" max="11" width="14.140625" style="42" customWidth="1"/>
    <col min="12" max="12" width="15.42578125" style="42" customWidth="1"/>
    <col min="13" max="13" width="26.42578125" style="42" customWidth="1"/>
    <col min="14" max="14" width="9.140625" style="42" customWidth="1"/>
    <col min="15"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מרכז מורשת בבל</v>
      </c>
      <c r="E3" s="624"/>
      <c r="F3" s="625"/>
      <c r="H3" s="26" t="s">
        <v>310</v>
      </c>
      <c r="I3" s="47">
        <v>1</v>
      </c>
      <c r="L3" s="222" t="s">
        <v>311</v>
      </c>
      <c r="M3" s="221" t="str">
        <f ca="1">"גיליון הזנה "&amp;INDEX('ריכוז נתונים'!$C$17:$C$76,MATCH(D3,'ריכוז נתונים'!$B$17:$B$76,0))</f>
        <v>גיליון הזנה 1</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5.3772055592074069E-2</v>
      </c>
      <c r="F8" s="329">
        <v>656553.68000000005</v>
      </c>
      <c r="G8" s="630" t="s">
        <v>32</v>
      </c>
      <c r="H8" s="631"/>
      <c r="I8" s="632">
        <v>0</v>
      </c>
      <c r="J8" s="633"/>
      <c r="K8" s="628">
        <v>149607</v>
      </c>
      <c r="L8" s="629"/>
      <c r="M8" s="628">
        <v>1803023</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73.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3953224</v>
      </c>
      <c r="D11" s="633"/>
      <c r="E11" s="130">
        <v>3953224</v>
      </c>
      <c r="F11" s="130">
        <v>3953224</v>
      </c>
      <c r="G11" s="130">
        <v>3542538</v>
      </c>
      <c r="H11" s="48">
        <v>3542538</v>
      </c>
      <c r="I11" s="630">
        <v>1983</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11</v>
      </c>
      <c r="F16" s="28" t="str">
        <f t="array" ref="F16:F17">TRANSPOSE('ריכוז נתונים'!P16:Q16)</f>
        <v>מספר דפים סטטיים</v>
      </c>
      <c r="G16" s="47">
        <v>850</v>
      </c>
      <c r="I16" s="634" t="s">
        <v>72</v>
      </c>
      <c r="J16" s="635"/>
      <c r="M16" s="51" t="s">
        <v>116</v>
      </c>
      <c r="N16" s="50"/>
    </row>
    <row r="17" spans="3:26" ht="50.25" customHeight="1" x14ac:dyDescent="0.25">
      <c r="C17" s="51" t="str">
        <v>מספר הרצאות</v>
      </c>
      <c r="D17" s="47">
        <v>258</v>
      </c>
      <c r="F17" s="26" t="str">
        <v xml:space="preserve">איכות האתר </v>
      </c>
      <c r="G17" s="49" t="s">
        <v>107</v>
      </c>
      <c r="I17" s="25" t="s">
        <v>809</v>
      </c>
      <c r="J17" s="48">
        <v>2907338</v>
      </c>
      <c r="M17" s="28" t="s">
        <v>160</v>
      </c>
      <c r="N17" s="47"/>
    </row>
    <row r="18" spans="3:26" ht="63" x14ac:dyDescent="0.25">
      <c r="C18" s="51" t="str">
        <v>מתוכם מספר הרצאות שנערכו על ידי מישהו בעל תואר שלישי בתחום בו ניתנה הפעילות:</v>
      </c>
      <c r="D18" s="47">
        <v>9</v>
      </c>
      <c r="I18" s="25" t="s">
        <v>810</v>
      </c>
      <c r="J18" s="136">
        <f>F11</f>
        <v>3953224</v>
      </c>
      <c r="M18" s="28" t="s">
        <v>161</v>
      </c>
      <c r="N18" s="47"/>
    </row>
    <row r="19" spans="3:26" x14ac:dyDescent="0.25">
      <c r="C19" s="51" t="str">
        <v>מספר ימי עיון</v>
      </c>
      <c r="D19" s="47">
        <v>1</v>
      </c>
      <c r="M19" s="28" t="s">
        <v>162</v>
      </c>
      <c r="N19" s="47"/>
    </row>
    <row r="20" spans="3:26" ht="63" x14ac:dyDescent="0.25">
      <c r="C20" s="51" t="str">
        <v>מתוכם מספר ימי עיון שנערכו על ידי מישהו בעל תואר שלישי בתחום בו ניתנה הפעילות:</v>
      </c>
      <c r="D20" s="47">
        <v>1</v>
      </c>
      <c r="I20" s="634" t="str">
        <f>פרמטרים!B101</f>
        <v>תיעוד ושימור החומר הארכיונאי</v>
      </c>
      <c r="J20" s="635"/>
      <c r="M20" s="28" t="s">
        <v>163</v>
      </c>
      <c r="N20" s="47"/>
    </row>
    <row r="21" spans="3:26" ht="94.5" x14ac:dyDescent="0.25">
      <c r="C21" s="51" t="str">
        <v>מספר הפקות מורכבות</v>
      </c>
      <c r="D21" s="47">
        <v>7</v>
      </c>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v>0</v>
      </c>
    </row>
    <row r="23" spans="3:26" ht="31.5" x14ac:dyDescent="0.25">
      <c r="C23" s="51" t="str">
        <v>מספר הפקות מורכבות מקוריות</v>
      </c>
      <c r="D23" s="47">
        <v>7</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0</v>
      </c>
    </row>
    <row r="26" spans="3:26" x14ac:dyDescent="0.25">
      <c r="C26" s="616" t="s">
        <v>68</v>
      </c>
      <c r="D26" s="617"/>
      <c r="E26" s="617"/>
      <c r="F26" s="617"/>
      <c r="H26" s="618" t="s">
        <v>124</v>
      </c>
      <c r="I26" s="619"/>
      <c r="J26" s="619"/>
      <c r="K26" s="619"/>
      <c r="L26" s="619"/>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t="s">
        <v>446</v>
      </c>
      <c r="D28" s="47">
        <v>20</v>
      </c>
      <c r="E28" s="47" t="s">
        <v>341</v>
      </c>
      <c r="F28" s="91">
        <f>IF(C28="","",D28*IF(E28=$U$27,פרמטרים!$C$39,IF(E28=$V$27,פרמטרים!$C$40,0)))</f>
        <v>20</v>
      </c>
      <c r="H28" s="47" t="s">
        <v>449</v>
      </c>
      <c r="I28" s="226">
        <v>44843</v>
      </c>
      <c r="J28" s="47">
        <v>290</v>
      </c>
      <c r="K28" s="47" t="s">
        <v>31</v>
      </c>
      <c r="L28" s="91">
        <f>IF(H28="","",IF(P28+R28=2,Q28,0))</f>
        <v>1</v>
      </c>
      <c r="P28" s="42">
        <f>IF(AND(I28&gt;=INDEX('הוראת שעה'!$B$5:$D$18,MATCH(פרמטרים!$C$3,'הוראת שעה'!$A$5:$A$18,1),IF($I$24=1,1,3)),I28&lt;=INDEX('הוראת שעה'!C$5:$E$18,MATCH(פרמטרים!$C$3,'הוראת שעה'!$A$5:$A$18,1),IF($I$24=1,1,3))),1,0)</f>
        <v>1</v>
      </c>
      <c r="Q28" s="42">
        <f>IF(J28&gt;=פרמטרים!$B$99,פרמטרים!$C$99,IF(J28&gt;=פרמטרים!$B$98,פרמטרים!$C$98,0))</f>
        <v>1</v>
      </c>
      <c r="R28" s="42">
        <f>IF(K28=$W$27,1,0)</f>
        <v>1</v>
      </c>
      <c r="U28" s="42" t="str">
        <f t="shared" ref="U28:X47" si="0">IF($C28="","",U$27)</f>
        <v xml:space="preserve">קבועה </v>
      </c>
      <c r="V28" s="42" t="str">
        <f t="shared" si="0"/>
        <v>מתחלפת</v>
      </c>
      <c r="W28" s="42" t="str">
        <f t="shared" si="0"/>
        <v>כן</v>
      </c>
      <c r="X28" s="42" t="str">
        <f t="shared" si="0"/>
        <v>לא</v>
      </c>
      <c r="Z28" s="42">
        <f>IF(E28=$V$27,D28*פרמטרים!$C$40,0)</f>
        <v>20</v>
      </c>
    </row>
    <row r="29" spans="3:26" x14ac:dyDescent="0.25">
      <c r="C29" s="47" t="s">
        <v>447</v>
      </c>
      <c r="D29" s="47">
        <v>2</v>
      </c>
      <c r="E29" s="47" t="s">
        <v>341</v>
      </c>
      <c r="F29" s="91">
        <f>IF(C29="","",D29*IF(E29=$U$27,פרמטרים!$C$39,IF(E29=$V$27,פרמטרים!$C$40,0)))</f>
        <v>2</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xml:space="preserve">קבועה </v>
      </c>
      <c r="V29" s="42" t="str">
        <f t="shared" si="0"/>
        <v>מתחלפת</v>
      </c>
      <c r="W29" s="42" t="str">
        <f t="shared" si="0"/>
        <v>כן</v>
      </c>
      <c r="X29" s="42" t="str">
        <f t="shared" si="0"/>
        <v>לא</v>
      </c>
      <c r="Z29" s="42">
        <f>IF(E29=$V$27,D29*פרמטרים!$C$40,0)</f>
        <v>2</v>
      </c>
    </row>
    <row r="30" spans="3:26" x14ac:dyDescent="0.25">
      <c r="C30" s="47" t="s">
        <v>448</v>
      </c>
      <c r="D30" s="47">
        <v>20</v>
      </c>
      <c r="E30" s="47" t="s">
        <v>340</v>
      </c>
      <c r="F30" s="91">
        <f>IF(C30="","",D30*IF(E30=$U$27,פרמטרים!$C$39,IF(E30=$V$27,פרמטרים!$C$40,0)))</f>
        <v>40</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xml:space="preserve">קבועה </v>
      </c>
      <c r="V30" s="42" t="str">
        <f t="shared" si="0"/>
        <v>מתחלפת</v>
      </c>
      <c r="W30" s="42" t="str">
        <f t="shared" si="0"/>
        <v>כן</v>
      </c>
      <c r="X30" s="42" t="str">
        <f t="shared" si="0"/>
        <v>לא</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62</v>
      </c>
      <c r="L78" s="92">
        <f>SUM(L28:L77)</f>
        <v>1</v>
      </c>
    </row>
    <row r="79" spans="3:26" x14ac:dyDescent="0.25">
      <c r="F79" s="42">
        <f>COUNTIF(H78:H78,"מתחלפת")</f>
        <v>0</v>
      </c>
    </row>
  </sheetData>
  <sheetProtection algorithmName="SHA-512" hashValue="MsxpHLoS0eBfr7qpmfmvRXwfzBYOZEdbZqu7cGqdRYSaVP2F5bORWZrQr17nekIPzj94USK/EavPwNWocS2JkA==" saltValue="Gu3g7r85KFK84dfTaswP6Q==" spinCount="100000" sheet="1" scenarios="1" formatColumns="0" formatRows="0" autoFilter="0"/>
  <mergeCells count="27">
    <mergeCell ref="I16:J16"/>
    <mergeCell ref="I20:J20"/>
    <mergeCell ref="C10:D10"/>
    <mergeCell ref="C11:D11"/>
    <mergeCell ref="C15:D15"/>
    <mergeCell ref="K10:L10"/>
    <mergeCell ref="K11:L11"/>
    <mergeCell ref="G8:H8"/>
    <mergeCell ref="I8:J8"/>
    <mergeCell ref="K8:L8"/>
    <mergeCell ref="I10:J10"/>
    <mergeCell ref="V3:Z3"/>
    <mergeCell ref="C13:N13"/>
    <mergeCell ref="C7:D7"/>
    <mergeCell ref="C26:F26"/>
    <mergeCell ref="H26:L26"/>
    <mergeCell ref="M15:N15"/>
    <mergeCell ref="F15:G15"/>
    <mergeCell ref="D3:F3"/>
    <mergeCell ref="C8:D8"/>
    <mergeCell ref="C5:N5"/>
    <mergeCell ref="M7:N7"/>
    <mergeCell ref="M8:N8"/>
    <mergeCell ref="G7:H7"/>
    <mergeCell ref="I7:J7"/>
    <mergeCell ref="K7:L7"/>
    <mergeCell ref="I11:J11"/>
  </mergeCells>
  <conditionalFormatting sqref="F8">
    <cfRule type="expression" dxfId="25" priority="1">
      <formula>IF($C8="",0,1)</formula>
    </cfRule>
  </conditionalFormatting>
  <dataValidations count="14">
    <dataValidation type="list" allowBlank="1" showInputMessage="1" showErrorMessage="1" sqref="N19:N21 K28:K77 G8 K11:L11" xr:uid="{00000000-0002-0000-1C00-000000000000}">
      <formula1>$V$5:$W$5</formula1>
    </dataValidation>
    <dataValidation type="list" allowBlank="1" showInputMessage="1" showErrorMessage="1" sqref="G17" xr:uid="{00000000-0002-0000-1C00-000001000000}">
      <formula1>$V$7:$X$7</formula1>
    </dataValidation>
    <dataValidation type="list" allowBlank="1" showInputMessage="1" showErrorMessage="1" sqref="N16" xr:uid="{00000000-0002-0000-1C00-000002000000}">
      <formula1>$V$9:$Y$9</formula1>
    </dataValidation>
    <dataValidation allowBlank="1" showInputMessage="1" showErrorMessage="1" errorTitle="ערך לא חוקי" error="יש להזין ציון בין 0 ל-60" sqref="N18" xr:uid="{00000000-0002-0000-1C00-000003000000}"/>
    <dataValidation type="whole" allowBlank="1" showInputMessage="1" showErrorMessage="1" sqref="F8" xr:uid="{00000000-0002-0000-1C00-000004000000}">
      <formula1>0</formula1>
      <formula2>9.99999999999999E+55</formula2>
    </dataValidation>
    <dataValidation type="list" allowBlank="1" showInputMessage="1" showErrorMessage="1" sqref="J21" xr:uid="{00000000-0002-0000-1C00-000005000000}">
      <formula1>$V$15:$W$15</formula1>
    </dataValidation>
    <dataValidation type="decimal" operator="greaterThanOrEqual" allowBlank="1" showInputMessage="1" showErrorMessage="1" errorTitle="הזנה שגויה" sqref="H11" xr:uid="{00000000-0002-0000-1C00-000006000000}">
      <formula1>0</formula1>
    </dataValidation>
    <dataValidation type="whole" operator="greaterThanOrEqual" allowBlank="1" showInputMessage="1" showErrorMessage="1" errorTitle="הזנה שגויה" sqref="J18 C11:E11 G11" xr:uid="{00000000-0002-0000-1C00-000007000000}">
      <formula1>0</formula1>
    </dataValidation>
    <dataValidation type="whole" allowBlank="1" showInputMessage="1" showErrorMessage="1" errorTitle="הזנה שגויה" sqref="J17" xr:uid="{00000000-0002-0000-1C00-000008000000}">
      <formula1>0</formula1>
      <formula2>J18</formula2>
    </dataValidation>
    <dataValidation operator="greaterThanOrEqual" allowBlank="1" showInputMessage="1" showErrorMessage="1" errorTitle="הזנה שגויה" sqref="C8:D8" xr:uid="{00000000-0002-0000-1C00-000009000000}"/>
    <dataValidation type="list" allowBlank="1" showInputMessage="1" showErrorMessage="1" sqref="E28:E77" xr:uid="{00000000-0002-0000-1C00-00000A000000}">
      <formula1>U28:V28</formula1>
    </dataValidation>
    <dataValidation operator="greaterThan" allowBlank="1" showInputMessage="1" showErrorMessage="1" sqref="E8" xr:uid="{00000000-0002-0000-1C00-00000B000000}"/>
    <dataValidation type="decimal" operator="greaterThan" allowBlank="1" showInputMessage="1" showErrorMessage="1" errorTitle="הזנה שגויה" sqref="K8:N8" xr:uid="{00000000-0002-0000-1C00-00000C000000}">
      <formula1>-999999999</formula1>
    </dataValidation>
    <dataValidation type="list" allowBlank="1" showInputMessage="1" showErrorMessage="1" sqref="I3 I24" xr:uid="{00000000-0002-0000-1C00-00000D000000}">
      <formula1>"0,1"</formula1>
    </dataValidation>
  </dataValidations>
  <pageMargins left="0.70866141732283472" right="0.70866141732283472" top="0.74803149606299213" bottom="0.74803149606299213" header="0.31496062992125984" footer="0.31496062992125984"/>
  <pageSetup paperSize="9" scale="39" orientation="portrait" r:id="rId1"/>
  <headerFooter>
    <oddFooter>&amp;C&amp;"David,מודגש"א. חפץ ושות'
ייעוץ כלכלי</oddFooter>
  </headerFooter>
  <rowBreaks count="1" manualBreakCount="1">
    <brk id="25" max="16383" man="1"/>
  </rowBreaks>
  <colBreaks count="1" manualBreakCount="1">
    <brk id="6" max="77"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גיליון19">
    <tabColor rgb="FF002060"/>
    <pageSetUpPr fitToPage="1"/>
  </sheetPr>
  <dimension ref="C2:Z79"/>
  <sheetViews>
    <sheetView rightToLeft="1" view="pageBreakPreview" zoomScale="75" zoomScaleNormal="10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23" width="9.140625" style="42" hidden="1" customWidth="1"/>
    <col min="24" max="24" width="15.140625" style="42" hidden="1" customWidth="1"/>
    <col min="25" max="26" width="9.140625" style="42" hidden="1" customWidth="1"/>
    <col min="27" max="27" width="9.140625" style="42" customWidth="1"/>
    <col min="28" max="16384" width="9.140625" style="42"/>
  </cols>
  <sheetData>
    <row r="2" spans="3:26" ht="15.75" customHeight="1" x14ac:dyDescent="0.25">
      <c r="C2" s="93" t="s">
        <v>309</v>
      </c>
    </row>
    <row r="3" spans="3:26" ht="31.5" x14ac:dyDescent="0.25">
      <c r="C3" s="38" t="s">
        <v>146</v>
      </c>
      <c r="D3" s="623" t="str">
        <f ca="1">MID(CELL("filename",C15),FIND("]",CELL("filename",C15),1)+1,99)</f>
        <v>מורשת יהודי צפון  אפריקה</v>
      </c>
      <c r="E3" s="624"/>
      <c r="F3" s="625"/>
      <c r="H3" s="26" t="s">
        <v>310</v>
      </c>
      <c r="I3" s="47">
        <v>1</v>
      </c>
      <c r="L3" s="222" t="s">
        <v>311</v>
      </c>
      <c r="M3" s="221" t="str">
        <f ca="1">"גיליון הזנה "&amp;INDEX('ריכוז נתונים'!$C$17:$C$76,MATCH(D3,'ריכוז נתונים'!$B$17:$B$76,0))</f>
        <v>גיליון הזנה 2</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1.985007545490388E-2</v>
      </c>
      <c r="F8" s="329">
        <v>242368.27</v>
      </c>
      <c r="G8" s="630" t="s">
        <v>32</v>
      </c>
      <c r="H8" s="631"/>
      <c r="I8" s="632">
        <v>0</v>
      </c>
      <c r="J8" s="633"/>
      <c r="K8" s="628">
        <v>83812</v>
      </c>
      <c r="L8" s="629"/>
      <c r="M8" s="628">
        <v>117774</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610299</v>
      </c>
      <c r="D11" s="633"/>
      <c r="E11" s="130">
        <v>610299</v>
      </c>
      <c r="F11" s="130">
        <v>610299</v>
      </c>
      <c r="G11" s="130">
        <v>393450</v>
      </c>
      <c r="H11" s="130">
        <v>389997</v>
      </c>
      <c r="I11" s="630">
        <v>1989</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0</v>
      </c>
      <c r="F16" s="28" t="str">
        <f t="array" ref="F16:F17">TRANSPOSE('ריכוז נתונים'!P16:Q16)</f>
        <v>מספר דפים סטטיים</v>
      </c>
      <c r="G16" s="47">
        <v>30</v>
      </c>
      <c r="I16" s="634" t="s">
        <v>72</v>
      </c>
      <c r="J16" s="635"/>
      <c r="M16" s="51" t="s">
        <v>116</v>
      </c>
      <c r="N16" s="50"/>
    </row>
    <row r="17" spans="3:26" ht="50.25" customHeight="1" x14ac:dyDescent="0.25">
      <c r="C17" s="51" t="str">
        <v>מספר הרצאות</v>
      </c>
      <c r="D17" s="47">
        <v>3</v>
      </c>
      <c r="F17" s="26" t="str">
        <v xml:space="preserve">איכות האתר </v>
      </c>
      <c r="G17" s="49" t="s">
        <v>106</v>
      </c>
      <c r="I17" s="25" t="s">
        <v>809</v>
      </c>
      <c r="J17" s="48">
        <v>290570</v>
      </c>
      <c r="M17" s="28" t="s">
        <v>160</v>
      </c>
      <c r="N17" s="47"/>
    </row>
    <row r="18" spans="3:26" ht="63" x14ac:dyDescent="0.25">
      <c r="C18" s="51" t="str">
        <v>מתוכם מספר הרצאות שנערכו על ידי מישהו בעל תואר שלישי בתחום בו ניתנה הפעילות:</v>
      </c>
      <c r="D18" s="47">
        <v>1</v>
      </c>
      <c r="I18" s="25" t="s">
        <v>810</v>
      </c>
      <c r="J18" s="136">
        <f>F11</f>
        <v>610299</v>
      </c>
      <c r="M18" s="28" t="s">
        <v>161</v>
      </c>
      <c r="N18" s="47"/>
    </row>
    <row r="19" spans="3:26" x14ac:dyDescent="0.25">
      <c r="C19" s="51" t="str">
        <v>מספר ימי עיון</v>
      </c>
      <c r="D19" s="47">
        <v>11</v>
      </c>
      <c r="M19" s="28" t="s">
        <v>162</v>
      </c>
      <c r="N19" s="47"/>
    </row>
    <row r="20" spans="3:26" ht="63" x14ac:dyDescent="0.25">
      <c r="C20" s="51" t="str">
        <v>מתוכם מספר ימי עיון שנערכו על ידי מישהו בעל תואר שלישי בתחום בו ניתנה הפעילות:</v>
      </c>
      <c r="D20" s="47">
        <v>6</v>
      </c>
      <c r="I20" s="634" t="str">
        <f>פרמטרים!B101</f>
        <v>תיעוד ושימור החומר הארכיונאי</v>
      </c>
      <c r="J20" s="635"/>
      <c r="M20" s="28" t="s">
        <v>163</v>
      </c>
      <c r="N20" s="47"/>
    </row>
    <row r="21" spans="3:26" ht="94.5" x14ac:dyDescent="0.25">
      <c r="C21" s="51" t="str">
        <v>מספר הפקות מורכבות</v>
      </c>
      <c r="D21" s="47">
        <v>2</v>
      </c>
      <c r="I21" s="26" t="str">
        <f>פרמטרים!B102</f>
        <v>היקף החומר הארכיוני בתחום המורשת אשר ברשותו הועלה לאתר האינטרנט של המוסד:</v>
      </c>
      <c r="J21" s="48" t="s">
        <v>128</v>
      </c>
      <c r="M21" s="28" t="s">
        <v>328</v>
      </c>
      <c r="N21" s="47"/>
    </row>
    <row r="22" spans="3:26" ht="31.5" x14ac:dyDescent="0.25">
      <c r="C22" s="51" t="str">
        <v>מתוכם הפקות מורכבות שהם קופרודוקציה</v>
      </c>
      <c r="D22" s="47">
        <v>0</v>
      </c>
    </row>
    <row r="23" spans="3:26" ht="31.5" x14ac:dyDescent="0.25">
      <c r="C23" s="51" t="str">
        <v>מספר הפקות מורכבות מקוריות</v>
      </c>
      <c r="D23" s="47">
        <v>2</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2</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t="s">
        <v>450</v>
      </c>
      <c r="D28" s="47">
        <v>100</v>
      </c>
      <c r="E28" s="47" t="s">
        <v>341</v>
      </c>
      <c r="F28" s="91">
        <f>IF(C28="","",D28*IF(E28=$U$27,פרמטרים!$C$39,IF(E28=$V$27,פרמטרים!$C$40,0)))</f>
        <v>100</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xml:space="preserve">קבועה </v>
      </c>
      <c r="V28" s="42" t="str">
        <f t="shared" si="0"/>
        <v>מתחלפת</v>
      </c>
      <c r="W28" s="42" t="str">
        <f t="shared" si="0"/>
        <v>כן</v>
      </c>
      <c r="X28" s="42" t="str">
        <f t="shared" si="0"/>
        <v>לא</v>
      </c>
      <c r="Z28" s="42">
        <f>IF(E28=$V$27,D28*פרמטרים!$C$40,0)</f>
        <v>100</v>
      </c>
    </row>
    <row r="29" spans="3:26" x14ac:dyDescent="0.25">
      <c r="C29" s="47" t="s">
        <v>451</v>
      </c>
      <c r="D29" s="47">
        <v>100</v>
      </c>
      <c r="E29" s="47" t="s">
        <v>341</v>
      </c>
      <c r="F29" s="91">
        <f>IF(C29="","",D29*IF(E29=$U$27,פרמטרים!$C$39,IF(E29=$V$27,פרמטרים!$C$40,0)))</f>
        <v>100</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xml:space="preserve">קבועה </v>
      </c>
      <c r="V29" s="42" t="str">
        <f t="shared" si="0"/>
        <v>מתחלפת</v>
      </c>
      <c r="W29" s="42" t="str">
        <f t="shared" si="0"/>
        <v>כן</v>
      </c>
      <c r="X29" s="42" t="str">
        <f t="shared" si="0"/>
        <v>לא</v>
      </c>
      <c r="Z29" s="42">
        <f>IF(E29=$V$27,D29*פרמטרים!$C$40,0)</f>
        <v>100</v>
      </c>
    </row>
    <row r="30" spans="3:26" x14ac:dyDescent="0.25">
      <c r="C30" s="47" t="s">
        <v>452</v>
      </c>
      <c r="D30" s="47">
        <v>100</v>
      </c>
      <c r="E30" s="47" t="s">
        <v>341</v>
      </c>
      <c r="F30" s="91">
        <f>IF(C30="","",D30*IF(E30=$U$27,פרמטרים!$C$39,IF(E30=$V$27,פרמטרים!$C$40,0)))</f>
        <v>100</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xml:space="preserve">קבועה </v>
      </c>
      <c r="V30" s="42" t="str">
        <f t="shared" si="0"/>
        <v>מתחלפת</v>
      </c>
      <c r="W30" s="42" t="str">
        <f t="shared" si="0"/>
        <v>כן</v>
      </c>
      <c r="X30" s="42" t="str">
        <f t="shared" si="0"/>
        <v>לא</v>
      </c>
      <c r="Z30" s="42">
        <f>IF(E30=$V$27,D30*פרמטרים!$C$40,0)</f>
        <v>100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300</v>
      </c>
      <c r="L78" s="92">
        <f>SUM(L28:L77)</f>
        <v>0</v>
      </c>
    </row>
    <row r="79" spans="3:26" x14ac:dyDescent="0.25">
      <c r="F79" s="42">
        <f>COUNTIF(H78:H78,"מתחלפת")</f>
        <v>0</v>
      </c>
    </row>
  </sheetData>
  <sheetProtection algorithmName="SHA-512" hashValue="zbOeSo7sAt4bGOQG6t6umFOVG11MV4hPlEhIkeiuvxEL6qT4YcjDUxi7Y8z6wE0fqs1PSVhsl0SsFm+ZsGYrtA==" saltValue="nDtuzGrXlApkpgBwPd/itA=="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24" priority="1">
      <formula>IF($C8="",0,1)</formula>
    </cfRule>
  </conditionalFormatting>
  <dataValidations count="13">
    <dataValidation type="list" allowBlank="1" showInputMessage="1" showErrorMessage="1" sqref="N16" xr:uid="{00000000-0002-0000-1D00-000000000000}">
      <formula1>$V$9:$Y$9</formula1>
    </dataValidation>
    <dataValidation type="list" allowBlank="1" showInputMessage="1" showErrorMessage="1" sqref="G17" xr:uid="{00000000-0002-0000-1D00-000001000000}">
      <formula1>$V$7:$X$7</formula1>
    </dataValidation>
    <dataValidation type="list" allowBlank="1" showInputMessage="1" showErrorMessage="1" sqref="K11:L11 K28:K77 G8 N19:N21" xr:uid="{00000000-0002-0000-1D00-000002000000}">
      <formula1>$V$5:$W$5</formula1>
    </dataValidation>
    <dataValidation allowBlank="1" showInputMessage="1" showErrorMessage="1" errorTitle="ערך לא חוקי" error="יש להזין ציון בין 0 ל-60" sqref="N18" xr:uid="{00000000-0002-0000-1D00-000003000000}"/>
    <dataValidation type="whole" allowBlank="1" showInputMessage="1" showErrorMessage="1" sqref="E8:F8" xr:uid="{00000000-0002-0000-1D00-000004000000}">
      <formula1>0</formula1>
      <formula2>9.99999999999999E+55</formula2>
    </dataValidation>
    <dataValidation type="list" allowBlank="1" showInputMessage="1" showErrorMessage="1" sqref="J21" xr:uid="{00000000-0002-0000-1D00-000005000000}">
      <formula1>$V$15:$W$15</formula1>
    </dataValidation>
    <dataValidation type="whole" operator="greaterThanOrEqual" allowBlank="1" showInputMessage="1" showErrorMessage="1" errorTitle="הזנה שגויה" sqref="J18 C11:E11 G11" xr:uid="{00000000-0002-0000-1D00-000006000000}">
      <formula1>0</formula1>
    </dataValidation>
    <dataValidation type="whole" allowBlank="1" showInputMessage="1" showErrorMessage="1" errorTitle="הזנה שגויה" sqref="J17" xr:uid="{00000000-0002-0000-1D00-000007000000}">
      <formula1>0</formula1>
      <formula2>J18</formula2>
    </dataValidation>
    <dataValidation operator="greaterThanOrEqual" allowBlank="1" showInputMessage="1" showErrorMessage="1" errorTitle="הזנה שגויה" sqref="C8:D8" xr:uid="{00000000-0002-0000-1D00-000008000000}"/>
    <dataValidation type="list" allowBlank="1" showInputMessage="1" showErrorMessage="1" sqref="E28:E77" xr:uid="{00000000-0002-0000-1D00-000009000000}">
      <formula1>U28:V28</formula1>
    </dataValidation>
    <dataValidation type="decimal" operator="greaterThan" allowBlank="1" showInputMessage="1" showErrorMessage="1" errorTitle="הזנה שגויה" sqref="K8:N8" xr:uid="{00000000-0002-0000-1D00-00000A000000}">
      <formula1>-999999999</formula1>
    </dataValidation>
    <dataValidation type="list" allowBlank="1" showInputMessage="1" showErrorMessage="1" sqref="I3 I24" xr:uid="{00000000-0002-0000-1D00-00000B000000}">
      <formula1>"0,1"</formula1>
    </dataValidation>
    <dataValidation type="decimal" operator="greaterThanOrEqual" allowBlank="1" showInputMessage="1" showErrorMessage="1" errorTitle="הזנה שגויה" sqref="H11" xr:uid="{00000000-0002-0000-1D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גיליון20">
    <tabColor rgb="FF002060"/>
    <pageSetUpPr fitToPage="1"/>
  </sheetPr>
  <dimension ref="C2:Z79"/>
  <sheetViews>
    <sheetView rightToLeft="1" view="pageBreakPreview" topLeftCell="B20" zoomScale="75" zoomScaleNormal="80" zoomScaleSheetLayoutView="75" workbookViewId="0">
      <selection activeCell="G23" sqref="G23"/>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4.28515625" style="42" bestFit="1"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מורשת יהדות קוצין</v>
      </c>
      <c r="E3" s="624"/>
      <c r="F3" s="625"/>
      <c r="H3" s="26" t="s">
        <v>310</v>
      </c>
      <c r="I3" s="47">
        <v>1</v>
      </c>
      <c r="L3" s="222" t="s">
        <v>311</v>
      </c>
      <c r="M3" s="221" t="str">
        <f ca="1">"גיליון הזנה "&amp;INDEX('ריכוז נתונים'!$C$17:$C$76,MATCH(D3,'ריכוז נתונים'!$B$17:$B$76,0))</f>
        <v>גיליון הזנה 3</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3.1715379974777934E-2</v>
      </c>
      <c r="F8" s="436">
        <v>387242.95</v>
      </c>
      <c r="G8" s="630" t="s">
        <v>32</v>
      </c>
      <c r="H8" s="631"/>
      <c r="I8" s="632">
        <v>0</v>
      </c>
      <c r="J8" s="633"/>
      <c r="K8" s="628">
        <v>297612</v>
      </c>
      <c r="L8" s="629"/>
      <c r="M8" s="628">
        <v>1241430</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580402</v>
      </c>
      <c r="D11" s="633"/>
      <c r="E11" s="130">
        <v>580402</v>
      </c>
      <c r="F11" s="130">
        <v>580402</v>
      </c>
      <c r="G11" s="130">
        <v>335893</v>
      </c>
      <c r="H11" s="48">
        <v>335893</v>
      </c>
      <c r="I11" s="630">
        <v>1993</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21</v>
      </c>
      <c r="F16" s="28" t="str">
        <f t="array" ref="F16:F17">TRANSPOSE('ריכוז נתונים'!P16:Q16)</f>
        <v>מספר דפים סטטיים</v>
      </c>
      <c r="G16" s="47">
        <v>109</v>
      </c>
      <c r="I16" s="634" t="s">
        <v>72</v>
      </c>
      <c r="J16" s="635"/>
      <c r="M16" s="51" t="s">
        <v>116</v>
      </c>
      <c r="N16" s="50" t="s">
        <v>117</v>
      </c>
    </row>
    <row r="17" spans="3:26" ht="50.25" customHeight="1" x14ac:dyDescent="0.25">
      <c r="C17" s="51" t="str">
        <v>מספר הרצאות</v>
      </c>
      <c r="D17" s="47">
        <v>3</v>
      </c>
      <c r="F17" s="26" t="str">
        <v xml:space="preserve">איכות האתר </v>
      </c>
      <c r="G17" s="49" t="s">
        <v>107</v>
      </c>
      <c r="I17" s="25" t="s">
        <v>809</v>
      </c>
      <c r="J17" s="48">
        <v>311889</v>
      </c>
      <c r="M17" s="28" t="s">
        <v>160</v>
      </c>
      <c r="N17" s="47">
        <v>34</v>
      </c>
    </row>
    <row r="18" spans="3:26" ht="63" x14ac:dyDescent="0.25">
      <c r="C18" s="51" t="str">
        <v>מתוכם מספר הרצאות שנערכו על ידי מישהו בעל תואר שלישי בתחום בו ניתנה הפעילות:</v>
      </c>
      <c r="D18" s="47">
        <v>1</v>
      </c>
      <c r="I18" s="25" t="s">
        <v>810</v>
      </c>
      <c r="J18" s="136">
        <f>F11</f>
        <v>580402</v>
      </c>
      <c r="M18" s="28" t="s">
        <v>161</v>
      </c>
      <c r="N18" s="47">
        <v>700</v>
      </c>
    </row>
    <row r="19" spans="3:26" x14ac:dyDescent="0.25">
      <c r="C19" s="51" t="str">
        <v>מספר ימי עיון</v>
      </c>
      <c r="D19" s="47">
        <v>1</v>
      </c>
      <c r="M19" s="28" t="s">
        <v>162</v>
      </c>
      <c r="N19" s="47" t="s">
        <v>31</v>
      </c>
    </row>
    <row r="20" spans="3:26" ht="63" x14ac:dyDescent="0.25">
      <c r="C20" s="51" t="str">
        <v>מתוכם מספר ימי עיון שנערכו על ידי מישהו בעל תואר שלישי בתחום בו ניתנה הפעילות:</v>
      </c>
      <c r="D20" s="47">
        <v>1</v>
      </c>
      <c r="I20" s="634" t="str">
        <f>פרמטרים!B101</f>
        <v>תיעוד ושימור החומר הארכיונאי</v>
      </c>
      <c r="J20" s="635"/>
      <c r="M20" s="28" t="s">
        <v>163</v>
      </c>
      <c r="N20" s="47" t="s">
        <v>31</v>
      </c>
    </row>
    <row r="21" spans="3:26" ht="94.5" x14ac:dyDescent="0.25">
      <c r="C21" s="51" t="str">
        <v>מספר הפקות מורכבות</v>
      </c>
      <c r="D21" s="47">
        <v>3</v>
      </c>
      <c r="I21" s="26" t="str">
        <f>פרמטרים!B102</f>
        <v>היקף החומר הארכיוני בתחום המורשת אשר ברשותו הועלה לאתר האינטרנט של המוסד:</v>
      </c>
      <c r="J21" s="48" t="s">
        <v>129</v>
      </c>
      <c r="M21" s="28" t="s">
        <v>328</v>
      </c>
      <c r="N21" s="47" t="s">
        <v>32</v>
      </c>
    </row>
    <row r="22" spans="3:26" ht="31.5" x14ac:dyDescent="0.25">
      <c r="C22" s="51" t="str">
        <v>מתוכם הפקות מורכבות שהם קופרודוקציה</v>
      </c>
      <c r="D22" s="47">
        <v>0</v>
      </c>
    </row>
    <row r="23" spans="3:26" ht="31.5" x14ac:dyDescent="0.25">
      <c r="C23" s="51" t="str">
        <v>מספר הפקות מורכבות מקוריות</v>
      </c>
      <c r="D23" s="47">
        <v>3</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6</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t="s">
        <v>343</v>
      </c>
      <c r="D28" s="47">
        <v>150</v>
      </c>
      <c r="E28" s="47" t="s">
        <v>340</v>
      </c>
      <c r="F28" s="91">
        <f>IF(C28="","",D28*IF(E28=$U$27,פרמטרים!$C$39,IF(E28=$V$27,פרמטרים!$C$40,0)))</f>
        <v>300</v>
      </c>
      <c r="H28" s="47" t="s">
        <v>457</v>
      </c>
      <c r="I28" s="226">
        <v>45077</v>
      </c>
      <c r="J28" s="47">
        <v>121</v>
      </c>
      <c r="K28" s="47" t="s">
        <v>31</v>
      </c>
      <c r="L28" s="91">
        <f>IF(H28="","",IF(P28+R28=2,Q28,0))</f>
        <v>0</v>
      </c>
      <c r="P28" s="42">
        <f>IF(AND(I28&gt;=INDEX('הוראת שעה'!$B$5:$D$18,MATCH(פרמטרים!$C$3,'הוראת שעה'!$A$5:$A$18,1),IF($I$24=1,1,3)),I28&lt;=INDEX('הוראת שעה'!C$5:$E$18,MATCH(פרמטרים!$C$3,'הוראת שעה'!$A$5:$A$18,1),IF($I$24=1,1,3))),1,0)</f>
        <v>1</v>
      </c>
      <c r="Q28" s="42">
        <f>IF(J28&gt;=פרמטרים!$B$99,פרמטרים!$C$99,IF(J28&gt;=פרמטרים!$B$98,פרמטרים!$C$98,0))</f>
        <v>0</v>
      </c>
      <c r="R28" s="42">
        <f>IF(K28=$W$27,1,0)</f>
        <v>1</v>
      </c>
      <c r="U28" s="42" t="str">
        <f t="shared" ref="U28:X47" si="0">IF($C28="","",U$27)</f>
        <v xml:space="preserve">קבועה </v>
      </c>
      <c r="V28" s="42" t="str">
        <f t="shared" si="0"/>
        <v>מתחלפת</v>
      </c>
      <c r="W28" s="42" t="str">
        <f t="shared" si="0"/>
        <v>כן</v>
      </c>
      <c r="X28" s="42" t="str">
        <f t="shared" si="0"/>
        <v>לא</v>
      </c>
      <c r="Z28" s="42">
        <f>IF(E28=$V$27,D28*פרמטרים!$C$40,0)</f>
        <v>0</v>
      </c>
    </row>
    <row r="29" spans="3:26" x14ac:dyDescent="0.25">
      <c r="C29" s="47" t="s">
        <v>347</v>
      </c>
      <c r="D29" s="47">
        <v>50</v>
      </c>
      <c r="E29" s="47" t="s">
        <v>341</v>
      </c>
      <c r="F29" s="91">
        <f>IF(C29="","",D29*IF(E29=$U$27,פרמטרים!$C$39,IF(E29=$V$27,פרמטרים!$C$40,0)))</f>
        <v>50</v>
      </c>
      <c r="H29" s="47" t="s">
        <v>458</v>
      </c>
      <c r="I29" s="226">
        <v>44920</v>
      </c>
      <c r="J29" s="47">
        <v>200</v>
      </c>
      <c r="K29" s="47" t="s">
        <v>31</v>
      </c>
      <c r="L29" s="91">
        <f t="shared" ref="L29:L77" si="1">IF(H29="","",IF(P29+R29=2,Q29,0))</f>
        <v>1</v>
      </c>
      <c r="P29" s="42">
        <f>IF(AND(I29&gt;=INDEX('הוראת שעה'!$B$5:$D$18,MATCH(פרמטרים!$C$3,'הוראת שעה'!$A$5:$A$18,1),IF($I$24=1,1,3)),I29&lt;=INDEX('הוראת שעה'!C$5:$E$18,MATCH(פרמטרים!$C$3,'הוראת שעה'!$A$5:$A$18,1),IF($I$24=1,1,3))),1,0)</f>
        <v>1</v>
      </c>
      <c r="Q29" s="42">
        <f>IF(J29&gt;=פרמטרים!$B$99,פרמטרים!$C$99,IF(J29&gt;=פרמטרים!$B$98,פרמטרים!$C$98,0))</f>
        <v>1</v>
      </c>
      <c r="R29" s="42">
        <f t="shared" ref="R29:R77" si="2">IF(K29=$W$27,1,0)</f>
        <v>1</v>
      </c>
      <c r="U29" s="42" t="str">
        <f t="shared" si="0"/>
        <v xml:space="preserve">קבועה </v>
      </c>
      <c r="V29" s="42" t="str">
        <f t="shared" si="0"/>
        <v>מתחלפת</v>
      </c>
      <c r="W29" s="42" t="str">
        <f t="shared" si="0"/>
        <v>כן</v>
      </c>
      <c r="X29" s="42" t="str">
        <f t="shared" si="0"/>
        <v>לא</v>
      </c>
      <c r="Z29" s="42">
        <f>IF(E29=$V$27,D29*פרמטרים!$C$40,0)</f>
        <v>50</v>
      </c>
    </row>
    <row r="30" spans="3:26" x14ac:dyDescent="0.25">
      <c r="C30" s="47" t="s">
        <v>345</v>
      </c>
      <c r="D30" s="47">
        <v>50</v>
      </c>
      <c r="E30" s="47" t="s">
        <v>341</v>
      </c>
      <c r="F30" s="91">
        <f>IF(C30="","",D30*IF(E30=$U$27,פרמטרים!$C$39,IF(E30=$V$27,פרמטרים!$C$40,0)))</f>
        <v>50</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xml:space="preserve">קבועה </v>
      </c>
      <c r="V30" s="42" t="str">
        <f t="shared" si="0"/>
        <v>מתחלפת</v>
      </c>
      <c r="W30" s="42" t="str">
        <f t="shared" si="0"/>
        <v>כן</v>
      </c>
      <c r="X30" s="42" t="str">
        <f t="shared" si="0"/>
        <v>לא</v>
      </c>
      <c r="Z30" s="42">
        <f>IF(E30=$V$27,D30*פרמטרים!$C$40,0)</f>
        <v>50</v>
      </c>
    </row>
    <row r="31" spans="3:26" x14ac:dyDescent="0.25">
      <c r="C31" s="47" t="s">
        <v>453</v>
      </c>
      <c r="D31" s="47">
        <v>100</v>
      </c>
      <c r="E31" s="47" t="s">
        <v>340</v>
      </c>
      <c r="F31" s="91">
        <f>IF(C31="","",D31*IF(E31=$U$27,פרמטרים!$C$39,IF(E31=$V$27,פרמטרים!$C$40,0)))</f>
        <v>200</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xml:space="preserve">קבועה </v>
      </c>
      <c r="V31" s="42" t="str">
        <f t="shared" si="0"/>
        <v>מתחלפת</v>
      </c>
      <c r="W31" s="42" t="str">
        <f t="shared" si="0"/>
        <v>כן</v>
      </c>
      <c r="X31" s="42" t="str">
        <f t="shared" si="0"/>
        <v>לא</v>
      </c>
      <c r="Z31" s="42">
        <f>IF(E31=$V$27,D31*פרמטרים!$C$40,0)</f>
        <v>0</v>
      </c>
    </row>
    <row r="32" spans="3:26" x14ac:dyDescent="0.25">
      <c r="C32" s="47" t="s">
        <v>453</v>
      </c>
      <c r="D32" s="47">
        <v>70</v>
      </c>
      <c r="E32" s="47" t="s">
        <v>341</v>
      </c>
      <c r="F32" s="91">
        <f>IF(C32="","",D32*IF(E32=$U$27,פרמטרים!$C$39,IF(E32=$V$27,פרמטרים!$C$40,0)))</f>
        <v>70</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xml:space="preserve">קבועה </v>
      </c>
      <c r="V32" s="42" t="str">
        <f t="shared" si="0"/>
        <v>מתחלפת</v>
      </c>
      <c r="W32" s="42" t="str">
        <f t="shared" si="0"/>
        <v>כן</v>
      </c>
      <c r="X32" s="42" t="str">
        <f t="shared" si="0"/>
        <v>לא</v>
      </c>
      <c r="Z32" s="42">
        <f>IF(E32=$V$27,D32*פרמטרים!$C$40,0)</f>
        <v>70</v>
      </c>
    </row>
    <row r="33" spans="3:26" x14ac:dyDescent="0.25">
      <c r="C33" s="47" t="s">
        <v>348</v>
      </c>
      <c r="D33" s="47">
        <v>100</v>
      </c>
      <c r="E33" s="47" t="s">
        <v>341</v>
      </c>
      <c r="F33" s="91">
        <f>IF(C33="","",D33*IF(E33=$U$27,פרמטרים!$C$39,IF(E33=$V$27,פרמטרים!$C$40,0)))</f>
        <v>100</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xml:space="preserve">קבועה </v>
      </c>
      <c r="V33" s="42" t="str">
        <f t="shared" si="0"/>
        <v>מתחלפת</v>
      </c>
      <c r="W33" s="42" t="str">
        <f t="shared" si="0"/>
        <v>כן</v>
      </c>
      <c r="X33" s="42" t="str">
        <f t="shared" si="0"/>
        <v>לא</v>
      </c>
      <c r="Z33" s="42">
        <f>IF(E33=$V$27,D33*פרמטרים!$C$40,0)</f>
        <v>100</v>
      </c>
    </row>
    <row r="34" spans="3:26" x14ac:dyDescent="0.25">
      <c r="C34" s="47" t="s">
        <v>454</v>
      </c>
      <c r="D34" s="47">
        <v>100</v>
      </c>
      <c r="E34" s="47" t="s">
        <v>340</v>
      </c>
      <c r="F34" s="91">
        <f>IF(C34="","",D34*IF(E34=$U$27,פרמטרים!$C$39,IF(E34=$V$27,פרמטרים!$C$40,0)))</f>
        <v>200</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xml:space="preserve">קבועה </v>
      </c>
      <c r="V34" s="42" t="str">
        <f t="shared" si="0"/>
        <v>מתחלפת</v>
      </c>
      <c r="W34" s="42" t="str">
        <f t="shared" si="0"/>
        <v>כן</v>
      </c>
      <c r="X34" s="42" t="str">
        <f t="shared" si="0"/>
        <v>לא</v>
      </c>
      <c r="Z34" s="42">
        <f>IF(E34=$V$27,D34*פרמטרים!$C$40,0)</f>
        <v>0</v>
      </c>
    </row>
    <row r="35" spans="3:26" x14ac:dyDescent="0.25">
      <c r="C35" s="47" t="s">
        <v>346</v>
      </c>
      <c r="D35" s="47">
        <v>50</v>
      </c>
      <c r="E35" s="47" t="s">
        <v>341</v>
      </c>
      <c r="F35" s="91">
        <f>IF(C35="","",D35*IF(E35=$U$27,פרמטרים!$C$39,IF(E35=$V$27,פרמטרים!$C$40,0)))</f>
        <v>50</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xml:space="preserve">קבועה </v>
      </c>
      <c r="V35" s="42" t="str">
        <f t="shared" si="0"/>
        <v>מתחלפת</v>
      </c>
      <c r="W35" s="42" t="str">
        <f t="shared" si="0"/>
        <v>כן</v>
      </c>
      <c r="X35" s="42" t="str">
        <f t="shared" si="0"/>
        <v>לא</v>
      </c>
      <c r="Z35" s="42">
        <f>IF(E35=$V$27,D35*פרמטרים!$C$40,0)</f>
        <v>50</v>
      </c>
    </row>
    <row r="36" spans="3:26" x14ac:dyDescent="0.25">
      <c r="C36" s="47" t="s">
        <v>344</v>
      </c>
      <c r="D36" s="47">
        <v>50</v>
      </c>
      <c r="E36" s="47" t="s">
        <v>341</v>
      </c>
      <c r="F36" s="91">
        <f>IF(C36="","",D36*IF(E36=$U$27,פרמטרים!$C$39,IF(E36=$V$27,פרמטרים!$C$40,0)))</f>
        <v>50</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xml:space="preserve">קבועה </v>
      </c>
      <c r="V36" s="42" t="str">
        <f t="shared" si="0"/>
        <v>מתחלפת</v>
      </c>
      <c r="W36" s="42" t="str">
        <f t="shared" si="0"/>
        <v>כן</v>
      </c>
      <c r="X36" s="42" t="str">
        <f t="shared" si="0"/>
        <v>לא</v>
      </c>
      <c r="Z36" s="42">
        <f>IF(E36=$V$27,D36*פרמטרים!$C$40,0)</f>
        <v>50</v>
      </c>
    </row>
    <row r="37" spans="3:26" x14ac:dyDescent="0.25">
      <c r="C37" s="47" t="s">
        <v>455</v>
      </c>
      <c r="D37" s="47">
        <v>50</v>
      </c>
      <c r="E37" s="47" t="s">
        <v>341</v>
      </c>
      <c r="F37" s="91">
        <f>IF(C37="","",D37*IF(E37=$U$27,פרמטרים!$C$39,IF(E37=$V$27,פרמטרים!$C$40,0)))</f>
        <v>50</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xml:space="preserve">קבועה </v>
      </c>
      <c r="V37" s="42" t="str">
        <f t="shared" si="0"/>
        <v>מתחלפת</v>
      </c>
      <c r="W37" s="42" t="str">
        <f t="shared" si="0"/>
        <v>כן</v>
      </c>
      <c r="X37" s="42" t="str">
        <f t="shared" si="0"/>
        <v>לא</v>
      </c>
      <c r="Z37" s="42">
        <f>IF(E37=$V$27,D37*פרמטרים!$C$40,0)</f>
        <v>50</v>
      </c>
    </row>
    <row r="38" spans="3:26" x14ac:dyDescent="0.25">
      <c r="C38" s="47" t="s">
        <v>456</v>
      </c>
      <c r="D38" s="47">
        <v>100</v>
      </c>
      <c r="E38" s="47" t="s">
        <v>341</v>
      </c>
      <c r="F38" s="91">
        <f>IF(C38="","",D38*IF(E38=$U$27,פרמטרים!$C$39,IF(E38=$V$27,פרמטרים!$C$40,0)))</f>
        <v>100</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xml:space="preserve">קבועה </v>
      </c>
      <c r="V38" s="42" t="str">
        <f t="shared" si="0"/>
        <v>מתחלפת</v>
      </c>
      <c r="W38" s="42" t="str">
        <f t="shared" si="0"/>
        <v>כן</v>
      </c>
      <c r="X38" s="42" t="str">
        <f t="shared" si="0"/>
        <v>לא</v>
      </c>
      <c r="Z38" s="42">
        <f>IF(E38=$V$27,D38*פרמטרים!$C$40,0)</f>
        <v>100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970</v>
      </c>
      <c r="L78" s="92">
        <f>SUM(L28:L77)</f>
        <v>1</v>
      </c>
    </row>
    <row r="79" spans="3:26" x14ac:dyDescent="0.25">
      <c r="F79" s="42">
        <f>COUNTIF(H78:H78,"מתחלפת")</f>
        <v>0</v>
      </c>
    </row>
  </sheetData>
  <sheetProtection algorithmName="SHA-512" hashValue="siTIdrGiXhz9607HTgshvnYWdrnN90G6uku605nz7szJ8svcz1XJYZUlarAenw8a5Q9zRmzyM9CzE7LMqIZhzw==" saltValue="/KRT2SJvZHDTJvKXIJAGUQ=="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23" priority="1">
      <formula>IF($C8="",0,1)</formula>
    </cfRule>
  </conditionalFormatting>
  <dataValidations count="13">
    <dataValidation type="list" allowBlank="1" showInputMessage="1" showErrorMessage="1" sqref="N16" xr:uid="{00000000-0002-0000-1E00-000000000000}">
      <formula1>$V$9:$Y$9</formula1>
    </dataValidation>
    <dataValidation type="list" allowBlank="1" showInputMessage="1" showErrorMessage="1" sqref="G17" xr:uid="{00000000-0002-0000-1E00-000001000000}">
      <formula1>$V$7:$X$7</formula1>
    </dataValidation>
    <dataValidation type="list" allowBlank="1" showInputMessage="1" showErrorMessage="1" sqref="K11:L11 K28:K77 G8 N19:N21" xr:uid="{00000000-0002-0000-1E00-000002000000}">
      <formula1>$V$5:$W$5</formula1>
    </dataValidation>
    <dataValidation allowBlank="1" showInputMessage="1" showErrorMessage="1" errorTitle="ערך לא חוקי" error="יש להזין ציון בין 0 ל-60" sqref="N18" xr:uid="{00000000-0002-0000-1E00-000003000000}"/>
    <dataValidation type="whole" allowBlank="1" showInputMessage="1" showErrorMessage="1" sqref="E8:F8" xr:uid="{00000000-0002-0000-1E00-000004000000}">
      <formula1>0</formula1>
      <formula2>9.99999999999999E+55</formula2>
    </dataValidation>
    <dataValidation type="list" allowBlank="1" showInputMessage="1" showErrorMessage="1" sqref="J21" xr:uid="{00000000-0002-0000-1E00-000005000000}">
      <formula1>$V$15:$W$15</formula1>
    </dataValidation>
    <dataValidation type="whole" operator="greaterThanOrEqual" allowBlank="1" showInputMessage="1" showErrorMessage="1" errorTitle="הזנה שגויה" sqref="J18 C11:E11 G11" xr:uid="{00000000-0002-0000-1E00-000006000000}">
      <formula1>0</formula1>
    </dataValidation>
    <dataValidation type="whole" allowBlank="1" showInputMessage="1" showErrorMessage="1" errorTitle="הזנה שגויה" sqref="J17" xr:uid="{00000000-0002-0000-1E00-000007000000}">
      <formula1>0</formula1>
      <formula2>J18</formula2>
    </dataValidation>
    <dataValidation operator="greaterThanOrEqual" allowBlank="1" showInputMessage="1" showErrorMessage="1" errorTitle="הזנה שגויה" sqref="C8:D8" xr:uid="{00000000-0002-0000-1E00-000008000000}"/>
    <dataValidation type="list" allowBlank="1" showInputMessage="1" showErrorMessage="1" sqref="E28:E77" xr:uid="{00000000-0002-0000-1E00-000009000000}">
      <formula1>U28:V28</formula1>
    </dataValidation>
    <dataValidation type="decimal" operator="greaterThan" allowBlank="1" showInputMessage="1" showErrorMessage="1" errorTitle="הזנה שגויה" sqref="K8:N8" xr:uid="{00000000-0002-0000-1E00-00000A000000}">
      <formula1>-999999999</formula1>
    </dataValidation>
    <dataValidation type="list" allowBlank="1" showInputMessage="1" showErrorMessage="1" sqref="I3 I24" xr:uid="{00000000-0002-0000-1E00-00000B000000}">
      <formula1>"0,1"</formula1>
    </dataValidation>
    <dataValidation type="decimal" operator="greaterThanOrEqual" allowBlank="1" showInputMessage="1" showErrorMessage="1" errorTitle="הזנה שגויה" sqref="H11" xr:uid="{00000000-0002-0000-1E00-00000C000000}">
      <formula1>0</formula1>
    </dataValidation>
  </dataValidations>
  <pageMargins left="0.70866141732283472" right="0.70866141732283472" top="0.74803149606299213" bottom="0.74803149606299213" header="0.31496062992125984" footer="0.31496062992125984"/>
  <pageSetup paperSize="9" scale="39" orientation="portrait" r:id="rId1"/>
  <headerFooter>
    <oddFooter>&amp;C&amp;"David,מודגש"א. חפץ ושות'
ייעוץ כלכלי</oddFooter>
  </headerFooter>
  <colBreaks count="1" manualBreakCount="1">
    <brk id="6" max="78"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גיליון21">
    <tabColor theme="8" tint="-0.249977111117893"/>
    <pageSetUpPr fitToPage="1"/>
  </sheetPr>
  <dimension ref="C2:Z79"/>
  <sheetViews>
    <sheetView rightToLeft="1" view="pageBreakPreview" zoomScale="75" zoomScaleNormal="80" zoomScaleSheetLayoutView="75" workbookViewId="0">
      <selection activeCell="A12" sqref="A12"/>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הפדרציה העולמית של יהדות תוניס</v>
      </c>
      <c r="E3" s="624"/>
      <c r="F3" s="625"/>
      <c r="H3" s="26" t="s">
        <v>310</v>
      </c>
      <c r="I3" s="47">
        <v>1</v>
      </c>
      <c r="L3" s="222" t="s">
        <v>311</v>
      </c>
      <c r="M3" s="221" t="str">
        <f ca="1">"גיליון הזנה "&amp;INDEX('ריכוז נתונים'!$C$17:$C$76,MATCH(D3,'ריכוז נתונים'!$B$17:$B$76,0))</f>
        <v>גיליון הזנה 4</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1.1284992180962039E-2</v>
      </c>
      <c r="F8" s="126">
        <v>0</v>
      </c>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0</v>
      </c>
      <c r="F16" s="28" t="str">
        <f t="array" ref="F16:F17">TRANSPOSE('ריכוז נתונים'!P16:Q16)</f>
        <v>מספר דפים סטטיים</v>
      </c>
      <c r="G16" s="47">
        <v>0</v>
      </c>
      <c r="I16" s="634" t="s">
        <v>72</v>
      </c>
      <c r="J16" s="635"/>
      <c r="M16" s="51" t="s">
        <v>116</v>
      </c>
      <c r="N16" s="50"/>
    </row>
    <row r="17" spans="3:26" ht="50.25" customHeight="1" x14ac:dyDescent="0.25">
      <c r="C17" s="51" t="str">
        <v>מספר הרצאות</v>
      </c>
      <c r="D17" s="47">
        <v>0</v>
      </c>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v>0</v>
      </c>
      <c r="I18" s="25" t="s">
        <v>810</v>
      </c>
      <c r="J18" s="136">
        <f>F11</f>
        <v>0</v>
      </c>
      <c r="M18" s="28" t="s">
        <v>161</v>
      </c>
      <c r="N18" s="47"/>
    </row>
    <row r="19" spans="3:26" x14ac:dyDescent="0.25">
      <c r="C19" s="51" t="str">
        <v>מספר ימי עיון</v>
      </c>
      <c r="D19" s="47">
        <v>0</v>
      </c>
      <c r="M19" s="28" t="s">
        <v>162</v>
      </c>
      <c r="N19" s="47"/>
    </row>
    <row r="20" spans="3:26" ht="63" x14ac:dyDescent="0.25">
      <c r="C20" s="51" t="str">
        <v>מתוכם מספר ימי עיון שנערכו על ידי מישהו בעל תואר שלישי בתחום בו ניתנה הפעילות:</v>
      </c>
      <c r="D20" s="47">
        <v>0</v>
      </c>
      <c r="I20" s="634" t="str">
        <f>פרמטרים!B101</f>
        <v>תיעוד ושימור החומר הארכיונאי</v>
      </c>
      <c r="J20" s="635"/>
      <c r="M20" s="28" t="s">
        <v>163</v>
      </c>
      <c r="N20" s="47"/>
    </row>
    <row r="21" spans="3:26" ht="94.5" x14ac:dyDescent="0.25">
      <c r="C21" s="51" t="str">
        <v>מספר הפקות מורכבות</v>
      </c>
      <c r="D21" s="47">
        <v>0</v>
      </c>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v>0</v>
      </c>
    </row>
    <row r="23" spans="3:26" ht="31.5" x14ac:dyDescent="0.25">
      <c r="C23" s="51" t="str">
        <v>מספר הפקות מורכבות מקוריות</v>
      </c>
      <c r="D23" s="47">
        <v>0</v>
      </c>
    </row>
    <row r="24" spans="3:26" ht="47.25" x14ac:dyDescent="0.25">
      <c r="C24" s="51" t="str">
        <v>מתוכם הפקות מורכבות מקוריות שהם קופרודוקציה</v>
      </c>
      <c r="D24" s="47">
        <v>0</v>
      </c>
      <c r="H24" s="51" t="s">
        <v>329</v>
      </c>
      <c r="I24" s="47">
        <v>0</v>
      </c>
    </row>
    <row r="25" spans="3:26" x14ac:dyDescent="0.25">
      <c r="C25" s="51" t="str">
        <v>ארוע רב משתתפים</v>
      </c>
      <c r="D25" s="47">
        <v>0</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PS6dAlrmmV4WxxEB827saTJgQFrbmHjQ9U+LpI06gBHSa3UxfC7TMbct1+CkbXNNfqT66/Kva/M6lG6fY2mekg==" saltValue="62SRvGIyymJhtDrtestntQ=="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1F00-000000000000}">
      <formula1>$V$5:$W$5</formula1>
    </dataValidation>
    <dataValidation type="list" allowBlank="1" showInputMessage="1" showErrorMessage="1" sqref="G17" xr:uid="{00000000-0002-0000-1F00-000001000000}">
      <formula1>$V$7:$X$7</formula1>
    </dataValidation>
    <dataValidation type="list" allowBlank="1" showInputMessage="1" showErrorMessage="1" sqref="N16" xr:uid="{00000000-0002-0000-1F00-000002000000}">
      <formula1>$V$9:$Y$9</formula1>
    </dataValidation>
    <dataValidation allowBlank="1" showInputMessage="1" showErrorMessage="1" errorTitle="ערך לא חוקי" error="יש להזין ציון בין 0 ל-60" sqref="N18" xr:uid="{00000000-0002-0000-1F00-000003000000}"/>
    <dataValidation type="whole" allowBlank="1" showInputMessage="1" showErrorMessage="1" sqref="E8:F8" xr:uid="{00000000-0002-0000-1F00-000004000000}">
      <formula1>0</formula1>
      <formula2>9.99999999999999E+55</formula2>
    </dataValidation>
    <dataValidation type="list" allowBlank="1" showInputMessage="1" showErrorMessage="1" sqref="J21" xr:uid="{00000000-0002-0000-1F00-000005000000}">
      <formula1>$V$15:$W$15</formula1>
    </dataValidation>
    <dataValidation type="whole" operator="greaterThanOrEqual" allowBlank="1" showInputMessage="1" showErrorMessage="1" errorTitle="הזנה שגויה" sqref="J18 I8:J8 C11:E11 G11" xr:uid="{00000000-0002-0000-1F00-000006000000}">
      <formula1>0</formula1>
    </dataValidation>
    <dataValidation type="whole" allowBlank="1" showInputMessage="1" showErrorMessage="1" errorTitle="הזנה שגויה" sqref="J17" xr:uid="{00000000-0002-0000-1F00-000007000000}">
      <formula1>0</formula1>
      <formula2>J18</formula2>
    </dataValidation>
    <dataValidation operator="greaterThanOrEqual" allowBlank="1" showInputMessage="1" showErrorMessage="1" errorTitle="הזנה שגויה" sqref="C8:D8" xr:uid="{00000000-0002-0000-1F00-000008000000}"/>
    <dataValidation type="list" allowBlank="1" showInputMessage="1" showErrorMessage="1" sqref="E28:E77" xr:uid="{00000000-0002-0000-1F00-000009000000}">
      <formula1>U28:V28</formula1>
    </dataValidation>
    <dataValidation type="decimal" operator="greaterThan" allowBlank="1" showInputMessage="1" showErrorMessage="1" errorTitle="הזנה שגויה" sqref="K8:N8" xr:uid="{00000000-0002-0000-1F00-00000A000000}">
      <formula1>-999999999</formula1>
    </dataValidation>
    <dataValidation type="list" allowBlank="1" showInputMessage="1" showErrorMessage="1" sqref="I3 I24" xr:uid="{00000000-0002-0000-1F00-00000B000000}">
      <formula1>"0,1"</formula1>
    </dataValidation>
    <dataValidation type="decimal" operator="greaterThanOrEqual" allowBlank="1" showInputMessage="1" showErrorMessage="1" errorTitle="הזנה שגויה" sqref="H11" xr:uid="{00000000-0002-0000-1F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7"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גיליון22">
    <tabColor rgb="FF002060"/>
    <pageSetUpPr fitToPage="1"/>
  </sheetPr>
  <dimension ref="C2:Z79"/>
  <sheetViews>
    <sheetView rightToLeft="1" view="pageBreakPreview" zoomScale="75" zoomScaleNormal="80" zoomScaleSheetLayoutView="75" workbookViewId="0">
      <selection activeCell="H29" sqref="H2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התאחדות עולי מצרים</v>
      </c>
      <c r="E3" s="624"/>
      <c r="F3" s="625"/>
      <c r="H3" s="26" t="s">
        <v>310</v>
      </c>
      <c r="I3" s="47">
        <v>1</v>
      </c>
      <c r="L3" s="222" t="s">
        <v>311</v>
      </c>
      <c r="M3" s="221" t="str">
        <f ca="1">"גיליון הזנה "&amp;INDEX('ריכוז נתונים'!$C$17:$C$76,MATCH(D3,'ריכוז נתונים'!$B$17:$B$76,0))</f>
        <v>גיליון הזנה 5</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1.5762701411685658E-2</v>
      </c>
      <c r="F8" s="436">
        <v>192461.67</v>
      </c>
      <c r="G8" s="630" t="s">
        <v>32</v>
      </c>
      <c r="H8" s="631"/>
      <c r="I8" s="632">
        <v>0</v>
      </c>
      <c r="J8" s="633"/>
      <c r="K8" s="628">
        <v>17742</v>
      </c>
      <c r="L8" s="629"/>
      <c r="M8" s="628">
        <v>19656</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328163</v>
      </c>
      <c r="D11" s="633"/>
      <c r="E11" s="130">
        <v>328163</v>
      </c>
      <c r="F11" s="130">
        <v>328163</v>
      </c>
      <c r="G11" s="130">
        <v>345905</v>
      </c>
      <c r="H11" s="48">
        <v>345905</v>
      </c>
      <c r="I11" s="630">
        <v>2001</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0</v>
      </c>
      <c r="F16" s="28" t="str">
        <f t="array" ref="F16:F17">TRANSPOSE('ריכוז נתונים'!P16:Q16)</f>
        <v>מספר דפים סטטיים</v>
      </c>
      <c r="G16" s="47">
        <v>579</v>
      </c>
      <c r="I16" s="634" t="s">
        <v>72</v>
      </c>
      <c r="J16" s="635"/>
      <c r="M16" s="51" t="s">
        <v>116</v>
      </c>
      <c r="N16" s="50"/>
    </row>
    <row r="17" spans="3:26" ht="50.25" customHeight="1" x14ac:dyDescent="0.25">
      <c r="C17" s="51" t="str">
        <v>מספר הרצאות</v>
      </c>
      <c r="D17" s="47">
        <v>9</v>
      </c>
      <c r="F17" s="26" t="str">
        <v xml:space="preserve">איכות האתר </v>
      </c>
      <c r="G17" s="49" t="s">
        <v>107</v>
      </c>
      <c r="I17" s="25" t="s">
        <v>809</v>
      </c>
      <c r="J17" s="48">
        <v>118163</v>
      </c>
      <c r="M17" s="28" t="s">
        <v>160</v>
      </c>
      <c r="N17" s="47"/>
    </row>
    <row r="18" spans="3:26" ht="63" x14ac:dyDescent="0.25">
      <c r="C18" s="51" t="str">
        <v>מתוכם מספר הרצאות שנערכו על ידי מישהו בעל תואר שלישי בתחום בו ניתנה הפעילות:</v>
      </c>
      <c r="D18" s="47">
        <v>2</v>
      </c>
      <c r="I18" s="25" t="s">
        <v>810</v>
      </c>
      <c r="J18" s="136">
        <f>F11</f>
        <v>328163</v>
      </c>
      <c r="M18" s="28" t="s">
        <v>161</v>
      </c>
      <c r="N18" s="47"/>
    </row>
    <row r="19" spans="3:26" x14ac:dyDescent="0.25">
      <c r="C19" s="51" t="str">
        <v>מספר ימי עיון</v>
      </c>
      <c r="D19" s="47">
        <v>3</v>
      </c>
      <c r="M19" s="28" t="s">
        <v>162</v>
      </c>
      <c r="N19" s="47"/>
    </row>
    <row r="20" spans="3:26" ht="63" x14ac:dyDescent="0.25">
      <c r="C20" s="51" t="str">
        <v>מתוכם מספר ימי עיון שנערכו על ידי מישהו בעל תואר שלישי בתחום בו ניתנה הפעילות:</v>
      </c>
      <c r="D20" s="47">
        <v>2</v>
      </c>
      <c r="I20" s="634" t="str">
        <f>פרמטרים!B101</f>
        <v>תיעוד ושימור החומר הארכיונאי</v>
      </c>
      <c r="J20" s="635"/>
      <c r="M20" s="28" t="s">
        <v>163</v>
      </c>
      <c r="N20" s="47"/>
    </row>
    <row r="21" spans="3:26" ht="94.5" x14ac:dyDescent="0.25">
      <c r="C21" s="51" t="str">
        <v>מספר הפקות מורכבות</v>
      </c>
      <c r="D21" s="47">
        <v>6</v>
      </c>
      <c r="I21" s="26" t="str">
        <f>פרמטרים!B102</f>
        <v>היקף החומר הארכיוני בתחום המורשת אשר ברשותו הועלה לאתר האינטרנט של המוסד:</v>
      </c>
      <c r="J21" s="48" t="s">
        <v>129</v>
      </c>
      <c r="M21" s="28" t="s">
        <v>328</v>
      </c>
      <c r="N21" s="47"/>
    </row>
    <row r="22" spans="3:26" ht="31.5" x14ac:dyDescent="0.25">
      <c r="C22" s="51" t="str">
        <v>מתוכם הפקות מורכבות שהם קופרודוקציה</v>
      </c>
      <c r="D22" s="47">
        <v>2</v>
      </c>
    </row>
    <row r="23" spans="3:26" ht="31.5" x14ac:dyDescent="0.25">
      <c r="C23" s="51" t="str">
        <v>מספר הפקות מורכבות מקוריות</v>
      </c>
      <c r="D23" s="47">
        <v>6</v>
      </c>
    </row>
    <row r="24" spans="3:26" ht="47.25" x14ac:dyDescent="0.25">
      <c r="C24" s="51" t="str">
        <v>מתוכם הפקות מורכבות מקוריות שהם קופרודוקציה</v>
      </c>
      <c r="D24" s="47">
        <v>2</v>
      </c>
      <c r="H24" s="51" t="s">
        <v>329</v>
      </c>
      <c r="I24" s="47">
        <v>1</v>
      </c>
    </row>
    <row r="25" spans="3:26" x14ac:dyDescent="0.25">
      <c r="C25" s="51" t="str">
        <v>ארוע רב משתתפים</v>
      </c>
      <c r="D25" s="47">
        <v>0</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t="s">
        <v>459</v>
      </c>
      <c r="D28" s="47">
        <v>1</v>
      </c>
      <c r="E28" s="47" t="s">
        <v>340</v>
      </c>
      <c r="F28" s="91">
        <f>IF(C28="","",D28*IF(E28=$U$27,פרמטרים!$C$39,IF(E28=$V$27,פרמטרים!$C$40,0)))</f>
        <v>2</v>
      </c>
      <c r="H28" s="47" t="s">
        <v>460</v>
      </c>
      <c r="I28" s="226">
        <v>44921</v>
      </c>
      <c r="J28" s="47">
        <v>167</v>
      </c>
      <c r="K28" s="47" t="s">
        <v>31</v>
      </c>
      <c r="L28" s="91">
        <f>IF(H28="","",IF(P28+R28=2,Q28,0))</f>
        <v>1</v>
      </c>
      <c r="P28" s="42">
        <f>IF(AND(I28&gt;=INDEX('הוראת שעה'!$B$5:$D$18,MATCH(פרמטרים!$C$3,'הוראת שעה'!$A$5:$A$18,1),IF($I$24=1,1,3)),I28&lt;=INDEX('הוראת שעה'!C$5:$E$18,MATCH(פרמטרים!$C$3,'הוראת שעה'!$A$5:$A$18,1),IF($I$24=1,1,3))),1,0)</f>
        <v>1</v>
      </c>
      <c r="Q28" s="42">
        <f>IF(J28&gt;=פרמטרים!$B$99,פרמטרים!$C$99,IF(J28&gt;=פרמטרים!$B$98,פרמטרים!$C$98,0))</f>
        <v>1</v>
      </c>
      <c r="R28" s="42">
        <f>IF(K28=$W$27,1,0)</f>
        <v>1</v>
      </c>
      <c r="U28" s="42" t="str">
        <f t="shared" ref="U28:X47" si="0">IF($C28="","",U$27)</f>
        <v xml:space="preserve">קבועה </v>
      </c>
      <c r="V28" s="42" t="str">
        <f t="shared" si="0"/>
        <v>מתחלפת</v>
      </c>
      <c r="W28" s="42" t="str">
        <f t="shared" si="0"/>
        <v>כן</v>
      </c>
      <c r="X28" s="42" t="str">
        <f t="shared" si="0"/>
        <v>לא</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2</v>
      </c>
      <c r="L78" s="92">
        <f>SUM(L28:L77)</f>
        <v>1</v>
      </c>
    </row>
    <row r="79" spans="3:26" x14ac:dyDescent="0.25">
      <c r="F79" s="42">
        <f>COUNTIF(H78:H78,"מתחלפת")</f>
        <v>0</v>
      </c>
    </row>
  </sheetData>
  <sheetProtection algorithmName="SHA-512" hashValue="52GIdyZFRm4PN5IIOcEK0dIOmd2WZTrwNNZybDLU+dnyJz6ypcRkPDCPTkMkf889rW4nNNwGenDsn84ujwCSug==" saltValue="jTvxXAJZxvgBHj5QOGn90Q==" spinCount="100000" sheet="1" scenarios="1" formatColumns="0" formatRows="0" autoFilter="0"/>
  <dataConsolidate/>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22" priority="1">
      <formula>IF($C8="",0,1)</formula>
    </cfRule>
  </conditionalFormatting>
  <dataValidations count="13">
    <dataValidation type="list" allowBlank="1" showInputMessage="1" showErrorMessage="1" sqref="N16" xr:uid="{00000000-0002-0000-2000-000000000000}">
      <formula1>$V$9:$Y$9</formula1>
    </dataValidation>
    <dataValidation type="list" allowBlank="1" showInputMessage="1" showErrorMessage="1" sqref="G17" xr:uid="{00000000-0002-0000-2000-000001000000}">
      <formula1>$V$7:$X$7</formula1>
    </dataValidation>
    <dataValidation type="list" allowBlank="1" showInputMessage="1" showErrorMessage="1" sqref="K11:L11 K28:K77 G8 N19:N21" xr:uid="{00000000-0002-0000-2000-000002000000}">
      <formula1>$V$5:$W$5</formula1>
    </dataValidation>
    <dataValidation allowBlank="1" showInputMessage="1" showErrorMessage="1" errorTitle="ערך לא חוקי" error="יש להזין ציון בין 0 ל-60" sqref="N18" xr:uid="{00000000-0002-0000-2000-000003000000}"/>
    <dataValidation type="whole" allowBlank="1" showInputMessage="1" showErrorMessage="1" sqref="E8:F8" xr:uid="{00000000-0002-0000-2000-000004000000}">
      <formula1>0</formula1>
      <formula2>9.99999999999999E+55</formula2>
    </dataValidation>
    <dataValidation type="list" allowBlank="1" showInputMessage="1" showErrorMessage="1" sqref="J21" xr:uid="{00000000-0002-0000-2000-000005000000}">
      <formula1>$V$15:$W$15</formula1>
    </dataValidation>
    <dataValidation type="whole" operator="greaterThanOrEqual" allowBlank="1" showInputMessage="1" showErrorMessage="1" errorTitle="הזנה שגויה" sqref="J18 C11:E11 G11" xr:uid="{00000000-0002-0000-2000-000006000000}">
      <formula1>0</formula1>
    </dataValidation>
    <dataValidation type="whole" allowBlank="1" showInputMessage="1" showErrorMessage="1" errorTitle="הזנה שגויה" sqref="J17" xr:uid="{00000000-0002-0000-2000-000007000000}">
      <formula1>0</formula1>
      <formula2>J18</formula2>
    </dataValidation>
    <dataValidation operator="greaterThanOrEqual" allowBlank="1" showInputMessage="1" showErrorMessage="1" errorTitle="הזנה שגויה" sqref="C8:D8" xr:uid="{00000000-0002-0000-2000-000008000000}"/>
    <dataValidation type="list" allowBlank="1" showInputMessage="1" showErrorMessage="1" sqref="E28:E77" xr:uid="{00000000-0002-0000-2000-000009000000}">
      <formula1>U28:V28</formula1>
    </dataValidation>
    <dataValidation type="decimal" operator="greaterThan" allowBlank="1" showInputMessage="1" showErrorMessage="1" errorTitle="הזנה שגויה" sqref="K8:N8" xr:uid="{00000000-0002-0000-2000-00000A000000}">
      <formula1>-999999999</formula1>
    </dataValidation>
    <dataValidation type="list" allowBlank="1" showInputMessage="1" showErrorMessage="1" sqref="I3 I24" xr:uid="{00000000-0002-0000-2000-00000B000000}">
      <formula1>"0,1"</formula1>
    </dataValidation>
    <dataValidation type="decimal" operator="greaterThanOrEqual" allowBlank="1" showInputMessage="1" showErrorMessage="1" errorTitle="הזנה שגויה" sqref="H11" xr:uid="{00000000-0002-0000-20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גיליון23">
    <tabColor rgb="FF002060"/>
    <pageSetUpPr fitToPage="1"/>
  </sheetPr>
  <dimension ref="C2:Z79"/>
  <sheetViews>
    <sheetView rightToLeft="1" view="pageBreakPreview" topLeftCell="C6" zoomScale="75" zoomScaleNormal="80" zoomScaleSheetLayoutView="75" workbookViewId="0">
      <selection activeCell="K6" sqref="K6"/>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יהודים יוצאי לוב</v>
      </c>
      <c r="E3" s="624"/>
      <c r="F3" s="625"/>
      <c r="H3" s="26" t="s">
        <v>310</v>
      </c>
      <c r="I3" s="47">
        <v>1</v>
      </c>
      <c r="L3" s="222" t="s">
        <v>311</v>
      </c>
      <c r="M3" s="221" t="str">
        <f ca="1">"גיליון הזנה "&amp;INDEX('ריכוז נתונים'!$C$17:$C$76,MATCH(D3,'ריכוז נתונים'!$B$17:$B$76,0))</f>
        <v>גיליון הזנה 6</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4.1043253112914048E-2</v>
      </c>
      <c r="F8" s="436">
        <v>501135.74</v>
      </c>
      <c r="G8" s="630" t="s">
        <v>32</v>
      </c>
      <c r="H8" s="631"/>
      <c r="I8" s="632">
        <v>0</v>
      </c>
      <c r="J8" s="633"/>
      <c r="K8" s="628">
        <v>452459</v>
      </c>
      <c r="L8" s="629"/>
      <c r="M8" s="628">
        <v>703727</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1962861</v>
      </c>
      <c r="D11" s="633"/>
      <c r="E11" s="48">
        <v>1962861</v>
      </c>
      <c r="F11" s="48">
        <v>1913966</v>
      </c>
      <c r="G11" s="130">
        <v>1235599</v>
      </c>
      <c r="H11" s="48">
        <v>1175766</v>
      </c>
      <c r="I11" s="630">
        <v>1990</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11</v>
      </c>
      <c r="F16" s="28" t="str">
        <f t="array" ref="F16:F17">TRANSPOSE('ריכוז נתונים'!P16:Q16)</f>
        <v>מספר דפים סטטיים</v>
      </c>
      <c r="G16" s="47">
        <v>20</v>
      </c>
      <c r="I16" s="634" t="s">
        <v>72</v>
      </c>
      <c r="J16" s="635"/>
      <c r="M16" s="51" t="s">
        <v>116</v>
      </c>
      <c r="N16" s="50" t="s">
        <v>120</v>
      </c>
    </row>
    <row r="17" spans="3:26" ht="50.25" customHeight="1" x14ac:dyDescent="0.25">
      <c r="C17" s="51" t="str">
        <v>מספר הרצאות</v>
      </c>
      <c r="D17" s="47">
        <v>2</v>
      </c>
      <c r="F17" s="26" t="str">
        <v xml:space="preserve">איכות האתר </v>
      </c>
      <c r="G17" s="49" t="s">
        <v>107</v>
      </c>
      <c r="I17" s="25" t="s">
        <v>809</v>
      </c>
      <c r="J17" s="48">
        <v>1053857</v>
      </c>
      <c r="M17" s="28" t="s">
        <v>160</v>
      </c>
      <c r="N17" s="47">
        <v>46</v>
      </c>
    </row>
    <row r="18" spans="3:26" ht="63" x14ac:dyDescent="0.25">
      <c r="C18" s="51" t="str">
        <v>מתוכם מספר הרצאות שנערכו על ידי מישהו בעל תואר שלישי בתחום בו ניתנה הפעילות:</v>
      </c>
      <c r="D18" s="47">
        <v>2</v>
      </c>
      <c r="I18" s="25" t="s">
        <v>810</v>
      </c>
      <c r="J18" s="136">
        <f>F11</f>
        <v>1913966</v>
      </c>
      <c r="M18" s="28" t="s">
        <v>161</v>
      </c>
      <c r="N18" s="47">
        <v>5000</v>
      </c>
    </row>
    <row r="19" spans="3:26" x14ac:dyDescent="0.25">
      <c r="C19" s="51" t="str">
        <v>מספר ימי עיון</v>
      </c>
      <c r="D19" s="47">
        <v>0</v>
      </c>
      <c r="M19" s="28" t="s">
        <v>162</v>
      </c>
      <c r="N19" s="47" t="s">
        <v>31</v>
      </c>
    </row>
    <row r="20" spans="3:26" ht="63" x14ac:dyDescent="0.25">
      <c r="C20" s="51" t="str">
        <v>מתוכם מספר ימי עיון שנערכו על ידי מישהו בעל תואר שלישי בתחום בו ניתנה הפעילות:</v>
      </c>
      <c r="D20" s="47">
        <v>0</v>
      </c>
      <c r="I20" s="634" t="str">
        <f>פרמטרים!B101</f>
        <v>תיעוד ושימור החומר הארכיונאי</v>
      </c>
      <c r="J20" s="635"/>
      <c r="M20" s="28" t="s">
        <v>163</v>
      </c>
      <c r="N20" s="47" t="s">
        <v>31</v>
      </c>
    </row>
    <row r="21" spans="3:26" ht="94.5" x14ac:dyDescent="0.25">
      <c r="C21" s="51" t="str">
        <v>מספר הפקות מורכבות</v>
      </c>
      <c r="D21" s="47">
        <v>1</v>
      </c>
      <c r="I21" s="26" t="str">
        <f>פרמטרים!B102</f>
        <v>היקף החומר הארכיוני בתחום המורשת אשר ברשותו הועלה לאתר האינטרנט של המוסד:</v>
      </c>
      <c r="J21" s="48"/>
      <c r="M21" s="28" t="s">
        <v>328</v>
      </c>
      <c r="N21" s="47" t="s">
        <v>32</v>
      </c>
    </row>
    <row r="22" spans="3:26" ht="31.5" x14ac:dyDescent="0.25">
      <c r="C22" s="51" t="str">
        <v>מתוכם הפקות מורכבות שהם קופרודוקציה</v>
      </c>
      <c r="D22" s="47">
        <v>0</v>
      </c>
    </row>
    <row r="23" spans="3:26" ht="31.5" x14ac:dyDescent="0.25">
      <c r="C23" s="51" t="str">
        <v>מספר הפקות מורכבות מקוריות</v>
      </c>
      <c r="D23" s="47">
        <v>1</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2</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d8FgEk3tXfTiUDA7xixDBk1d9IQxZwqUKFYTDan2ZPWrPRWi1uWu9X5s8kHOrzzanOdaNOoJ28METIdjhOnuoQ==" saltValue="8ID4ZGfxh7pqtQ6V2DFiFw=="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21" priority="1">
      <formula>IF($C8="",0,1)</formula>
    </cfRule>
  </conditionalFormatting>
  <dataValidations count="13">
    <dataValidation type="list" allowBlank="1" showInputMessage="1" showErrorMessage="1" sqref="K11:L11 K28:K77 G8 N19:N21" xr:uid="{00000000-0002-0000-2100-000000000000}">
      <formula1>$V$5:$W$5</formula1>
    </dataValidation>
    <dataValidation type="list" allowBlank="1" showInputMessage="1" showErrorMessage="1" sqref="G17" xr:uid="{00000000-0002-0000-2100-000001000000}">
      <formula1>$V$7:$X$7</formula1>
    </dataValidation>
    <dataValidation type="list" allowBlank="1" showInputMessage="1" showErrorMessage="1" sqref="N16" xr:uid="{00000000-0002-0000-2100-000002000000}">
      <formula1>$V$9:$Y$9</formula1>
    </dataValidation>
    <dataValidation allowBlank="1" showInputMessage="1" showErrorMessage="1" errorTitle="ערך לא חוקי" error="יש להזין ציון בין 0 ל-60" sqref="N18" xr:uid="{00000000-0002-0000-2100-000003000000}"/>
    <dataValidation type="whole" allowBlank="1" showInputMessage="1" showErrorMessage="1" sqref="E8:F8" xr:uid="{00000000-0002-0000-2100-000004000000}">
      <formula1>0</formula1>
      <formula2>9.99999999999999E+55</formula2>
    </dataValidation>
    <dataValidation type="list" allowBlank="1" showInputMessage="1" showErrorMessage="1" sqref="J21" xr:uid="{00000000-0002-0000-2100-000005000000}">
      <formula1>$V$15:$W$15</formula1>
    </dataValidation>
    <dataValidation type="whole" operator="greaterThanOrEqual" allowBlank="1" showInputMessage="1" showErrorMessage="1" errorTitle="הזנה שגויה" sqref="J18 C11:E11 G11" xr:uid="{00000000-0002-0000-2100-000006000000}">
      <formula1>0</formula1>
    </dataValidation>
    <dataValidation type="whole" allowBlank="1" showInputMessage="1" showErrorMessage="1" errorTitle="הזנה שגויה" sqref="J17" xr:uid="{00000000-0002-0000-2100-000007000000}">
      <formula1>0</formula1>
      <formula2>J18</formula2>
    </dataValidation>
    <dataValidation operator="greaterThanOrEqual" allowBlank="1" showInputMessage="1" showErrorMessage="1" errorTitle="הזנה שגויה" sqref="C8:D8" xr:uid="{00000000-0002-0000-2100-000008000000}"/>
    <dataValidation type="list" allowBlank="1" showInputMessage="1" showErrorMessage="1" sqref="E28:E77" xr:uid="{00000000-0002-0000-2100-000009000000}">
      <formula1>U28:V28</formula1>
    </dataValidation>
    <dataValidation type="decimal" operator="greaterThan" allowBlank="1" showInputMessage="1" showErrorMessage="1" errorTitle="הזנה שגויה" sqref="K8:N8" xr:uid="{00000000-0002-0000-2100-00000A000000}">
      <formula1>-999999999</formula1>
    </dataValidation>
    <dataValidation type="list" allowBlank="1" showInputMessage="1" showErrorMessage="1" sqref="I3 I24" xr:uid="{00000000-0002-0000-2100-00000B000000}">
      <formula1>"0,1"</formula1>
    </dataValidation>
    <dataValidation type="decimal" operator="greaterThanOrEqual" allowBlank="1" showInputMessage="1" showErrorMessage="1" errorTitle="הזנה שגויה" sqref="H11" xr:uid="{00000000-0002-0000-21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7"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גיליון24">
    <tabColor rgb="FF002060"/>
    <pageSetUpPr fitToPage="1"/>
  </sheetPr>
  <dimension ref="C2:Z79"/>
  <sheetViews>
    <sheetView rightToLeft="1" view="pageBreakPreview" topLeftCell="A21" zoomScale="75" zoomScaleNormal="80" zoomScaleSheetLayoutView="75" workbookViewId="0">
      <selection activeCell="K29" sqref="K2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הפדרציה העולמית של יהדות מרוקו</v>
      </c>
      <c r="E3" s="624"/>
      <c r="F3" s="625"/>
      <c r="H3" s="26" t="s">
        <v>310</v>
      </c>
      <c r="I3" s="47">
        <v>1</v>
      </c>
      <c r="L3" s="222" t="s">
        <v>311</v>
      </c>
      <c r="M3" s="221" t="str">
        <f ca="1">"גיליון הזנה "&amp;INDEX('ריכוז נתונים'!$C$17:$C$76,MATCH(D3,'ריכוז נתונים'!$B$17:$B$76,0))</f>
        <v>גיליון הזנה 7</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2.5230095278093868E-2</v>
      </c>
      <c r="F8" s="436">
        <v>308058</v>
      </c>
      <c r="G8" s="630" t="s">
        <v>32</v>
      </c>
      <c r="H8" s="631"/>
      <c r="I8" s="632">
        <v>0</v>
      </c>
      <c r="J8" s="633"/>
      <c r="K8" s="628">
        <v>123300</v>
      </c>
      <c r="L8" s="629"/>
      <c r="M8" s="628">
        <v>244309</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795466</v>
      </c>
      <c r="D11" s="633"/>
      <c r="E11" s="130">
        <v>795466</v>
      </c>
      <c r="F11" s="130">
        <v>794993</v>
      </c>
      <c r="G11" s="130">
        <v>757947</v>
      </c>
      <c r="H11" s="48">
        <v>757947</v>
      </c>
      <c r="I11" s="630">
        <v>2001</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5</v>
      </c>
      <c r="F16" s="28" t="str">
        <f t="array" ref="F16:F17">TRANSPOSE('ריכוז נתונים'!P16:Q16)</f>
        <v>מספר דפים סטטיים</v>
      </c>
      <c r="G16" s="47">
        <v>15</v>
      </c>
      <c r="I16" s="634" t="s">
        <v>72</v>
      </c>
      <c r="J16" s="635"/>
      <c r="M16" s="51" t="s">
        <v>116</v>
      </c>
      <c r="N16" s="50" t="s">
        <v>119</v>
      </c>
    </row>
    <row r="17" spans="3:26" ht="50.25" customHeight="1" x14ac:dyDescent="0.25">
      <c r="C17" s="51" t="str">
        <v>מספר הרצאות</v>
      </c>
      <c r="D17" s="47">
        <v>9</v>
      </c>
      <c r="F17" s="26" t="str">
        <v xml:space="preserve">איכות האתר </v>
      </c>
      <c r="G17" s="49" t="s">
        <v>105</v>
      </c>
      <c r="I17" s="25" t="s">
        <v>809</v>
      </c>
      <c r="J17" s="48">
        <v>338238</v>
      </c>
      <c r="M17" s="28" t="s">
        <v>160</v>
      </c>
      <c r="N17" s="47">
        <v>70</v>
      </c>
    </row>
    <row r="18" spans="3:26" ht="63" x14ac:dyDescent="0.25">
      <c r="C18" s="51" t="str">
        <v>מתוכם מספר הרצאות שנערכו על ידי מישהו בעל תואר שלישי בתחום בו ניתנה הפעילות:</v>
      </c>
      <c r="D18" s="47">
        <v>3</v>
      </c>
      <c r="I18" s="25" t="s">
        <v>810</v>
      </c>
      <c r="J18" s="136">
        <f>F11</f>
        <v>794993</v>
      </c>
      <c r="M18" s="28" t="s">
        <v>161</v>
      </c>
      <c r="N18" s="47">
        <v>150</v>
      </c>
    </row>
    <row r="19" spans="3:26" x14ac:dyDescent="0.25">
      <c r="C19" s="51" t="str">
        <v>מספר ימי עיון</v>
      </c>
      <c r="D19" s="47">
        <v>1</v>
      </c>
      <c r="M19" s="28" t="s">
        <v>162</v>
      </c>
      <c r="N19" s="47" t="s">
        <v>31</v>
      </c>
    </row>
    <row r="20" spans="3:26" ht="63" x14ac:dyDescent="0.25">
      <c r="C20" s="51" t="str">
        <v>מתוכם מספר ימי עיון שנערכו על ידי מישהו בעל תואר שלישי בתחום בו ניתנה הפעילות:</v>
      </c>
      <c r="D20" s="47">
        <v>0</v>
      </c>
      <c r="I20" s="634" t="str">
        <f>פרמטרים!B101</f>
        <v>תיעוד ושימור החומר הארכיונאי</v>
      </c>
      <c r="J20" s="635"/>
      <c r="M20" s="28" t="s">
        <v>163</v>
      </c>
      <c r="N20" s="47" t="s">
        <v>31</v>
      </c>
    </row>
    <row r="21" spans="3:26" ht="94.5" x14ac:dyDescent="0.25">
      <c r="C21" s="51" t="str">
        <v>מספר הפקות מורכבות</v>
      </c>
      <c r="D21" s="47">
        <v>0</v>
      </c>
      <c r="I21" s="26" t="str">
        <f>פרמטרים!B102</f>
        <v>היקף החומר הארכיוני בתחום המורשת אשר ברשותו הועלה לאתר האינטרנט של המוסד:</v>
      </c>
      <c r="J21" s="48"/>
      <c r="M21" s="28" t="s">
        <v>328</v>
      </c>
      <c r="N21" s="47" t="s">
        <v>32</v>
      </c>
    </row>
    <row r="22" spans="3:26" ht="31.5" x14ac:dyDescent="0.25">
      <c r="C22" s="51" t="str">
        <v>מתוכם הפקות מורכבות שהם קופרודוקציה</v>
      </c>
      <c r="D22" s="47">
        <v>0</v>
      </c>
    </row>
    <row r="23" spans="3:26" ht="31.5" x14ac:dyDescent="0.25">
      <c r="C23" s="51" t="str">
        <v>מספר הפקות מורכבות מקוריות</v>
      </c>
      <c r="D23" s="47">
        <v>0</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1</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1">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ref="L30:L77" si="2">IF(H30="","",IF(P30+R30=2,Q30,0))</f>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1"/>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2"/>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1"/>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2"/>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1"/>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2"/>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1"/>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2"/>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1"/>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2"/>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1"/>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2"/>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1"/>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2"/>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1"/>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2"/>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1"/>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2"/>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1"/>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2"/>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1"/>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2"/>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1"/>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2"/>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1"/>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2"/>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1"/>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2"/>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1"/>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2"/>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1"/>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2"/>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1"/>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2"/>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1"/>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2"/>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1"/>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2"/>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1"/>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2"/>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1"/>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2"/>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1"/>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2"/>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1"/>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2"/>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1"/>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2"/>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1"/>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2"/>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1"/>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2"/>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1"/>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2"/>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1"/>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2"/>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1"/>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2"/>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1"/>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2"/>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1"/>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2"/>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1"/>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2"/>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1"/>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2"/>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1"/>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2"/>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1"/>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2"/>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1"/>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2"/>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1"/>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2"/>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1"/>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2"/>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1"/>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2"/>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1"/>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2"/>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1"/>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2"/>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1"/>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2"/>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1"/>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2"/>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1"/>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2"/>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1"/>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2"/>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1"/>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2"/>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1"/>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2"/>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1"/>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l2nbOJ5lTrqlFO+sSutPkBNS6svWi92tTjBy7zliunC9UFZsCLq1Wg1hjxJ0pzSX78za7pVjuiWVhxY9MVRKfw==" saltValue="r7J/pxXi2MEVyk4PxKleFA=="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20" priority="1">
      <formula>IF($C8="",0,1)</formula>
    </cfRule>
  </conditionalFormatting>
  <dataValidations count="13">
    <dataValidation type="list" allowBlank="1" showInputMessage="1" showErrorMessage="1" sqref="K11:L11 K28:K77 G8 N19:N21" xr:uid="{00000000-0002-0000-2200-000000000000}">
      <formula1>$V$5:$W$5</formula1>
    </dataValidation>
    <dataValidation type="list" allowBlank="1" showInputMessage="1" showErrorMessage="1" sqref="G17" xr:uid="{00000000-0002-0000-2200-000001000000}">
      <formula1>$V$7:$X$7</formula1>
    </dataValidation>
    <dataValidation type="list" allowBlank="1" showInputMessage="1" showErrorMessage="1" sqref="N16" xr:uid="{00000000-0002-0000-2200-000002000000}">
      <formula1>$V$9:$Y$9</formula1>
    </dataValidation>
    <dataValidation allowBlank="1" showInputMessage="1" showErrorMessage="1" errorTitle="ערך לא חוקי" error="יש להזין ציון בין 0 ל-60" sqref="N18" xr:uid="{00000000-0002-0000-2200-000003000000}"/>
    <dataValidation type="whole" allowBlank="1" showInputMessage="1" showErrorMessage="1" sqref="E8:F8" xr:uid="{00000000-0002-0000-2200-000004000000}">
      <formula1>0</formula1>
      <formula2>9.99999999999999E+55</formula2>
    </dataValidation>
    <dataValidation type="list" allowBlank="1" showInputMessage="1" showErrorMessage="1" sqref="J21" xr:uid="{00000000-0002-0000-2200-000005000000}">
      <formula1>$V$15:$W$15</formula1>
    </dataValidation>
    <dataValidation type="whole" operator="greaterThanOrEqual" allowBlank="1" showInputMessage="1" showErrorMessage="1" errorTitle="הזנה שגויה" sqref="J18 C11:E11 G11" xr:uid="{00000000-0002-0000-2200-000006000000}">
      <formula1>0</formula1>
    </dataValidation>
    <dataValidation type="whole" allowBlank="1" showInputMessage="1" showErrorMessage="1" errorTitle="הזנה שגויה" sqref="J17" xr:uid="{00000000-0002-0000-2200-000007000000}">
      <formula1>0</formula1>
      <formula2>J18</formula2>
    </dataValidation>
    <dataValidation operator="greaterThanOrEqual" allowBlank="1" showInputMessage="1" showErrorMessage="1" errorTitle="הזנה שגויה" sqref="C8:D8" xr:uid="{00000000-0002-0000-2200-000008000000}"/>
    <dataValidation type="list" allowBlank="1" showInputMessage="1" showErrorMessage="1" sqref="E28:E77" xr:uid="{00000000-0002-0000-2200-000009000000}">
      <formula1>U28:V28</formula1>
    </dataValidation>
    <dataValidation type="decimal" operator="greaterThan" allowBlank="1" showInputMessage="1" showErrorMessage="1" errorTitle="הזנה שגויה" sqref="K8:N8" xr:uid="{00000000-0002-0000-2200-00000A000000}">
      <formula1>-999999999</formula1>
    </dataValidation>
    <dataValidation type="list" allowBlank="1" showInputMessage="1" showErrorMessage="1" sqref="I3 I24" xr:uid="{00000000-0002-0000-2200-00000B000000}">
      <formula1>"0,1"</formula1>
    </dataValidation>
    <dataValidation type="decimal" operator="greaterThanOrEqual" allowBlank="1" showInputMessage="1" showErrorMessage="1" errorTitle="הזנה שגויה" sqref="H11" xr:uid="{00000000-0002-0000-22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7"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גיליון25">
    <tabColor rgb="FF002060"/>
    <pageSetUpPr fitToPage="1"/>
  </sheetPr>
  <dimension ref="C2:Z79"/>
  <sheetViews>
    <sheetView rightToLeft="1" view="pageBreakPreview" topLeftCell="A20" zoomScale="80" zoomScaleNormal="80" zoomScaleSheetLayoutView="80" workbookViewId="0">
      <selection activeCell="C12" sqref="C12"/>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אורות הגליל</v>
      </c>
      <c r="E3" s="624"/>
      <c r="F3" s="625"/>
      <c r="H3" s="26" t="s">
        <v>310</v>
      </c>
      <c r="I3" s="47">
        <v>1</v>
      </c>
      <c r="L3" s="222" t="s">
        <v>311</v>
      </c>
      <c r="M3" s="221" t="str">
        <f ca="1">"גיליון הזנה "&amp;INDEX('ריכוז נתונים'!$C$17:$C$76,MATCH(D3,'ריכוז נתונים'!$B$17:$B$76,0))</f>
        <v>גיליון הזנה 8</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2.4195824189828255E-2</v>
      </c>
      <c r="F8" s="436">
        <v>295429.61</v>
      </c>
      <c r="G8" s="630" t="s">
        <v>32</v>
      </c>
      <c r="H8" s="631"/>
      <c r="I8" s="632">
        <v>0</v>
      </c>
      <c r="J8" s="633"/>
      <c r="K8" s="628">
        <v>536618</v>
      </c>
      <c r="L8" s="629"/>
      <c r="M8" s="628">
        <v>591901</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3493145</v>
      </c>
      <c r="D11" s="633"/>
      <c r="E11" s="130">
        <v>1084420</v>
      </c>
      <c r="F11" s="130">
        <v>538632</v>
      </c>
      <c r="G11" s="130">
        <v>2504113</v>
      </c>
      <c r="H11" s="48">
        <v>640193</v>
      </c>
      <c r="I11" s="630">
        <v>1983</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28</v>
      </c>
      <c r="F16" s="28" t="str">
        <f t="array" ref="F16:F17">TRANSPOSE('ריכוז נתונים'!P16:Q16)</f>
        <v>מספר דפים סטטיים</v>
      </c>
      <c r="G16" s="47">
        <v>400</v>
      </c>
      <c r="I16" s="634" t="s">
        <v>72</v>
      </c>
      <c r="J16" s="635"/>
      <c r="M16" s="51" t="s">
        <v>116</v>
      </c>
      <c r="N16" s="50"/>
    </row>
    <row r="17" spans="3:26" ht="50.25" customHeight="1" x14ac:dyDescent="0.25">
      <c r="C17" s="51" t="str">
        <v>מספר הרצאות</v>
      </c>
      <c r="D17" s="47">
        <v>3</v>
      </c>
      <c r="F17" s="26" t="str">
        <v xml:space="preserve">איכות האתר </v>
      </c>
      <c r="G17" s="49" t="s">
        <v>105</v>
      </c>
      <c r="I17" s="25" t="s">
        <v>809</v>
      </c>
      <c r="J17" s="48">
        <v>227310</v>
      </c>
      <c r="M17" s="28" t="s">
        <v>160</v>
      </c>
      <c r="N17" s="47"/>
    </row>
    <row r="18" spans="3:26" ht="63" x14ac:dyDescent="0.25">
      <c r="C18" s="51" t="str">
        <v>מתוכם מספר הרצאות שנערכו על ידי מישהו בעל תואר שלישי בתחום בו ניתנה הפעילות:</v>
      </c>
      <c r="D18" s="47">
        <v>0</v>
      </c>
      <c r="I18" s="25" t="s">
        <v>810</v>
      </c>
      <c r="J18" s="136">
        <f>F11</f>
        <v>538632</v>
      </c>
      <c r="M18" s="28" t="s">
        <v>161</v>
      </c>
      <c r="N18" s="47"/>
    </row>
    <row r="19" spans="3:26" x14ac:dyDescent="0.25">
      <c r="C19" s="51" t="str">
        <v>מספר ימי עיון</v>
      </c>
      <c r="D19" s="47">
        <v>5</v>
      </c>
      <c r="M19" s="28" t="s">
        <v>162</v>
      </c>
      <c r="N19" s="47"/>
    </row>
    <row r="20" spans="3:26" ht="63" x14ac:dyDescent="0.25">
      <c r="C20" s="51" t="str">
        <v>מתוכם מספר ימי עיון שנערכו על ידי מישהו בעל תואר שלישי בתחום בו ניתנה הפעילות:</v>
      </c>
      <c r="D20" s="47">
        <v>0</v>
      </c>
      <c r="I20" s="634" t="str">
        <f>פרמטרים!B101</f>
        <v>תיעוד ושימור החומר הארכיונאי</v>
      </c>
      <c r="J20" s="635"/>
      <c r="M20" s="28" t="s">
        <v>163</v>
      </c>
      <c r="N20" s="47"/>
    </row>
    <row r="21" spans="3:26" ht="94.5" x14ac:dyDescent="0.25">
      <c r="C21" s="51" t="str">
        <v>מספר הפקות מורכבות</v>
      </c>
      <c r="D21" s="47">
        <v>16</v>
      </c>
      <c r="I21" s="26" t="str">
        <f>פרמטרים!B102</f>
        <v>היקף החומר הארכיוני בתחום המורשת אשר ברשותו הועלה לאתר האינטרנט של המוסד:</v>
      </c>
      <c r="J21" s="48" t="s">
        <v>129</v>
      </c>
      <c r="M21" s="28" t="s">
        <v>328</v>
      </c>
      <c r="N21" s="47"/>
    </row>
    <row r="22" spans="3:26" ht="31.5" x14ac:dyDescent="0.25">
      <c r="C22" s="51" t="str">
        <v>מתוכם הפקות מורכבות שהם קופרודוקציה</v>
      </c>
      <c r="D22" s="47">
        <v>0</v>
      </c>
    </row>
    <row r="23" spans="3:26" ht="31.5" x14ac:dyDescent="0.25">
      <c r="C23" s="51" t="str">
        <v>מספר הפקות מורכבות מקוריות</v>
      </c>
      <c r="D23" s="47">
        <v>9</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6</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t="s">
        <v>461</v>
      </c>
      <c r="D28" s="47">
        <v>50</v>
      </c>
      <c r="E28" s="47" t="s">
        <v>341</v>
      </c>
      <c r="F28" s="91">
        <f>IF(C28="","",D28*IF(E28=$U$27,פרמטרים!$C$39,IF(E28=$V$27,פרמטרים!$C$40,0)))</f>
        <v>50</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xml:space="preserve">קבועה </v>
      </c>
      <c r="V28" s="42" t="str">
        <f t="shared" si="0"/>
        <v>מתחלפת</v>
      </c>
      <c r="W28" s="42" t="str">
        <f t="shared" si="0"/>
        <v>כן</v>
      </c>
      <c r="X28" s="42" t="str">
        <f t="shared" si="0"/>
        <v>לא</v>
      </c>
      <c r="Z28" s="42">
        <f>IF(E28=$V$27,D28*פרמטרים!$C$40,0)</f>
        <v>50</v>
      </c>
    </row>
    <row r="29" spans="3:26" x14ac:dyDescent="0.25">
      <c r="C29" s="47" t="s">
        <v>462</v>
      </c>
      <c r="D29" s="47">
        <v>80</v>
      </c>
      <c r="E29" s="47" t="s">
        <v>340</v>
      </c>
      <c r="F29" s="91">
        <f>IF(C29="","",D29*IF(E29=$U$27,פרמטרים!$C$39,IF(E29=$V$27,פרמטרים!$C$40,0)))</f>
        <v>160</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xml:space="preserve">קבועה </v>
      </c>
      <c r="V29" s="42" t="str">
        <f t="shared" si="0"/>
        <v>מתחלפת</v>
      </c>
      <c r="W29" s="42" t="str">
        <f t="shared" si="0"/>
        <v>כן</v>
      </c>
      <c r="X29" s="42" t="str">
        <f t="shared" si="0"/>
        <v>לא</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210</v>
      </c>
      <c r="L78" s="92">
        <f>SUM(L28:L77)</f>
        <v>0</v>
      </c>
    </row>
    <row r="79" spans="3:26" x14ac:dyDescent="0.25">
      <c r="F79" s="42">
        <f>COUNTIF(H78:H78,"מתחלפת")</f>
        <v>0</v>
      </c>
    </row>
  </sheetData>
  <sheetProtection algorithmName="SHA-512" hashValue="iLE1u0V7QlZ794haPc/3YP9oHZ9Xb8TF35JS63jjGVftkTiuX5XiWgS8eaN7Cm+X8ig2S/DCDiHfHppGUp0/sA==" saltValue="uTz2g6jtbKgrEMc49SEyhw=="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19" priority="1">
      <formula>IF($C8="",0,1)</formula>
    </cfRule>
  </conditionalFormatting>
  <dataValidations count="13">
    <dataValidation type="list" allowBlank="1" showInputMessage="1" showErrorMessage="1" sqref="N16" xr:uid="{00000000-0002-0000-2300-000000000000}">
      <formula1>$V$9:$Y$9</formula1>
    </dataValidation>
    <dataValidation type="list" allowBlank="1" showInputMessage="1" showErrorMessage="1" sqref="G17" xr:uid="{00000000-0002-0000-2300-000001000000}">
      <formula1>$V$7:$X$7</formula1>
    </dataValidation>
    <dataValidation type="list" allowBlank="1" showInputMessage="1" showErrorMessage="1" sqref="K11:L11 K28:K77 G8 N19:N21" xr:uid="{00000000-0002-0000-2300-000002000000}">
      <formula1>$V$5:$W$5</formula1>
    </dataValidation>
    <dataValidation allowBlank="1" showInputMessage="1" showErrorMessage="1" errorTitle="ערך לא חוקי" error="יש להזין ציון בין 0 ל-60" sqref="N18" xr:uid="{00000000-0002-0000-2300-000003000000}"/>
    <dataValidation type="whole" allowBlank="1" showInputMessage="1" showErrorMessage="1" sqref="E8:F8" xr:uid="{00000000-0002-0000-2300-000004000000}">
      <formula1>0</formula1>
      <formula2>9.99999999999999E+55</formula2>
    </dataValidation>
    <dataValidation type="list" allowBlank="1" showInputMessage="1" showErrorMessage="1" sqref="J21" xr:uid="{00000000-0002-0000-2300-000005000000}">
      <formula1>$V$15:$W$15</formula1>
    </dataValidation>
    <dataValidation type="whole" operator="greaterThanOrEqual" allowBlank="1" showInputMessage="1" showErrorMessage="1" errorTitle="הזנה שגויה" sqref="J18 C11:E11 G11" xr:uid="{00000000-0002-0000-2300-000006000000}">
      <formula1>0</formula1>
    </dataValidation>
    <dataValidation type="whole" allowBlank="1" showInputMessage="1" showErrorMessage="1" errorTitle="הזנה שגויה" sqref="J17" xr:uid="{00000000-0002-0000-2300-000007000000}">
      <formula1>0</formula1>
      <formula2>J18</formula2>
    </dataValidation>
    <dataValidation operator="greaterThanOrEqual" allowBlank="1" showInputMessage="1" showErrorMessage="1" errorTitle="הזנה שגויה" sqref="C8:D8" xr:uid="{00000000-0002-0000-2300-000008000000}"/>
    <dataValidation type="list" allowBlank="1" showInputMessage="1" showErrorMessage="1" sqref="E28:E77" xr:uid="{00000000-0002-0000-2300-000009000000}">
      <formula1>U28:V28</formula1>
    </dataValidation>
    <dataValidation type="decimal" operator="greaterThan" allowBlank="1" showInputMessage="1" showErrorMessage="1" errorTitle="הזנה שגויה" sqref="K8:N8" xr:uid="{00000000-0002-0000-2300-00000A000000}">
      <formula1>-999999999</formula1>
    </dataValidation>
    <dataValidation type="list" allowBlank="1" showInputMessage="1" showErrorMessage="1" sqref="I3 I24" xr:uid="{00000000-0002-0000-2300-00000B000000}">
      <formula1>"0,1"</formula1>
    </dataValidation>
    <dataValidation type="decimal" operator="greaterThanOrEqual" allowBlank="1" showInputMessage="1" showErrorMessage="1" errorTitle="הזנה שגויה" sqref="H11" xr:uid="{00000000-0002-0000-23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7"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גיליון26">
    <tabColor rgb="FF002060"/>
    <pageSetUpPr fitToPage="1"/>
  </sheetPr>
  <dimension ref="C2:Z79"/>
  <sheetViews>
    <sheetView rightToLeft="1" view="pageBreakPreview" topLeftCell="A11" zoomScale="75" zoomScaleNormal="80" zoomScaleSheetLayoutView="75" workbookViewId="0">
      <selection activeCell="D18" sqref="D18"/>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אלמז</v>
      </c>
      <c r="E3" s="624"/>
      <c r="F3" s="625"/>
      <c r="H3" s="26" t="s">
        <v>310</v>
      </c>
      <c r="I3" s="47">
        <v>1</v>
      </c>
      <c r="L3" s="222" t="s">
        <v>311</v>
      </c>
      <c r="M3" s="221" t="str">
        <f ca="1">"גיליון הזנה "&amp;INDEX('ריכוז נתונים'!$C$17:$C$76,MATCH(D3,'ריכוז נתונים'!$B$17:$B$76,0))</f>
        <v>גיליון הזנה 9</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8.4960510049924883E-3</v>
      </c>
      <c r="F8" s="436">
        <v>103736.29</v>
      </c>
      <c r="G8" s="630" t="s">
        <v>32</v>
      </c>
      <c r="H8" s="631"/>
      <c r="I8" s="632">
        <v>0</v>
      </c>
      <c r="J8" s="633"/>
      <c r="K8" s="628">
        <v>35568</v>
      </c>
      <c r="L8" s="629"/>
      <c r="M8" s="628">
        <v>191617</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296291</v>
      </c>
      <c r="D11" s="633"/>
      <c r="E11" s="130">
        <v>296291</v>
      </c>
      <c r="F11" s="130">
        <v>296291</v>
      </c>
      <c r="G11" s="130">
        <v>215793</v>
      </c>
      <c r="H11" s="48">
        <v>215793</v>
      </c>
      <c r="I11" s="630">
        <v>2013</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3</v>
      </c>
      <c r="F16" s="28" t="str">
        <f t="array" ref="F16:F17">TRANSPOSE('ריכוז נתונים'!P16:Q16)</f>
        <v>מספר דפים סטטיים</v>
      </c>
      <c r="G16" s="47">
        <v>10</v>
      </c>
      <c r="I16" s="634" t="s">
        <v>72</v>
      </c>
      <c r="J16" s="635"/>
      <c r="M16" s="51" t="s">
        <v>116</v>
      </c>
      <c r="N16" s="50" t="s">
        <v>118</v>
      </c>
    </row>
    <row r="17" spans="3:26" ht="50.25" customHeight="1" x14ac:dyDescent="0.25">
      <c r="C17" s="51" t="str">
        <v>מספר הרצאות</v>
      </c>
      <c r="D17" s="47">
        <v>10</v>
      </c>
      <c r="F17" s="26" t="str">
        <v xml:space="preserve">איכות האתר </v>
      </c>
      <c r="G17" s="49"/>
      <c r="I17" s="25" t="s">
        <v>809</v>
      </c>
      <c r="J17" s="48">
        <v>95748</v>
      </c>
      <c r="M17" s="28" t="s">
        <v>160</v>
      </c>
      <c r="N17" s="47">
        <v>16</v>
      </c>
    </row>
    <row r="18" spans="3:26" ht="63" x14ac:dyDescent="0.25">
      <c r="C18" s="51" t="str">
        <v>מתוכם מספר הרצאות שנערכו על ידי מישהו בעל תואר שלישי בתחום בו ניתנה הפעילות:</v>
      </c>
      <c r="D18" s="47">
        <v>0</v>
      </c>
      <c r="I18" s="25" t="s">
        <v>810</v>
      </c>
      <c r="J18" s="136">
        <f>F11</f>
        <v>296291</v>
      </c>
      <c r="M18" s="28" t="s">
        <v>161</v>
      </c>
      <c r="N18" s="47">
        <v>200</v>
      </c>
    </row>
    <row r="19" spans="3:26" x14ac:dyDescent="0.25">
      <c r="C19" s="51" t="str">
        <v>מספר ימי עיון</v>
      </c>
      <c r="D19" s="47">
        <v>2</v>
      </c>
      <c r="M19" s="28" t="s">
        <v>162</v>
      </c>
      <c r="N19" s="47" t="s">
        <v>32</v>
      </c>
    </row>
    <row r="20" spans="3:26" ht="63" x14ac:dyDescent="0.25">
      <c r="C20" s="51" t="str">
        <v>מתוכם מספר ימי עיון שנערכו על ידי מישהו בעל תואר שלישי בתחום בו ניתנה הפעילות:</v>
      </c>
      <c r="D20" s="47">
        <v>1</v>
      </c>
      <c r="I20" s="634" t="str">
        <f>פרמטרים!B101</f>
        <v>תיעוד ושימור החומר הארכיונאי</v>
      </c>
      <c r="J20" s="635"/>
      <c r="M20" s="28" t="s">
        <v>163</v>
      </c>
      <c r="N20" s="47" t="s">
        <v>32</v>
      </c>
    </row>
    <row r="21" spans="3:26" ht="94.5" x14ac:dyDescent="0.25">
      <c r="C21" s="51" t="str">
        <v>מספר הפקות מורכבות</v>
      </c>
      <c r="D21" s="47">
        <v>4</v>
      </c>
      <c r="I21" s="26" t="str">
        <f>פרמטרים!B102</f>
        <v>היקף החומר הארכיוני בתחום המורשת אשר ברשותו הועלה לאתר האינטרנט של המוסד:</v>
      </c>
      <c r="J21" s="48"/>
      <c r="M21" s="28" t="s">
        <v>328</v>
      </c>
      <c r="N21" s="47" t="s">
        <v>32</v>
      </c>
    </row>
    <row r="22" spans="3:26" ht="31.5" x14ac:dyDescent="0.25">
      <c r="C22" s="51" t="str">
        <v>מתוכם הפקות מורכבות שהם קופרודוקציה</v>
      </c>
      <c r="D22" s="47">
        <v>1</v>
      </c>
    </row>
    <row r="23" spans="3:26" ht="31.5" x14ac:dyDescent="0.25">
      <c r="C23" s="51" t="str">
        <v>מספר הפקות מורכבות מקוריות</v>
      </c>
      <c r="D23" s="47">
        <v>4</v>
      </c>
    </row>
    <row r="24" spans="3:26" ht="47.25" x14ac:dyDescent="0.25">
      <c r="C24" s="51" t="str">
        <v>מתוכם הפקות מורכבות מקוריות שהם קופרודוקציה</v>
      </c>
      <c r="D24" s="47">
        <v>1</v>
      </c>
      <c r="H24" s="51" t="s">
        <v>329</v>
      </c>
      <c r="I24" s="47">
        <v>0</v>
      </c>
    </row>
    <row r="25" spans="3:26" x14ac:dyDescent="0.25">
      <c r="C25" s="51" t="str">
        <v>ארוע רב משתתפים</v>
      </c>
      <c r="D25" s="47">
        <v>2</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t="s">
        <v>463</v>
      </c>
      <c r="D28" s="47">
        <v>100</v>
      </c>
      <c r="E28" s="47" t="s">
        <v>341</v>
      </c>
      <c r="F28" s="91">
        <f>IF(C28="","",D28*IF(E28=$U$27,פרמטרים!$C$39,IF(E28=$V$27,פרמטרים!$C$40,0)))</f>
        <v>100</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xml:space="preserve">קבועה </v>
      </c>
      <c r="V28" s="42" t="str">
        <f t="shared" si="0"/>
        <v>מתחלפת</v>
      </c>
      <c r="W28" s="42" t="str">
        <f t="shared" si="0"/>
        <v>כן</v>
      </c>
      <c r="X28" s="42" t="str">
        <f t="shared" si="0"/>
        <v>לא</v>
      </c>
      <c r="Z28" s="42">
        <f>IF(E28=$V$27,D28*פרמטרים!$C$40,0)</f>
        <v>100</v>
      </c>
    </row>
    <row r="29" spans="3:26" x14ac:dyDescent="0.25">
      <c r="C29" s="47" t="s">
        <v>464</v>
      </c>
      <c r="D29" s="47">
        <v>50</v>
      </c>
      <c r="E29" s="47" t="s">
        <v>341</v>
      </c>
      <c r="F29" s="91">
        <f>IF(C29="","",D29*IF(E29=$U$27,פרמטרים!$C$39,IF(E29=$V$27,פרמטרים!$C$40,0)))</f>
        <v>50</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xml:space="preserve">קבועה </v>
      </c>
      <c r="V29" s="42" t="str">
        <f t="shared" si="0"/>
        <v>מתחלפת</v>
      </c>
      <c r="W29" s="42" t="str">
        <f t="shared" si="0"/>
        <v>כן</v>
      </c>
      <c r="X29" s="42" t="str">
        <f t="shared" si="0"/>
        <v>לא</v>
      </c>
      <c r="Z29" s="42">
        <f>IF(E29=$V$27,D29*פרמטרים!$C$40,0)</f>
        <v>50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150</v>
      </c>
      <c r="L78" s="92">
        <f>SUM(L28:L77)</f>
        <v>0</v>
      </c>
    </row>
    <row r="79" spans="3:26" x14ac:dyDescent="0.25">
      <c r="F79" s="42">
        <f>COUNTIF(H78:H78,"מתחלפת")</f>
        <v>0</v>
      </c>
    </row>
  </sheetData>
  <sheetProtection algorithmName="SHA-512" hashValue="dEDSvEJAZGo2PyEHWJ5APLWoTS8jDqYOcOXXxp/ioGDLEEN2UgAnSU9s7lF2wsp08IKxy4JWKACL5gCeywAljA==" saltValue="WkhgtKPjebGnW1FQkBuUdw=="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18" priority="1">
      <formula>IF($C8="",0,1)</formula>
    </cfRule>
  </conditionalFormatting>
  <dataValidations count="13">
    <dataValidation type="list" allowBlank="1" showInputMessage="1" showErrorMessage="1" sqref="N16" xr:uid="{00000000-0002-0000-2400-000000000000}">
      <formula1>$V$9:$Y$9</formula1>
    </dataValidation>
    <dataValidation type="list" allowBlank="1" showInputMessage="1" showErrorMessage="1" sqref="G17" xr:uid="{00000000-0002-0000-2400-000001000000}">
      <formula1>$V$7:$X$7</formula1>
    </dataValidation>
    <dataValidation type="list" allowBlank="1" showInputMessage="1" showErrorMessage="1" sqref="K11:L11 K28:K77 G8 N19:N21" xr:uid="{00000000-0002-0000-2400-000002000000}">
      <formula1>$V$5:$W$5</formula1>
    </dataValidation>
    <dataValidation allowBlank="1" showInputMessage="1" showErrorMessage="1" errorTitle="ערך לא חוקי" error="יש להזין ציון בין 0 ל-60" sqref="N18" xr:uid="{00000000-0002-0000-2400-000003000000}"/>
    <dataValidation type="whole" allowBlank="1" showInputMessage="1" showErrorMessage="1" sqref="E8:F8" xr:uid="{00000000-0002-0000-2400-000004000000}">
      <formula1>0</formula1>
      <formula2>9.99999999999999E+55</formula2>
    </dataValidation>
    <dataValidation type="list" allowBlank="1" showInputMessage="1" showErrorMessage="1" sqref="J21" xr:uid="{00000000-0002-0000-2400-000005000000}">
      <formula1>$V$15:$W$15</formula1>
    </dataValidation>
    <dataValidation type="whole" operator="greaterThanOrEqual" allowBlank="1" showInputMessage="1" showErrorMessage="1" errorTitle="הזנה שגויה" sqref="J18 C11:E11 G11" xr:uid="{00000000-0002-0000-2400-000006000000}">
      <formula1>0</formula1>
    </dataValidation>
    <dataValidation type="whole" allowBlank="1" showInputMessage="1" showErrorMessage="1" errorTitle="הזנה שגויה" sqref="J17" xr:uid="{00000000-0002-0000-2400-000007000000}">
      <formula1>0</formula1>
      <formula2>J18</formula2>
    </dataValidation>
    <dataValidation operator="greaterThanOrEqual" allowBlank="1" showInputMessage="1" showErrorMessage="1" errorTitle="הזנה שגויה" sqref="C8:D8" xr:uid="{00000000-0002-0000-2400-000008000000}"/>
    <dataValidation type="list" allowBlank="1" showInputMessage="1" showErrorMessage="1" sqref="E28:E77" xr:uid="{00000000-0002-0000-2400-000009000000}">
      <formula1>U28:V28</formula1>
    </dataValidation>
    <dataValidation type="decimal" operator="greaterThan" allowBlank="1" showInputMessage="1" showErrorMessage="1" errorTitle="הזנה שגויה" sqref="K8:N8" xr:uid="{00000000-0002-0000-2400-00000A000000}">
      <formula1>-999999999</formula1>
    </dataValidation>
    <dataValidation type="list" allowBlank="1" showInputMessage="1" showErrorMessage="1" sqref="I3 I24" xr:uid="{00000000-0002-0000-2400-00000B000000}">
      <formula1>"0,1"</formula1>
    </dataValidation>
    <dataValidation type="decimal" operator="greaterThanOrEqual" allowBlank="1" showInputMessage="1" showErrorMessage="1" errorTitle="הזנה שגויה" sqref="H11" xr:uid="{00000000-0002-0000-24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7"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גיליון27">
    <tabColor rgb="FF002060"/>
    <pageSetUpPr fitToPage="1"/>
  </sheetPr>
  <dimension ref="C2:Z79"/>
  <sheetViews>
    <sheetView rightToLeft="1" view="pageBreakPreview" zoomScale="75" zoomScaleNormal="80" zoomScaleSheetLayoutView="75" workbookViewId="0">
      <selection activeCell="C11" sqref="C11:D11"/>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קונגרס יהודי בוכרה</v>
      </c>
      <c r="E3" s="624"/>
      <c r="F3" s="625"/>
      <c r="H3" s="26" t="s">
        <v>310</v>
      </c>
      <c r="I3" s="47">
        <v>1</v>
      </c>
      <c r="L3" s="222" t="s">
        <v>311</v>
      </c>
      <c r="M3" s="221" t="str">
        <f ca="1">"גיליון הזנה "&amp;INDEX('ריכוז נתונים'!$C$17:$C$76,MATCH(D3,'ריכוז נתונים'!$B$17:$B$76,0))</f>
        <v>גיליון הזנה 10</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8.7786166388013967E-2</v>
      </c>
      <c r="F8" s="436">
        <v>1247107</v>
      </c>
      <c r="G8" s="630" t="s">
        <v>32</v>
      </c>
      <c r="H8" s="631"/>
      <c r="I8" s="632">
        <v>0</v>
      </c>
      <c r="J8" s="633"/>
      <c r="K8" s="628">
        <v>319895</v>
      </c>
      <c r="L8" s="629"/>
      <c r="M8" s="628">
        <v>319895</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11297460</v>
      </c>
      <c r="D11" s="633"/>
      <c r="E11" s="130">
        <v>3331514</v>
      </c>
      <c r="F11" s="130">
        <v>3331514</v>
      </c>
      <c r="G11" s="130">
        <v>10807726</v>
      </c>
      <c r="H11" s="48">
        <v>3331514</v>
      </c>
      <c r="I11" s="630">
        <v>2000</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0</v>
      </c>
      <c r="F16" s="28" t="str">
        <f t="array" ref="F16:F17">TRANSPOSE('ריכוז נתונים'!P16:Q16)</f>
        <v>מספר דפים סטטיים</v>
      </c>
      <c r="G16" s="47">
        <v>18</v>
      </c>
      <c r="I16" s="634" t="s">
        <v>72</v>
      </c>
      <c r="J16" s="635"/>
      <c r="M16" s="51" t="s">
        <v>116</v>
      </c>
      <c r="N16" s="50" t="s">
        <v>120</v>
      </c>
    </row>
    <row r="17" spans="3:26" ht="50.25" customHeight="1" x14ac:dyDescent="0.25">
      <c r="C17" s="51" t="str">
        <v>מספר הרצאות</v>
      </c>
      <c r="D17" s="47">
        <v>159</v>
      </c>
      <c r="F17" s="26" t="str">
        <v xml:space="preserve">איכות האתר </v>
      </c>
      <c r="G17" s="49" t="s">
        <v>105</v>
      </c>
      <c r="I17" s="25" t="s">
        <v>809</v>
      </c>
      <c r="J17" s="48">
        <v>2231514</v>
      </c>
      <c r="M17" s="28" t="s">
        <v>160</v>
      </c>
      <c r="N17" s="47">
        <v>40</v>
      </c>
    </row>
    <row r="18" spans="3:26" ht="63" x14ac:dyDescent="0.25">
      <c r="C18" s="51" t="str">
        <v>מתוכם מספר הרצאות שנערכו על ידי מישהו בעל תואר שלישי בתחום בו ניתנה הפעילות:</v>
      </c>
      <c r="D18" s="47">
        <v>0</v>
      </c>
      <c r="I18" s="25" t="s">
        <v>810</v>
      </c>
      <c r="J18" s="136">
        <f>F11</f>
        <v>3331514</v>
      </c>
      <c r="M18" s="28" t="s">
        <v>161</v>
      </c>
      <c r="N18" s="47">
        <v>12000</v>
      </c>
    </row>
    <row r="19" spans="3:26" x14ac:dyDescent="0.25">
      <c r="C19" s="51" t="str">
        <v>מספר ימי עיון</v>
      </c>
      <c r="D19" s="47">
        <v>0</v>
      </c>
      <c r="M19" s="28" t="s">
        <v>162</v>
      </c>
      <c r="N19" s="47" t="s">
        <v>31</v>
      </c>
    </row>
    <row r="20" spans="3:26" ht="63" x14ac:dyDescent="0.25">
      <c r="C20" s="51" t="str">
        <v>מתוכם מספר ימי עיון שנערכו על ידי מישהו בעל תואר שלישי בתחום בו ניתנה הפעילות:</v>
      </c>
      <c r="D20" s="47">
        <v>0</v>
      </c>
      <c r="I20" s="634" t="str">
        <f>פרמטרים!B101</f>
        <v>תיעוד ושימור החומר הארכיונאי</v>
      </c>
      <c r="J20" s="635"/>
      <c r="M20" s="28" t="s">
        <v>163</v>
      </c>
      <c r="N20" s="47" t="s">
        <v>31</v>
      </c>
    </row>
    <row r="21" spans="3:26" ht="94.5" x14ac:dyDescent="0.25">
      <c r="C21" s="51" t="str">
        <v>מספר הפקות מורכבות</v>
      </c>
      <c r="D21" s="47">
        <v>30</v>
      </c>
      <c r="I21" s="26" t="str">
        <f>פרמטרים!B102</f>
        <v>היקף החומר הארכיוני בתחום המורשת אשר ברשותו הועלה לאתר האינטרנט של המוסד:</v>
      </c>
      <c r="J21" s="48" t="s">
        <v>128</v>
      </c>
      <c r="M21" s="28" t="s">
        <v>328</v>
      </c>
      <c r="N21" s="47" t="s">
        <v>32</v>
      </c>
    </row>
    <row r="22" spans="3:26" ht="31.5" x14ac:dyDescent="0.25">
      <c r="C22" s="51" t="str">
        <v>מתוכם הפקות מורכבות שהם קופרודוקציה</v>
      </c>
      <c r="D22" s="47">
        <v>0</v>
      </c>
    </row>
    <row r="23" spans="3:26" ht="31.5" x14ac:dyDescent="0.25">
      <c r="C23" s="51" t="str">
        <v>מספר הפקות מורכבות מקוריות</v>
      </c>
      <c r="D23" s="47">
        <v>30</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74</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1dQDOsce/WtDfxvGO5tpypY9mTymIzCeNbeOncVpbh6LF7mP8pj+/t/SdcAYo4Zd3D0XbTtsF0snqJr42ncpIQ==" saltValue="/Tig9IGAMu0uwBppfGx38w=="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17" priority="1">
      <formula>IF($C8="",0,1)</formula>
    </cfRule>
  </conditionalFormatting>
  <dataValidations count="13">
    <dataValidation type="list" allowBlank="1" showInputMessage="1" showErrorMessage="1" sqref="K11:L11 K28:K77 G8 N19:N21" xr:uid="{00000000-0002-0000-2500-000000000000}">
      <formula1>$V$5:$W$5</formula1>
    </dataValidation>
    <dataValidation type="list" allowBlank="1" showInputMessage="1" showErrorMessage="1" sqref="G17" xr:uid="{00000000-0002-0000-2500-000001000000}">
      <formula1>$V$7:$X$7</formula1>
    </dataValidation>
    <dataValidation type="list" allowBlank="1" showInputMessage="1" showErrorMessage="1" sqref="N16" xr:uid="{00000000-0002-0000-2500-000002000000}">
      <formula1>$V$9:$Y$9</formula1>
    </dataValidation>
    <dataValidation allowBlank="1" showInputMessage="1" showErrorMessage="1" errorTitle="ערך לא חוקי" error="יש להזין ציון בין 0 ל-60" sqref="N18" xr:uid="{00000000-0002-0000-2500-000003000000}"/>
    <dataValidation type="whole" allowBlank="1" showInputMessage="1" showErrorMessage="1" sqref="E8:F8" xr:uid="{00000000-0002-0000-2500-000004000000}">
      <formula1>0</formula1>
      <formula2>9.99999999999999E+55</formula2>
    </dataValidation>
    <dataValidation type="list" allowBlank="1" showInputMessage="1" showErrorMessage="1" sqref="J21" xr:uid="{00000000-0002-0000-2500-000005000000}">
      <formula1>$V$15:$W$15</formula1>
    </dataValidation>
    <dataValidation type="whole" operator="greaterThanOrEqual" allowBlank="1" showInputMessage="1" showErrorMessage="1" errorTitle="הזנה שגויה" sqref="J18 C11:E11 G11" xr:uid="{00000000-0002-0000-2500-000006000000}">
      <formula1>0</formula1>
    </dataValidation>
    <dataValidation type="whole" allowBlank="1" showInputMessage="1" showErrorMessage="1" errorTitle="הזנה שגויה" sqref="J17" xr:uid="{00000000-0002-0000-2500-000007000000}">
      <formula1>0</formula1>
      <formula2>J18</formula2>
    </dataValidation>
    <dataValidation operator="greaterThanOrEqual" allowBlank="1" showInputMessage="1" showErrorMessage="1" errorTitle="הזנה שגויה" sqref="C8:D8" xr:uid="{00000000-0002-0000-2500-000008000000}"/>
    <dataValidation type="list" allowBlank="1" showInputMessage="1" showErrorMessage="1" sqref="E28:E77" xr:uid="{00000000-0002-0000-2500-000009000000}">
      <formula1>U28:V28</formula1>
    </dataValidation>
    <dataValidation type="decimal" operator="greaterThan" allowBlank="1" showInputMessage="1" showErrorMessage="1" errorTitle="הזנה שגויה" sqref="K8:N8" xr:uid="{00000000-0002-0000-2500-00000A000000}">
      <formula1>-999999999</formula1>
    </dataValidation>
    <dataValidation type="list" allowBlank="1" showInputMessage="1" showErrorMessage="1" sqref="I3 I24" xr:uid="{00000000-0002-0000-2500-00000B000000}">
      <formula1>"0,1"</formula1>
    </dataValidation>
    <dataValidation type="decimal" operator="greaterThanOrEqual" allowBlank="1" showInputMessage="1" showErrorMessage="1" errorTitle="הזנה שגויה" sqref="H11" xr:uid="{00000000-0002-0000-25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גיליון28">
    <tabColor rgb="FF002060"/>
    <pageSetUpPr fitToPage="1"/>
  </sheetPr>
  <dimension ref="C2:Z79"/>
  <sheetViews>
    <sheetView rightToLeft="1" view="pageBreakPreview" topLeftCell="F19" zoomScale="80" zoomScaleNormal="80" zoomScaleSheetLayoutView="80" workbookViewId="0">
      <selection activeCell="H28" sqref="H28"/>
    </sheetView>
  </sheetViews>
  <sheetFormatPr defaultColWidth="9.140625" defaultRowHeight="15.75" x14ac:dyDescent="0.25"/>
  <cols>
    <col min="1" max="2" width="9.140625" style="42"/>
    <col min="3" max="3" width="33.140625" style="42" bestFit="1"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יהדות שאלוניקי יוון</v>
      </c>
      <c r="E3" s="624"/>
      <c r="F3" s="625"/>
      <c r="H3" s="26" t="s">
        <v>310</v>
      </c>
      <c r="I3" s="47">
        <v>1</v>
      </c>
      <c r="L3" s="222" t="s">
        <v>311</v>
      </c>
      <c r="M3" s="221" t="str">
        <f ca="1">"גיליון הזנה "&amp;INDEX('ריכוז נתונים'!$C$17:$C$76,MATCH(D3,'ריכוז נתונים'!$B$17:$B$76,0))</f>
        <v>גיליון הזנה 11</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2.1641638428749294E-2</v>
      </c>
      <c r="F8" s="329">
        <v>264243.15000000002</v>
      </c>
      <c r="G8" s="630" t="s">
        <v>32</v>
      </c>
      <c r="H8" s="631"/>
      <c r="I8" s="632">
        <v>0</v>
      </c>
      <c r="J8" s="633"/>
      <c r="K8" s="628">
        <v>-620084</v>
      </c>
      <c r="L8" s="629"/>
      <c r="M8" s="628">
        <v>12540526</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2763404</v>
      </c>
      <c r="D11" s="633"/>
      <c r="E11" s="130">
        <v>1114167</v>
      </c>
      <c r="F11" s="130">
        <v>1114167</v>
      </c>
      <c r="G11" s="130">
        <v>1908626</v>
      </c>
      <c r="H11" s="48">
        <v>1847782</v>
      </c>
      <c r="I11" s="630">
        <v>2011</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69</v>
      </c>
      <c r="F16" s="28" t="str">
        <f t="array" ref="F16:F17">TRANSPOSE('ריכוז נתונים'!P16:Q16)</f>
        <v>מספר דפים סטטיים</v>
      </c>
      <c r="G16" s="47">
        <v>21</v>
      </c>
      <c r="I16" s="634" t="s">
        <v>72</v>
      </c>
      <c r="J16" s="635"/>
      <c r="M16" s="51" t="s">
        <v>116</v>
      </c>
      <c r="N16" s="50"/>
    </row>
    <row r="17" spans="3:26" ht="50.25" customHeight="1" x14ac:dyDescent="0.25">
      <c r="C17" s="51" t="str">
        <v>מספר הרצאות</v>
      </c>
      <c r="D17" s="47">
        <v>1</v>
      </c>
      <c r="F17" s="26" t="str">
        <v xml:space="preserve">איכות האתר </v>
      </c>
      <c r="G17" s="49" t="s">
        <v>107</v>
      </c>
      <c r="I17" s="25" t="s">
        <v>809</v>
      </c>
      <c r="J17" s="48">
        <v>710115</v>
      </c>
      <c r="M17" s="28" t="s">
        <v>160</v>
      </c>
      <c r="N17" s="47"/>
    </row>
    <row r="18" spans="3:26" ht="47.25" x14ac:dyDescent="0.25">
      <c r="C18" s="51" t="str">
        <v>מתוכם מספר הרצאות שנערכו על ידי מישהו בעל תואר שלישי בתחום בו ניתנה הפעילות:</v>
      </c>
      <c r="D18" s="47">
        <v>1</v>
      </c>
      <c r="I18" s="25" t="s">
        <v>810</v>
      </c>
      <c r="J18" s="136">
        <f>F11</f>
        <v>1114167</v>
      </c>
      <c r="M18" s="28" t="s">
        <v>161</v>
      </c>
      <c r="N18" s="47"/>
    </row>
    <row r="19" spans="3:26" x14ac:dyDescent="0.25">
      <c r="C19" s="51" t="str">
        <v>מספר ימי עיון</v>
      </c>
      <c r="D19" s="47">
        <v>1</v>
      </c>
      <c r="M19" s="28" t="s">
        <v>162</v>
      </c>
      <c r="N19" s="47"/>
    </row>
    <row r="20" spans="3:26" ht="47.25" x14ac:dyDescent="0.25">
      <c r="C20" s="51" t="str">
        <v>מתוכם מספר ימי עיון שנערכו על ידי מישהו בעל תואר שלישי בתחום בו ניתנה הפעילות:</v>
      </c>
      <c r="D20" s="47">
        <v>0</v>
      </c>
      <c r="I20" s="634" t="str">
        <f>פרמטרים!B101</f>
        <v>תיעוד ושימור החומר הארכיונאי</v>
      </c>
      <c r="J20" s="635"/>
      <c r="M20" s="28" t="s">
        <v>163</v>
      </c>
      <c r="N20" s="47"/>
    </row>
    <row r="21" spans="3:26" ht="94.5" x14ac:dyDescent="0.25">
      <c r="C21" s="51" t="str">
        <v>מספר הפקות מורכבות</v>
      </c>
      <c r="D21" s="47">
        <v>1</v>
      </c>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v>0</v>
      </c>
    </row>
    <row r="23" spans="3:26" x14ac:dyDescent="0.25">
      <c r="C23" s="51" t="str">
        <v>מספר הפקות מורכבות מקוריות</v>
      </c>
      <c r="D23" s="47">
        <v>1</v>
      </c>
    </row>
    <row r="24" spans="3:26" ht="31.5" x14ac:dyDescent="0.25">
      <c r="C24" s="51" t="str">
        <v>מתוכם הפקות מורכבות מקוריות שהם קופרודוקציה</v>
      </c>
      <c r="D24" s="47">
        <v>0</v>
      </c>
      <c r="H24" s="51" t="s">
        <v>329</v>
      </c>
      <c r="I24" s="47">
        <v>0</v>
      </c>
    </row>
    <row r="25" spans="3:26" x14ac:dyDescent="0.25">
      <c r="C25" s="51" t="str">
        <v>ארוע רב משתתפים</v>
      </c>
      <c r="D25" s="47">
        <v>6</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t="s">
        <v>465</v>
      </c>
      <c r="D28" s="47">
        <v>150</v>
      </c>
      <c r="E28" s="47" t="s">
        <v>341</v>
      </c>
      <c r="F28" s="91">
        <f>IF(C28="","",D28*IF(E28=$U$27,פרמטרים!$C$39,IF(E28=$V$27,פרמטרים!$C$40,0)))</f>
        <v>150</v>
      </c>
      <c r="H28" s="47" t="s">
        <v>467</v>
      </c>
      <c r="I28" s="226">
        <v>45095</v>
      </c>
      <c r="J28" s="47">
        <v>198</v>
      </c>
      <c r="K28" s="47" t="s">
        <v>31</v>
      </c>
      <c r="L28" s="91">
        <f>IF(H28="","",IF(P28+R28=2,Q28,0))</f>
        <v>0</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1</v>
      </c>
      <c r="R28" s="42">
        <f>IF(K28=$W$27,1,0)</f>
        <v>1</v>
      </c>
      <c r="U28" s="42" t="str">
        <f t="shared" ref="U28:X47" si="0">IF($C28="","",U$27)</f>
        <v xml:space="preserve">קבועה </v>
      </c>
      <c r="V28" s="42" t="str">
        <f t="shared" si="0"/>
        <v>מתחלפת</v>
      </c>
      <c r="W28" s="42" t="str">
        <f t="shared" si="0"/>
        <v>כן</v>
      </c>
      <c r="X28" s="42" t="str">
        <f t="shared" si="0"/>
        <v>לא</v>
      </c>
      <c r="Z28" s="42">
        <f>IF(E28=$V$27,D28*פרמטרים!$C$40,0)</f>
        <v>150</v>
      </c>
    </row>
    <row r="29" spans="3:26" x14ac:dyDescent="0.25">
      <c r="C29" s="47" t="s">
        <v>466</v>
      </c>
      <c r="D29" s="47">
        <v>150</v>
      </c>
      <c r="E29" s="47" t="s">
        <v>341</v>
      </c>
      <c r="F29" s="91">
        <f>IF(C29="","",D29*IF(E29=$U$27,פרמטרים!$C$39,IF(E29=$V$27,פרמטרים!$C$40,0)))</f>
        <v>150</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xml:space="preserve">קבועה </v>
      </c>
      <c r="V29" s="42" t="str">
        <f t="shared" si="0"/>
        <v>מתחלפת</v>
      </c>
      <c r="W29" s="42" t="str">
        <f t="shared" si="0"/>
        <v>כן</v>
      </c>
      <c r="X29" s="42" t="str">
        <f t="shared" si="0"/>
        <v>לא</v>
      </c>
      <c r="Z29" s="42">
        <f>IF(E29=$V$27,D29*פרמטרים!$C$40,0)</f>
        <v>150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300</v>
      </c>
      <c r="L78" s="92">
        <f>SUM(L28:L77)</f>
        <v>0</v>
      </c>
    </row>
    <row r="79" spans="3:26" x14ac:dyDescent="0.25">
      <c r="F79" s="42">
        <f>COUNTIF(H78:H78,"מתחלפת")</f>
        <v>0</v>
      </c>
    </row>
  </sheetData>
  <sheetProtection algorithmName="SHA-512" hashValue="cMtHj6xtW/Wm6VlbGAJd3MCgvsa86nZ0CO1U4U4FczJNr9uwbAA6iawBbGtmpOL0c9gpHNLYV+6oshoegB4CgQ==" saltValue="Yox3HH/y6skwwiD3dkkpVA=="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16" priority="1">
      <formula>IF($C8="",0,1)</formula>
    </cfRule>
  </conditionalFormatting>
  <dataValidations count="13">
    <dataValidation type="list" allowBlank="1" showInputMessage="1" showErrorMessage="1" sqref="K11:L11 K28:K77 G8 N19:N21" xr:uid="{00000000-0002-0000-2600-000000000000}">
      <formula1>$V$5:$W$5</formula1>
    </dataValidation>
    <dataValidation type="list" allowBlank="1" showInputMessage="1" showErrorMessage="1" sqref="G17" xr:uid="{00000000-0002-0000-2600-000001000000}">
      <formula1>$V$7:$X$7</formula1>
    </dataValidation>
    <dataValidation type="list" allowBlank="1" showInputMessage="1" showErrorMessage="1" sqref="N16" xr:uid="{00000000-0002-0000-2600-000002000000}">
      <formula1>$V$9:$Y$9</formula1>
    </dataValidation>
    <dataValidation allowBlank="1" showInputMessage="1" showErrorMessage="1" errorTitle="ערך לא חוקי" error="יש להזין ציון בין 0 ל-60" sqref="N18" xr:uid="{00000000-0002-0000-2600-000003000000}"/>
    <dataValidation type="whole" allowBlank="1" showInputMessage="1" showErrorMessage="1" sqref="E8:F8" xr:uid="{00000000-0002-0000-2600-000004000000}">
      <formula1>0</formula1>
      <formula2>9.99999999999999E+55</formula2>
    </dataValidation>
    <dataValidation type="list" allowBlank="1" showInputMessage="1" showErrorMessage="1" sqref="J21" xr:uid="{00000000-0002-0000-2600-000005000000}">
      <formula1>$V$15:$W$15</formula1>
    </dataValidation>
    <dataValidation type="whole" operator="greaterThanOrEqual" allowBlank="1" showInputMessage="1" showErrorMessage="1" errorTitle="הזנה שגויה" sqref="J18 C11:E11 G11" xr:uid="{00000000-0002-0000-2600-000006000000}">
      <formula1>0</formula1>
    </dataValidation>
    <dataValidation type="whole" allowBlank="1" showInputMessage="1" showErrorMessage="1" errorTitle="הזנה שגויה" sqref="J17" xr:uid="{00000000-0002-0000-2600-000007000000}">
      <formula1>0</formula1>
      <formula2>J18</formula2>
    </dataValidation>
    <dataValidation operator="greaterThanOrEqual" allowBlank="1" showInputMessage="1" showErrorMessage="1" errorTitle="הזנה שגויה" sqref="C8:D8" xr:uid="{00000000-0002-0000-2600-000008000000}"/>
    <dataValidation type="list" allowBlank="1" showInputMessage="1" showErrorMessage="1" sqref="E28:E77" xr:uid="{00000000-0002-0000-2600-000009000000}">
      <formula1>U28:V28</formula1>
    </dataValidation>
    <dataValidation type="decimal" operator="greaterThan" allowBlank="1" showInputMessage="1" showErrorMessage="1" errorTitle="הזנה שגויה" sqref="K8:N8" xr:uid="{00000000-0002-0000-2600-00000A000000}">
      <formula1>-999999999</formula1>
    </dataValidation>
    <dataValidation type="list" allowBlank="1" showInputMessage="1" showErrorMessage="1" sqref="I3 I24" xr:uid="{00000000-0002-0000-2600-00000B000000}">
      <formula1>"0,1"</formula1>
    </dataValidation>
    <dataValidation type="decimal" operator="greaterThanOrEqual" allowBlank="1" showInputMessage="1" showErrorMessage="1" errorTitle="הזנה שגויה" sqref="H11" xr:uid="{00000000-0002-0000-2600-00000C000000}">
      <formula1>0</formula1>
    </dataValidation>
  </dataValidations>
  <pageMargins left="0.70866141732283472" right="0.70866141732283472" top="0.74803149606299213" bottom="0.74803149606299213" header="0.31496062992125984" footer="0.31496062992125984"/>
  <pageSetup paperSize="9" scale="38" orientation="portrait" r:id="rId1"/>
  <headerFooter>
    <oddFooter>&amp;C&amp;"David,מודגש"א. חפץ ושות'
ייעוץ כלכלי</oddFooter>
  </headerFooter>
  <colBreaks count="1" manualBreakCount="1">
    <brk id="6" max="78"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גיליון29">
    <tabColor rgb="FF002060"/>
    <pageSetUpPr fitToPage="1"/>
  </sheetPr>
  <dimension ref="C2:Z79"/>
  <sheetViews>
    <sheetView rightToLeft="1" view="pageBreakPreview" zoomScale="75" zoomScaleNormal="80" zoomScaleSheetLayoutView="75" workbookViewId="0">
      <selection activeCell="I44" sqref="I44"/>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12</v>
      </c>
      <c r="E3" s="624"/>
      <c r="F3" s="625"/>
      <c r="H3" s="26" t="s">
        <v>310</v>
      </c>
      <c r="I3" s="47"/>
      <c r="L3" s="222" t="s">
        <v>311</v>
      </c>
      <c r="M3" s="221" t="str">
        <f ca="1">"גיליון הזנה "&amp;INDEX('ריכוז נתונים'!$C$17:$C$76,MATCH(D3,'ריכוז נתונים'!$B$17:$B$76,0))</f>
        <v>גיליון הזנה 12</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289"/>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326</v>
      </c>
      <c r="J17" s="48"/>
      <c r="M17" s="28" t="s">
        <v>160</v>
      </c>
      <c r="N17" s="47"/>
    </row>
    <row r="18" spans="3:26" ht="63" x14ac:dyDescent="0.25">
      <c r="C18" s="51" t="str">
        <v>מתוכם מספר הרצאות שנערכו על ידי מישהו בעל תואר שלישי בתחום בו ניתנה הפעילות:</v>
      </c>
      <c r="D18" s="47"/>
      <c r="I18" s="26" t="s">
        <v>327</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0SfHxr4FpnQQPQg5G7aH93Tyl8wbRQLWUkB4lYGC2cNM31UCfTXwWJLmG3GUWN2Ou66Hr3v9O0Z/w5YlOZZ8wg==" saltValue="NyssEidzngPCNoElqLgUmg=="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15" priority="1">
      <formula>IF($C8="",0,1)</formula>
    </cfRule>
  </conditionalFormatting>
  <dataValidations count="13">
    <dataValidation type="list" allowBlank="1" showInputMessage="1" showErrorMessage="1" sqref="N16" xr:uid="{00000000-0002-0000-2700-000000000000}">
      <formula1>$V$9:$Y$9</formula1>
    </dataValidation>
    <dataValidation type="list" allowBlank="1" showInputMessage="1" showErrorMessage="1" sqref="G17" xr:uid="{00000000-0002-0000-2700-000001000000}">
      <formula1>$V$7:$X$7</formula1>
    </dataValidation>
    <dataValidation type="list" allowBlank="1" showInputMessage="1" showErrorMessage="1" sqref="K11:L11 K28:K77 G8 N19:N21" xr:uid="{00000000-0002-0000-2700-000002000000}">
      <formula1>$V$5:$W$5</formula1>
    </dataValidation>
    <dataValidation allowBlank="1" showInputMessage="1" showErrorMessage="1" errorTitle="ערך לא חוקי" error="יש להזין ציון בין 0 ל-60" sqref="N18" xr:uid="{00000000-0002-0000-2700-000003000000}"/>
    <dataValidation type="whole" allowBlank="1" showInputMessage="1" showErrorMessage="1" sqref="E8:F8" xr:uid="{00000000-0002-0000-2700-000004000000}">
      <formula1>0</formula1>
      <formula2>9.99999999999999E+55</formula2>
    </dataValidation>
    <dataValidation type="list" allowBlank="1" showInputMessage="1" showErrorMessage="1" sqref="J21" xr:uid="{00000000-0002-0000-2700-000005000000}">
      <formula1>$V$15:$W$15</formula1>
    </dataValidation>
    <dataValidation type="whole" operator="greaterThanOrEqual" allowBlank="1" showInputMessage="1" showErrorMessage="1" errorTitle="הזנה שגויה" sqref="J18 C11:E11 G11" xr:uid="{00000000-0002-0000-2700-000006000000}">
      <formula1>0</formula1>
    </dataValidation>
    <dataValidation type="whole" allowBlank="1" showInputMessage="1" showErrorMessage="1" errorTitle="הזנה שגויה" sqref="J17" xr:uid="{00000000-0002-0000-2700-000007000000}">
      <formula1>0</formula1>
      <formula2>J18</formula2>
    </dataValidation>
    <dataValidation operator="greaterThanOrEqual" allowBlank="1" showInputMessage="1" showErrorMessage="1" errorTitle="הזנה שגויה" sqref="C8:D8" xr:uid="{00000000-0002-0000-2700-000008000000}"/>
    <dataValidation type="list" allowBlank="1" showInputMessage="1" showErrorMessage="1" sqref="E28:E77" xr:uid="{00000000-0002-0000-2700-000009000000}">
      <formula1>U28:V28</formula1>
    </dataValidation>
    <dataValidation type="decimal" operator="greaterThan" allowBlank="1" showInputMessage="1" showErrorMessage="1" errorTitle="הזנה שגויה" sqref="K8:N8" xr:uid="{00000000-0002-0000-2700-00000A000000}">
      <formula1>-999999999</formula1>
    </dataValidation>
    <dataValidation type="list" allowBlank="1" showInputMessage="1" showErrorMessage="1" sqref="I3 I24" xr:uid="{00000000-0002-0000-2700-00000B000000}">
      <formula1>"0,1"</formula1>
    </dataValidation>
    <dataValidation type="decimal" operator="greaterThanOrEqual" allowBlank="1" showInputMessage="1" showErrorMessage="1" errorTitle="הזנה שגויה" sqref="H11" xr:uid="{00000000-0002-0000-27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גיליון30">
    <tabColor theme="8" tint="-0.249977111117893"/>
    <pageSetUpPr fitToPage="1"/>
  </sheetPr>
  <dimension ref="C2:Z79"/>
  <sheetViews>
    <sheetView rightToLeft="1" view="pageBreakPreview" topLeftCell="A16" zoomScale="75" zoomScaleNormal="80" zoomScaleSheetLayoutView="75" workbookViewId="0">
      <selection activeCell="P28" sqref="P28:P77"/>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13</v>
      </c>
      <c r="E3" s="624"/>
      <c r="F3" s="625"/>
      <c r="H3" s="26" t="s">
        <v>310</v>
      </c>
      <c r="I3" s="47">
        <v>0</v>
      </c>
      <c r="L3" s="222" t="s">
        <v>311</v>
      </c>
      <c r="M3" s="221" t="str">
        <f ca="1">"גיליון הזנה "&amp;INDEX('ריכוז נתונים'!$C$17:$C$76,MATCH(D3,'ריכוז נתונים'!$B$17:$B$76,0))</f>
        <v>גיליון הזנה 13</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326</v>
      </c>
      <c r="J17" s="48"/>
      <c r="M17" s="28" t="s">
        <v>160</v>
      </c>
      <c r="N17" s="47"/>
    </row>
    <row r="18" spans="3:26" ht="63" x14ac:dyDescent="0.25">
      <c r="C18" s="51" t="str">
        <v>מתוכם מספר הרצאות שנערכו על ידי מישהו בעל תואר שלישי בתחום בו ניתנה הפעילות:</v>
      </c>
      <c r="D18" s="47"/>
      <c r="I18" s="26" t="s">
        <v>327</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uqLXwzB+/DlKkCCwqOUHkzHNUnGTMhKtZeiLy7iEBKXKr2rmgxTsjhiY72LqAElp+sqI7JneWl/FIkO99a+gqQ==" saltValue="Q00t15xYn/1mpPY54+vPNg=="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2800-000000000000}">
      <formula1>$V$5:$W$5</formula1>
    </dataValidation>
    <dataValidation type="list" allowBlank="1" showInputMessage="1" showErrorMessage="1" sqref="G17" xr:uid="{00000000-0002-0000-2800-000001000000}">
      <formula1>$V$7:$X$7</formula1>
    </dataValidation>
    <dataValidation type="list" allowBlank="1" showInputMessage="1" showErrorMessage="1" sqref="N16" xr:uid="{00000000-0002-0000-2800-000002000000}">
      <formula1>$V$9:$Y$9</formula1>
    </dataValidation>
    <dataValidation allowBlank="1" showInputMessage="1" showErrorMessage="1" errorTitle="ערך לא חוקי" error="יש להזין ציון בין 0 ל-60" sqref="N18" xr:uid="{00000000-0002-0000-2800-000003000000}"/>
    <dataValidation type="whole" allowBlank="1" showInputMessage="1" showErrorMessage="1" sqref="E8:F8" xr:uid="{00000000-0002-0000-2800-000004000000}">
      <formula1>0</formula1>
      <formula2>9.99999999999999E+55</formula2>
    </dataValidation>
    <dataValidation type="list" allowBlank="1" showInputMessage="1" showErrorMessage="1" sqref="J21" xr:uid="{00000000-0002-0000-2800-000005000000}">
      <formula1>$V$15:$W$15</formula1>
    </dataValidation>
    <dataValidation type="whole" operator="greaterThanOrEqual" allowBlank="1" showInputMessage="1" showErrorMessage="1" errorTitle="הזנה שגויה" sqref="J18 C11:E11 G11" xr:uid="{00000000-0002-0000-2800-000006000000}">
      <formula1>0</formula1>
    </dataValidation>
    <dataValidation type="whole" allowBlank="1" showInputMessage="1" showErrorMessage="1" errorTitle="הזנה שגויה" sqref="J17" xr:uid="{00000000-0002-0000-2800-000007000000}">
      <formula1>0</formula1>
      <formula2>J18</formula2>
    </dataValidation>
    <dataValidation operator="greaterThanOrEqual" allowBlank="1" showInputMessage="1" showErrorMessage="1" errorTitle="הזנה שגויה" sqref="C8:D8" xr:uid="{00000000-0002-0000-2800-000008000000}"/>
    <dataValidation type="list" allowBlank="1" showInputMessage="1" showErrorMessage="1" sqref="E28:E77" xr:uid="{00000000-0002-0000-2800-000009000000}">
      <formula1>U28:V28</formula1>
    </dataValidation>
    <dataValidation type="decimal" operator="greaterThan" allowBlank="1" showInputMessage="1" showErrorMessage="1" errorTitle="הזנה שגויה" sqref="K8:N8" xr:uid="{00000000-0002-0000-2800-00000A000000}">
      <formula1>-999999999</formula1>
    </dataValidation>
    <dataValidation type="list" allowBlank="1" showInputMessage="1" showErrorMessage="1" sqref="I3 I24" xr:uid="{00000000-0002-0000-2800-00000B000000}">
      <formula1>"0,1"</formula1>
    </dataValidation>
    <dataValidation type="decimal" operator="greaterThanOrEqual" allowBlank="1" showInputMessage="1" showErrorMessage="1" errorTitle="הזנה שגויה" sqref="H11" xr:uid="{00000000-0002-0000-28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גיליון31">
    <tabColor rgb="FF002060"/>
    <pageSetUpPr fitToPage="1"/>
  </sheetPr>
  <dimension ref="C2:Z79"/>
  <sheetViews>
    <sheetView rightToLeft="1" view="pageBreakPreview" topLeftCell="B2" zoomScale="80" zoomScaleNormal="80" zoomScaleSheetLayoutView="80" workbookViewId="0">
      <selection activeCell="F21" sqref="F21"/>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14</v>
      </c>
      <c r="E3" s="624"/>
      <c r="F3" s="625"/>
      <c r="H3" s="26" t="s">
        <v>310</v>
      </c>
      <c r="I3" s="47"/>
      <c r="L3" s="222" t="s">
        <v>311</v>
      </c>
      <c r="M3" s="221" t="str">
        <f ca="1">"גיליון הזנה "&amp;INDEX('ריכוז נתונים'!$C$17:$C$76,MATCH(D3,'ריכוז נתונים'!$B$17:$B$76,0))</f>
        <v>גיליון הזנה 14</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326</v>
      </c>
      <c r="J17" s="48"/>
      <c r="M17" s="28" t="s">
        <v>160</v>
      </c>
      <c r="N17" s="47"/>
    </row>
    <row r="18" spans="3:26" ht="63" x14ac:dyDescent="0.25">
      <c r="C18" s="51" t="str">
        <v>מתוכם מספר הרצאות שנערכו על ידי מישהו בעל תואר שלישי בתחום בו ניתנה הפעילות:</v>
      </c>
      <c r="D18" s="47"/>
      <c r="I18" s="26" t="s">
        <v>327</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Fa40t+SgQReQdLz2DV3Z9ayCbxQlB1ixrtmxjp1DW9xU+QxrwgZTBIB9GQQloJYjRnyQNW66hmqXVfH7aHf49A==" saltValue="IytFYtxFNX6A0RfkXMA/pg=="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N16" xr:uid="{00000000-0002-0000-2900-000000000000}">
      <formula1>$V$9:$Y$9</formula1>
    </dataValidation>
    <dataValidation type="list" allowBlank="1" showInputMessage="1" showErrorMessage="1" sqref="G17" xr:uid="{00000000-0002-0000-2900-000001000000}">
      <formula1>$V$7:$X$7</formula1>
    </dataValidation>
    <dataValidation type="list" allowBlank="1" showInputMessage="1" showErrorMessage="1" sqref="K11:L11 K28:K77 G8 N19:N21" xr:uid="{00000000-0002-0000-2900-000002000000}">
      <formula1>$V$5:$W$5</formula1>
    </dataValidation>
    <dataValidation allowBlank="1" showInputMessage="1" showErrorMessage="1" errorTitle="ערך לא חוקי" error="יש להזין ציון בין 0 ל-60" sqref="N18" xr:uid="{00000000-0002-0000-2900-000003000000}"/>
    <dataValidation type="whole" allowBlank="1" showInputMessage="1" showErrorMessage="1" sqref="E8:F8" xr:uid="{00000000-0002-0000-2900-000004000000}">
      <formula1>0</formula1>
      <formula2>9.99999999999999E+55</formula2>
    </dataValidation>
    <dataValidation type="list" allowBlank="1" showInputMessage="1" showErrorMessage="1" sqref="J21" xr:uid="{00000000-0002-0000-2900-000005000000}">
      <formula1>$V$15:$W$15</formula1>
    </dataValidation>
    <dataValidation type="whole" operator="greaterThanOrEqual" allowBlank="1" showInputMessage="1" showErrorMessage="1" errorTitle="הזנה שגויה" sqref="J18 C11:E11 G11" xr:uid="{00000000-0002-0000-2900-000006000000}">
      <formula1>0</formula1>
    </dataValidation>
    <dataValidation type="whole" allowBlank="1" showInputMessage="1" showErrorMessage="1" errorTitle="הזנה שגויה" sqref="J17" xr:uid="{00000000-0002-0000-2900-000007000000}">
      <formula1>0</formula1>
      <formula2>J18</formula2>
    </dataValidation>
    <dataValidation operator="greaterThanOrEqual" allowBlank="1" showInputMessage="1" showErrorMessage="1" errorTitle="הזנה שגויה" sqref="C8:D8" xr:uid="{00000000-0002-0000-2900-000008000000}"/>
    <dataValidation type="list" allowBlank="1" showInputMessage="1" showErrorMessage="1" sqref="E28:E77" xr:uid="{00000000-0002-0000-2900-000009000000}">
      <formula1>U28:V28</formula1>
    </dataValidation>
    <dataValidation type="decimal" operator="greaterThan" allowBlank="1" showInputMessage="1" showErrorMessage="1" errorTitle="הזנה שגויה" sqref="K8:N8" xr:uid="{00000000-0002-0000-2900-00000A000000}">
      <formula1>-999999999</formula1>
    </dataValidation>
    <dataValidation type="list" allowBlank="1" showInputMessage="1" showErrorMessage="1" sqref="I3 I24" xr:uid="{00000000-0002-0000-2900-00000B000000}">
      <formula1>"0,1"</formula1>
    </dataValidation>
    <dataValidation type="decimal" operator="greaterThanOrEqual" allowBlank="1" showInputMessage="1" showErrorMessage="1" errorTitle="הזנה שגויה" sqref="H11" xr:uid="{00000000-0002-0000-29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גיליון42">
    <tabColor theme="8" tint="-0.249977111117893"/>
    <pageSetUpPr fitToPage="1"/>
  </sheetPr>
  <dimension ref="C2:Z79"/>
  <sheetViews>
    <sheetView rightToLeft="1" view="pageBreakPreview" topLeftCell="F10" zoomScale="80" zoomScaleNormal="80" zoomScaleSheetLayoutView="80" workbookViewId="0">
      <selection activeCell="F28" sqref="F28"/>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5" width="9.140625" style="42" customWidth="1"/>
    <col min="16"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25</v>
      </c>
      <c r="E3" s="624"/>
      <c r="F3" s="625"/>
      <c r="H3" s="26" t="s">
        <v>310</v>
      </c>
      <c r="I3" s="47">
        <v>1</v>
      </c>
      <c r="L3" s="222" t="s">
        <v>311</v>
      </c>
      <c r="M3" s="221" t="str">
        <f ca="1">"גיליון הזנה "&amp;INDEX('ריכוז נתונים'!$C$17:$C$76,MATCH(D3,'ריכוז נתונים'!$B$17:$B$76,0))</f>
        <v>גיליון הזנה 25</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326</v>
      </c>
      <c r="J17" s="48"/>
      <c r="M17" s="28" t="s">
        <v>160</v>
      </c>
      <c r="N17" s="47"/>
    </row>
    <row r="18" spans="3:26" ht="63" x14ac:dyDescent="0.25">
      <c r="C18" s="51" t="str">
        <v>מתוכם מספר הרצאות שנערכו על ידי מישהו בעל תואר שלישי בתחום בו ניתנה הפעילות:</v>
      </c>
      <c r="D18" s="47"/>
      <c r="I18" s="26" t="s">
        <v>327</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MemZGDtOiAbonR85A6tuvkXMmi2aA8c3wKxDuq30hDpoUPzMzupb54DK0STy2V1gTuAbPGmzn1olF0cczhdWgw==" saltValue="HEWFPcQ7wdDNDdRNMuJCJw=="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2A00-000000000000}">
      <formula1>$V$5:$W$5</formula1>
    </dataValidation>
    <dataValidation type="list" allowBlank="1" showInputMessage="1" showErrorMessage="1" sqref="G17" xr:uid="{00000000-0002-0000-2A00-000001000000}">
      <formula1>$V$7:$X$7</formula1>
    </dataValidation>
    <dataValidation type="list" allowBlank="1" showInputMessage="1" showErrorMessage="1" sqref="N16" xr:uid="{00000000-0002-0000-2A00-000002000000}">
      <formula1>$V$9:$Y$9</formula1>
    </dataValidation>
    <dataValidation allowBlank="1" showInputMessage="1" showErrorMessage="1" errorTitle="ערך לא חוקי" error="יש להזין ציון בין 0 ל-60" sqref="N18" xr:uid="{00000000-0002-0000-2A00-000003000000}"/>
    <dataValidation type="whole" allowBlank="1" showInputMessage="1" showErrorMessage="1" sqref="E8:F8" xr:uid="{00000000-0002-0000-2A00-000004000000}">
      <formula1>0</formula1>
      <formula2>9.99999999999999E+55</formula2>
    </dataValidation>
    <dataValidation type="list" allowBlank="1" showInputMessage="1" showErrorMessage="1" sqref="J21" xr:uid="{00000000-0002-0000-2A00-000005000000}">
      <formula1>$V$15:$W$15</formula1>
    </dataValidation>
    <dataValidation type="whole" operator="greaterThanOrEqual" allowBlank="1" showInputMessage="1" showErrorMessage="1" errorTitle="הזנה שגויה" sqref="J18 C11:E11 G11" xr:uid="{00000000-0002-0000-2A00-000006000000}">
      <formula1>0</formula1>
    </dataValidation>
    <dataValidation type="whole" allowBlank="1" showInputMessage="1" showErrorMessage="1" errorTitle="הזנה שגויה" sqref="J17" xr:uid="{00000000-0002-0000-2A00-000007000000}">
      <formula1>0</formula1>
      <formula2>J18</formula2>
    </dataValidation>
    <dataValidation operator="greaterThanOrEqual" allowBlank="1" showInputMessage="1" showErrorMessage="1" errorTitle="הזנה שגויה" sqref="C8:D8" xr:uid="{00000000-0002-0000-2A00-000008000000}"/>
    <dataValidation type="list" allowBlank="1" showInputMessage="1" showErrorMessage="1" sqref="E28:E77" xr:uid="{00000000-0002-0000-2A00-000009000000}">
      <formula1>U28:V28</formula1>
    </dataValidation>
    <dataValidation type="decimal" operator="greaterThan" allowBlank="1" showInputMessage="1" showErrorMessage="1" errorTitle="הזנה שגויה" sqref="K8:N8" xr:uid="{00000000-0002-0000-2A00-00000A000000}">
      <formula1>-999999999</formula1>
    </dataValidation>
    <dataValidation type="list" allowBlank="1" showInputMessage="1" showErrorMessage="1" sqref="I3 I24" xr:uid="{00000000-0002-0000-2A00-00000B000000}">
      <formula1>"0,1"</formula1>
    </dataValidation>
    <dataValidation type="decimal" operator="greaterThanOrEqual" allowBlank="1" showInputMessage="1" showErrorMessage="1" errorTitle="הזנה שגויה" sqref="H11" xr:uid="{00000000-0002-0000-2A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גיליון57">
    <tabColor theme="8" tint="-0.249977111117893"/>
    <pageSetUpPr fitToPage="1"/>
  </sheetPr>
  <dimension ref="C2:Z79"/>
  <sheetViews>
    <sheetView rightToLeft="1" view="pageBreakPreview" zoomScale="75" zoomScaleNormal="80" zoomScaleSheetLayoutView="75" workbookViewId="0">
      <selection activeCell="B10" sqref="B10"/>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40</v>
      </c>
      <c r="E3" s="624"/>
      <c r="F3" s="625"/>
      <c r="H3" s="26" t="s">
        <v>310</v>
      </c>
      <c r="I3" s="47">
        <v>1</v>
      </c>
      <c r="L3" s="222" t="s">
        <v>311</v>
      </c>
      <c r="M3" s="221" t="str">
        <f ca="1">"גיליון הזנה "&amp;INDEX('ריכוז נתונים'!$C$17:$C$76,MATCH(D3,'ריכוז נתונים'!$B$17:$B$76,0))</f>
        <v>גיליון הזנה 40</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v>0</v>
      </c>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v>2006</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t="s">
        <v>106</v>
      </c>
      <c r="I17" s="25" t="s">
        <v>326</v>
      </c>
      <c r="J17" s="48"/>
      <c r="M17" s="28" t="s">
        <v>160</v>
      </c>
      <c r="N17" s="47"/>
    </row>
    <row r="18" spans="3:26" ht="63" x14ac:dyDescent="0.25">
      <c r="C18" s="51" t="str">
        <v>מתוכם מספר הרצאות שנערכו על ידי מישהו בעל תואר שלישי בתחום בו ניתנה הפעילות:</v>
      </c>
      <c r="D18" s="47"/>
      <c r="I18" s="26" t="s">
        <v>327</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Crge7OtMN7SzSbTuK4p+/IKs++e0NzqT7K39Xs665OQlZXzKdhFGze9FaCe0KjSRWJJJdd58FmFowDohFL9gZQ==" saltValue="bkTAcBLH6p4R7zmPV2ku1A=="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N16" xr:uid="{00000000-0002-0000-2B00-000000000000}">
      <formula1>$V$9:$Y$9</formula1>
    </dataValidation>
    <dataValidation type="list" allowBlank="1" showInputMessage="1" showErrorMessage="1" sqref="G17" xr:uid="{00000000-0002-0000-2B00-000001000000}">
      <formula1>$V$7:$X$7</formula1>
    </dataValidation>
    <dataValidation type="list" allowBlank="1" showInputMessage="1" showErrorMessage="1" sqref="K11:L11 K28:K77 G8 N19:N21" xr:uid="{00000000-0002-0000-2B00-000002000000}">
      <formula1>$V$5:$W$5</formula1>
    </dataValidation>
    <dataValidation allowBlank="1" showInputMessage="1" showErrorMessage="1" errorTitle="ערך לא חוקי" error="יש להזין ציון בין 0 ל-60" sqref="N18" xr:uid="{00000000-0002-0000-2B00-000003000000}"/>
    <dataValidation type="whole" allowBlank="1" showInputMessage="1" showErrorMessage="1" sqref="E8:F8" xr:uid="{00000000-0002-0000-2B00-000004000000}">
      <formula1>0</formula1>
      <formula2>9.99999999999999E+55</formula2>
    </dataValidation>
    <dataValidation type="list" allowBlank="1" showInputMessage="1" showErrorMessage="1" sqref="J21" xr:uid="{00000000-0002-0000-2B00-000005000000}">
      <formula1>$V$15:$W$15</formula1>
    </dataValidation>
    <dataValidation type="whole" operator="greaterThanOrEqual" allowBlank="1" showInputMessage="1" showErrorMessage="1" errorTitle="הזנה שגויה" sqref="J18 C11:E11 G11" xr:uid="{00000000-0002-0000-2B00-000006000000}">
      <formula1>0</formula1>
    </dataValidation>
    <dataValidation type="whole" allowBlank="1" showInputMessage="1" showErrorMessage="1" errorTitle="הזנה שגויה" sqref="J17" xr:uid="{00000000-0002-0000-2B00-000007000000}">
      <formula1>0</formula1>
      <formula2>J18</formula2>
    </dataValidation>
    <dataValidation operator="greaterThanOrEqual" allowBlank="1" showInputMessage="1" showErrorMessage="1" errorTitle="הזנה שגויה" sqref="C8:D8" xr:uid="{00000000-0002-0000-2B00-000008000000}"/>
    <dataValidation type="list" allowBlank="1" showInputMessage="1" showErrorMessage="1" sqref="E28:E77" xr:uid="{00000000-0002-0000-2B00-000009000000}">
      <formula1>U28:V28</formula1>
    </dataValidation>
    <dataValidation type="decimal" operator="greaterThan" allowBlank="1" showInputMessage="1" showErrorMessage="1" errorTitle="הזנה שגויה" sqref="K8:N8" xr:uid="{00000000-0002-0000-2B00-00000A000000}">
      <formula1>-999999999</formula1>
    </dataValidation>
    <dataValidation type="list" allowBlank="1" showInputMessage="1" showErrorMessage="1" sqref="I3 I24" xr:uid="{00000000-0002-0000-2B00-00000B000000}">
      <formula1>"0,1"</formula1>
    </dataValidation>
    <dataValidation type="decimal" operator="greaterThanOrEqual" allowBlank="1" showInputMessage="1" showErrorMessage="1" errorTitle="הזנה שגויה" sqref="H11" xr:uid="{00000000-0002-0000-2B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גיליון32">
    <tabColor rgb="FF002060"/>
    <pageSetUpPr fitToPage="1"/>
  </sheetPr>
  <dimension ref="C2:Z79"/>
  <sheetViews>
    <sheetView rightToLeft="1" view="pageBreakPreview" topLeftCell="A21" zoomScale="75" zoomScaleNormal="80" zoomScaleSheetLayoutView="75" workbookViewId="0">
      <selection activeCell="F28" sqref="F28"/>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 xml:space="preserve">החברה לטיפוח חברה תרבות תיעוד </v>
      </c>
      <c r="E3" s="624"/>
      <c r="F3" s="625"/>
      <c r="H3" s="26" t="s">
        <v>310</v>
      </c>
      <c r="I3" s="47">
        <v>1</v>
      </c>
      <c r="L3" s="222" t="s">
        <v>311</v>
      </c>
      <c r="M3" s="221" t="str">
        <f ca="1">"גיליון הזנה "&amp;INDEX('ריכוז נתונים'!$C$17:$C$76,MATCH(D3,'ריכוז נתונים'!$B$17:$B$76,0))</f>
        <v>גיליון הזנה 15</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0.12404001755290893</v>
      </c>
      <c r="F8" s="436">
        <v>1514521.42</v>
      </c>
      <c r="G8" s="630" t="s">
        <v>32</v>
      </c>
      <c r="H8" s="631"/>
      <c r="I8" s="632">
        <v>0</v>
      </c>
      <c r="J8" s="633"/>
      <c r="K8" s="628">
        <v>33206</v>
      </c>
      <c r="L8" s="629"/>
      <c r="M8" s="628">
        <v>399281</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6962651</v>
      </c>
      <c r="D11" s="633"/>
      <c r="E11" s="130">
        <v>5103322</v>
      </c>
      <c r="F11" s="130">
        <v>5103322</v>
      </c>
      <c r="G11" s="130">
        <v>6909992</v>
      </c>
      <c r="H11" s="48">
        <v>4589232</v>
      </c>
      <c r="I11" s="630">
        <v>1983</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60</v>
      </c>
      <c r="F16" s="28" t="str">
        <f t="array" ref="F16:F17">TRANSPOSE('ריכוז נתונים'!P16:Q16)</f>
        <v>מספר דפים סטטיים</v>
      </c>
      <c r="G16" s="47">
        <v>20100</v>
      </c>
      <c r="I16" s="634" t="s">
        <v>72</v>
      </c>
      <c r="J16" s="635"/>
      <c r="M16" s="51" t="s">
        <v>116</v>
      </c>
      <c r="N16" s="50" t="s">
        <v>120</v>
      </c>
    </row>
    <row r="17" spans="3:26" ht="50.25" customHeight="1" x14ac:dyDescent="0.25">
      <c r="C17" s="51" t="str">
        <v>מספר הרצאות</v>
      </c>
      <c r="D17" s="47">
        <v>136</v>
      </c>
      <c r="F17" s="26" t="str">
        <v xml:space="preserve">איכות האתר </v>
      </c>
      <c r="G17" s="49" t="s">
        <v>107</v>
      </c>
      <c r="I17" s="25" t="s">
        <v>809</v>
      </c>
      <c r="J17" s="48">
        <v>3002870</v>
      </c>
      <c r="M17" s="28" t="s">
        <v>160</v>
      </c>
      <c r="N17" s="47">
        <v>16</v>
      </c>
    </row>
    <row r="18" spans="3:26" ht="63" x14ac:dyDescent="0.25">
      <c r="C18" s="51" t="str">
        <v>מתוכם מספר הרצאות שנערכו על ידי מישהו בעל תואר שלישי בתחום בו ניתנה הפעילות:</v>
      </c>
      <c r="D18" s="47">
        <v>63</v>
      </c>
      <c r="I18" s="25" t="s">
        <v>810</v>
      </c>
      <c r="J18" s="136">
        <f>F11</f>
        <v>5103322</v>
      </c>
      <c r="M18" s="28" t="s">
        <v>161</v>
      </c>
      <c r="N18" s="47">
        <v>1000</v>
      </c>
    </row>
    <row r="19" spans="3:26" x14ac:dyDescent="0.25">
      <c r="C19" s="51" t="str">
        <v>מספר ימי עיון</v>
      </c>
      <c r="D19" s="47">
        <v>23</v>
      </c>
      <c r="M19" s="28" t="s">
        <v>162</v>
      </c>
      <c r="N19" s="47" t="s">
        <v>31</v>
      </c>
    </row>
    <row r="20" spans="3:26" ht="63" x14ac:dyDescent="0.25">
      <c r="C20" s="51" t="str">
        <v>מתוכם מספר ימי עיון שנערכו על ידי מישהו בעל תואר שלישי בתחום בו ניתנה הפעילות:</v>
      </c>
      <c r="D20" s="47">
        <v>20</v>
      </c>
      <c r="I20" s="634" t="str">
        <f>פרמטרים!B101</f>
        <v>תיעוד ושימור החומר הארכיונאי</v>
      </c>
      <c r="J20" s="635"/>
      <c r="M20" s="28" t="s">
        <v>163</v>
      </c>
      <c r="N20" s="47" t="s">
        <v>31</v>
      </c>
    </row>
    <row r="21" spans="3:26" ht="94.5" x14ac:dyDescent="0.25">
      <c r="C21" s="51" t="str">
        <v>מספר הפקות מורכבות</v>
      </c>
      <c r="D21" s="47">
        <v>168</v>
      </c>
      <c r="I21" s="26" t="str">
        <f>פרמטרים!B102</f>
        <v>היקף החומר הארכיוני בתחום המורשת אשר ברשותו הועלה לאתר האינטרנט של המוסד:</v>
      </c>
      <c r="J21" s="48" t="s">
        <v>129</v>
      </c>
      <c r="M21" s="28" t="s">
        <v>328</v>
      </c>
      <c r="N21" s="47" t="s">
        <v>32</v>
      </c>
    </row>
    <row r="22" spans="3:26" ht="31.5" x14ac:dyDescent="0.25">
      <c r="C22" s="51" t="str">
        <v>מתוכם הפקות מורכבות שהם קופרודוקציה</v>
      </c>
      <c r="D22" s="47">
        <v>0</v>
      </c>
    </row>
    <row r="23" spans="3:26" ht="31.5" x14ac:dyDescent="0.25">
      <c r="C23" s="51" t="str">
        <v>מספר הפקות מורכבות מקוריות</v>
      </c>
      <c r="D23" s="47">
        <v>65</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6</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t="s">
        <v>468</v>
      </c>
      <c r="I28" s="226">
        <v>45107</v>
      </c>
      <c r="J28" s="47">
        <v>628</v>
      </c>
      <c r="K28" s="47" t="s">
        <v>31</v>
      </c>
      <c r="L28" s="91">
        <f>IF(H28="","",IF(P28+R28=2,Q28,0))</f>
        <v>2</v>
      </c>
      <c r="P28" s="42">
        <f>IF(AND(I28&gt;=INDEX('הוראת שעה'!$B$5:$D$18,MATCH(פרמטרים!$C$3,'הוראת שעה'!$A$5:$A$18,1),IF($I$24=1,1,3)),I28&lt;=INDEX('הוראת שעה'!C$5:$E$18,MATCH(פרמטרים!$C$3,'הוראת שעה'!$A$5:$A$18,1),IF($I$24=1,1,3))),1,0)</f>
        <v>1</v>
      </c>
      <c r="Q28" s="42">
        <f>IF(J28&gt;=פרמטרים!$B$99,פרמטרים!$C$99,IF(J28&gt;=פרמטרים!$B$98,פרמטרים!$C$98,0))</f>
        <v>2</v>
      </c>
      <c r="R28" s="42">
        <f>IF(K28=$W$27,1,0)</f>
        <v>1</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t="s">
        <v>469</v>
      </c>
      <c r="I29" s="226">
        <v>45137</v>
      </c>
      <c r="J29" s="47">
        <v>480</v>
      </c>
      <c r="K29" s="47" t="s">
        <v>31</v>
      </c>
      <c r="L29" s="91">
        <f t="shared" ref="L29:L77" si="1">IF(H29="","",IF(P29+R29=2,Q29,0))</f>
        <v>2</v>
      </c>
      <c r="P29" s="42">
        <f>IF(AND(I29&gt;=INDEX('הוראת שעה'!$B$5:$D$18,MATCH(פרמטרים!$C$3,'הוראת שעה'!$A$5:$A$18,1),IF($I$24=1,1,3)),I29&lt;=INDEX('הוראת שעה'!C$5:$E$18,MATCH(פרמטרים!$C$3,'הוראת שעה'!$A$5:$A$18,1),IF($I$24=1,1,3))),1,0)</f>
        <v>1</v>
      </c>
      <c r="Q29" s="42">
        <f>IF(J29&gt;=פרמטרים!$B$99,פרמטרים!$C$99,IF(J29&gt;=פרמטרים!$B$98,פרמטרים!$C$98,0))</f>
        <v>2</v>
      </c>
      <c r="R29" s="42">
        <f t="shared" ref="R29:R77" si="2">IF(K29=$W$27,1,0)</f>
        <v>1</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t="s">
        <v>470</v>
      </c>
      <c r="I30" s="226">
        <v>45199</v>
      </c>
      <c r="J30" s="47">
        <v>567</v>
      </c>
      <c r="K30" s="47" t="s">
        <v>31</v>
      </c>
      <c r="L30" s="91">
        <f t="shared" si="1"/>
        <v>2</v>
      </c>
      <c r="P30" s="42">
        <f>IF(AND(I30&gt;=INDEX('הוראת שעה'!$B$5:$D$18,MATCH(פרמטרים!$C$3,'הוראת שעה'!$A$5:$A$18,1),IF($I$24=1,1,3)),I30&lt;=INDEX('הוראת שעה'!C$5:$E$18,MATCH(פרמטרים!$C$3,'הוראת שעה'!$A$5:$A$18,1),IF($I$24=1,1,3))),1,0)</f>
        <v>1</v>
      </c>
      <c r="Q30" s="42">
        <f>IF(J30&gt;=פרמטרים!$B$99,פרמטרים!$C$99,IF(J30&gt;=פרמטרים!$B$98,פרמטרים!$C$98,0))</f>
        <v>2</v>
      </c>
      <c r="R30" s="42">
        <f t="shared" si="2"/>
        <v>1</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t="s">
        <v>471</v>
      </c>
      <c r="I31" s="226">
        <v>45169</v>
      </c>
      <c r="J31" s="47">
        <v>320</v>
      </c>
      <c r="K31" s="47" t="s">
        <v>31</v>
      </c>
      <c r="L31" s="91">
        <f t="shared" si="1"/>
        <v>2</v>
      </c>
      <c r="P31" s="42">
        <f>IF(AND(I31&gt;=INDEX('הוראת שעה'!$B$5:$D$18,MATCH(פרמטרים!$C$3,'הוראת שעה'!$A$5:$A$18,1),IF($I$24=1,1,3)),I31&lt;=INDEX('הוראת שעה'!C$5:$E$18,MATCH(פרמטרים!$C$3,'הוראת שעה'!$A$5:$A$18,1),IF($I$24=1,1,3))),1,0)</f>
        <v>1</v>
      </c>
      <c r="Q31" s="42">
        <f>IF(J31&gt;=פרמטרים!$B$99,פרמטרים!$C$99,IF(J31&gt;=פרמטרים!$B$98,פרמטרים!$C$98,0))</f>
        <v>2</v>
      </c>
      <c r="R31" s="42">
        <f t="shared" si="2"/>
        <v>1</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t="s">
        <v>472</v>
      </c>
      <c r="I32" s="226">
        <v>45189</v>
      </c>
      <c r="J32" s="47">
        <v>251</v>
      </c>
      <c r="K32" s="47" t="s">
        <v>31</v>
      </c>
      <c r="L32" s="91">
        <f t="shared" si="1"/>
        <v>1</v>
      </c>
      <c r="P32" s="42">
        <f>IF(AND(I32&gt;=INDEX('הוראת שעה'!$B$5:$D$18,MATCH(פרמטרים!$C$3,'הוראת שעה'!$A$5:$A$18,1),IF($I$24=1,1,3)),I32&lt;=INDEX('הוראת שעה'!C$5:$E$18,MATCH(פרמטרים!$C$3,'הוראת שעה'!$A$5:$A$18,1),IF($I$24=1,1,3))),1,0)</f>
        <v>1</v>
      </c>
      <c r="Q32" s="42">
        <f>IF(J32&gt;=פרמטרים!$B$99,פרמטרים!$C$99,IF(J32&gt;=פרמטרים!$B$98,פרמטרים!$C$98,0))</f>
        <v>1</v>
      </c>
      <c r="R32" s="42">
        <f t="shared" si="2"/>
        <v>1</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9</v>
      </c>
    </row>
    <row r="79" spans="3:26" x14ac:dyDescent="0.25">
      <c r="F79" s="42">
        <f>COUNTIF(H78:H78,"מתחלפת")</f>
        <v>0</v>
      </c>
    </row>
  </sheetData>
  <sheetProtection algorithmName="SHA-512" hashValue="wFISl+CSxbQceANK9p5KlQ5TNJOdXi/N/9VyIHHSTUEa9e36cg2+vGc0Yy2X7xUH+hW2FYXcC0HW+F6BBIVkYA==" saltValue="i4dTNaMPOrTIZY+B+83arg=="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14" priority="1">
      <formula>IF($C8="",0,1)</formula>
    </cfRule>
  </conditionalFormatting>
  <dataValidations count="13">
    <dataValidation type="list" allowBlank="1" showInputMessage="1" showErrorMessage="1" sqref="N16" xr:uid="{00000000-0002-0000-2C00-000000000000}">
      <formula1>$V$9:$Y$9</formula1>
    </dataValidation>
    <dataValidation type="list" allowBlank="1" showInputMessage="1" showErrorMessage="1" sqref="G17" xr:uid="{00000000-0002-0000-2C00-000001000000}">
      <formula1>$V$7:$X$7</formula1>
    </dataValidation>
    <dataValidation type="list" allowBlank="1" showInputMessage="1" showErrorMessage="1" sqref="K11:L11 K28:K77 G8 N19:N21" xr:uid="{00000000-0002-0000-2C00-000002000000}">
      <formula1>$V$5:$W$5</formula1>
    </dataValidation>
    <dataValidation allowBlank="1" showInputMessage="1" showErrorMessage="1" errorTitle="ערך לא חוקי" error="יש להזין ציון בין 0 ל-60" sqref="N18" xr:uid="{00000000-0002-0000-2C00-000003000000}"/>
    <dataValidation type="whole" allowBlank="1" showInputMessage="1" showErrorMessage="1" sqref="E8:F8" xr:uid="{00000000-0002-0000-2C00-000004000000}">
      <formula1>0</formula1>
      <formula2>9.99999999999999E+55</formula2>
    </dataValidation>
    <dataValidation type="list" allowBlank="1" showInputMessage="1" showErrorMessage="1" sqref="J21" xr:uid="{00000000-0002-0000-2C00-000005000000}">
      <formula1>$V$15:$W$15</formula1>
    </dataValidation>
    <dataValidation type="whole" operator="greaterThanOrEqual" allowBlank="1" showInputMessage="1" showErrorMessage="1" errorTitle="הזנה שגויה" sqref="J18 C11:E11 G11" xr:uid="{00000000-0002-0000-2C00-000006000000}">
      <formula1>0</formula1>
    </dataValidation>
    <dataValidation type="whole" allowBlank="1" showInputMessage="1" showErrorMessage="1" errorTitle="הזנה שגויה" sqref="J17" xr:uid="{00000000-0002-0000-2C00-000007000000}">
      <formula1>0</formula1>
      <formula2>J18</formula2>
    </dataValidation>
    <dataValidation operator="greaterThanOrEqual" allowBlank="1" showInputMessage="1" showErrorMessage="1" errorTitle="הזנה שגויה" sqref="C8:D8" xr:uid="{00000000-0002-0000-2C00-000008000000}"/>
    <dataValidation type="list" allowBlank="1" showInputMessage="1" showErrorMessage="1" sqref="E28:E77" xr:uid="{00000000-0002-0000-2C00-000009000000}">
      <formula1>U28:V28</formula1>
    </dataValidation>
    <dataValidation type="decimal" operator="greaterThan" allowBlank="1" showInputMessage="1" showErrorMessage="1" errorTitle="הזנה שגויה" sqref="K8:N8" xr:uid="{00000000-0002-0000-2C00-00000A000000}">
      <formula1>-999999999</formula1>
    </dataValidation>
    <dataValidation type="list" allowBlank="1" showInputMessage="1" showErrorMessage="1" sqref="I3 I24" xr:uid="{00000000-0002-0000-2C00-00000B000000}">
      <formula1>"0,1"</formula1>
    </dataValidation>
    <dataValidation type="decimal" operator="greaterThanOrEqual" allowBlank="1" showInputMessage="1" showErrorMessage="1" errorTitle="הזנה שגויה" sqref="H11" xr:uid="{00000000-0002-0000-2C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גיליון33">
    <tabColor rgb="FF002060"/>
    <pageSetUpPr fitToPage="1"/>
  </sheetPr>
  <dimension ref="C2:Z79"/>
  <sheetViews>
    <sheetView rightToLeft="1" view="pageBreakPreview" topLeftCell="A2" zoomScale="80" zoomScaleNormal="80" zoomScaleSheetLayoutView="80" workbookViewId="0">
      <selection activeCell="E31" sqref="E31"/>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3.8554687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עמותת אור שלום</v>
      </c>
      <c r="E3" s="624"/>
      <c r="F3" s="625"/>
      <c r="H3" s="26" t="s">
        <v>310</v>
      </c>
      <c r="I3" s="47">
        <v>1</v>
      </c>
      <c r="L3" s="222" t="s">
        <v>311</v>
      </c>
      <c r="M3" s="221" t="str">
        <f ca="1">"גיליון הזנה "&amp;INDEX('ריכוז נתונים'!$C$17:$C$76,MATCH(D3,'ריכוז נתונים'!$B$17:$B$76,0))</f>
        <v>גיליון הזנה 16</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4.1847760619993117E-2</v>
      </c>
      <c r="F8" s="436">
        <v>510958.73</v>
      </c>
      <c r="G8" s="630" t="s">
        <v>32</v>
      </c>
      <c r="H8" s="631"/>
      <c r="I8" s="632">
        <v>0</v>
      </c>
      <c r="J8" s="633"/>
      <c r="K8" s="628">
        <v>4772</v>
      </c>
      <c r="L8" s="629"/>
      <c r="M8" s="628">
        <v>61177</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849541</v>
      </c>
      <c r="D11" s="633"/>
      <c r="E11" s="130">
        <v>849541</v>
      </c>
      <c r="F11" s="130">
        <v>849541</v>
      </c>
      <c r="G11" s="130">
        <v>733544</v>
      </c>
      <c r="H11" s="48">
        <v>733544</v>
      </c>
      <c r="I11" s="630">
        <v>1996</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0</v>
      </c>
      <c r="F16" s="28" t="str">
        <f t="array" ref="F16:F17">TRANSPOSE('ריכוז נתונים'!P16:Q16)</f>
        <v>מספר דפים סטטיים</v>
      </c>
      <c r="G16" s="47">
        <v>500</v>
      </c>
      <c r="I16" s="634" t="s">
        <v>72</v>
      </c>
      <c r="J16" s="635"/>
      <c r="M16" s="51" t="s">
        <v>116</v>
      </c>
      <c r="N16" s="50" t="s">
        <v>120</v>
      </c>
    </row>
    <row r="17" spans="3:26" ht="50.25" customHeight="1" x14ac:dyDescent="0.25">
      <c r="C17" s="51" t="str">
        <v>מספר הרצאות</v>
      </c>
      <c r="D17" s="47">
        <v>2</v>
      </c>
      <c r="F17" s="26" t="str">
        <v xml:space="preserve">איכות האתר </v>
      </c>
      <c r="G17" s="49" t="s">
        <v>105</v>
      </c>
      <c r="I17" s="25" t="s">
        <v>809</v>
      </c>
      <c r="J17" s="48">
        <v>258650</v>
      </c>
      <c r="M17" s="28" t="s">
        <v>160</v>
      </c>
      <c r="N17" s="47">
        <v>60</v>
      </c>
    </row>
    <row r="18" spans="3:26" ht="63" x14ac:dyDescent="0.25">
      <c r="C18" s="51" t="str">
        <v>מתוכם מספר הרצאות שנערכו על ידי מישהו בעל תואר שלישי בתחום בו ניתנה הפעילות:</v>
      </c>
      <c r="D18" s="47">
        <v>0</v>
      </c>
      <c r="I18" s="25" t="s">
        <v>810</v>
      </c>
      <c r="J18" s="136">
        <f>F11</f>
        <v>849541</v>
      </c>
      <c r="M18" s="28" t="s">
        <v>161</v>
      </c>
      <c r="N18" s="47">
        <v>2500</v>
      </c>
    </row>
    <row r="19" spans="3:26" x14ac:dyDescent="0.25">
      <c r="C19" s="51" t="str">
        <v>מספר ימי עיון</v>
      </c>
      <c r="D19" s="47">
        <v>0</v>
      </c>
      <c r="M19" s="28" t="s">
        <v>162</v>
      </c>
      <c r="N19" s="47" t="s">
        <v>31</v>
      </c>
    </row>
    <row r="20" spans="3:26" ht="63" x14ac:dyDescent="0.25">
      <c r="C20" s="51" t="str">
        <v>מתוכם מספר ימי עיון שנערכו על ידי מישהו בעל תואר שלישי בתחום בו ניתנה הפעילות:</v>
      </c>
      <c r="D20" s="47">
        <v>0</v>
      </c>
      <c r="I20" s="634" t="str">
        <f>פרמטרים!B101</f>
        <v>תיעוד ושימור החומר הארכיונאי</v>
      </c>
      <c r="J20" s="635"/>
      <c r="M20" s="28" t="s">
        <v>163</v>
      </c>
      <c r="N20" s="47" t="s">
        <v>31</v>
      </c>
    </row>
    <row r="21" spans="3:26" ht="94.5" x14ac:dyDescent="0.25">
      <c r="C21" s="51" t="str">
        <v>מספר הפקות מורכבות</v>
      </c>
      <c r="D21" s="47">
        <v>9</v>
      </c>
      <c r="I21" s="26" t="str">
        <f>פרמטרים!B102</f>
        <v>היקף החומר הארכיוני בתחום המורשת אשר ברשותו הועלה לאתר האינטרנט של המוסד:</v>
      </c>
      <c r="J21" s="48" t="s">
        <v>129</v>
      </c>
      <c r="M21" s="28" t="s">
        <v>328</v>
      </c>
      <c r="N21" s="47" t="s">
        <v>32</v>
      </c>
    </row>
    <row r="22" spans="3:26" ht="31.5" x14ac:dyDescent="0.25">
      <c r="C22" s="51" t="str">
        <v>מתוכם הפקות מורכבות שהם קופרודוקציה</v>
      </c>
      <c r="D22" s="47">
        <v>0</v>
      </c>
    </row>
    <row r="23" spans="3:26" ht="31.5" x14ac:dyDescent="0.25">
      <c r="C23" s="51" t="str">
        <v>מספר הפקות מורכבות מקוריות</v>
      </c>
      <c r="D23" s="47">
        <v>9</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1</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t="s">
        <v>473</v>
      </c>
      <c r="D28" s="47">
        <v>40</v>
      </c>
      <c r="E28" s="47" t="s">
        <v>341</v>
      </c>
      <c r="F28" s="91">
        <f>IF(C28="","",D28*IF(E28=$U$27,פרמטרים!$C$39,IF(E28=$V$27,פרמטרים!$C$40,0)))</f>
        <v>40</v>
      </c>
      <c r="H28" s="47" t="s">
        <v>476</v>
      </c>
      <c r="I28" s="226">
        <v>45018</v>
      </c>
      <c r="J28" s="47">
        <v>171</v>
      </c>
      <c r="K28" s="47" t="s">
        <v>31</v>
      </c>
      <c r="L28" s="91">
        <f>IF(H28="","",IF(P28+R28=2,Q28,0))</f>
        <v>1</v>
      </c>
      <c r="P28" s="42">
        <f>IF(AND(I28&gt;=INDEX('הוראת שעה'!$B$5:$D$18,MATCH(פרמטרים!$C$3,'הוראת שעה'!$A$5:$A$18,1),IF($I$24=1,1,3)),I28&lt;=INDEX('הוראת שעה'!C$5:$E$18,MATCH(פרמטרים!$C$3,'הוראת שעה'!$A$5:$A$18,1),IF($I$24=1,1,3))),1,0)</f>
        <v>1</v>
      </c>
      <c r="Q28" s="42">
        <f>IF(J28&gt;=פרמטרים!$B$99,פרמטרים!$C$99,IF(J28&gt;=פרמטרים!$B$98,פרמטרים!$C$98,0))</f>
        <v>1</v>
      </c>
      <c r="R28" s="42">
        <f>IF(K28=$W$27,1,0)</f>
        <v>1</v>
      </c>
      <c r="U28" s="42" t="str">
        <f t="shared" ref="U28:X47" si="0">IF($C28="","",U$27)</f>
        <v xml:space="preserve">קבועה </v>
      </c>
      <c r="V28" s="42" t="str">
        <f t="shared" si="0"/>
        <v>מתחלפת</v>
      </c>
      <c r="W28" s="42" t="str">
        <f t="shared" si="0"/>
        <v>כן</v>
      </c>
      <c r="X28" s="42" t="str">
        <f t="shared" si="0"/>
        <v>לא</v>
      </c>
      <c r="Z28" s="42">
        <f>IF(E28=$V$27,D28*פרמטרים!$C$40,0)</f>
        <v>40</v>
      </c>
    </row>
    <row r="29" spans="3:26" x14ac:dyDescent="0.25">
      <c r="C29" s="47" t="s">
        <v>474</v>
      </c>
      <c r="D29" s="47">
        <v>30</v>
      </c>
      <c r="E29" s="47" t="s">
        <v>341</v>
      </c>
      <c r="F29" s="91">
        <f>IF(C29="","",D29*IF(E29=$U$27,פרמטרים!$C$39,IF(E29=$V$27,פרמטרים!$C$40,0)))</f>
        <v>30</v>
      </c>
      <c r="H29" s="47" t="s">
        <v>477</v>
      </c>
      <c r="I29" s="226">
        <v>45017</v>
      </c>
      <c r="J29" s="47">
        <v>136</v>
      </c>
      <c r="K29" s="47" t="s">
        <v>31</v>
      </c>
      <c r="L29" s="91">
        <f t="shared" ref="L29:L77" si="1">IF(H29="","",IF(P29+R29=2,Q29,0))</f>
        <v>0</v>
      </c>
      <c r="P29" s="42">
        <f>IF(AND(I29&gt;=INDEX('הוראת שעה'!$B$5:$D$18,MATCH(פרמטרים!$C$3,'הוראת שעה'!$A$5:$A$18,1),IF($I$24=1,1,3)),I29&lt;=INDEX('הוראת שעה'!C$5:$E$18,MATCH(פרמטרים!$C$3,'הוראת שעה'!$A$5:$A$18,1),IF($I$24=1,1,3))),1,0)</f>
        <v>1</v>
      </c>
      <c r="Q29" s="42">
        <f>IF(J29&gt;=פרמטרים!$B$99,פרמטרים!$C$99,IF(J29&gt;=פרמטרים!$B$98,פרמטרים!$C$98,0))</f>
        <v>0</v>
      </c>
      <c r="R29" s="42">
        <f t="shared" ref="R29:R77" si="2">IF(K29=$W$27,1,0)</f>
        <v>1</v>
      </c>
      <c r="U29" s="42" t="str">
        <f t="shared" si="0"/>
        <v xml:space="preserve">קבועה </v>
      </c>
      <c r="V29" s="42" t="str">
        <f t="shared" si="0"/>
        <v>מתחלפת</v>
      </c>
      <c r="W29" s="42" t="str">
        <f t="shared" si="0"/>
        <v>כן</v>
      </c>
      <c r="X29" s="42" t="str">
        <f t="shared" si="0"/>
        <v>לא</v>
      </c>
      <c r="Z29" s="42">
        <f>IF(E29=$V$27,D29*פרמטרים!$C$40,0)</f>
        <v>30</v>
      </c>
    </row>
    <row r="30" spans="3:26" x14ac:dyDescent="0.25">
      <c r="C30" s="47" t="s">
        <v>475</v>
      </c>
      <c r="D30" s="47">
        <v>40</v>
      </c>
      <c r="E30" s="47" t="s">
        <v>341</v>
      </c>
      <c r="F30" s="91">
        <f>IF(C30="","",D30*IF(E30=$U$27,פרמטרים!$C$39,IF(E30=$V$27,פרמטרים!$C$40,0)))</f>
        <v>40</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xml:space="preserve">קבועה </v>
      </c>
      <c r="V30" s="42" t="str">
        <f t="shared" si="0"/>
        <v>מתחלפת</v>
      </c>
      <c r="W30" s="42" t="str">
        <f t="shared" si="0"/>
        <v>כן</v>
      </c>
      <c r="X30" s="42" t="str">
        <f t="shared" si="0"/>
        <v>לא</v>
      </c>
      <c r="Z30" s="42">
        <f>IF(E30=$V$27,D30*פרמטרים!$C$40,0)</f>
        <v>40</v>
      </c>
    </row>
    <row r="31" spans="3:26" x14ac:dyDescent="0.25">
      <c r="C31" s="47" t="s">
        <v>815</v>
      </c>
      <c r="D31" s="47">
        <v>250</v>
      </c>
      <c r="E31" s="47" t="s">
        <v>340</v>
      </c>
      <c r="F31" s="91">
        <f>IF(C31="","",D31*IF(E31=$U$27,פרמטרים!$C$39,IF(E31=$V$27,פרמטרים!$C$40,0)))</f>
        <v>500</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xml:space="preserve">קבועה </v>
      </c>
      <c r="V31" s="42" t="str">
        <f t="shared" si="0"/>
        <v>מתחלפת</v>
      </c>
      <c r="W31" s="42" t="str">
        <f t="shared" si="0"/>
        <v>כן</v>
      </c>
      <c r="X31" s="42" t="str">
        <f t="shared" si="0"/>
        <v>לא</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610</v>
      </c>
      <c r="L78" s="92">
        <f>SUM(L28:L77)</f>
        <v>1</v>
      </c>
    </row>
    <row r="79" spans="3:26" x14ac:dyDescent="0.25">
      <c r="F79" s="42">
        <f>COUNTIF(H78:H78,"מתחלפת")</f>
        <v>0</v>
      </c>
    </row>
  </sheetData>
  <sheetProtection algorithmName="SHA-512" hashValue="5SGpgm1cedHjEe7IslT1i+0b7vbtum2y2XN2PWMb4mo8n3zNzDO+mPPhEgYknX0zW2F9ohrhDKtKOoJkxXD9CA==" saltValue="FierbgNiCKj2nBSiuZxeHQ=="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13" priority="1">
      <formula>IF($C8="",0,1)</formula>
    </cfRule>
  </conditionalFormatting>
  <dataValidations count="13">
    <dataValidation type="list" allowBlank="1" showInputMessage="1" showErrorMessage="1" sqref="K11:L11 K28:K77 G8 N19:N21" xr:uid="{00000000-0002-0000-2D00-000000000000}">
      <formula1>$V$5:$W$5</formula1>
    </dataValidation>
    <dataValidation type="list" allowBlank="1" showInputMessage="1" showErrorMessage="1" sqref="G17" xr:uid="{00000000-0002-0000-2D00-000001000000}">
      <formula1>$V$7:$X$7</formula1>
    </dataValidation>
    <dataValidation type="list" allowBlank="1" showInputMessage="1" showErrorMessage="1" sqref="N16" xr:uid="{00000000-0002-0000-2D00-000002000000}">
      <formula1>$V$9:$Y$9</formula1>
    </dataValidation>
    <dataValidation allowBlank="1" showInputMessage="1" showErrorMessage="1" errorTitle="ערך לא חוקי" error="יש להזין ציון בין 0 ל-60" sqref="N18" xr:uid="{00000000-0002-0000-2D00-000003000000}"/>
    <dataValidation type="whole" allowBlank="1" showInputMessage="1" showErrorMessage="1" sqref="E8:F8" xr:uid="{00000000-0002-0000-2D00-000004000000}">
      <formula1>0</formula1>
      <formula2>9.99999999999999E+55</formula2>
    </dataValidation>
    <dataValidation type="list" allowBlank="1" showInputMessage="1" showErrorMessage="1" sqref="J21" xr:uid="{00000000-0002-0000-2D00-000005000000}">
      <formula1>$V$15:$W$15</formula1>
    </dataValidation>
    <dataValidation type="whole" operator="greaterThanOrEqual" allowBlank="1" showInputMessage="1" showErrorMessage="1" errorTitle="הזנה שגויה" sqref="J18 C11:E11 G11" xr:uid="{00000000-0002-0000-2D00-000006000000}">
      <formula1>0</formula1>
    </dataValidation>
    <dataValidation type="whole" allowBlank="1" showInputMessage="1" showErrorMessage="1" errorTitle="הזנה שגויה" sqref="J17" xr:uid="{00000000-0002-0000-2D00-000007000000}">
      <formula1>0</formula1>
      <formula2>J18</formula2>
    </dataValidation>
    <dataValidation operator="greaterThanOrEqual" allowBlank="1" showInputMessage="1" showErrorMessage="1" errorTitle="הזנה שגויה" sqref="C8:D8" xr:uid="{00000000-0002-0000-2D00-000008000000}"/>
    <dataValidation type="list" allowBlank="1" showInputMessage="1" showErrorMessage="1" sqref="E28:E77" xr:uid="{00000000-0002-0000-2D00-000009000000}">
      <formula1>U28:V28</formula1>
    </dataValidation>
    <dataValidation type="decimal" operator="greaterThan" allowBlank="1" showInputMessage="1" showErrorMessage="1" errorTitle="הזנה שגויה" sqref="K8:N8" xr:uid="{00000000-0002-0000-2D00-00000A000000}">
      <formula1>-999999999</formula1>
    </dataValidation>
    <dataValidation type="list" allowBlank="1" showInputMessage="1" showErrorMessage="1" sqref="I3 I24" xr:uid="{00000000-0002-0000-2D00-00000B000000}">
      <formula1>"0,1"</formula1>
    </dataValidation>
    <dataValidation type="decimal" operator="greaterThanOrEqual" allowBlank="1" showInputMessage="1" showErrorMessage="1" errorTitle="הזנה שגויה" sqref="H11" xr:uid="{00000000-0002-0000-2D00-00000C000000}">
      <formula1>0</formula1>
    </dataValidation>
  </dataValidations>
  <pageMargins left="0.70866141732283472" right="0.70866141732283472" top="0.74803149606299213" bottom="0.74803149606299213" header="0.31496062992125984" footer="0.31496062992125984"/>
  <pageSetup paperSize="9" scale="42" orientation="portrait" r:id="rId1"/>
  <headerFooter>
    <oddFooter>&amp;C&amp;"David,מודגש"א. חפץ ושות'
ייעוץ כלכלי</oddFooter>
  </headerFooter>
  <rowBreaks count="1" manualBreakCount="1">
    <brk id="25" max="16383" man="1"/>
  </rowBreaks>
  <colBreaks count="1" manualBreakCount="1">
    <brk id="8"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גיליון34">
    <tabColor rgb="FF002060"/>
    <pageSetUpPr fitToPage="1"/>
  </sheetPr>
  <dimension ref="C2:Z79"/>
  <sheetViews>
    <sheetView rightToLeft="1" view="pageBreakPreview" zoomScale="75" zoomScaleNormal="80" zoomScaleSheetLayoutView="75" workbookViewId="0">
      <selection activeCell="AB20" sqref="AB20"/>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17</v>
      </c>
      <c r="E3" s="624"/>
      <c r="F3" s="625"/>
      <c r="H3" s="26" t="s">
        <v>310</v>
      </c>
      <c r="I3" s="47"/>
      <c r="L3" s="222" t="s">
        <v>311</v>
      </c>
      <c r="M3" s="221" t="str">
        <f ca="1">"גיליון הזנה "&amp;INDEX('ריכוז נתונים'!$C$17:$C$76,MATCH(D3,'ריכוז נתונים'!$B$17:$B$76,0))</f>
        <v>גיליון הזנה 17</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326</v>
      </c>
      <c r="J17" s="48"/>
      <c r="M17" s="28" t="s">
        <v>160</v>
      </c>
      <c r="N17" s="47"/>
    </row>
    <row r="18" spans="3:26" ht="63" x14ac:dyDescent="0.25">
      <c r="C18" s="51" t="str">
        <v>מתוכם מספר הרצאות שנערכו על ידי מישהו בעל תואר שלישי בתחום בו ניתנה הפעילות:</v>
      </c>
      <c r="D18" s="47"/>
      <c r="I18" s="26" t="s">
        <v>327</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v>0</v>
      </c>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dx0/QgM+SeQe9B+E59AWMtvO6FJzZz6+cwfCJeOorlCgwxE3AsZF8UZGjlA3H0bBxFGt634EVsBtQ5C2QSvMAA==" saltValue="l6HNabN7M+0+L7Iy2X1MEA=="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N16" xr:uid="{00000000-0002-0000-2E00-000000000000}">
      <formula1>$V$9:$Y$9</formula1>
    </dataValidation>
    <dataValidation type="list" allowBlank="1" showInputMessage="1" showErrorMessage="1" sqref="G17" xr:uid="{00000000-0002-0000-2E00-000001000000}">
      <formula1>$V$7:$X$7</formula1>
    </dataValidation>
    <dataValidation type="list" allowBlank="1" showInputMessage="1" showErrorMessage="1" sqref="K11:L11 K28:K77 G8 N19:N21" xr:uid="{00000000-0002-0000-2E00-000002000000}">
      <formula1>$V$5:$W$5</formula1>
    </dataValidation>
    <dataValidation allowBlank="1" showInputMessage="1" showErrorMessage="1" errorTitle="ערך לא חוקי" error="יש להזין ציון בין 0 ל-60" sqref="N18" xr:uid="{00000000-0002-0000-2E00-000003000000}"/>
    <dataValidation type="whole" allowBlank="1" showInputMessage="1" showErrorMessage="1" sqref="E8:F8" xr:uid="{00000000-0002-0000-2E00-000004000000}">
      <formula1>0</formula1>
      <formula2>9.99999999999999E+55</formula2>
    </dataValidation>
    <dataValidation type="list" allowBlank="1" showInputMessage="1" showErrorMessage="1" sqref="J21" xr:uid="{00000000-0002-0000-2E00-000005000000}">
      <formula1>$V$15:$W$15</formula1>
    </dataValidation>
    <dataValidation type="whole" operator="greaterThanOrEqual" allowBlank="1" showInputMessage="1" showErrorMessage="1" errorTitle="הזנה שגויה" sqref="J18 C11:E11 G11" xr:uid="{00000000-0002-0000-2E00-000006000000}">
      <formula1>0</formula1>
    </dataValidation>
    <dataValidation type="whole" allowBlank="1" showInputMessage="1" showErrorMessage="1" errorTitle="הזנה שגויה" sqref="J17" xr:uid="{00000000-0002-0000-2E00-000007000000}">
      <formula1>0</formula1>
      <formula2>J18</formula2>
    </dataValidation>
    <dataValidation operator="greaterThanOrEqual" allowBlank="1" showInputMessage="1" showErrorMessage="1" errorTitle="הזנה שגויה" sqref="C8:D8" xr:uid="{00000000-0002-0000-2E00-000008000000}"/>
    <dataValidation type="list" allowBlank="1" showInputMessage="1" showErrorMessage="1" sqref="E28:E77" xr:uid="{00000000-0002-0000-2E00-000009000000}">
      <formula1>U28:V28</formula1>
    </dataValidation>
    <dataValidation type="decimal" operator="greaterThan" allowBlank="1" showInputMessage="1" showErrorMessage="1" errorTitle="הזנה שגויה" sqref="K8:N8" xr:uid="{00000000-0002-0000-2E00-00000A000000}">
      <formula1>-999999999</formula1>
    </dataValidation>
    <dataValidation type="list" allowBlank="1" showInputMessage="1" showErrorMessage="1" sqref="I3 I24" xr:uid="{00000000-0002-0000-2E00-00000B000000}">
      <formula1>"0,1"</formula1>
    </dataValidation>
    <dataValidation type="decimal" operator="greaterThanOrEqual" allowBlank="1" showInputMessage="1" showErrorMessage="1" errorTitle="הזנה שגויה" sqref="H11" xr:uid="{00000000-0002-0000-2E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גיליון43">
    <tabColor theme="8" tint="-0.249977111117893"/>
    <pageSetUpPr fitToPage="1"/>
  </sheetPr>
  <dimension ref="C2:Z79"/>
  <sheetViews>
    <sheetView rightToLeft="1" view="pageBreakPreview" topLeftCell="A19" zoomScale="75" zoomScaleNormal="80" zoomScaleSheetLayoutView="75" workbookViewId="0">
      <selection activeCell="C26" sqref="C26:F26"/>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26</v>
      </c>
      <c r="E3" s="624"/>
      <c r="F3" s="625"/>
      <c r="H3" s="26" t="s">
        <v>310</v>
      </c>
      <c r="I3" s="47">
        <v>1</v>
      </c>
      <c r="L3" s="222" t="s">
        <v>311</v>
      </c>
      <c r="M3" s="221" t="str">
        <f ca="1">"גיליון הזנה "&amp;INDEX('ריכוז נתונים'!$C$17:$C$76,MATCH(D3,'ריכוז נתונים'!$B$17:$B$76,0))</f>
        <v>גיליון הזנה 26</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326</v>
      </c>
      <c r="J17" s="48"/>
      <c r="M17" s="28" t="s">
        <v>160</v>
      </c>
      <c r="N17" s="47"/>
    </row>
    <row r="18" spans="3:26" ht="63" x14ac:dyDescent="0.25">
      <c r="C18" s="51" t="str">
        <v>מתוכם מספר הרצאות שנערכו על ידי מישהו בעל תואר שלישי בתחום בו ניתנה הפעילות:</v>
      </c>
      <c r="D18" s="47"/>
      <c r="I18" s="26" t="s">
        <v>327</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RqOKiop1ztetEDgTZqOzTcQdROIe7ag6K6VIIh9Grawll2qsGiAFirXm9hCLCDlu47TixfZTMIDF94KFF3hUKA==" saltValue="oJCIhwaqHKn/TrdhWfHHFQ=="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2F00-000000000000}">
      <formula1>$V$5:$W$5</formula1>
    </dataValidation>
    <dataValidation type="list" allowBlank="1" showInputMessage="1" showErrorMessage="1" sqref="G17" xr:uid="{00000000-0002-0000-2F00-000001000000}">
      <formula1>$V$7:$X$7</formula1>
    </dataValidation>
    <dataValidation type="list" allowBlank="1" showInputMessage="1" showErrorMessage="1" sqref="N16" xr:uid="{00000000-0002-0000-2F00-000002000000}">
      <formula1>$V$9:$Y$9</formula1>
    </dataValidation>
    <dataValidation allowBlank="1" showInputMessage="1" showErrorMessage="1" errorTitle="ערך לא חוקי" error="יש להזין ציון בין 0 ל-60" sqref="N18" xr:uid="{00000000-0002-0000-2F00-000003000000}"/>
    <dataValidation type="whole" allowBlank="1" showInputMessage="1" showErrorMessage="1" sqref="E8:F8" xr:uid="{00000000-0002-0000-2F00-000004000000}">
      <formula1>0</formula1>
      <formula2>9.99999999999999E+55</formula2>
    </dataValidation>
    <dataValidation type="list" allowBlank="1" showInputMessage="1" showErrorMessage="1" sqref="J21" xr:uid="{00000000-0002-0000-2F00-000005000000}">
      <formula1>$V$15:$W$15</formula1>
    </dataValidation>
    <dataValidation type="whole" operator="greaterThanOrEqual" allowBlank="1" showInputMessage="1" showErrorMessage="1" errorTitle="הזנה שגויה" sqref="J18 C11:E11 G11" xr:uid="{00000000-0002-0000-2F00-000006000000}">
      <formula1>0</formula1>
    </dataValidation>
    <dataValidation type="whole" allowBlank="1" showInputMessage="1" showErrorMessage="1" errorTitle="הזנה שגויה" sqref="J17" xr:uid="{00000000-0002-0000-2F00-000007000000}">
      <formula1>0</formula1>
      <formula2>J18</formula2>
    </dataValidation>
    <dataValidation operator="greaterThanOrEqual" allowBlank="1" showInputMessage="1" showErrorMessage="1" errorTitle="הזנה שגויה" sqref="C8:D8" xr:uid="{00000000-0002-0000-2F00-000008000000}"/>
    <dataValidation type="list" allowBlank="1" showInputMessage="1" showErrorMessage="1" sqref="E28:E77" xr:uid="{00000000-0002-0000-2F00-000009000000}">
      <formula1>U28:V28</formula1>
    </dataValidation>
    <dataValidation type="decimal" operator="greaterThan" allowBlank="1" showInputMessage="1" showErrorMessage="1" errorTitle="הזנה שגויה" sqref="K8:N8" xr:uid="{00000000-0002-0000-2F00-00000A000000}">
      <formula1>-999999999</formula1>
    </dataValidation>
    <dataValidation type="list" allowBlank="1" showInputMessage="1" showErrorMessage="1" sqref="I3 I24" xr:uid="{00000000-0002-0000-2F00-00000B000000}">
      <formula1>"0,1"</formula1>
    </dataValidation>
    <dataValidation type="decimal" operator="greaterThanOrEqual" allowBlank="1" showInputMessage="1" showErrorMessage="1" errorTitle="הזנה שגויה" sqref="H11" xr:uid="{00000000-0002-0000-2F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גיליון35">
    <tabColor rgb="FF002060"/>
    <pageSetUpPr fitToPage="1"/>
  </sheetPr>
  <dimension ref="C2:Z79"/>
  <sheetViews>
    <sheetView rightToLeft="1" view="pageBreakPreview" topLeftCell="A10" zoomScale="75" zoomScaleNormal="80" zoomScaleSheetLayoutView="75" workbookViewId="0">
      <selection activeCell="N22" sqref="N22"/>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ישיבת קרלין סטולין</v>
      </c>
      <c r="E3" s="624"/>
      <c r="F3" s="625"/>
      <c r="H3" s="26" t="s">
        <v>310</v>
      </c>
      <c r="I3" s="47">
        <v>1</v>
      </c>
      <c r="L3" s="222" t="s">
        <v>311</v>
      </c>
      <c r="M3" s="221" t="str">
        <f ca="1">"גיליון הזנה "&amp;INDEX('ריכוז נתונים'!$C$17:$C$76,MATCH(D3,'ריכוז נתונים'!$B$17:$B$76,0))</f>
        <v>גיליון הזנה 18</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3.0737952727375773E-2</v>
      </c>
      <c r="F8" s="436">
        <v>375308.62</v>
      </c>
      <c r="G8" s="630" t="s">
        <v>32</v>
      </c>
      <c r="H8" s="631"/>
      <c r="I8" s="632">
        <v>0</v>
      </c>
      <c r="J8" s="633"/>
      <c r="K8" s="628">
        <v>70053</v>
      </c>
      <c r="L8" s="629"/>
      <c r="M8" s="628">
        <v>-578114</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6496843</v>
      </c>
      <c r="D11" s="633"/>
      <c r="E11" s="130">
        <v>1041932</v>
      </c>
      <c r="F11" s="130">
        <v>1041932</v>
      </c>
      <c r="G11" s="130">
        <v>6355767</v>
      </c>
      <c r="H11" s="48">
        <v>1000676</v>
      </c>
      <c r="I11" s="630">
        <v>1982</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0</v>
      </c>
      <c r="F16" s="28" t="str">
        <f t="array" ref="F16:F17">TRANSPOSE('ריכוז נתונים'!P16:Q16)</f>
        <v>מספר דפים סטטיים</v>
      </c>
      <c r="G16" s="47">
        <v>0</v>
      </c>
      <c r="I16" s="634" t="s">
        <v>72</v>
      </c>
      <c r="J16" s="635"/>
      <c r="M16" s="51" t="s">
        <v>116</v>
      </c>
      <c r="N16" s="50"/>
    </row>
    <row r="17" spans="3:26" ht="50.25" customHeight="1" x14ac:dyDescent="0.25">
      <c r="C17" s="51" t="str">
        <v>מספר הרצאות</v>
      </c>
      <c r="D17" s="47">
        <v>128</v>
      </c>
      <c r="F17" s="26" t="str">
        <v xml:space="preserve">איכות האתר </v>
      </c>
      <c r="G17" s="49"/>
      <c r="I17" s="25" t="s">
        <v>809</v>
      </c>
      <c r="J17" s="48">
        <v>508401</v>
      </c>
      <c r="M17" s="28" t="s">
        <v>160</v>
      </c>
      <c r="N17" s="47"/>
    </row>
    <row r="18" spans="3:26" ht="63" x14ac:dyDescent="0.25">
      <c r="C18" s="51" t="str">
        <v>מתוכם מספר הרצאות שנערכו על ידי מישהו בעל תואר שלישי בתחום בו ניתנה הפעילות:</v>
      </c>
      <c r="D18" s="47">
        <v>0</v>
      </c>
      <c r="I18" s="25" t="s">
        <v>810</v>
      </c>
      <c r="J18" s="136">
        <f>F11</f>
        <v>1041932</v>
      </c>
      <c r="M18" s="28" t="s">
        <v>161</v>
      </c>
      <c r="N18" s="47"/>
    </row>
    <row r="19" spans="3:26" x14ac:dyDescent="0.25">
      <c r="C19" s="51" t="str">
        <v>מספר ימי עיון</v>
      </c>
      <c r="D19" s="47">
        <v>0</v>
      </c>
      <c r="M19" s="28" t="s">
        <v>162</v>
      </c>
      <c r="N19" s="47"/>
    </row>
    <row r="20" spans="3:26" ht="63" x14ac:dyDescent="0.25">
      <c r="C20" s="51" t="str">
        <v>מתוכם מספר ימי עיון שנערכו על ידי מישהו בעל תואר שלישי בתחום בו ניתנה הפעילות:</v>
      </c>
      <c r="D20" s="47">
        <v>0</v>
      </c>
      <c r="I20" s="634" t="str">
        <f>פרמטרים!B101</f>
        <v>תיעוד ושימור החומר הארכיונאי</v>
      </c>
      <c r="J20" s="635"/>
      <c r="M20" s="28" t="s">
        <v>163</v>
      </c>
      <c r="N20" s="47"/>
    </row>
    <row r="21" spans="3:26" ht="94.5" x14ac:dyDescent="0.25">
      <c r="C21" s="51" t="str">
        <v>מספר הפקות מורכבות</v>
      </c>
      <c r="D21" s="47">
        <v>0</v>
      </c>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v>0</v>
      </c>
    </row>
    <row r="23" spans="3:26" ht="31.5" x14ac:dyDescent="0.25">
      <c r="C23" s="51" t="str">
        <v>מספר הפקות מורכבות מקוריות</v>
      </c>
      <c r="D23" s="47">
        <v>0</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8</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n3+HIgB/IHsVCU+Sxqy6cer6AKHxU9QHNOgGHuoTuvxL/qTGpob76Il2EvIyJsfKtlx42xAbVkhwmCOgBLV48g==" saltValue="+epA+Q6JEa37qxTnf7IKlg=="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12" priority="1">
      <formula>IF($C8="",0,1)</formula>
    </cfRule>
  </conditionalFormatting>
  <dataValidations count="13">
    <dataValidation type="list" allowBlank="1" showInputMessage="1" showErrorMessage="1" sqref="N16" xr:uid="{00000000-0002-0000-3000-000000000000}">
      <formula1>$V$9:$Y$9</formula1>
    </dataValidation>
    <dataValidation type="list" allowBlank="1" showInputMessage="1" showErrorMessage="1" sqref="G17" xr:uid="{00000000-0002-0000-3000-000001000000}">
      <formula1>$V$7:$X$7</formula1>
    </dataValidation>
    <dataValidation type="list" allowBlank="1" showInputMessage="1" showErrorMessage="1" sqref="K11:L11 K28:K77 G8 N19:N21" xr:uid="{00000000-0002-0000-3000-000002000000}">
      <formula1>$V$5:$W$5</formula1>
    </dataValidation>
    <dataValidation allowBlank="1" showInputMessage="1" showErrorMessage="1" errorTitle="ערך לא חוקי" error="יש להזין ציון בין 0 ל-60" sqref="N18" xr:uid="{00000000-0002-0000-3000-000003000000}"/>
    <dataValidation type="whole" allowBlank="1" showInputMessage="1" showErrorMessage="1" sqref="E8:F8" xr:uid="{00000000-0002-0000-3000-000004000000}">
      <formula1>0</formula1>
      <formula2>9.99999999999999E+55</formula2>
    </dataValidation>
    <dataValidation type="list" allowBlank="1" showInputMessage="1" showErrorMessage="1" sqref="J21" xr:uid="{00000000-0002-0000-3000-000005000000}">
      <formula1>$V$15:$W$15</formula1>
    </dataValidation>
    <dataValidation type="whole" operator="greaterThanOrEqual" allowBlank="1" showInputMessage="1" showErrorMessage="1" errorTitle="הזנה שגויה" sqref="J18 C11:E11 G11" xr:uid="{00000000-0002-0000-3000-000006000000}">
      <formula1>0</formula1>
    </dataValidation>
    <dataValidation type="whole" allowBlank="1" showInputMessage="1" showErrorMessage="1" errorTitle="הזנה שגויה" sqref="J17" xr:uid="{00000000-0002-0000-3000-000007000000}">
      <formula1>0</formula1>
      <formula2>J18</formula2>
    </dataValidation>
    <dataValidation operator="greaterThanOrEqual" allowBlank="1" showInputMessage="1" showErrorMessage="1" errorTitle="הזנה שגויה" sqref="C8:D8" xr:uid="{00000000-0002-0000-3000-000008000000}"/>
    <dataValidation type="list" allowBlank="1" showInputMessage="1" showErrorMessage="1" sqref="E28:E77" xr:uid="{00000000-0002-0000-3000-000009000000}">
      <formula1>U28:V28</formula1>
    </dataValidation>
    <dataValidation type="decimal" operator="greaterThan" allowBlank="1" showInputMessage="1" showErrorMessage="1" errorTitle="הזנה שגויה" sqref="K8:N8" xr:uid="{00000000-0002-0000-3000-00000A000000}">
      <formula1>-999999999</formula1>
    </dataValidation>
    <dataValidation type="list" allowBlank="1" showInputMessage="1" showErrorMessage="1" sqref="I3 I24" xr:uid="{00000000-0002-0000-3000-00000B000000}">
      <formula1>"0,1"</formula1>
    </dataValidation>
    <dataValidation type="decimal" operator="greaterThanOrEqual" allowBlank="1" showInputMessage="1" showErrorMessage="1" errorTitle="הזנה שגויה" sqref="H11" xr:uid="{00000000-0002-0000-30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גיליון36">
    <tabColor theme="8" tint="-0.249977111117893"/>
    <pageSetUpPr fitToPage="1"/>
  </sheetPr>
  <dimension ref="C2:Z79"/>
  <sheetViews>
    <sheetView rightToLeft="1" view="pageBreakPreview" zoomScale="75" zoomScaleNormal="80" zoomScaleSheetLayoutView="75" workbookViewId="0">
      <selection activeCell="P28" sqref="P28:P77"/>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19</v>
      </c>
      <c r="E3" s="624"/>
      <c r="F3" s="625"/>
      <c r="H3" s="26" t="s">
        <v>310</v>
      </c>
      <c r="I3" s="47"/>
      <c r="L3" s="222" t="s">
        <v>311</v>
      </c>
      <c r="M3" s="221" t="str">
        <f ca="1">"גיליון הזנה "&amp;INDEX('ריכוז נתונים'!$C$17:$C$76,MATCH(D3,'ריכוז נתונים'!$B$17:$B$76,0))</f>
        <v>גיליון הזנה 19</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v>0</v>
      </c>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v>2011</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326</v>
      </c>
      <c r="J17" s="48"/>
      <c r="M17" s="28" t="s">
        <v>160</v>
      </c>
      <c r="N17" s="47"/>
    </row>
    <row r="18" spans="3:26" ht="63" x14ac:dyDescent="0.25">
      <c r="C18" s="51" t="str">
        <v>מתוכם מספר הרצאות שנערכו על ידי מישהו בעל תואר שלישי בתחום בו ניתנה הפעילות:</v>
      </c>
      <c r="D18" s="47"/>
      <c r="I18" s="26" t="s">
        <v>327</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0AOHkQVEV69rEFwZMhofMdH8rpkO8eIK6C9jTuDdN0dbDNdCI5mDfflSI7etLsna0kkauczG/xapwCoL0amdwQ==" saltValue="2I+xKWMvgbIbyNLsJIRgwg=="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3100-000000000000}">
      <formula1>$V$5:$W$5</formula1>
    </dataValidation>
    <dataValidation type="list" allowBlank="1" showInputMessage="1" showErrorMessage="1" sqref="G17" xr:uid="{00000000-0002-0000-3100-000001000000}">
      <formula1>$V$7:$X$7</formula1>
    </dataValidation>
    <dataValidation type="list" allowBlank="1" showInputMessage="1" showErrorMessage="1" sqref="N16" xr:uid="{00000000-0002-0000-3100-000002000000}">
      <formula1>$V$9:$Y$9</formula1>
    </dataValidation>
    <dataValidation allowBlank="1" showInputMessage="1" showErrorMessage="1" errorTitle="ערך לא חוקי" error="יש להזין ציון בין 0 ל-60" sqref="N18" xr:uid="{00000000-0002-0000-3100-000003000000}"/>
    <dataValidation type="whole" allowBlank="1" showInputMessage="1" showErrorMessage="1" sqref="E8:F8" xr:uid="{00000000-0002-0000-3100-000004000000}">
      <formula1>0</formula1>
      <formula2>9.99999999999999E+55</formula2>
    </dataValidation>
    <dataValidation type="list" allowBlank="1" showInputMessage="1" showErrorMessage="1" sqref="J21" xr:uid="{00000000-0002-0000-3100-000005000000}">
      <formula1>$V$15:$W$15</formula1>
    </dataValidation>
    <dataValidation type="whole" operator="greaterThanOrEqual" allowBlank="1" showInputMessage="1" showErrorMessage="1" errorTitle="הזנה שגויה" sqref="J18 C11:E11 G11" xr:uid="{00000000-0002-0000-3100-000006000000}">
      <formula1>0</formula1>
    </dataValidation>
    <dataValidation type="whole" allowBlank="1" showInputMessage="1" showErrorMessage="1" errorTitle="הזנה שגויה" sqref="J17" xr:uid="{00000000-0002-0000-3100-000007000000}">
      <formula1>0</formula1>
      <formula2>J18</formula2>
    </dataValidation>
    <dataValidation operator="greaterThanOrEqual" allowBlank="1" showInputMessage="1" showErrorMessage="1" errorTitle="הזנה שגויה" sqref="C8:D8" xr:uid="{00000000-0002-0000-3100-000008000000}"/>
    <dataValidation type="list" allowBlank="1" showInputMessage="1" showErrorMessage="1" sqref="E28:E77" xr:uid="{00000000-0002-0000-3100-000009000000}">
      <formula1>U28:V28</formula1>
    </dataValidation>
    <dataValidation type="decimal" operator="greaterThan" allowBlank="1" showInputMessage="1" showErrorMessage="1" errorTitle="הזנה שגויה" sqref="K8:N8" xr:uid="{00000000-0002-0000-3100-00000A000000}">
      <formula1>-999999999</formula1>
    </dataValidation>
    <dataValidation type="list" allowBlank="1" showInputMessage="1" showErrorMessage="1" sqref="I3 I24" xr:uid="{00000000-0002-0000-3100-00000B000000}">
      <formula1>"0,1"</formula1>
    </dataValidation>
    <dataValidation type="decimal" operator="greaterThanOrEqual" allowBlank="1" showInputMessage="1" showErrorMessage="1" errorTitle="הזנה שגויה" sqref="H11" xr:uid="{00000000-0002-0000-31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גיליון37">
    <tabColor theme="8" tint="-0.249977111117893"/>
    <pageSetUpPr fitToPage="1"/>
  </sheetPr>
  <dimension ref="C2:Z79"/>
  <sheetViews>
    <sheetView rightToLeft="1" view="pageBreakPreview" zoomScale="75" zoomScaleNormal="80" zoomScaleSheetLayoutView="75" workbookViewId="0">
      <selection activeCell="P28" sqref="P28:P77"/>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20</v>
      </c>
      <c r="E3" s="624"/>
      <c r="F3" s="625"/>
      <c r="H3" s="26" t="s">
        <v>310</v>
      </c>
      <c r="I3" s="47"/>
      <c r="L3" s="222" t="s">
        <v>311</v>
      </c>
      <c r="M3" s="221" t="str">
        <f ca="1">"גיליון הזנה "&amp;INDEX('ריכוז נתונים'!$C$17:$C$76,MATCH(D3,'ריכוז נתונים'!$B$17:$B$76,0))</f>
        <v>גיליון הזנה 20</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v>0</v>
      </c>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v>1995</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t="s">
        <v>105</v>
      </c>
      <c r="I17" s="25" t="s">
        <v>326</v>
      </c>
      <c r="J17" s="48"/>
      <c r="M17" s="28" t="s">
        <v>160</v>
      </c>
      <c r="N17" s="47"/>
    </row>
    <row r="18" spans="3:26" ht="63" x14ac:dyDescent="0.25">
      <c r="C18" s="51" t="str">
        <v>מתוכם מספר הרצאות שנערכו על ידי מישהו בעל תואר שלישי בתחום בו ניתנה הפעילות:</v>
      </c>
      <c r="D18" s="47"/>
      <c r="I18" s="26" t="s">
        <v>327</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X72WWgxEMwAC260Daf9TvDTB4u3aWZkLhl+8XmQiwG1I2AL0eKQzMNTsXsKnLQ96ihADiaQ3z1irW1iLcnT+xw==" saltValue="aMHaAQDh+k42J9aTfmcg3Q=="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3200-000000000000}">
      <formula1>$V$5:$W$5</formula1>
    </dataValidation>
    <dataValidation type="list" allowBlank="1" showInputMessage="1" showErrorMessage="1" sqref="G17" xr:uid="{00000000-0002-0000-3200-000001000000}">
      <formula1>$V$7:$X$7</formula1>
    </dataValidation>
    <dataValidation type="list" allowBlank="1" showInputMessage="1" showErrorMessage="1" sqref="N16" xr:uid="{00000000-0002-0000-3200-000002000000}">
      <formula1>$V$9:$Y$9</formula1>
    </dataValidation>
    <dataValidation allowBlank="1" showInputMessage="1" showErrorMessage="1" errorTitle="ערך לא חוקי" error="יש להזין ציון בין 0 ל-60" sqref="N18" xr:uid="{00000000-0002-0000-3200-000003000000}"/>
    <dataValidation type="whole" allowBlank="1" showInputMessage="1" showErrorMessage="1" sqref="E8:F8" xr:uid="{00000000-0002-0000-3200-000004000000}">
      <formula1>0</formula1>
      <formula2>9.99999999999999E+55</formula2>
    </dataValidation>
    <dataValidation type="list" allowBlank="1" showInputMessage="1" showErrorMessage="1" sqref="J21" xr:uid="{00000000-0002-0000-3200-000005000000}">
      <formula1>$V$15:$W$15</formula1>
    </dataValidation>
    <dataValidation type="whole" operator="greaterThanOrEqual" allowBlank="1" showInputMessage="1" showErrorMessage="1" errorTitle="הזנה שגויה" sqref="J18 C11:E11 G11" xr:uid="{00000000-0002-0000-3200-000006000000}">
      <formula1>0</formula1>
    </dataValidation>
    <dataValidation type="whole" allowBlank="1" showInputMessage="1" showErrorMessage="1" errorTitle="הזנה שגויה" sqref="J17" xr:uid="{00000000-0002-0000-3200-000007000000}">
      <formula1>0</formula1>
      <formula2>J18</formula2>
    </dataValidation>
    <dataValidation operator="greaterThanOrEqual" allowBlank="1" showInputMessage="1" showErrorMessage="1" errorTitle="הזנה שגויה" sqref="C8:D8" xr:uid="{00000000-0002-0000-3200-000008000000}"/>
    <dataValidation type="list" allowBlank="1" showInputMessage="1" showErrorMessage="1" sqref="E28:E77" xr:uid="{00000000-0002-0000-3200-000009000000}">
      <formula1>U28:V28</formula1>
    </dataValidation>
    <dataValidation type="decimal" operator="greaterThan" allowBlank="1" showInputMessage="1" showErrorMessage="1" errorTitle="הזנה שגויה" sqref="K8:N8" xr:uid="{00000000-0002-0000-3200-00000A000000}">
      <formula1>-999999999</formula1>
    </dataValidation>
    <dataValidation type="list" allowBlank="1" showInputMessage="1" showErrorMessage="1" sqref="I3 I24" xr:uid="{00000000-0002-0000-3200-00000B000000}">
      <formula1>"0,1"</formula1>
    </dataValidation>
    <dataValidation type="decimal" operator="greaterThanOrEqual" allowBlank="1" showInputMessage="1" showErrorMessage="1" errorTitle="הזנה שגויה" sqref="H11" xr:uid="{00000000-0002-0000-32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גיליון38">
    <tabColor rgb="FF002060"/>
    <pageSetUpPr fitToPage="1"/>
  </sheetPr>
  <dimension ref="C2:Z79"/>
  <sheetViews>
    <sheetView rightToLeft="1" view="pageBreakPreview" topLeftCell="E1" zoomScale="75" zoomScaleNormal="80" zoomScaleSheetLayoutView="75" workbookViewId="0">
      <selection activeCell="AB20" sqref="AB20"/>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ברית יוצאי מרוקו</v>
      </c>
      <c r="E3" s="624"/>
      <c r="F3" s="625"/>
      <c r="H3" s="26" t="s">
        <v>310</v>
      </c>
      <c r="I3" s="47">
        <v>1</v>
      </c>
      <c r="L3" s="222" t="s">
        <v>311</v>
      </c>
      <c r="M3" s="221" t="str">
        <f ca="1">"גיליון הזנה "&amp;INDEX('ריכוז נתונים'!$C$17:$C$76,MATCH(D3,'ריכוז נתונים'!$B$17:$B$76,0))</f>
        <v>גיליון הזנה 21</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1.4939383004440152E-2</v>
      </c>
      <c r="F8" s="329">
        <v>204050</v>
      </c>
      <c r="G8" s="630" t="s">
        <v>32</v>
      </c>
      <c r="H8" s="631"/>
      <c r="I8" s="632">
        <v>0</v>
      </c>
      <c r="J8" s="633"/>
      <c r="K8" s="628">
        <v>-4855</v>
      </c>
      <c r="L8" s="629"/>
      <c r="M8" s="628">
        <v>414512</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1517219</v>
      </c>
      <c r="D11" s="633"/>
      <c r="E11" s="130">
        <v>1517219</v>
      </c>
      <c r="F11" s="130">
        <v>1517219</v>
      </c>
      <c r="G11" s="130">
        <v>1342993</v>
      </c>
      <c r="H11" s="48">
        <v>1342993</v>
      </c>
      <c r="I11" s="630">
        <v>1985</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1</v>
      </c>
      <c r="F16" s="28" t="str">
        <f t="array" ref="F16:F17">TRANSPOSE('ריכוז נתונים'!P16:Q16)</f>
        <v>מספר דפים סטטיים</v>
      </c>
      <c r="G16" s="47">
        <v>20</v>
      </c>
      <c r="I16" s="634" t="s">
        <v>72</v>
      </c>
      <c r="J16" s="635"/>
      <c r="M16" s="51" t="s">
        <v>116</v>
      </c>
      <c r="N16" s="50"/>
    </row>
    <row r="17" spans="3:26" ht="50.25" customHeight="1" x14ac:dyDescent="0.25">
      <c r="C17" s="51" t="str">
        <v>מספר הרצאות</v>
      </c>
      <c r="D17" s="47">
        <v>0</v>
      </c>
      <c r="F17" s="26" t="str">
        <v xml:space="preserve">איכות האתר </v>
      </c>
      <c r="G17" s="49"/>
      <c r="I17" s="25" t="s">
        <v>809</v>
      </c>
      <c r="J17" s="48">
        <v>1304803</v>
      </c>
      <c r="M17" s="28" t="s">
        <v>160</v>
      </c>
      <c r="N17" s="47"/>
    </row>
    <row r="18" spans="3:26" ht="63" x14ac:dyDescent="0.25">
      <c r="C18" s="51" t="str">
        <v>מתוכם מספר הרצאות שנערכו על ידי מישהו בעל תואר שלישי בתחום בו ניתנה הפעילות:</v>
      </c>
      <c r="D18" s="47">
        <v>0</v>
      </c>
      <c r="I18" s="25" t="s">
        <v>810</v>
      </c>
      <c r="J18" s="136">
        <f>F11</f>
        <v>1517219</v>
      </c>
      <c r="M18" s="28" t="s">
        <v>161</v>
      </c>
      <c r="N18" s="47"/>
    </row>
    <row r="19" spans="3:26" x14ac:dyDescent="0.25">
      <c r="C19" s="51" t="str">
        <v>מספר ימי עיון</v>
      </c>
      <c r="D19" s="47">
        <v>2</v>
      </c>
      <c r="M19" s="28" t="s">
        <v>162</v>
      </c>
      <c r="N19" s="47"/>
    </row>
    <row r="20" spans="3:26" ht="63" x14ac:dyDescent="0.25">
      <c r="C20" s="51" t="str">
        <v>מתוכם מספר ימי עיון שנערכו על ידי מישהו בעל תואר שלישי בתחום בו ניתנה הפעילות:</v>
      </c>
      <c r="D20" s="47">
        <v>1</v>
      </c>
      <c r="I20" s="634" t="str">
        <f>פרמטרים!B101</f>
        <v>תיעוד ושימור החומר הארכיונאי</v>
      </c>
      <c r="J20" s="635"/>
      <c r="M20" s="28" t="s">
        <v>163</v>
      </c>
      <c r="N20" s="47"/>
    </row>
    <row r="21" spans="3:26" ht="94.5" x14ac:dyDescent="0.25">
      <c r="C21" s="51" t="str">
        <v>מספר הפקות מורכבות</v>
      </c>
      <c r="D21" s="47">
        <v>4</v>
      </c>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v>0</v>
      </c>
    </row>
    <row r="23" spans="3:26" ht="31.5" x14ac:dyDescent="0.25">
      <c r="C23" s="51" t="str">
        <v>מספר הפקות מורכבות מקוריות</v>
      </c>
      <c r="D23" s="47">
        <v>2</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6</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t="s">
        <v>478</v>
      </c>
      <c r="D28" s="47">
        <v>150</v>
      </c>
      <c r="E28" s="47" t="s">
        <v>341</v>
      </c>
      <c r="F28" s="91">
        <f>IF(C28="","",D28*IF(E28=$U$27,פרמטרים!$C$39,IF(E28=$V$27,פרמטרים!$C$40,0)))</f>
        <v>150</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xml:space="preserve">קבועה </v>
      </c>
      <c r="V28" s="42" t="str">
        <f t="shared" si="0"/>
        <v>מתחלפת</v>
      </c>
      <c r="W28" s="42" t="str">
        <f t="shared" si="0"/>
        <v>כן</v>
      </c>
      <c r="X28" s="42" t="str">
        <f t="shared" si="0"/>
        <v>לא</v>
      </c>
      <c r="Z28" s="42">
        <f>IF(E28=$V$27,D28*פרמטרים!$C$40,0)</f>
        <v>150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150</v>
      </c>
      <c r="L78" s="92">
        <f>SUM(L28:L77)</f>
        <v>0</v>
      </c>
    </row>
    <row r="79" spans="3:26" x14ac:dyDescent="0.25">
      <c r="F79" s="42">
        <f>COUNTIF(H78:H78,"מתחלפת")</f>
        <v>0</v>
      </c>
    </row>
  </sheetData>
  <sheetProtection algorithmName="SHA-512" hashValue="j/VMhv2RAJlu+Z9BS8zQ6m3+yTVcpdfzuhFGVGY+GlnZgQGrvwMmo+EZUhVQvwM6Aizye0UZR5cJN/O0nWAesQ==" saltValue="g61rEfbOvHz+pcIUTEU0jQ=="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11" priority="1">
      <formula>IF($C8="",0,1)</formula>
    </cfRule>
  </conditionalFormatting>
  <dataValidations count="13">
    <dataValidation type="list" allowBlank="1" showInputMessage="1" showErrorMessage="1" sqref="N16" xr:uid="{00000000-0002-0000-3300-000000000000}">
      <formula1>$V$9:$Y$9</formula1>
    </dataValidation>
    <dataValidation type="list" allowBlank="1" showInputMessage="1" showErrorMessage="1" sqref="G17" xr:uid="{00000000-0002-0000-3300-000001000000}">
      <formula1>$V$7:$X$7</formula1>
    </dataValidation>
    <dataValidation type="list" allowBlank="1" showInputMessage="1" showErrorMessage="1" sqref="K11:L11 K28:K77 G8 N19:N21" xr:uid="{00000000-0002-0000-3300-000002000000}">
      <formula1>$V$5:$W$5</formula1>
    </dataValidation>
    <dataValidation allowBlank="1" showInputMessage="1" showErrorMessage="1" errorTitle="ערך לא חוקי" error="יש להזין ציון בין 0 ל-60" sqref="N18" xr:uid="{00000000-0002-0000-3300-000003000000}"/>
    <dataValidation type="whole" allowBlank="1" showInputMessage="1" showErrorMessage="1" sqref="E8:F8" xr:uid="{00000000-0002-0000-3300-000004000000}">
      <formula1>0</formula1>
      <formula2>9.99999999999999E+55</formula2>
    </dataValidation>
    <dataValidation type="list" allowBlank="1" showInputMessage="1" showErrorMessage="1" sqref="J21" xr:uid="{00000000-0002-0000-3300-000005000000}">
      <formula1>$V$15:$W$15</formula1>
    </dataValidation>
    <dataValidation type="whole" operator="greaterThanOrEqual" allowBlank="1" showInputMessage="1" showErrorMessage="1" errorTitle="הזנה שגויה" sqref="J18 C11:E11 G11" xr:uid="{00000000-0002-0000-3300-000006000000}">
      <formula1>0</formula1>
    </dataValidation>
    <dataValidation type="whole" allowBlank="1" showInputMessage="1" showErrorMessage="1" errorTitle="הזנה שגויה" sqref="J17" xr:uid="{00000000-0002-0000-3300-000007000000}">
      <formula1>0</formula1>
      <formula2>J18</formula2>
    </dataValidation>
    <dataValidation operator="greaterThanOrEqual" allowBlank="1" showInputMessage="1" showErrorMessage="1" errorTitle="הזנה שגויה" sqref="C8:D8" xr:uid="{00000000-0002-0000-3300-000008000000}"/>
    <dataValidation type="list" allowBlank="1" showInputMessage="1" showErrorMessage="1" sqref="E28:E77" xr:uid="{00000000-0002-0000-3300-000009000000}">
      <formula1>U28:V28</formula1>
    </dataValidation>
    <dataValidation type="decimal" operator="greaterThan" allowBlank="1" showInputMessage="1" showErrorMessage="1" errorTitle="הזנה שגויה" sqref="K8:N8" xr:uid="{00000000-0002-0000-3300-00000A000000}">
      <formula1>-999999999</formula1>
    </dataValidation>
    <dataValidation type="list" allowBlank="1" showInputMessage="1" showErrorMessage="1" sqref="I3 I24" xr:uid="{00000000-0002-0000-3300-00000B000000}">
      <formula1>"0,1"</formula1>
    </dataValidation>
    <dataValidation type="decimal" operator="greaterThanOrEqual" allowBlank="1" showInputMessage="1" showErrorMessage="1" errorTitle="הזנה שגויה" sqref="H11" xr:uid="{00000000-0002-0000-33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גיליון39">
    <tabColor rgb="FF002060"/>
    <pageSetUpPr fitToPage="1"/>
  </sheetPr>
  <dimension ref="C2:Z79"/>
  <sheetViews>
    <sheetView rightToLeft="1" view="pageBreakPreview" topLeftCell="E1" zoomScale="75" zoomScaleNormal="8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הקם - בית הקונפדרציה</v>
      </c>
      <c r="E3" s="624"/>
      <c r="F3" s="625"/>
      <c r="H3" s="26" t="s">
        <v>310</v>
      </c>
      <c r="I3" s="47">
        <v>1</v>
      </c>
      <c r="L3" s="222" t="s">
        <v>311</v>
      </c>
      <c r="M3" s="221" t="str">
        <f ca="1">"גיליון הזנה "&amp;INDEX('ריכוז נתונים'!$C$17:$C$76,MATCH(D3,'ריכוז נתונים'!$B$17:$B$76,0))</f>
        <v>גיליון הזנה 22</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5.0194471849252027E-2</v>
      </c>
      <c r="F8" s="436">
        <v>612871.59</v>
      </c>
      <c r="G8" s="630" t="s">
        <v>32</v>
      </c>
      <c r="H8" s="631"/>
      <c r="I8" s="632">
        <v>0</v>
      </c>
      <c r="J8" s="633"/>
      <c r="K8" s="628">
        <v>29618</v>
      </c>
      <c r="L8" s="629"/>
      <c r="M8" s="628">
        <v>1253984</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6229243</v>
      </c>
      <c r="D11" s="633"/>
      <c r="E11" s="130">
        <v>1429932</v>
      </c>
      <c r="F11" s="130">
        <v>1429932</v>
      </c>
      <c r="G11" s="130">
        <v>5279299</v>
      </c>
      <c r="H11" s="48">
        <v>1263007</v>
      </c>
      <c r="I11" s="630">
        <v>1976</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0</v>
      </c>
      <c r="F16" s="28" t="str">
        <f t="array" ref="F16:F17">TRANSPOSE('ריכוז נתונים'!P16:Q16)</f>
        <v>מספר דפים סטטיים</v>
      </c>
      <c r="G16" s="47">
        <v>140</v>
      </c>
      <c r="I16" s="634" t="s">
        <v>72</v>
      </c>
      <c r="J16" s="635"/>
      <c r="M16" s="51" t="s">
        <v>116</v>
      </c>
      <c r="N16" s="50"/>
    </row>
    <row r="17" spans="3:26" ht="50.25" customHeight="1" x14ac:dyDescent="0.25">
      <c r="C17" s="51" t="str">
        <v>מספר הרצאות</v>
      </c>
      <c r="D17" s="47">
        <v>0</v>
      </c>
      <c r="F17" s="26" t="str">
        <v xml:space="preserve">איכות האתר </v>
      </c>
      <c r="G17" s="49"/>
      <c r="I17" s="25" t="s">
        <v>809</v>
      </c>
      <c r="J17" s="48">
        <v>413936</v>
      </c>
      <c r="M17" s="28" t="s">
        <v>160</v>
      </c>
      <c r="N17" s="47"/>
    </row>
    <row r="18" spans="3:26" ht="63" x14ac:dyDescent="0.25">
      <c r="C18" s="51" t="str">
        <v>מתוכם מספר הרצאות שנערכו על ידי מישהו בעל תואר שלישי בתחום בו ניתנה הפעילות:</v>
      </c>
      <c r="D18" s="47">
        <v>0</v>
      </c>
      <c r="I18" s="25" t="s">
        <v>810</v>
      </c>
      <c r="J18" s="136">
        <f>F11</f>
        <v>1429932</v>
      </c>
      <c r="M18" s="28" t="s">
        <v>161</v>
      </c>
      <c r="N18" s="47"/>
    </row>
    <row r="19" spans="3:26" x14ac:dyDescent="0.25">
      <c r="C19" s="51" t="str">
        <v>מספר ימי עיון</v>
      </c>
      <c r="D19" s="47">
        <v>0</v>
      </c>
      <c r="M19" s="28" t="s">
        <v>162</v>
      </c>
      <c r="N19" s="47"/>
    </row>
    <row r="20" spans="3:26" ht="63" x14ac:dyDescent="0.25">
      <c r="C20" s="51" t="str">
        <v>מתוכם מספר ימי עיון שנערכו על ידי מישהו בעל תואר שלישי בתחום בו ניתנה הפעילות:</v>
      </c>
      <c r="D20" s="47">
        <v>0</v>
      </c>
      <c r="I20" s="634" t="str">
        <f>פרמטרים!B101</f>
        <v>תיעוד ושימור החומר הארכיונאי</v>
      </c>
      <c r="J20" s="635"/>
      <c r="M20" s="28" t="s">
        <v>163</v>
      </c>
      <c r="N20" s="47"/>
    </row>
    <row r="21" spans="3:26" ht="94.5" x14ac:dyDescent="0.25">
      <c r="C21" s="51" t="str">
        <v>מספר הפקות מורכבות</v>
      </c>
      <c r="D21" s="47">
        <v>30</v>
      </c>
      <c r="I21" s="26" t="str">
        <f>פרמטרים!B102</f>
        <v>היקף החומר הארכיוני בתחום המורשת אשר ברשותו הועלה לאתר האינטרנט של המוסד:</v>
      </c>
      <c r="J21" s="48" t="s">
        <v>129</v>
      </c>
      <c r="M21" s="28" t="s">
        <v>328</v>
      </c>
      <c r="N21" s="47"/>
    </row>
    <row r="22" spans="3:26" ht="31.5" x14ac:dyDescent="0.25">
      <c r="C22" s="51" t="str">
        <v>מתוכם הפקות מורכבות שהם קופרודוקציה</v>
      </c>
      <c r="D22" s="47">
        <v>0</v>
      </c>
    </row>
    <row r="23" spans="3:26" ht="31.5" x14ac:dyDescent="0.25">
      <c r="C23" s="51" t="str">
        <v>מספר הפקות מורכבות מקוריות</v>
      </c>
      <c r="D23" s="47">
        <v>29</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3</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e0buo4aHOGZcaED3GR/8YGjurusV4rK+6EXRR7d2IYB2H5YwHQJEh8om2rYXn/ihR6edQZwa8dhuus0ASgpDug==" saltValue="/Vg/N7fQQXmqnkJ8yU/pXw=="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10" priority="1">
      <formula>IF($C8="",0,1)</formula>
    </cfRule>
  </conditionalFormatting>
  <dataValidations count="13">
    <dataValidation type="list" allowBlank="1" showInputMessage="1" showErrorMessage="1" sqref="K11:L11 K28:K77 G8 N19:N21" xr:uid="{00000000-0002-0000-3400-000000000000}">
      <formula1>$V$5:$W$5</formula1>
    </dataValidation>
    <dataValidation type="list" allowBlank="1" showInputMessage="1" showErrorMessage="1" sqref="G17" xr:uid="{00000000-0002-0000-3400-000001000000}">
      <formula1>$V$7:$X$7</formula1>
    </dataValidation>
    <dataValidation type="list" allowBlank="1" showInputMessage="1" showErrorMessage="1" sqref="N16" xr:uid="{00000000-0002-0000-3400-000002000000}">
      <formula1>$V$9:$Y$9</formula1>
    </dataValidation>
    <dataValidation allowBlank="1" showInputMessage="1" showErrorMessage="1" errorTitle="ערך לא חוקי" error="יש להזין ציון בין 0 ל-60" sqref="N18" xr:uid="{00000000-0002-0000-3400-000003000000}"/>
    <dataValidation type="whole" allowBlank="1" showInputMessage="1" showErrorMessage="1" sqref="E8:F8" xr:uid="{00000000-0002-0000-3400-000004000000}">
      <formula1>0</formula1>
      <formula2>9.99999999999999E+55</formula2>
    </dataValidation>
    <dataValidation type="list" allowBlank="1" showInputMessage="1" showErrorMessage="1" sqref="J21" xr:uid="{00000000-0002-0000-3400-000005000000}">
      <formula1>$V$15:$W$15</formula1>
    </dataValidation>
    <dataValidation type="whole" operator="greaterThanOrEqual" allowBlank="1" showInputMessage="1" showErrorMessage="1" errorTitle="הזנה שגויה" sqref="J18 C11:E11 G11" xr:uid="{00000000-0002-0000-3400-000006000000}">
      <formula1>0</formula1>
    </dataValidation>
    <dataValidation type="whole" allowBlank="1" showInputMessage="1" showErrorMessage="1" errorTitle="הזנה שגויה" sqref="J17" xr:uid="{00000000-0002-0000-3400-000007000000}">
      <formula1>0</formula1>
      <formula2>J18</formula2>
    </dataValidation>
    <dataValidation operator="greaterThanOrEqual" allowBlank="1" showInputMessage="1" showErrorMessage="1" errorTitle="הזנה שגויה" sqref="C8:D8" xr:uid="{00000000-0002-0000-3400-000008000000}"/>
    <dataValidation type="list" allowBlank="1" showInputMessage="1" showErrorMessage="1" sqref="E28:E77" xr:uid="{00000000-0002-0000-3400-000009000000}">
      <formula1>U28:V28</formula1>
    </dataValidation>
    <dataValidation type="decimal" operator="greaterThan" allowBlank="1" showInputMessage="1" showErrorMessage="1" errorTitle="הזנה שגויה" sqref="K8:N8" xr:uid="{00000000-0002-0000-3400-00000A000000}">
      <formula1>-999999999</formula1>
    </dataValidation>
    <dataValidation type="list" allowBlank="1" showInputMessage="1" showErrorMessage="1" sqref="I3 I24" xr:uid="{00000000-0002-0000-3400-00000B000000}">
      <formula1>"0,1"</formula1>
    </dataValidation>
    <dataValidation type="decimal" operator="greaterThanOrEqual" allowBlank="1" showInputMessage="1" showErrorMessage="1" errorTitle="הזנה שגויה" sqref="H11" xr:uid="{00000000-0002-0000-34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גיליון40">
    <tabColor rgb="FF002060"/>
    <pageSetUpPr fitToPage="1"/>
  </sheetPr>
  <dimension ref="C2:Z79"/>
  <sheetViews>
    <sheetView rightToLeft="1" view="pageBreakPreview" topLeftCell="A6" zoomScale="75" zoomScaleNormal="80" zoomScaleSheetLayoutView="75" workbookViewId="0">
      <selection activeCell="A6" sqref="A6"/>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מוסיקה מזרח מערב</v>
      </c>
      <c r="E3" s="624"/>
      <c r="F3" s="625"/>
      <c r="H3" s="26" t="s">
        <v>310</v>
      </c>
      <c r="I3" s="47">
        <v>1</v>
      </c>
      <c r="L3" s="222" t="s">
        <v>311</v>
      </c>
      <c r="M3" s="221" t="str">
        <f ca="1">"גיליון הזנה "&amp;INDEX('ריכוז נתונים'!$C$17:$C$76,MATCH(D3,'ריכוז נתונים'!$B$17:$B$76,0))</f>
        <v>גיליון הזנה 23</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5.6532470015009086E-2</v>
      </c>
      <c r="F8" s="436">
        <v>690258.18</v>
      </c>
      <c r="G8" s="630" t="s">
        <v>32</v>
      </c>
      <c r="H8" s="631"/>
      <c r="I8" s="632">
        <v>0</v>
      </c>
      <c r="J8" s="633"/>
      <c r="K8" s="628">
        <v>3369</v>
      </c>
      <c r="L8" s="629"/>
      <c r="M8" s="628">
        <v>-41314</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1282819</v>
      </c>
      <c r="D11" s="633"/>
      <c r="E11" s="130">
        <v>1216380</v>
      </c>
      <c r="F11" s="130">
        <v>1216380</v>
      </c>
      <c r="G11" s="130">
        <v>1206322</v>
      </c>
      <c r="H11" s="48">
        <v>1146006</v>
      </c>
      <c r="I11" s="630">
        <v>1990</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0</v>
      </c>
      <c r="F16" s="28" t="str">
        <f t="array" ref="F16:F17">TRANSPOSE('ריכוז נתונים'!P16:Q16)</f>
        <v>מספר דפים סטטיים</v>
      </c>
      <c r="G16" s="47">
        <v>61</v>
      </c>
      <c r="I16" s="634" t="s">
        <v>72</v>
      </c>
      <c r="J16" s="635"/>
      <c r="M16" s="51" t="s">
        <v>116</v>
      </c>
      <c r="N16" s="50"/>
    </row>
    <row r="17" spans="3:26" ht="50.25" customHeight="1" x14ac:dyDescent="0.25">
      <c r="C17" s="51" t="str">
        <v>מספר הרצאות</v>
      </c>
      <c r="D17" s="47">
        <v>0</v>
      </c>
      <c r="F17" s="26" t="str">
        <v xml:space="preserve">איכות האתר </v>
      </c>
      <c r="G17" s="49" t="s">
        <v>107</v>
      </c>
      <c r="I17" s="25" t="s">
        <v>809</v>
      </c>
      <c r="J17" s="48">
        <v>130448</v>
      </c>
      <c r="M17" s="28" t="s">
        <v>160</v>
      </c>
      <c r="N17" s="47"/>
    </row>
    <row r="18" spans="3:26" ht="63" x14ac:dyDescent="0.25">
      <c r="C18" s="51" t="str">
        <v>מתוכם מספר הרצאות שנערכו על ידי מישהו בעל תואר שלישי בתחום בו ניתנה הפעילות:</v>
      </c>
      <c r="D18" s="47">
        <v>0</v>
      </c>
      <c r="I18" s="25" t="s">
        <v>810</v>
      </c>
      <c r="J18" s="136">
        <f>F11</f>
        <v>1216380</v>
      </c>
      <c r="M18" s="28" t="s">
        <v>161</v>
      </c>
      <c r="N18" s="47"/>
    </row>
    <row r="19" spans="3:26" x14ac:dyDescent="0.25">
      <c r="C19" s="51" t="str">
        <v>מספר ימי עיון</v>
      </c>
      <c r="D19" s="47">
        <v>0</v>
      </c>
      <c r="M19" s="28" t="s">
        <v>162</v>
      </c>
      <c r="N19" s="47"/>
    </row>
    <row r="20" spans="3:26" ht="63" x14ac:dyDescent="0.25">
      <c r="C20" s="51" t="str">
        <v>מתוכם מספר ימי עיון שנערכו על ידי מישהו בעל תואר שלישי בתחום בו ניתנה הפעילות:</v>
      </c>
      <c r="D20" s="47">
        <v>0</v>
      </c>
      <c r="I20" s="634" t="str">
        <f>פרמטרים!B101</f>
        <v>תיעוד ושימור החומר הארכיונאי</v>
      </c>
      <c r="J20" s="635"/>
      <c r="M20" s="28" t="s">
        <v>163</v>
      </c>
      <c r="N20" s="47"/>
    </row>
    <row r="21" spans="3:26" ht="94.5" x14ac:dyDescent="0.25">
      <c r="C21" s="51" t="str">
        <v>מספר הפקות מורכבות</v>
      </c>
      <c r="D21" s="47">
        <v>75</v>
      </c>
      <c r="I21" s="26" t="str">
        <f>פרמטרים!B102</f>
        <v>היקף החומר הארכיוני בתחום המורשת אשר ברשותו הועלה לאתר האינטרנט של המוסד:</v>
      </c>
      <c r="J21" s="48" t="s">
        <v>129</v>
      </c>
      <c r="M21" s="28" t="s">
        <v>328</v>
      </c>
      <c r="N21" s="47"/>
    </row>
    <row r="22" spans="3:26" ht="31.5" x14ac:dyDescent="0.25">
      <c r="C22" s="51" t="str">
        <v>מתוכם הפקות מורכבות שהם קופרודוקציה</v>
      </c>
      <c r="D22" s="47">
        <v>0</v>
      </c>
    </row>
    <row r="23" spans="3:26" ht="31.5" x14ac:dyDescent="0.25">
      <c r="C23" s="51" t="str">
        <v>מספר הפקות מורכבות מקוריות</v>
      </c>
      <c r="D23" s="47">
        <v>68</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6</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t="s">
        <v>479</v>
      </c>
      <c r="D28" s="47">
        <v>51</v>
      </c>
      <c r="E28" s="47" t="s">
        <v>341</v>
      </c>
      <c r="F28" s="91">
        <f>IF(C28="","",D28*IF(E28=$U$27,פרמטרים!$C$39,IF(E28=$V$27,פרמטרים!$C$40,0)))</f>
        <v>51</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xml:space="preserve">קבועה </v>
      </c>
      <c r="V28" s="42" t="str">
        <f t="shared" si="0"/>
        <v>מתחלפת</v>
      </c>
      <c r="W28" s="42" t="str">
        <f t="shared" si="0"/>
        <v>כן</v>
      </c>
      <c r="X28" s="42" t="str">
        <f t="shared" si="0"/>
        <v>לא</v>
      </c>
      <c r="Z28" s="42">
        <f>IF(E28=$V$27,D28*פרמטרים!$C$40,0)</f>
        <v>51</v>
      </c>
    </row>
    <row r="29" spans="3:26" x14ac:dyDescent="0.25">
      <c r="C29" s="47" t="s">
        <v>480</v>
      </c>
      <c r="D29" s="47">
        <v>51</v>
      </c>
      <c r="E29" s="47" t="s">
        <v>341</v>
      </c>
      <c r="F29" s="91">
        <f>IF(C29="","",D29*IF(E29=$U$27,פרמטרים!$C$39,IF(E29=$V$27,פרמטרים!$C$40,0)))</f>
        <v>51</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xml:space="preserve">קבועה </v>
      </c>
      <c r="V29" s="42" t="str">
        <f t="shared" si="0"/>
        <v>מתחלפת</v>
      </c>
      <c r="W29" s="42" t="str">
        <f t="shared" si="0"/>
        <v>כן</v>
      </c>
      <c r="X29" s="42" t="str">
        <f t="shared" si="0"/>
        <v>לא</v>
      </c>
      <c r="Z29" s="42">
        <f>IF(E29=$V$27,D29*פרמטרים!$C$40,0)</f>
        <v>51</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102</v>
      </c>
      <c r="L78" s="92">
        <f>SUM(L28:L77)</f>
        <v>0</v>
      </c>
    </row>
    <row r="79" spans="3:26" x14ac:dyDescent="0.25">
      <c r="F79" s="42">
        <f>COUNTIF(H78:H78,"מתחלפת")</f>
        <v>0</v>
      </c>
    </row>
  </sheetData>
  <sheetProtection algorithmName="SHA-512" hashValue="hdxoxrONNVOGvjZ3hdUm+2YKUb6GPR15rgLCY+WVOmAxnEf1thA28+vkdwCJ+rmcVQcQYy7Ux08KNZ64k5vEXw==" saltValue="hfZyq9UE9RP+IsTghPP8og=="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9" priority="1">
      <formula>IF($C8="",0,1)</formula>
    </cfRule>
  </conditionalFormatting>
  <dataValidations count="13">
    <dataValidation type="list" allowBlank="1" showInputMessage="1" showErrorMessage="1" sqref="N16" xr:uid="{00000000-0002-0000-3500-000000000000}">
      <formula1>$V$9:$Y$9</formula1>
    </dataValidation>
    <dataValidation type="list" allowBlank="1" showInputMessage="1" showErrorMessage="1" sqref="G17" xr:uid="{00000000-0002-0000-3500-000001000000}">
      <formula1>$V$7:$X$7</formula1>
    </dataValidation>
    <dataValidation type="list" allowBlank="1" showInputMessage="1" showErrorMessage="1" sqref="K11:L11 K28:K77 G8 N19:N21" xr:uid="{00000000-0002-0000-3500-000002000000}">
      <formula1>$V$5:$W$5</formula1>
    </dataValidation>
    <dataValidation allowBlank="1" showInputMessage="1" showErrorMessage="1" errorTitle="ערך לא חוקי" error="יש להזין ציון בין 0 ל-60" sqref="N18" xr:uid="{00000000-0002-0000-3500-000003000000}"/>
    <dataValidation type="whole" allowBlank="1" showInputMessage="1" showErrorMessage="1" sqref="E8:F8" xr:uid="{00000000-0002-0000-3500-000004000000}">
      <formula1>0</formula1>
      <formula2>9.99999999999999E+55</formula2>
    </dataValidation>
    <dataValidation type="list" allowBlank="1" showInputMessage="1" showErrorMessage="1" sqref="J21" xr:uid="{00000000-0002-0000-3500-000005000000}">
      <formula1>$V$15:$W$15</formula1>
    </dataValidation>
    <dataValidation type="whole" operator="greaterThanOrEqual" allowBlank="1" showInputMessage="1" showErrorMessage="1" errorTitle="הזנה שגויה" sqref="J18 C11:E11 G11" xr:uid="{00000000-0002-0000-3500-000006000000}">
      <formula1>0</formula1>
    </dataValidation>
    <dataValidation type="whole" allowBlank="1" showInputMessage="1" showErrorMessage="1" errorTitle="הזנה שגויה" sqref="J17" xr:uid="{00000000-0002-0000-3500-000007000000}">
      <formula1>0</formula1>
      <formula2>J18</formula2>
    </dataValidation>
    <dataValidation operator="greaterThanOrEqual" allowBlank="1" showInputMessage="1" showErrorMessage="1" errorTitle="הזנה שגויה" sqref="C8:D8" xr:uid="{00000000-0002-0000-3500-000008000000}"/>
    <dataValidation type="list" allowBlank="1" showInputMessage="1" showErrorMessage="1" sqref="E28:E77" xr:uid="{00000000-0002-0000-3500-000009000000}">
      <formula1>U28:V28</formula1>
    </dataValidation>
    <dataValidation type="decimal" operator="greaterThan" allowBlank="1" showInputMessage="1" showErrorMessage="1" errorTitle="הזנה שגויה" sqref="K8:N8" xr:uid="{00000000-0002-0000-3500-00000A000000}">
      <formula1>-999999999</formula1>
    </dataValidation>
    <dataValidation type="list" allowBlank="1" showInputMessage="1" showErrorMessage="1" sqref="I3 I24" xr:uid="{00000000-0002-0000-3500-00000B000000}">
      <formula1>"0,1"</formula1>
    </dataValidation>
    <dataValidation type="decimal" operator="greaterThanOrEqual" allowBlank="1" showInputMessage="1" showErrorMessage="1" errorTitle="הזנה שגויה" sqref="H11" xr:uid="{00000000-0002-0000-35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גיליון41">
    <tabColor rgb="FF002060"/>
    <pageSetUpPr fitToPage="1"/>
  </sheetPr>
  <dimension ref="C2:Z79"/>
  <sheetViews>
    <sheetView rightToLeft="1" view="pageBreakPreview" topLeftCell="A21" zoomScale="70" zoomScaleNormal="80" zoomScaleSheetLayoutView="70" workbookViewId="0">
      <selection activeCell="K29" sqref="K2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7.1406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אעלה בתמר</v>
      </c>
      <c r="E3" s="624"/>
      <c r="F3" s="625"/>
      <c r="H3" s="26" t="s">
        <v>310</v>
      </c>
      <c r="I3" s="47">
        <v>1</v>
      </c>
      <c r="L3" s="222" t="s">
        <v>311</v>
      </c>
      <c r="M3" s="221" t="str">
        <f ca="1">"גיליון הזנה "&amp;INDEX('ריכוז נתונים'!$C$17:$C$76,MATCH(D3,'ריכוז נתונים'!$B$17:$B$76,0))</f>
        <v>גיליון הזנה 24</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9.8788149853619292E-2</v>
      </c>
      <c r="F8" s="436">
        <v>1206197.58</v>
      </c>
      <c r="G8" s="630" t="s">
        <v>31</v>
      </c>
      <c r="H8" s="631"/>
      <c r="I8" s="632">
        <v>0</v>
      </c>
      <c r="J8" s="633"/>
      <c r="K8" s="628">
        <v>473611</v>
      </c>
      <c r="L8" s="629"/>
      <c r="M8" s="628">
        <v>473611</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3074858</v>
      </c>
      <c r="D11" s="633"/>
      <c r="E11" s="130">
        <v>3074858</v>
      </c>
      <c r="F11" s="130">
        <v>3074858</v>
      </c>
      <c r="G11" s="130">
        <v>2375853</v>
      </c>
      <c r="H11" s="48">
        <v>2375853</v>
      </c>
      <c r="I11" s="630">
        <v>1983</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15</v>
      </c>
      <c r="F16" s="28" t="str">
        <f t="array" ref="F16:F17">TRANSPOSE('ריכוז נתונים'!P16:Q16)</f>
        <v>מספר דפים סטטיים</v>
      </c>
      <c r="G16" s="47">
        <v>350</v>
      </c>
      <c r="I16" s="634" t="s">
        <v>72</v>
      </c>
      <c r="J16" s="635"/>
      <c r="M16" s="51" t="s">
        <v>116</v>
      </c>
      <c r="N16" s="50" t="s">
        <v>120</v>
      </c>
    </row>
    <row r="17" spans="3:26" ht="50.25" customHeight="1" x14ac:dyDescent="0.25">
      <c r="C17" s="51" t="str">
        <v>מספר הרצאות</v>
      </c>
      <c r="D17" s="47">
        <v>35</v>
      </c>
      <c r="F17" s="26" t="str">
        <v xml:space="preserve">איכות האתר </v>
      </c>
      <c r="G17" s="49" t="s">
        <v>107</v>
      </c>
      <c r="I17" s="25" t="s">
        <v>809</v>
      </c>
      <c r="J17" s="48">
        <v>1443660</v>
      </c>
      <c r="M17" s="28" t="s">
        <v>160</v>
      </c>
      <c r="N17" s="47">
        <v>36</v>
      </c>
    </row>
    <row r="18" spans="3:26" ht="63" x14ac:dyDescent="0.25">
      <c r="C18" s="51" t="str">
        <v>מתוכם מספר הרצאות שנערכו על ידי מישהו בעל תואר שלישי בתחום בו ניתנה הפעילות:</v>
      </c>
      <c r="D18" s="47">
        <v>6</v>
      </c>
      <c r="I18" s="25" t="s">
        <v>810</v>
      </c>
      <c r="J18" s="136">
        <f>F11</f>
        <v>3074858</v>
      </c>
      <c r="M18" s="28" t="s">
        <v>161</v>
      </c>
      <c r="N18" s="47">
        <v>70</v>
      </c>
    </row>
    <row r="19" spans="3:26" x14ac:dyDescent="0.25">
      <c r="C19" s="51" t="str">
        <v>מספר ימי עיון</v>
      </c>
      <c r="D19" s="47">
        <v>32</v>
      </c>
      <c r="M19" s="28" t="s">
        <v>162</v>
      </c>
      <c r="N19" s="47" t="s">
        <v>31</v>
      </c>
    </row>
    <row r="20" spans="3:26" ht="63" x14ac:dyDescent="0.25">
      <c r="C20" s="51" t="str">
        <v>מתוכם מספר ימי עיון שנערכו על ידי מישהו בעל תואר שלישי בתחום בו ניתנה הפעילות:</v>
      </c>
      <c r="D20" s="47">
        <v>24</v>
      </c>
      <c r="I20" s="634" t="str">
        <f>פרמטרים!B101</f>
        <v>תיעוד ושימור החומר הארכיונאי</v>
      </c>
      <c r="J20" s="635"/>
      <c r="M20" s="28" t="s">
        <v>163</v>
      </c>
      <c r="N20" s="47" t="s">
        <v>31</v>
      </c>
    </row>
    <row r="21" spans="3:26" ht="94.5" x14ac:dyDescent="0.25">
      <c r="C21" s="51" t="str">
        <v>מספר הפקות מורכבות</v>
      </c>
      <c r="D21" s="47">
        <v>141</v>
      </c>
      <c r="I21" s="26" t="str">
        <f>פרמטרים!B102</f>
        <v>היקף החומר הארכיוני בתחום המורשת אשר ברשותו הועלה לאתר האינטרנט של המוסד:</v>
      </c>
      <c r="J21" s="48" t="s">
        <v>128</v>
      </c>
      <c r="M21" s="28" t="s">
        <v>328</v>
      </c>
      <c r="N21" s="47" t="s">
        <v>32</v>
      </c>
    </row>
    <row r="22" spans="3:26" ht="31.5" x14ac:dyDescent="0.25">
      <c r="C22" s="51" t="str">
        <v>מתוכם הפקות מורכבות שהם קופרודוקציה</v>
      </c>
      <c r="D22" s="47">
        <v>6</v>
      </c>
    </row>
    <row r="23" spans="3:26" ht="31.5" x14ac:dyDescent="0.25">
      <c r="C23" s="51" t="str">
        <v>מספר הפקות מורכבות מקוריות</v>
      </c>
      <c r="D23" s="47">
        <v>140</v>
      </c>
    </row>
    <row r="24" spans="3:26" ht="47.25" x14ac:dyDescent="0.25">
      <c r="C24" s="51" t="str">
        <v>מתוכם הפקות מורכבות מקוריות שהם קופרודוקציה</v>
      </c>
      <c r="D24" s="47">
        <v>6</v>
      </c>
      <c r="H24" s="51" t="s">
        <v>329</v>
      </c>
      <c r="I24" s="47">
        <v>1</v>
      </c>
    </row>
    <row r="25" spans="3:26" x14ac:dyDescent="0.25">
      <c r="C25" s="51" t="str">
        <v>ארוע רב משתתפים</v>
      </c>
      <c r="D25" s="47">
        <v>1</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t="s">
        <v>481</v>
      </c>
      <c r="I29" s="226">
        <v>45021</v>
      </c>
      <c r="J29" s="47">
        <v>233</v>
      </c>
      <c r="K29" s="47" t="s">
        <v>31</v>
      </c>
      <c r="L29" s="91">
        <f t="shared" ref="L29:L77" si="1">IF(H29="","",IF(P29+R29=2,Q29,0))</f>
        <v>1</v>
      </c>
      <c r="P29" s="42">
        <f>IF(AND(I29&gt;=INDEX('הוראת שעה'!$B$5:$D$18,MATCH(פרמטרים!$C$3,'הוראת שעה'!$A$5:$A$18,1),IF($I$24=1,1,3)),I29&lt;=INDEX('הוראת שעה'!C$5:$E$18,MATCH(פרמטרים!$C$3,'הוראת שעה'!$A$5:$A$18,1),IF($I$24=1,1,3))),1,0)</f>
        <v>1</v>
      </c>
      <c r="Q29" s="42">
        <f>IF(J29&gt;=פרמטרים!$B$99,פרמטרים!$C$99,IF(J29&gt;=פרמטרים!$B$98,פרמטרים!$C$98,0))</f>
        <v>1</v>
      </c>
      <c r="R29" s="42">
        <f t="shared" ref="R29:R77" si="2">IF(K29=$W$27,1,0)</f>
        <v>1</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t="s">
        <v>482</v>
      </c>
      <c r="I30" s="226">
        <v>45060</v>
      </c>
      <c r="J30" s="47">
        <v>453</v>
      </c>
      <c r="K30" s="47" t="s">
        <v>31</v>
      </c>
      <c r="L30" s="91">
        <f t="shared" si="1"/>
        <v>2</v>
      </c>
      <c r="P30" s="42">
        <f>IF(AND(I30&gt;=INDEX('הוראת שעה'!$B$5:$D$18,MATCH(פרמטרים!$C$3,'הוראת שעה'!$A$5:$A$18,1),IF($I$24=1,1,3)),I30&lt;=INDEX('הוראת שעה'!C$5:$E$18,MATCH(פרמטרים!$C$3,'הוראת שעה'!$A$5:$A$18,1),IF($I$24=1,1,3))),1,0)</f>
        <v>1</v>
      </c>
      <c r="Q30" s="42">
        <f>IF(J30&gt;=פרמטרים!$B$99,פרמטרים!$C$99,IF(J30&gt;=פרמטרים!$B$98,פרמטרים!$C$98,0))</f>
        <v>2</v>
      </c>
      <c r="R30" s="42">
        <f t="shared" si="2"/>
        <v>1</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t="s">
        <v>483</v>
      </c>
      <c r="I31" s="226">
        <v>45144</v>
      </c>
      <c r="J31" s="47">
        <v>227</v>
      </c>
      <c r="K31" s="47" t="s">
        <v>31</v>
      </c>
      <c r="L31" s="91">
        <f t="shared" si="1"/>
        <v>1</v>
      </c>
      <c r="P31" s="42">
        <f>IF(AND(I31&gt;=INDEX('הוראת שעה'!$B$5:$D$18,MATCH(פרמטרים!$C$3,'הוראת שעה'!$A$5:$A$18,1),IF($I$24=1,1,3)),I31&lt;=INDEX('הוראת שעה'!C$5:$E$18,MATCH(פרמטרים!$C$3,'הוראת שעה'!$A$5:$A$18,1),IF($I$24=1,1,3))),1,0)</f>
        <v>1</v>
      </c>
      <c r="Q31" s="42">
        <f>IF(J31&gt;=פרמטרים!$B$99,פרמטרים!$C$99,IF(J31&gt;=פרמטרים!$B$98,פרמטרים!$C$98,0))</f>
        <v>1</v>
      </c>
      <c r="R31" s="42">
        <f t="shared" si="2"/>
        <v>1</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t="s">
        <v>484</v>
      </c>
      <c r="I32" s="226">
        <v>45138</v>
      </c>
      <c r="J32" s="47">
        <v>201</v>
      </c>
      <c r="K32" s="47" t="s">
        <v>31</v>
      </c>
      <c r="L32" s="91">
        <f t="shared" si="1"/>
        <v>1</v>
      </c>
      <c r="P32" s="42">
        <f>IF(AND(I32&gt;=INDEX('הוראת שעה'!$B$5:$D$18,MATCH(פרמטרים!$C$3,'הוראת שעה'!$A$5:$A$18,1),IF($I$24=1,1,3)),I32&lt;=INDEX('הוראת שעה'!C$5:$E$18,MATCH(פרמטרים!$C$3,'הוראת שעה'!$A$5:$A$18,1),IF($I$24=1,1,3))),1,0)</f>
        <v>1</v>
      </c>
      <c r="Q32" s="42">
        <f>IF(J32&gt;=פרמטרים!$B$99,פרמטרים!$C$99,IF(J32&gt;=פרמטרים!$B$98,פרמטרים!$C$98,0))</f>
        <v>1</v>
      </c>
      <c r="R32" s="42">
        <f t="shared" si="2"/>
        <v>1</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5</v>
      </c>
    </row>
    <row r="79" spans="3:26" x14ac:dyDescent="0.25">
      <c r="F79" s="42">
        <f>COUNTIF(H78:H78,"מתחלפת")</f>
        <v>0</v>
      </c>
    </row>
  </sheetData>
  <sheetProtection algorithmName="SHA-512" hashValue="27eclmFY6687Q42u/kLBzK7CRAbsc6T/1ZV7Rb105uRwerAnX2t9aD+kDsFUt27gxgLfAR1Z5Ju1HJwH3Kbnng==" saltValue="GfY/8BsPiqo6RTlXFlYA0w=="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8" priority="1">
      <formula>IF($C8="",0,1)</formula>
    </cfRule>
  </conditionalFormatting>
  <dataValidations count="13">
    <dataValidation type="list" allowBlank="1" showInputMessage="1" showErrorMessage="1" sqref="N16" xr:uid="{00000000-0002-0000-3600-000000000000}">
      <formula1>$V$9:$Y$9</formula1>
    </dataValidation>
    <dataValidation type="list" allowBlank="1" showInputMessage="1" showErrorMessage="1" sqref="G17" xr:uid="{00000000-0002-0000-3600-000001000000}">
      <formula1>$V$7:$X$7</formula1>
    </dataValidation>
    <dataValidation type="list" allowBlank="1" showInputMessage="1" showErrorMessage="1" sqref="K11:L11 K28:K77 G8 N19:N21" xr:uid="{00000000-0002-0000-3600-000002000000}">
      <formula1>$V$5:$W$5</formula1>
    </dataValidation>
    <dataValidation allowBlank="1" showInputMessage="1" showErrorMessage="1" errorTitle="ערך לא חוקי" error="יש להזין ציון בין 0 ל-60" sqref="N18" xr:uid="{00000000-0002-0000-3600-000003000000}"/>
    <dataValidation type="whole" allowBlank="1" showInputMessage="1" showErrorMessage="1" sqref="E8:F8" xr:uid="{00000000-0002-0000-3600-000004000000}">
      <formula1>0</formula1>
      <formula2>9.99999999999999E+55</formula2>
    </dataValidation>
    <dataValidation type="list" allowBlank="1" showInputMessage="1" showErrorMessage="1" sqref="J21" xr:uid="{00000000-0002-0000-3600-000005000000}">
      <formula1>$V$15:$W$15</formula1>
    </dataValidation>
    <dataValidation type="whole" operator="greaterThanOrEqual" allowBlank="1" showInputMessage="1" showErrorMessage="1" errorTitle="הזנה שגויה" sqref="J18 C11:E11 G11" xr:uid="{00000000-0002-0000-3600-000006000000}">
      <formula1>0</formula1>
    </dataValidation>
    <dataValidation type="whole" allowBlank="1" showInputMessage="1" showErrorMessage="1" errorTitle="הזנה שגויה" sqref="J17" xr:uid="{00000000-0002-0000-3600-000007000000}">
      <formula1>0</formula1>
      <formula2>J18</formula2>
    </dataValidation>
    <dataValidation operator="greaterThanOrEqual" allowBlank="1" showInputMessage="1" showErrorMessage="1" errorTitle="הזנה שגויה" sqref="C8:D8" xr:uid="{00000000-0002-0000-3600-000008000000}"/>
    <dataValidation type="list" allowBlank="1" showInputMessage="1" showErrorMessage="1" sqref="E28:E77" xr:uid="{00000000-0002-0000-3600-000009000000}">
      <formula1>U28:V28</formula1>
    </dataValidation>
    <dataValidation type="decimal" operator="greaterThan" allowBlank="1" showInputMessage="1" showErrorMessage="1" errorTitle="הזנה שגויה" sqref="K8:N8" xr:uid="{00000000-0002-0000-3600-00000A000000}">
      <formula1>-999999999</formula1>
    </dataValidation>
    <dataValidation type="list" allowBlank="1" showInputMessage="1" showErrorMessage="1" sqref="I3 I24" xr:uid="{00000000-0002-0000-3600-00000B000000}">
      <formula1>"0,1"</formula1>
    </dataValidation>
    <dataValidation type="decimal" operator="greaterThanOrEqual" allowBlank="1" showInputMessage="1" showErrorMessage="1" errorTitle="הזנה שגויה" sqref="H11" xr:uid="{00000000-0002-0000-36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גיליון44">
    <tabColor rgb="FF002060"/>
    <pageSetUpPr fitToPage="1"/>
  </sheetPr>
  <dimension ref="C2:Z79"/>
  <sheetViews>
    <sheetView rightToLeft="1" view="pageBreakPreview" topLeftCell="A2" zoomScale="70" zoomScaleNormal="80" zoomScaleSheetLayoutView="70"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מכון הברמן</v>
      </c>
      <c r="E3" s="624"/>
      <c r="F3" s="625"/>
      <c r="H3" s="26" t="s">
        <v>310</v>
      </c>
      <c r="I3" s="47">
        <v>1</v>
      </c>
      <c r="L3" s="222" t="s">
        <v>311</v>
      </c>
      <c r="M3" s="221" t="str">
        <f ca="1">"גיליון הזנה "&amp;INDEX('ריכוז נתונים'!$C$17:$C$76,MATCH(D3,'ריכוז נתונים'!$B$17:$B$76,0))</f>
        <v>גיליון הזנה 27</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2.2001100414727602E-2</v>
      </c>
      <c r="F8" s="436">
        <v>268632.15999999997</v>
      </c>
      <c r="G8" s="630" t="s">
        <v>31</v>
      </c>
      <c r="H8" s="631"/>
      <c r="I8" s="632">
        <v>0</v>
      </c>
      <c r="J8" s="633"/>
      <c r="K8" s="628">
        <v>53083</v>
      </c>
      <c r="L8" s="629"/>
      <c r="M8" s="628">
        <v>11035</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502396</v>
      </c>
      <c r="D11" s="633"/>
      <c r="E11" s="130">
        <v>502396</v>
      </c>
      <c r="F11" s="130">
        <v>502396</v>
      </c>
      <c r="G11" s="130">
        <v>438540</v>
      </c>
      <c r="H11" s="48">
        <v>438540</v>
      </c>
      <c r="I11" s="630">
        <v>1993</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2</v>
      </c>
      <c r="F16" s="28" t="str">
        <f t="array" ref="F16:F17">TRANSPOSE('ריכוז נתונים'!P16:Q16)</f>
        <v>מספר דפים סטטיים</v>
      </c>
      <c r="G16" s="47">
        <v>80</v>
      </c>
      <c r="I16" s="634" t="s">
        <v>72</v>
      </c>
      <c r="J16" s="635"/>
      <c r="M16" s="51" t="s">
        <v>116</v>
      </c>
      <c r="N16" s="50" t="s">
        <v>118</v>
      </c>
    </row>
    <row r="17" spans="3:26" ht="50.25" customHeight="1" x14ac:dyDescent="0.25">
      <c r="C17" s="51" t="str">
        <v>מספר הרצאות</v>
      </c>
      <c r="D17" s="47">
        <v>27</v>
      </c>
      <c r="F17" s="26" t="str">
        <v xml:space="preserve">איכות האתר </v>
      </c>
      <c r="G17" s="49"/>
      <c r="I17" s="25" t="s">
        <v>809</v>
      </c>
      <c r="J17" s="48">
        <v>118648</v>
      </c>
      <c r="M17" s="28" t="s">
        <v>160</v>
      </c>
      <c r="N17" s="47">
        <v>125</v>
      </c>
    </row>
    <row r="18" spans="3:26" ht="63" x14ac:dyDescent="0.25">
      <c r="C18" s="51" t="str">
        <v>מתוכם מספר הרצאות שנערכו על ידי מישהו בעל תואר שלישי בתחום בו ניתנה הפעילות:</v>
      </c>
      <c r="D18" s="47">
        <v>12</v>
      </c>
      <c r="I18" s="25" t="s">
        <v>810</v>
      </c>
      <c r="J18" s="136">
        <f>F11</f>
        <v>502396</v>
      </c>
      <c r="M18" s="28" t="s">
        <v>161</v>
      </c>
      <c r="N18" s="47">
        <v>500</v>
      </c>
    </row>
    <row r="19" spans="3:26" x14ac:dyDescent="0.25">
      <c r="C19" s="51" t="str">
        <v>מספר ימי עיון</v>
      </c>
      <c r="D19" s="47">
        <v>13</v>
      </c>
      <c r="M19" s="28" t="s">
        <v>162</v>
      </c>
      <c r="N19" s="47" t="s">
        <v>31</v>
      </c>
    </row>
    <row r="20" spans="3:26" ht="63" x14ac:dyDescent="0.25">
      <c r="C20" s="51" t="str">
        <v>מתוכם מספר ימי עיון שנערכו על ידי מישהו בעל תואר שלישי בתחום בו ניתנה הפעילות:</v>
      </c>
      <c r="D20" s="47">
        <v>7</v>
      </c>
      <c r="I20" s="634" t="str">
        <f>פרמטרים!B101</f>
        <v>תיעוד ושימור החומר הארכיונאי</v>
      </c>
      <c r="J20" s="635"/>
      <c r="M20" s="28" t="s">
        <v>163</v>
      </c>
      <c r="N20" s="47" t="s">
        <v>32</v>
      </c>
    </row>
    <row r="21" spans="3:26" ht="94.5" x14ac:dyDescent="0.25">
      <c r="C21" s="51" t="str">
        <v>מספר הפקות מורכבות</v>
      </c>
      <c r="D21" s="47">
        <v>5</v>
      </c>
      <c r="I21" s="26" t="str">
        <f>פרמטרים!B102</f>
        <v>היקף החומר הארכיוני בתחום המורשת אשר ברשותו הועלה לאתר האינטרנט של המוסד:</v>
      </c>
      <c r="J21" s="48" t="s">
        <v>128</v>
      </c>
      <c r="M21" s="28" t="s">
        <v>328</v>
      </c>
      <c r="N21" s="47" t="s">
        <v>32</v>
      </c>
    </row>
    <row r="22" spans="3:26" ht="31.5" x14ac:dyDescent="0.25">
      <c r="C22" s="51" t="str">
        <v>מתוכם הפקות מורכבות שהם קופרודוקציה</v>
      </c>
      <c r="D22" s="47">
        <v>0</v>
      </c>
    </row>
    <row r="23" spans="3:26" ht="31.5" x14ac:dyDescent="0.25">
      <c r="C23" s="51" t="str">
        <v>מספר הפקות מורכבות מקוריות</v>
      </c>
      <c r="D23" s="47">
        <v>5</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3</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t="s">
        <v>350</v>
      </c>
      <c r="D28" s="47">
        <v>45</v>
      </c>
      <c r="E28" s="47" t="s">
        <v>340</v>
      </c>
      <c r="F28" s="91">
        <f>IF(C28="","",D28*IF(E28=$U$27,פרמטרים!$C$39,IF(E28=$V$27,פרמטרים!$C$40,0)))</f>
        <v>90</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xml:space="preserve">קבועה </v>
      </c>
      <c r="V28" s="42" t="str">
        <f t="shared" si="0"/>
        <v>מתחלפת</v>
      </c>
      <c r="W28" s="42" t="str">
        <f t="shared" si="0"/>
        <v>כן</v>
      </c>
      <c r="X28" s="42" t="str">
        <f t="shared" si="0"/>
        <v>לא</v>
      </c>
      <c r="Z28" s="42">
        <f>IF(E28=$V$27,D28*פרמטרים!$C$40,0)</f>
        <v>0</v>
      </c>
    </row>
    <row r="29" spans="3:26" x14ac:dyDescent="0.25">
      <c r="C29" s="47" t="s">
        <v>485</v>
      </c>
      <c r="D29" s="47">
        <v>45</v>
      </c>
      <c r="E29" s="47" t="s">
        <v>340</v>
      </c>
      <c r="F29" s="91">
        <f>IF(C29="","",D29*IF(E29=$U$27,פרמטרים!$C$39,IF(E29=$V$27,פרמטרים!$C$40,0)))</f>
        <v>90</v>
      </c>
      <c r="H29" s="47"/>
      <c r="I29" s="226"/>
      <c r="J29" s="47"/>
      <c r="K29" s="47"/>
      <c r="L29" s="91" t="str">
        <f>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IF(K29=$W$27,1,0)</f>
        <v>0</v>
      </c>
      <c r="U29" s="42" t="str">
        <f t="shared" si="0"/>
        <v xml:space="preserve">קבועה </v>
      </c>
      <c r="V29" s="42" t="str">
        <f t="shared" si="0"/>
        <v>מתחלפת</v>
      </c>
      <c r="W29" s="42" t="str">
        <f t="shared" si="0"/>
        <v>כן</v>
      </c>
      <c r="X29" s="42" t="str">
        <f t="shared" si="0"/>
        <v>לא</v>
      </c>
      <c r="Z29" s="42">
        <f>IF(E29=$V$27,D29*פרמטרים!$C$40,0)</f>
        <v>0</v>
      </c>
    </row>
    <row r="30" spans="3:26" x14ac:dyDescent="0.25">
      <c r="C30" s="47" t="s">
        <v>486</v>
      </c>
      <c r="D30" s="47">
        <v>25</v>
      </c>
      <c r="E30" s="47" t="s">
        <v>340</v>
      </c>
      <c r="F30" s="91">
        <f>IF(C30="","",D30*IF(E30=$U$27,פרמטרים!$C$39,IF(E30=$V$27,פרמטרים!$C$40,0)))</f>
        <v>50</v>
      </c>
      <c r="H30" s="47"/>
      <c r="I30" s="226"/>
      <c r="J30" s="47"/>
      <c r="K30" s="47"/>
      <c r="L30" s="91" t="str">
        <f>IF(H30="","",IF(P30+R30=2,Q30,0))</f>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IF(K30=$W$27,1,0)</f>
        <v>0</v>
      </c>
      <c r="U30" s="42" t="str">
        <f t="shared" si="0"/>
        <v xml:space="preserve">קבועה </v>
      </c>
      <c r="V30" s="42" t="str">
        <f t="shared" si="0"/>
        <v>מתחלפת</v>
      </c>
      <c r="W30" s="42" t="str">
        <f t="shared" si="0"/>
        <v>כן</v>
      </c>
      <c r="X30" s="42" t="str">
        <f t="shared" si="0"/>
        <v>לא</v>
      </c>
      <c r="Z30" s="42">
        <f>IF(E30=$V$27,D30*פרמטרים!$C$40,0)</f>
        <v>0</v>
      </c>
    </row>
    <row r="31" spans="3:26" x14ac:dyDescent="0.25">
      <c r="C31" s="47" t="s">
        <v>487</v>
      </c>
      <c r="D31" s="47">
        <v>60</v>
      </c>
      <c r="E31" s="47" t="s">
        <v>340</v>
      </c>
      <c r="F31" s="91">
        <f>IF(C31="","",D31*IF(E31=$U$27,פרמטרים!$C$39,IF(E31=$V$27,פרמטרים!$C$40,0)))</f>
        <v>120</v>
      </c>
      <c r="H31" s="47"/>
      <c r="I31" s="226"/>
      <c r="J31" s="47"/>
      <c r="K31" s="47"/>
      <c r="L31" s="91" t="str">
        <f t="shared" ref="L31:L77" si="1">IF(H31="","",IF(P31+R31=2,Q31,0))</f>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ref="R31:R77" si="2">IF(K31=$W$27,1,0)</f>
        <v>0</v>
      </c>
      <c r="U31" s="42" t="str">
        <f t="shared" si="0"/>
        <v xml:space="preserve">קבועה </v>
      </c>
      <c r="V31" s="42" t="str">
        <f t="shared" si="0"/>
        <v>מתחלפת</v>
      </c>
      <c r="W31" s="42" t="str">
        <f t="shared" si="0"/>
        <v>כן</v>
      </c>
      <c r="X31" s="42" t="str">
        <f t="shared" si="0"/>
        <v>לא</v>
      </c>
      <c r="Z31" s="42">
        <f>IF(E31=$V$27,D31*פרמטרים!$C$40,0)</f>
        <v>0</v>
      </c>
    </row>
    <row r="32" spans="3:26" x14ac:dyDescent="0.25">
      <c r="C32" s="47" t="s">
        <v>488</v>
      </c>
      <c r="D32" s="47">
        <v>40</v>
      </c>
      <c r="E32" s="47" t="s">
        <v>340</v>
      </c>
      <c r="F32" s="91">
        <f>IF(C32="","",D32*IF(E32=$U$27,פרמטרים!$C$39,IF(E32=$V$27,פרמטרים!$C$40,0)))</f>
        <v>80</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xml:space="preserve">קבועה </v>
      </c>
      <c r="V32" s="42" t="str">
        <f t="shared" si="0"/>
        <v>מתחלפת</v>
      </c>
      <c r="W32" s="42" t="str">
        <f t="shared" si="0"/>
        <v>כן</v>
      </c>
      <c r="X32" s="42" t="str">
        <f t="shared" si="0"/>
        <v>לא</v>
      </c>
      <c r="Z32" s="42">
        <f>IF(E32=$V$27,D32*פרמטרים!$C$40,0)</f>
        <v>0</v>
      </c>
    </row>
    <row r="33" spans="3:26" x14ac:dyDescent="0.25">
      <c r="C33" s="47" t="s">
        <v>489</v>
      </c>
      <c r="D33" s="47">
        <v>20</v>
      </c>
      <c r="E33" s="47" t="s">
        <v>340</v>
      </c>
      <c r="F33" s="91">
        <f>IF(C33="","",D33*IF(E33=$U$27,פרמטרים!$C$39,IF(E33=$V$27,פרמטרים!$C$40,0)))</f>
        <v>40</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xml:space="preserve">קבועה </v>
      </c>
      <c r="V33" s="42" t="str">
        <f t="shared" si="0"/>
        <v>מתחלפת</v>
      </c>
      <c r="W33" s="42" t="str">
        <f t="shared" si="0"/>
        <v>כן</v>
      </c>
      <c r="X33" s="42" t="str">
        <f t="shared" si="0"/>
        <v>לא</v>
      </c>
      <c r="Z33" s="42">
        <f>IF(E33=$V$27,D33*פרמטרים!$C$40,0)</f>
        <v>0</v>
      </c>
    </row>
    <row r="34" spans="3:26" x14ac:dyDescent="0.25">
      <c r="C34" s="47" t="s">
        <v>351</v>
      </c>
      <c r="D34" s="47">
        <v>200</v>
      </c>
      <c r="E34" s="47" t="s">
        <v>340</v>
      </c>
      <c r="F34" s="91">
        <f>IF(C34="","",D34*IF(E34=$U$27,פרמטרים!$C$39,IF(E34=$V$27,פרמטרים!$C$40,0)))</f>
        <v>400</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xml:space="preserve">קבועה </v>
      </c>
      <c r="V34" s="42" t="str">
        <f t="shared" si="0"/>
        <v>מתחלפת</v>
      </c>
      <c r="W34" s="42" t="str">
        <f t="shared" si="0"/>
        <v>כן</v>
      </c>
      <c r="X34" s="42" t="str">
        <f t="shared" si="0"/>
        <v>לא</v>
      </c>
      <c r="Z34" s="42">
        <f>IF(E34=$V$27,D34*פרמטרים!$C$40,0)</f>
        <v>0</v>
      </c>
    </row>
    <row r="35" spans="3:26" x14ac:dyDescent="0.25">
      <c r="C35" s="47" t="s">
        <v>490</v>
      </c>
      <c r="D35" s="47">
        <v>50</v>
      </c>
      <c r="E35" s="47" t="s">
        <v>340</v>
      </c>
      <c r="F35" s="91">
        <f>IF(C35="","",D35*IF(E35=$U$27,פרמטרים!$C$39,IF(E35=$V$27,פרמטרים!$C$40,0)))</f>
        <v>100</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xml:space="preserve">קבועה </v>
      </c>
      <c r="V35" s="42" t="str">
        <f t="shared" si="0"/>
        <v>מתחלפת</v>
      </c>
      <c r="W35" s="42" t="str">
        <f t="shared" si="0"/>
        <v>כן</v>
      </c>
      <c r="X35" s="42" t="str">
        <f t="shared" si="0"/>
        <v>לא</v>
      </c>
      <c r="Z35" s="42">
        <f>IF(E35=$V$27,D35*פרמטרים!$C$40,0)</f>
        <v>0</v>
      </c>
    </row>
    <row r="36" spans="3:26" x14ac:dyDescent="0.25">
      <c r="C36" s="47" t="s">
        <v>491</v>
      </c>
      <c r="D36" s="47">
        <v>35</v>
      </c>
      <c r="E36" s="47" t="s">
        <v>340</v>
      </c>
      <c r="F36" s="91">
        <f>IF(C36="","",D36*IF(E36=$U$27,פרמטרים!$C$39,IF(E36=$V$27,פרמטרים!$C$40,0)))</f>
        <v>70</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xml:space="preserve">קבועה </v>
      </c>
      <c r="V36" s="42" t="str">
        <f t="shared" si="0"/>
        <v>מתחלפת</v>
      </c>
      <c r="W36" s="42" t="str">
        <f t="shared" si="0"/>
        <v>כן</v>
      </c>
      <c r="X36" s="42" t="str">
        <f t="shared" si="0"/>
        <v>לא</v>
      </c>
      <c r="Z36" s="42">
        <f>IF(E36=$V$27,D36*פרמטרים!$C$40,0)</f>
        <v>0</v>
      </c>
    </row>
    <row r="37" spans="3:26" x14ac:dyDescent="0.25">
      <c r="C37" s="47" t="s">
        <v>349</v>
      </c>
      <c r="D37" s="47">
        <v>35</v>
      </c>
      <c r="E37" s="47" t="s">
        <v>340</v>
      </c>
      <c r="F37" s="91">
        <f>IF(C37="","",D37*IF(E37=$U$27,פרמטרים!$C$39,IF(E37=$V$27,פרמטרים!$C$40,0)))</f>
        <v>70</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xml:space="preserve">קבועה </v>
      </c>
      <c r="V37" s="42" t="str">
        <f t="shared" si="0"/>
        <v>מתחלפת</v>
      </c>
      <c r="W37" s="42" t="str">
        <f t="shared" si="0"/>
        <v>כן</v>
      </c>
      <c r="X37" s="42" t="str">
        <f t="shared" si="0"/>
        <v>לא</v>
      </c>
      <c r="Z37" s="42">
        <f>IF(E37=$V$27,D37*פרמטרים!$C$40,0)</f>
        <v>0</v>
      </c>
    </row>
    <row r="38" spans="3:26" x14ac:dyDescent="0.25">
      <c r="C38" s="47" t="s">
        <v>492</v>
      </c>
      <c r="D38" s="47">
        <v>12</v>
      </c>
      <c r="E38" s="47" t="s">
        <v>340</v>
      </c>
      <c r="F38" s="91">
        <f>IF(C38="","",D38*IF(E38=$U$27,פרמטרים!$C$39,IF(E38=$V$27,פרמטרים!$C$40,0)))</f>
        <v>24</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xml:space="preserve">קבועה </v>
      </c>
      <c r="V38" s="42" t="str">
        <f t="shared" si="0"/>
        <v>מתחלפת</v>
      </c>
      <c r="W38" s="42" t="str">
        <f t="shared" si="0"/>
        <v>כן</v>
      </c>
      <c r="X38" s="42" t="str">
        <f t="shared" si="0"/>
        <v>לא</v>
      </c>
      <c r="Z38" s="42">
        <f>IF(E38=$V$27,D38*פרמטרים!$C$40,0)</f>
        <v>0</v>
      </c>
    </row>
    <row r="39" spans="3:26" x14ac:dyDescent="0.25">
      <c r="C39" s="47" t="s">
        <v>493</v>
      </c>
      <c r="D39" s="47">
        <v>45</v>
      </c>
      <c r="E39" s="47" t="s">
        <v>340</v>
      </c>
      <c r="F39" s="91">
        <f>IF(C39="","",D39*IF(E39=$U$27,פרמטרים!$C$39,IF(E39=$V$27,פרמטרים!$C$40,0)))</f>
        <v>90</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xml:space="preserve">קבועה </v>
      </c>
      <c r="V39" s="42" t="str">
        <f t="shared" si="0"/>
        <v>מתחלפת</v>
      </c>
      <c r="W39" s="42" t="str">
        <f t="shared" si="0"/>
        <v>כן</v>
      </c>
      <c r="X39" s="42" t="str">
        <f t="shared" si="0"/>
        <v>לא</v>
      </c>
      <c r="Z39" s="42">
        <f>IF(E39=$V$27,D39*פרמטרים!$C$40,0)</f>
        <v>0</v>
      </c>
    </row>
    <row r="40" spans="3:26" x14ac:dyDescent="0.25">
      <c r="C40" s="47" t="s">
        <v>494</v>
      </c>
      <c r="D40" s="47">
        <v>70</v>
      </c>
      <c r="E40" s="47" t="s">
        <v>341</v>
      </c>
      <c r="F40" s="91">
        <f>IF(C40="","",D40*IF(E40=$U$27,פרמטרים!$C$39,IF(E40=$V$27,פרמטרים!$C$40,0)))</f>
        <v>70</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xml:space="preserve">קבועה </v>
      </c>
      <c r="V40" s="42" t="str">
        <f t="shared" si="0"/>
        <v>מתחלפת</v>
      </c>
      <c r="W40" s="42" t="str">
        <f t="shared" si="0"/>
        <v>כן</v>
      </c>
      <c r="X40" s="42" t="str">
        <f t="shared" si="0"/>
        <v>לא</v>
      </c>
      <c r="Z40" s="42">
        <f>IF(E40=$V$27,D40*פרמטרים!$C$40,0)</f>
        <v>70</v>
      </c>
    </row>
    <row r="41" spans="3:26" x14ac:dyDescent="0.25">
      <c r="C41" s="47" t="s">
        <v>495</v>
      </c>
      <c r="D41" s="47">
        <v>120</v>
      </c>
      <c r="E41" s="47" t="s">
        <v>340</v>
      </c>
      <c r="F41" s="91">
        <f>IF(C41="","",D41*IF(E41=$U$27,פרמטרים!$C$39,IF(E41=$V$27,פרמטרים!$C$40,0)))</f>
        <v>240</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xml:space="preserve">קבועה </v>
      </c>
      <c r="V41" s="42" t="str">
        <f t="shared" si="0"/>
        <v>מתחלפת</v>
      </c>
      <c r="W41" s="42" t="str">
        <f t="shared" si="0"/>
        <v>כן</v>
      </c>
      <c r="X41" s="42" t="str">
        <f t="shared" si="0"/>
        <v>לא</v>
      </c>
      <c r="Z41" s="42">
        <f>IF(E41=$V$27,D41*פרמטרים!$C$40,0)</f>
        <v>0</v>
      </c>
    </row>
    <row r="42" spans="3:26" x14ac:dyDescent="0.25">
      <c r="C42" s="47" t="s">
        <v>496</v>
      </c>
      <c r="D42" s="47">
        <v>30</v>
      </c>
      <c r="E42" s="47" t="s">
        <v>340</v>
      </c>
      <c r="F42" s="91">
        <f>IF(C42="","",D42*IF(E42=$U$27,פרמטרים!$C$39,IF(E42=$V$27,פרמטרים!$C$40,0)))</f>
        <v>60</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xml:space="preserve">קבועה </v>
      </c>
      <c r="V42" s="42" t="str">
        <f t="shared" si="0"/>
        <v>מתחלפת</v>
      </c>
      <c r="W42" s="42" t="str">
        <f t="shared" si="0"/>
        <v>כן</v>
      </c>
      <c r="X42" s="42" t="str">
        <f t="shared" si="0"/>
        <v>לא</v>
      </c>
      <c r="Z42" s="42">
        <f>IF(E42=$V$27,D42*פרמטרים!$C$40,0)</f>
        <v>0</v>
      </c>
    </row>
    <row r="43" spans="3:26" x14ac:dyDescent="0.25">
      <c r="C43" s="47" t="s">
        <v>497</v>
      </c>
      <c r="D43" s="47">
        <v>70</v>
      </c>
      <c r="E43" s="47" t="s">
        <v>340</v>
      </c>
      <c r="F43" s="91">
        <f>IF(C43="","",D43*IF(E43=$U$27,פרמטרים!$C$39,IF(E43=$V$27,פרמטרים!$C$40,0)))</f>
        <v>140</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xml:space="preserve">קבועה </v>
      </c>
      <c r="V43" s="42" t="str">
        <f t="shared" si="0"/>
        <v>מתחלפת</v>
      </c>
      <c r="W43" s="42" t="str">
        <f t="shared" si="0"/>
        <v>כן</v>
      </c>
      <c r="X43" s="42" t="str">
        <f t="shared" si="0"/>
        <v>לא</v>
      </c>
      <c r="Z43" s="42">
        <f>IF(E43=$V$27,D43*פרמטרים!$C$40,0)</f>
        <v>0</v>
      </c>
    </row>
    <row r="44" spans="3:26" x14ac:dyDescent="0.25">
      <c r="C44" s="47" t="s">
        <v>498</v>
      </c>
      <c r="D44" s="47">
        <v>45</v>
      </c>
      <c r="E44" s="47" t="s">
        <v>341</v>
      </c>
      <c r="F44" s="91">
        <f>IF(C44="","",D44*IF(E44=$U$27,פרמטרים!$C$39,IF(E44=$V$27,פרמטרים!$C$40,0)))</f>
        <v>45</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xml:space="preserve">קבועה </v>
      </c>
      <c r="V44" s="42" t="str">
        <f t="shared" si="0"/>
        <v>מתחלפת</v>
      </c>
      <c r="W44" s="42" t="str">
        <f t="shared" si="0"/>
        <v>כן</v>
      </c>
      <c r="X44" s="42" t="str">
        <f t="shared" si="0"/>
        <v>לא</v>
      </c>
      <c r="Z44" s="42">
        <f>IF(E44=$V$27,D44*פרמטרים!$C$40,0)</f>
        <v>45</v>
      </c>
    </row>
    <row r="45" spans="3:26" x14ac:dyDescent="0.25">
      <c r="C45" s="47" t="s">
        <v>499</v>
      </c>
      <c r="D45" s="47">
        <v>50</v>
      </c>
      <c r="E45" s="47" t="s">
        <v>340</v>
      </c>
      <c r="F45" s="91">
        <f>IF(C45="","",D45*IF(E45=$U$27,פרמטרים!$C$39,IF(E45=$V$27,פרמטרים!$C$40,0)))</f>
        <v>100</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xml:space="preserve">קבועה </v>
      </c>
      <c r="V45" s="42" t="str">
        <f t="shared" si="0"/>
        <v>מתחלפת</v>
      </c>
      <c r="W45" s="42" t="str">
        <f t="shared" si="0"/>
        <v>כן</v>
      </c>
      <c r="X45" s="42" t="str">
        <f t="shared" si="0"/>
        <v>לא</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1879</v>
      </c>
      <c r="L78" s="92">
        <f>SUM(L28:L77)</f>
        <v>0</v>
      </c>
    </row>
    <row r="79" spans="3:26" x14ac:dyDescent="0.25">
      <c r="F79" s="42">
        <f>COUNTIF(H78:H78,"מתחלפת")</f>
        <v>0</v>
      </c>
    </row>
  </sheetData>
  <sheetProtection algorithmName="SHA-512" hashValue="Y/U41LOO1qhzhGh/3D80fSQ8XyMbGOtvmGc8lfOYkInc665i2Kn9Is+JcpAo3n2h7GpZtX3FU3JzLcwNT8d4vQ==" saltValue="XHlnSPT4xMTvVI1b3yngcQ=="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7" priority="1">
      <formula>IF($C8="",0,1)</formula>
    </cfRule>
  </conditionalFormatting>
  <dataValidations count="13">
    <dataValidation type="list" allowBlank="1" showInputMessage="1" showErrorMessage="1" sqref="N16" xr:uid="{00000000-0002-0000-3700-000000000000}">
      <formula1>$V$9:$Y$9</formula1>
    </dataValidation>
    <dataValidation type="list" allowBlank="1" showInputMessage="1" showErrorMessage="1" sqref="G17" xr:uid="{00000000-0002-0000-3700-000001000000}">
      <formula1>$V$7:$X$7</formula1>
    </dataValidation>
    <dataValidation type="list" allowBlank="1" showInputMessage="1" showErrorMessage="1" sqref="K11:L11 K28:K77 G8 N19:N21" xr:uid="{00000000-0002-0000-3700-000002000000}">
      <formula1>$V$5:$W$5</formula1>
    </dataValidation>
    <dataValidation allowBlank="1" showInputMessage="1" showErrorMessage="1" errorTitle="ערך לא חוקי" error="יש להזין ציון בין 0 ל-60" sqref="N18" xr:uid="{00000000-0002-0000-3700-000003000000}"/>
    <dataValidation type="whole" allowBlank="1" showInputMessage="1" showErrorMessage="1" sqref="E8:F8" xr:uid="{00000000-0002-0000-3700-000004000000}">
      <formula1>0</formula1>
      <formula2>9.99999999999999E+55</formula2>
    </dataValidation>
    <dataValidation type="list" allowBlank="1" showInputMessage="1" showErrorMessage="1" sqref="J21" xr:uid="{00000000-0002-0000-3700-000005000000}">
      <formula1>$V$15:$W$15</formula1>
    </dataValidation>
    <dataValidation type="whole" operator="greaterThanOrEqual" allowBlank="1" showInputMessage="1" showErrorMessage="1" errorTitle="הזנה שגויה" sqref="J18 C11:E11 G11" xr:uid="{00000000-0002-0000-3700-000006000000}">
      <formula1>0</formula1>
    </dataValidation>
    <dataValidation type="whole" allowBlank="1" showInputMessage="1" showErrorMessage="1" errorTitle="הזנה שגויה" sqref="J17" xr:uid="{00000000-0002-0000-3700-000007000000}">
      <formula1>0</formula1>
      <formula2>J18</formula2>
    </dataValidation>
    <dataValidation operator="greaterThanOrEqual" allowBlank="1" showInputMessage="1" showErrorMessage="1" errorTitle="הזנה שגויה" sqref="C8:D8" xr:uid="{00000000-0002-0000-3700-000008000000}"/>
    <dataValidation type="list" allowBlank="1" showInputMessage="1" showErrorMessage="1" sqref="E28:E77" xr:uid="{00000000-0002-0000-3700-000009000000}">
      <formula1>U28:V28</formula1>
    </dataValidation>
    <dataValidation type="decimal" operator="greaterThan" allowBlank="1" showInputMessage="1" showErrorMessage="1" errorTitle="הזנה שגויה" sqref="K8:N8" xr:uid="{00000000-0002-0000-3700-00000A000000}">
      <formula1>-999999999</formula1>
    </dataValidation>
    <dataValidation type="list" allowBlank="1" showInputMessage="1" showErrorMessage="1" sqref="I3 I24" xr:uid="{00000000-0002-0000-3700-00000B000000}">
      <formula1>"0,1"</formula1>
    </dataValidation>
    <dataValidation type="decimal" operator="greaterThanOrEqual" allowBlank="1" showInputMessage="1" showErrorMessage="1" errorTitle="הזנה שגויה" sqref="H11" xr:uid="{00000000-0002-0000-37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002060"/>
    <pageSetUpPr fitToPage="1"/>
  </sheetPr>
  <dimension ref="C2:Z79"/>
  <sheetViews>
    <sheetView rightToLeft="1" view="pageBreakPreview" topLeftCell="A18" zoomScale="81" zoomScaleNormal="80" zoomScaleSheetLayoutView="81"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חיבה</v>
      </c>
      <c r="E3" s="624"/>
      <c r="F3" s="625"/>
      <c r="H3" s="26" t="s">
        <v>310</v>
      </c>
      <c r="I3" s="47">
        <v>1</v>
      </c>
      <c r="L3" s="222" t="s">
        <v>311</v>
      </c>
      <c r="M3" s="221" t="str">
        <f ca="1">"גיליון הזנה "&amp;INDEX('ריכוז נתונים'!$C$17:$C$79,MATCH(D3,'ריכוז נתונים'!$B$17:$B$79,0))</f>
        <v>גיליון הזנה 61</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כללים'!D17:X79,8,FALSE)</f>
        <v>כן</v>
      </c>
      <c r="D8" s="627"/>
      <c r="E8" s="132">
        <f ca="1">VLOOKUP(D3,'ריכוז נתונים כללים'!D17:M79,10,FALSE)</f>
        <v>2.0360407936417715E-2</v>
      </c>
      <c r="F8" s="436">
        <v>248599.4</v>
      </c>
      <c r="G8" s="630" t="s">
        <v>32</v>
      </c>
      <c r="H8" s="631"/>
      <c r="I8" s="632">
        <v>0</v>
      </c>
      <c r="J8" s="633"/>
      <c r="K8" s="628">
        <v>363545</v>
      </c>
      <c r="L8" s="629"/>
      <c r="M8" s="628">
        <v>1039171</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3975515</v>
      </c>
      <c r="D11" s="633"/>
      <c r="E11" s="130">
        <v>1018248</v>
      </c>
      <c r="F11" s="130">
        <v>1018248</v>
      </c>
      <c r="G11" s="130">
        <v>3259502</v>
      </c>
      <c r="H11" s="48">
        <v>1628514</v>
      </c>
      <c r="I11" s="630">
        <v>1982</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16</v>
      </c>
      <c r="F16" s="28" t="str">
        <f t="array" ref="F16:F17">TRANSPOSE('ריכוז נתונים'!P16:Q16)</f>
        <v>מספר דפים סטטיים</v>
      </c>
      <c r="G16" s="47">
        <v>180</v>
      </c>
      <c r="I16" s="634" t="s">
        <v>72</v>
      </c>
      <c r="J16" s="635"/>
      <c r="M16" s="51" t="s">
        <v>116</v>
      </c>
      <c r="N16" s="50"/>
    </row>
    <row r="17" spans="3:26" ht="50.25" customHeight="1" x14ac:dyDescent="0.25">
      <c r="C17" s="51" t="str">
        <v>מספר הרצאות</v>
      </c>
      <c r="D17" s="47">
        <v>22</v>
      </c>
      <c r="F17" s="26" t="str">
        <v xml:space="preserve">איכות האתר </v>
      </c>
      <c r="G17" s="49" t="s">
        <v>106</v>
      </c>
      <c r="I17" s="25" t="s">
        <v>809</v>
      </c>
      <c r="J17" s="48">
        <v>668471</v>
      </c>
      <c r="M17" s="28" t="s">
        <v>160</v>
      </c>
      <c r="N17" s="47"/>
    </row>
    <row r="18" spans="3:26" ht="63" x14ac:dyDescent="0.25">
      <c r="C18" s="51" t="str">
        <v>מתוכם מספר הרצאות שנערכו על ידי מישהו בעל תואר שלישי בתחום בו ניתנה הפעילות:</v>
      </c>
      <c r="D18" s="47">
        <v>7</v>
      </c>
      <c r="I18" s="25" t="s">
        <v>810</v>
      </c>
      <c r="J18" s="136">
        <f>F11</f>
        <v>1018248</v>
      </c>
      <c r="M18" s="28" t="s">
        <v>161</v>
      </c>
      <c r="N18" s="47"/>
    </row>
    <row r="19" spans="3:26" x14ac:dyDescent="0.25">
      <c r="C19" s="51" t="str">
        <v>מספר ימי עיון</v>
      </c>
      <c r="D19" s="47">
        <v>0</v>
      </c>
      <c r="M19" s="28" t="s">
        <v>162</v>
      </c>
      <c r="N19" s="47"/>
    </row>
    <row r="20" spans="3:26" ht="63" x14ac:dyDescent="0.25">
      <c r="C20" s="51" t="str">
        <v>מתוכם מספר ימי עיון שנערכו על ידי מישהו בעל תואר שלישי בתחום בו ניתנה הפעילות:</v>
      </c>
      <c r="D20" s="47">
        <v>0</v>
      </c>
      <c r="I20" s="634" t="str">
        <f>פרמטרים!B101</f>
        <v>תיעוד ושימור החומר הארכיונאי</v>
      </c>
      <c r="J20" s="635"/>
      <c r="M20" s="28" t="s">
        <v>163</v>
      </c>
      <c r="N20" s="47"/>
    </row>
    <row r="21" spans="3:26" ht="94.5" x14ac:dyDescent="0.25">
      <c r="C21" s="51" t="str">
        <v>מספר הפקות מורכבות</v>
      </c>
      <c r="D21" s="47">
        <v>16</v>
      </c>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v>0</v>
      </c>
    </row>
    <row r="23" spans="3:26" ht="31.5" x14ac:dyDescent="0.25">
      <c r="C23" s="51" t="str">
        <v>מספר הפקות מורכבות מקוריות</v>
      </c>
      <c r="D23" s="47">
        <v>13</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0</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AX8cofI10JvIJkaWQ8oYk6mF5vYAF2diMxP9jcqtpE9dHOiIPpcQlLfJf9rmxthOpDe97PRJaoCqjI/CaMQUew==" saltValue="LtBcjeESBHyTHyE+gz+cmw==" spinCount="100000" sheet="1" scenarios="1" formatColumns="0" formatRows="0" autoFilter="0"/>
  <mergeCells count="27">
    <mergeCell ref="C10:D10"/>
    <mergeCell ref="I10:J10"/>
    <mergeCell ref="K10:L10"/>
    <mergeCell ref="D3:F3"/>
    <mergeCell ref="V3:Z3"/>
    <mergeCell ref="C5:N5"/>
    <mergeCell ref="C7:D7"/>
    <mergeCell ref="G7:H7"/>
    <mergeCell ref="I7:J7"/>
    <mergeCell ref="K7:L7"/>
    <mergeCell ref="M7:N7"/>
    <mergeCell ref="C8:D8"/>
    <mergeCell ref="G8:H8"/>
    <mergeCell ref="I8:J8"/>
    <mergeCell ref="K8:L8"/>
    <mergeCell ref="M8:N8"/>
    <mergeCell ref="I16:J16"/>
    <mergeCell ref="I20:J20"/>
    <mergeCell ref="C26:F26"/>
    <mergeCell ref="H26:L26"/>
    <mergeCell ref="C11:D11"/>
    <mergeCell ref="I11:J11"/>
    <mergeCell ref="K11:L11"/>
    <mergeCell ref="C13:N13"/>
    <mergeCell ref="C15:D15"/>
    <mergeCell ref="F15:G15"/>
    <mergeCell ref="M15:N15"/>
  </mergeCells>
  <conditionalFormatting sqref="F8">
    <cfRule type="expression" dxfId="6" priority="1">
      <formula>IF($C8="",0,1)</formula>
    </cfRule>
  </conditionalFormatting>
  <dataValidations count="12">
    <dataValidation type="decimal" operator="greaterThanOrEqual" allowBlank="1" showInputMessage="1" showErrorMessage="1" errorTitle="הזנה שגויה" sqref="H11" xr:uid="{00000000-0002-0000-3A00-000000000000}">
      <formula1>0</formula1>
    </dataValidation>
    <dataValidation type="list" allowBlank="1" showInputMessage="1" showErrorMessage="1" sqref="I3 I24" xr:uid="{00000000-0002-0000-3A00-000001000000}">
      <formula1>"0,1"</formula1>
    </dataValidation>
    <dataValidation type="decimal" operator="greaterThan" allowBlank="1" showInputMessage="1" showErrorMessage="1" errorTitle="הזנה שגויה" sqref="K8:N8" xr:uid="{00000000-0002-0000-3A00-000002000000}">
      <formula1>-999999999</formula1>
    </dataValidation>
    <dataValidation type="list" allowBlank="1" showInputMessage="1" showErrorMessage="1" sqref="E28:E77" xr:uid="{00000000-0002-0000-3A00-000003000000}">
      <formula1>U28:V28</formula1>
    </dataValidation>
    <dataValidation operator="greaterThanOrEqual" allowBlank="1" showInputMessage="1" showErrorMessage="1" errorTitle="הזנה שגויה" sqref="C8:D8" xr:uid="{00000000-0002-0000-3A00-000004000000}"/>
    <dataValidation type="whole" allowBlank="1" showInputMessage="1" showErrorMessage="1" errorTitle="הזנה שגויה" sqref="J17" xr:uid="{00000000-0002-0000-3A00-000005000000}">
      <formula1>0</formula1>
      <formula2>J18</formula2>
    </dataValidation>
    <dataValidation type="whole" operator="greaterThanOrEqual" allowBlank="1" showInputMessage="1" showErrorMessage="1" errorTitle="הזנה שגויה" sqref="J18 C11:E11 G11" xr:uid="{00000000-0002-0000-3A00-000006000000}">
      <formula1>0</formula1>
    </dataValidation>
    <dataValidation type="list" allowBlank="1" showInputMessage="1" showErrorMessage="1" sqref="J21" xr:uid="{00000000-0002-0000-3A00-000007000000}">
      <formula1>$V$15:$W$15</formula1>
    </dataValidation>
    <dataValidation allowBlank="1" showInputMessage="1" showErrorMessage="1" errorTitle="ערך לא חוקי" error="יש להזין ציון בין 0 ל-60" sqref="N18" xr:uid="{00000000-0002-0000-3A00-000008000000}"/>
    <dataValidation type="list" allowBlank="1" showInputMessage="1" showErrorMessage="1" sqref="N16" xr:uid="{00000000-0002-0000-3A00-000009000000}">
      <formula1>$V$9:$Y$9</formula1>
    </dataValidation>
    <dataValidation type="list" allowBlank="1" showInputMessage="1" showErrorMessage="1" sqref="G17" xr:uid="{00000000-0002-0000-3A00-00000A000000}">
      <formula1>$V$7:$X$7</formula1>
    </dataValidation>
    <dataValidation type="list" allowBlank="1" showInputMessage="1" showErrorMessage="1" sqref="N19:N21 K28:K77 G8 K11:L11" xr:uid="{00000000-0002-0000-3A00-00000B000000}">
      <formula1>$V$5:$W$5</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גיליון62">
    <tabColor rgb="FF002060"/>
    <pageSetUpPr fitToPage="1"/>
  </sheetPr>
  <dimension ref="C2:Z79"/>
  <sheetViews>
    <sheetView rightToLeft="1" view="pageBreakPreview" topLeftCell="A22" zoomScale="75" zoomScaleNormal="8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45</v>
      </c>
      <c r="E3" s="624"/>
      <c r="F3" s="625"/>
      <c r="H3" s="26" t="s">
        <v>310</v>
      </c>
      <c r="I3" s="47">
        <v>1</v>
      </c>
      <c r="L3" s="222" t="s">
        <v>311</v>
      </c>
      <c r="M3" s="221" t="str">
        <f ca="1">"גיליון הזנה "&amp;INDEX('ריכוז נתונים'!$C$17:$C$76,MATCH(D3,'ריכוז נתונים'!$B$17:$B$76,0))</f>
        <v>גיליון הזנה 45</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436">
        <v>354428.48</v>
      </c>
      <c r="G8" s="630" t="s">
        <v>32</v>
      </c>
      <c r="H8" s="631"/>
      <c r="I8" s="632">
        <v>0</v>
      </c>
      <c r="J8" s="633"/>
      <c r="K8" s="628">
        <v>-1721384</v>
      </c>
      <c r="L8" s="629"/>
      <c r="M8" s="628">
        <v>-848647</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4616109</v>
      </c>
      <c r="D11" s="633"/>
      <c r="E11" s="130">
        <v>933202</v>
      </c>
      <c r="F11" s="130">
        <v>933202</v>
      </c>
      <c r="G11" s="130">
        <v>5569429</v>
      </c>
      <c r="H11" s="48">
        <v>825131</v>
      </c>
      <c r="I11" s="630">
        <v>2004</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7</v>
      </c>
      <c r="F16" s="28" t="str">
        <f t="array" ref="F16:F17">TRANSPOSE('ריכוז נתונים'!P16:Q16)</f>
        <v>מספר דפים סטטיים</v>
      </c>
      <c r="G16" s="47">
        <v>384</v>
      </c>
      <c r="I16" s="634" t="s">
        <v>72</v>
      </c>
      <c r="J16" s="635"/>
      <c r="M16" s="51" t="s">
        <v>116</v>
      </c>
      <c r="N16" s="50" t="s">
        <v>120</v>
      </c>
    </row>
    <row r="17" spans="3:26" ht="50.25" customHeight="1" x14ac:dyDescent="0.25">
      <c r="C17" s="51" t="str">
        <v>מספר הרצאות</v>
      </c>
      <c r="D17" s="47">
        <v>18</v>
      </c>
      <c r="F17" s="26" t="str">
        <v xml:space="preserve">איכות האתר </v>
      </c>
      <c r="G17" s="49" t="s">
        <v>106</v>
      </c>
      <c r="I17" s="25" t="s">
        <v>809</v>
      </c>
      <c r="J17" s="48">
        <v>420000</v>
      </c>
      <c r="M17" s="28" t="s">
        <v>160</v>
      </c>
      <c r="N17" s="47">
        <v>12</v>
      </c>
    </row>
    <row r="18" spans="3:26" ht="63" x14ac:dyDescent="0.25">
      <c r="C18" s="51" t="str">
        <v>מתוכם מספר הרצאות שנערכו על ידי מישהו בעל תואר שלישי בתחום בו ניתנה הפעילות:</v>
      </c>
      <c r="D18" s="47">
        <v>0</v>
      </c>
      <c r="I18" s="25" t="s">
        <v>810</v>
      </c>
      <c r="J18" s="136">
        <f>F11</f>
        <v>933202</v>
      </c>
      <c r="M18" s="28" t="s">
        <v>161</v>
      </c>
      <c r="N18" s="47">
        <v>500</v>
      </c>
    </row>
    <row r="19" spans="3:26" x14ac:dyDescent="0.25">
      <c r="C19" s="51" t="str">
        <v>מספר ימי עיון</v>
      </c>
      <c r="D19" s="47">
        <v>2</v>
      </c>
      <c r="M19" s="28" t="s">
        <v>162</v>
      </c>
      <c r="N19" s="47" t="s">
        <v>31</v>
      </c>
    </row>
    <row r="20" spans="3:26" ht="63" x14ac:dyDescent="0.25">
      <c r="C20" s="51" t="str">
        <v>מתוכם מספר ימי עיון שנערכו על ידי מישהו בעל תואר שלישי בתחום בו ניתנה הפעילות:</v>
      </c>
      <c r="D20" s="47">
        <v>0</v>
      </c>
      <c r="I20" s="634" t="str">
        <f>פרמטרים!B101</f>
        <v>תיעוד ושימור החומר הארכיונאי</v>
      </c>
      <c r="J20" s="635"/>
      <c r="M20" s="28" t="s">
        <v>163</v>
      </c>
      <c r="N20" s="47" t="s">
        <v>31</v>
      </c>
    </row>
    <row r="21" spans="3:26" ht="94.5" x14ac:dyDescent="0.25">
      <c r="C21" s="51" t="str">
        <v>מספר הפקות מורכבות</v>
      </c>
      <c r="D21" s="47">
        <v>4</v>
      </c>
      <c r="I21" s="26" t="str">
        <f>פרמטרים!B102</f>
        <v>היקף החומר הארכיוני בתחום המורשת אשר ברשותו הועלה לאתר האינטרנט של המוסד:</v>
      </c>
      <c r="J21" s="48" t="s">
        <v>129</v>
      </c>
      <c r="M21" s="28" t="s">
        <v>328</v>
      </c>
      <c r="N21" s="47" t="s">
        <v>32</v>
      </c>
    </row>
    <row r="22" spans="3:26" ht="31.5" x14ac:dyDescent="0.25">
      <c r="C22" s="51" t="str">
        <v>מתוכם הפקות מורכבות שהם קופרודוקציה</v>
      </c>
      <c r="D22" s="47">
        <v>0</v>
      </c>
    </row>
    <row r="23" spans="3:26" ht="31.5" x14ac:dyDescent="0.25">
      <c r="C23" s="51" t="str">
        <v>מספר הפקות מורכבות מקוריות</v>
      </c>
      <c r="D23" s="47">
        <v>4</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1</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t="s">
        <v>500</v>
      </c>
      <c r="D28" s="47">
        <v>104</v>
      </c>
      <c r="E28" s="47" t="s">
        <v>341</v>
      </c>
      <c r="F28" s="91">
        <f>IF(C28="","",D28*IF(E28=$U$27,פרמטרים!$C$39,IF(E28=$V$27,פרמטרים!$C$40,0)))</f>
        <v>104</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xml:space="preserve">קבועה </v>
      </c>
      <c r="V28" s="42" t="str">
        <f t="shared" si="0"/>
        <v>מתחלפת</v>
      </c>
      <c r="W28" s="42" t="str">
        <f t="shared" si="0"/>
        <v>כן</v>
      </c>
      <c r="X28" s="42" t="str">
        <f t="shared" si="0"/>
        <v>לא</v>
      </c>
      <c r="Z28" s="42">
        <f>IF(E28=$V$27,D28*פרמטרים!$C$40,0)</f>
        <v>104</v>
      </c>
    </row>
    <row r="29" spans="3:26" x14ac:dyDescent="0.25">
      <c r="C29" s="47" t="s">
        <v>501</v>
      </c>
      <c r="D29" s="47">
        <v>104</v>
      </c>
      <c r="E29" s="47" t="s">
        <v>340</v>
      </c>
      <c r="F29" s="91">
        <f>IF(C29="","",D29*IF(E29=$U$27,פרמטרים!$C$39,IF(E29=$V$27,פרמטרים!$C$40,0)))</f>
        <v>208</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xml:space="preserve">קבועה </v>
      </c>
      <c r="V29" s="42" t="str">
        <f t="shared" si="0"/>
        <v>מתחלפת</v>
      </c>
      <c r="W29" s="42" t="str">
        <f t="shared" si="0"/>
        <v>כן</v>
      </c>
      <c r="X29" s="42" t="str">
        <f t="shared" si="0"/>
        <v>לא</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312</v>
      </c>
      <c r="L78" s="92">
        <f>SUM(L28:L77)</f>
        <v>0</v>
      </c>
    </row>
    <row r="79" spans="3:26" x14ac:dyDescent="0.25">
      <c r="F79" s="42">
        <f>COUNTIF(H78:H78,"מתחלפת")</f>
        <v>0</v>
      </c>
    </row>
  </sheetData>
  <sheetProtection algorithmName="SHA-512" hashValue="0z/cNElMDp+/l7NLvA8wNcb6nuu8vlHNik+X8coiafzYVIIX1w1fLISbkzzU9oLSEirQURlusYfN8AF4Qb4zkQ==" saltValue="6m11/zrqYfGXSvSv7zB2EA=="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5" priority="1">
      <formula>IF($C8="",0,1)</formula>
    </cfRule>
  </conditionalFormatting>
  <dataValidations count="13">
    <dataValidation type="list" allowBlank="1" showInputMessage="1" showErrorMessage="1" sqref="N16" xr:uid="{00000000-0002-0000-3800-000000000000}">
      <formula1>$V$9:$Y$9</formula1>
    </dataValidation>
    <dataValidation type="list" allowBlank="1" showInputMessage="1" showErrorMessage="1" sqref="G17" xr:uid="{00000000-0002-0000-3800-000001000000}">
      <formula1>$V$7:$X$7</formula1>
    </dataValidation>
    <dataValidation type="list" allowBlank="1" showInputMessage="1" showErrorMessage="1" sqref="K11:L11 K28:K77 G8 N19:N21" xr:uid="{00000000-0002-0000-3800-000002000000}">
      <formula1>$V$5:$W$5</formula1>
    </dataValidation>
    <dataValidation allowBlank="1" showInputMessage="1" showErrorMessage="1" errorTitle="ערך לא חוקי" error="יש להזין ציון בין 0 ל-60" sqref="N18" xr:uid="{00000000-0002-0000-3800-000003000000}"/>
    <dataValidation type="whole" allowBlank="1" showInputMessage="1" showErrorMessage="1" sqref="E8:F8" xr:uid="{00000000-0002-0000-3800-000004000000}">
      <formula1>0</formula1>
      <formula2>9.99999999999999E+55</formula2>
    </dataValidation>
    <dataValidation type="list" allowBlank="1" showInputMessage="1" showErrorMessage="1" sqref="J21" xr:uid="{00000000-0002-0000-3800-000005000000}">
      <formula1>$V$15:$W$15</formula1>
    </dataValidation>
    <dataValidation type="whole" operator="greaterThanOrEqual" allowBlank="1" showInputMessage="1" showErrorMessage="1" errorTitle="הזנה שגויה" sqref="J18 C11:E11 G11" xr:uid="{00000000-0002-0000-3800-000006000000}">
      <formula1>0</formula1>
    </dataValidation>
    <dataValidation type="whole" allowBlank="1" showInputMessage="1" showErrorMessage="1" errorTitle="הזנה שגויה" sqref="J17" xr:uid="{00000000-0002-0000-3800-000007000000}">
      <formula1>0</formula1>
      <formula2>J18</formula2>
    </dataValidation>
    <dataValidation operator="greaterThanOrEqual" allowBlank="1" showInputMessage="1" showErrorMessage="1" errorTitle="הזנה שגויה" sqref="C8:D8" xr:uid="{00000000-0002-0000-3800-000008000000}"/>
    <dataValidation type="list" allowBlank="1" showInputMessage="1" showErrorMessage="1" sqref="E28:E77" xr:uid="{00000000-0002-0000-3800-000009000000}">
      <formula1>U28:V28</formula1>
    </dataValidation>
    <dataValidation type="decimal" operator="greaterThan" allowBlank="1" showInputMessage="1" showErrorMessage="1" errorTitle="הזנה שגויה" sqref="K8:N8" xr:uid="{00000000-0002-0000-3800-00000A000000}">
      <formula1>-999999999</formula1>
    </dataValidation>
    <dataValidation type="list" allowBlank="1" showInputMessage="1" showErrorMessage="1" sqref="I3 I24" xr:uid="{00000000-0002-0000-3800-00000B000000}">
      <formula1>"0,1"</formula1>
    </dataValidation>
    <dataValidation type="decimal" operator="greaterThanOrEqual" allowBlank="1" showInputMessage="1" showErrorMessage="1" errorTitle="הזנה שגויה" sqref="H11" xr:uid="{00000000-0002-0000-38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גיליון45">
    <tabColor theme="8" tint="-0.249977111117893"/>
    <pageSetUpPr fitToPage="1"/>
  </sheetPr>
  <dimension ref="C2:Z79"/>
  <sheetViews>
    <sheetView rightToLeft="1" view="pageBreakPreview" topLeftCell="A13" zoomScale="75" zoomScaleNormal="80" zoomScaleSheetLayoutView="75" workbookViewId="0">
      <selection activeCell="D24" sqref="D24"/>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28</v>
      </c>
      <c r="E3" s="624"/>
      <c r="F3" s="625"/>
      <c r="H3" s="26" t="s">
        <v>310</v>
      </c>
      <c r="I3" s="47">
        <v>1</v>
      </c>
      <c r="L3" s="222" t="s">
        <v>311</v>
      </c>
      <c r="M3" s="221" t="str">
        <f ca="1">"גיליון הזנה "&amp;INDEX('ריכוז נתונים'!$C$17:$C$76,MATCH(D3,'ריכוז נתונים'!$B$17:$B$76,0))</f>
        <v>גיליון הזנה 28</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326</v>
      </c>
      <c r="J17" s="48"/>
      <c r="M17" s="28" t="s">
        <v>160</v>
      </c>
      <c r="N17" s="47"/>
    </row>
    <row r="18" spans="3:26" ht="63" x14ac:dyDescent="0.25">
      <c r="C18" s="51" t="str">
        <v>מתוכם מספר הרצאות שנערכו על ידי מישהו בעל תואר שלישי בתחום בו ניתנה הפעילות:</v>
      </c>
      <c r="D18" s="47"/>
      <c r="I18" s="26" t="s">
        <v>327</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s3icICS18M2PoGpRSshKey2rZuE+F/VMrU92j961UxNSeJpA9q/7Mf/+U7Kr6EfMq1uEX0lOavQae2BpegAyg==" saltValue="8P7LikR7yl+KdAorarVpLA=="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N16" xr:uid="{00000000-0002-0000-3900-000000000000}">
      <formula1>$V$9:$Y$9</formula1>
    </dataValidation>
    <dataValidation type="list" allowBlank="1" showInputMessage="1" showErrorMessage="1" sqref="G17" xr:uid="{00000000-0002-0000-3900-000001000000}">
      <formula1>$V$7:$X$7</formula1>
    </dataValidation>
    <dataValidation type="list" allowBlank="1" showInputMessage="1" showErrorMessage="1" sqref="K11:L11 K28:K77 G8 N19:N21" xr:uid="{00000000-0002-0000-3900-000002000000}">
      <formula1>$V$5:$W$5</formula1>
    </dataValidation>
    <dataValidation allowBlank="1" showInputMessage="1" showErrorMessage="1" errorTitle="ערך לא חוקי" error="יש להזין ציון בין 0 ל-60" sqref="N18" xr:uid="{00000000-0002-0000-3900-000003000000}"/>
    <dataValidation type="whole" allowBlank="1" showInputMessage="1" showErrorMessage="1" sqref="E8:F8" xr:uid="{00000000-0002-0000-3900-000004000000}">
      <formula1>0</formula1>
      <formula2>9.99999999999999E+55</formula2>
    </dataValidation>
    <dataValidation type="list" allowBlank="1" showInputMessage="1" showErrorMessage="1" sqref="J21" xr:uid="{00000000-0002-0000-3900-000005000000}">
      <formula1>$V$15:$W$15</formula1>
    </dataValidation>
    <dataValidation type="whole" operator="greaterThanOrEqual" allowBlank="1" showInputMessage="1" showErrorMessage="1" errorTitle="הזנה שגויה" sqref="J18 C11:E11 G11" xr:uid="{00000000-0002-0000-3900-000006000000}">
      <formula1>0</formula1>
    </dataValidation>
    <dataValidation type="whole" allowBlank="1" showInputMessage="1" showErrorMessage="1" errorTitle="הזנה שגויה" sqref="J17" xr:uid="{00000000-0002-0000-3900-000007000000}">
      <formula1>0</formula1>
      <formula2>J18</formula2>
    </dataValidation>
    <dataValidation operator="greaterThanOrEqual" allowBlank="1" showInputMessage="1" showErrorMessage="1" errorTitle="הזנה שגויה" sqref="C8:D8" xr:uid="{00000000-0002-0000-3900-000008000000}"/>
    <dataValidation type="list" allowBlank="1" showInputMessage="1" showErrorMessage="1" sqref="E28:E77" xr:uid="{00000000-0002-0000-3900-000009000000}">
      <formula1>U28:V28</formula1>
    </dataValidation>
    <dataValidation type="decimal" operator="greaterThan" allowBlank="1" showInputMessage="1" showErrorMessage="1" errorTitle="הזנה שגויה" sqref="K8:N8" xr:uid="{00000000-0002-0000-3900-00000A000000}">
      <formula1>-999999999</formula1>
    </dataValidation>
    <dataValidation type="list" allowBlank="1" showInputMessage="1" showErrorMessage="1" sqref="I3 I24" xr:uid="{00000000-0002-0000-3900-00000B000000}">
      <formula1>"0,1"</formula1>
    </dataValidation>
    <dataValidation type="decimal" operator="greaterThanOrEqual" allowBlank="1" showInputMessage="1" showErrorMessage="1" errorTitle="הזנה שגויה" sqref="H11" xr:uid="{00000000-0002-0000-39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גיליון63">
    <tabColor rgb="FF002060"/>
    <pageSetUpPr fitToPage="1"/>
  </sheetPr>
  <dimension ref="C2:Z79"/>
  <sheetViews>
    <sheetView rightToLeft="1" view="pageBreakPreview" topLeftCell="A11" zoomScale="75" zoomScaleNormal="80" zoomScaleSheetLayoutView="75" workbookViewId="0">
      <selection activeCell="N21" sqref="N21"/>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ענבל מרכז אתני</v>
      </c>
      <c r="E3" s="624"/>
      <c r="F3" s="625"/>
      <c r="H3" s="26" t="s">
        <v>310</v>
      </c>
      <c r="I3" s="47">
        <v>1</v>
      </c>
      <c r="L3" s="222" t="s">
        <v>311</v>
      </c>
      <c r="M3" s="221" t="str">
        <f ca="1">"גיליון הזנה "&amp;INDEX('ריכוז נתונים'!$C$17:$C$76,MATCH(D3,'ריכוז נתונים'!$B$17:$B$76,0))</f>
        <v>גיליון הזנה 46</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6.7846799763668003E-2</v>
      </c>
      <c r="F8" s="436">
        <v>828405.49</v>
      </c>
      <c r="G8" s="630" t="s">
        <v>32</v>
      </c>
      <c r="H8" s="631"/>
      <c r="I8" s="632">
        <v>0</v>
      </c>
      <c r="J8" s="633"/>
      <c r="K8" s="628">
        <v>-632603</v>
      </c>
      <c r="L8" s="629"/>
      <c r="M8" s="628">
        <v>326875</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4528385</v>
      </c>
      <c r="D11" s="633"/>
      <c r="E11" s="130">
        <v>2003570</v>
      </c>
      <c r="F11" s="130">
        <v>2003570</v>
      </c>
      <c r="G11" s="130">
        <v>4390215</v>
      </c>
      <c r="H11" s="48">
        <v>1773889</v>
      </c>
      <c r="I11" s="630">
        <v>1987</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0</v>
      </c>
      <c r="F16" s="28" t="str">
        <f t="array" ref="F16:F17">TRANSPOSE('ריכוז נתונים'!P16:Q16)</f>
        <v>מספר דפים סטטיים</v>
      </c>
      <c r="G16" s="47">
        <v>32</v>
      </c>
      <c r="I16" s="634" t="s">
        <v>72</v>
      </c>
      <c r="J16" s="635"/>
      <c r="M16" s="51" t="s">
        <v>116</v>
      </c>
      <c r="N16" s="50"/>
    </row>
    <row r="17" spans="3:26" ht="50.25" customHeight="1" x14ac:dyDescent="0.25">
      <c r="C17" s="51" t="str">
        <v>מספר הרצאות</v>
      </c>
      <c r="D17" s="47">
        <v>0</v>
      </c>
      <c r="F17" s="26" t="str">
        <v xml:space="preserve">איכות האתר </v>
      </c>
      <c r="G17" s="49"/>
      <c r="I17" s="25" t="s">
        <v>809</v>
      </c>
      <c r="J17" s="48">
        <v>898664</v>
      </c>
      <c r="M17" s="28" t="s">
        <v>160</v>
      </c>
      <c r="N17" s="47"/>
    </row>
    <row r="18" spans="3:26" ht="63" x14ac:dyDescent="0.25">
      <c r="C18" s="51" t="str">
        <v>מתוכם מספר הרצאות שנערכו על ידי מישהו בעל תואר שלישי בתחום בו ניתנה הפעילות:</v>
      </c>
      <c r="D18" s="47">
        <v>0</v>
      </c>
      <c r="I18" s="25" t="s">
        <v>810</v>
      </c>
      <c r="J18" s="136">
        <f>F11</f>
        <v>2003570</v>
      </c>
      <c r="M18" s="28" t="s">
        <v>161</v>
      </c>
      <c r="N18" s="47"/>
    </row>
    <row r="19" spans="3:26" x14ac:dyDescent="0.25">
      <c r="C19" s="51" t="str">
        <v>מספר ימי עיון</v>
      </c>
      <c r="D19" s="47">
        <v>3</v>
      </c>
      <c r="M19" s="28" t="s">
        <v>162</v>
      </c>
      <c r="N19" s="47"/>
    </row>
    <row r="20" spans="3:26" ht="63" x14ac:dyDescent="0.25">
      <c r="C20" s="51" t="str">
        <v>מתוכם מספר ימי עיון שנערכו על ידי מישהו בעל תואר שלישי בתחום בו ניתנה הפעילות:</v>
      </c>
      <c r="D20" s="47">
        <v>2</v>
      </c>
      <c r="I20" s="634" t="str">
        <f>פרמטרים!B101</f>
        <v>תיעוד ושימור החומר הארכיונאי</v>
      </c>
      <c r="J20" s="635"/>
      <c r="M20" s="28" t="s">
        <v>163</v>
      </c>
      <c r="N20" s="47"/>
    </row>
    <row r="21" spans="3:26" ht="94.5" x14ac:dyDescent="0.25">
      <c r="C21" s="51" t="str">
        <v>מספר הפקות מורכבות</v>
      </c>
      <c r="D21" s="47">
        <v>30</v>
      </c>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v>7</v>
      </c>
    </row>
    <row r="23" spans="3:26" ht="31.5" x14ac:dyDescent="0.25">
      <c r="C23" s="51" t="str">
        <v>מספר הפקות מורכבות מקוריות</v>
      </c>
      <c r="D23" s="47">
        <v>29</v>
      </c>
    </row>
    <row r="24" spans="3:26" ht="47.25" x14ac:dyDescent="0.25">
      <c r="C24" s="51" t="str">
        <v>מתוכם הפקות מורכבות מקוריות שהם קופרודוקציה</v>
      </c>
      <c r="D24" s="47">
        <v>7</v>
      </c>
      <c r="H24" s="51" t="s">
        <v>329</v>
      </c>
      <c r="I24" s="47">
        <v>1</v>
      </c>
    </row>
    <row r="25" spans="3:26" x14ac:dyDescent="0.25">
      <c r="C25" s="51" t="str">
        <v>ארוע רב משתתפים</v>
      </c>
      <c r="D25" s="47">
        <v>0</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t="s">
        <v>502</v>
      </c>
      <c r="D28" s="47">
        <v>65</v>
      </c>
      <c r="E28" s="47" t="s">
        <v>340</v>
      </c>
      <c r="F28" s="91">
        <f>IF(C28="","",D28*IF(E28=$U$27,פרמטרים!$C$39,IF(E28=$V$27,פרמטרים!$C$40,0)))</f>
        <v>130</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xml:space="preserve">קבועה </v>
      </c>
      <c r="V28" s="42" t="str">
        <f t="shared" si="0"/>
        <v>מתחלפת</v>
      </c>
      <c r="W28" s="42" t="str">
        <f t="shared" si="0"/>
        <v>כן</v>
      </c>
      <c r="X28" s="42" t="str">
        <f t="shared" si="0"/>
        <v>לא</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130</v>
      </c>
      <c r="L78" s="92">
        <f>SUM(L28:L77)</f>
        <v>0</v>
      </c>
    </row>
    <row r="79" spans="3:26" x14ac:dyDescent="0.25">
      <c r="F79" s="42">
        <f>COUNTIF(H78:H78,"מתחלפת")</f>
        <v>0</v>
      </c>
    </row>
  </sheetData>
  <sheetProtection algorithmName="SHA-512" hashValue="4IjU9dc7gupZsqkTpqnFFeLWjADmuJSGMvLSR/vXiqEBamkBUu4jtz/7lHGRaUDk6wem0f94E1StH9VaIWTSxg==" saltValue="e0uy7JTKmfZ8EmfXE6UaDg=="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4" priority="1">
      <formula>IF($C8="",0,1)</formula>
    </cfRule>
  </conditionalFormatting>
  <dataValidations count="13">
    <dataValidation type="list" allowBlank="1" showInputMessage="1" showErrorMessage="1" sqref="K11:L11 K28:K77 G8 N19:N21" xr:uid="{00000000-0002-0000-3B00-000000000000}">
      <formula1>$V$5:$W$5</formula1>
    </dataValidation>
    <dataValidation type="list" allowBlank="1" showInputMessage="1" showErrorMessage="1" sqref="G17" xr:uid="{00000000-0002-0000-3B00-000001000000}">
      <formula1>$V$7:$X$7</formula1>
    </dataValidation>
    <dataValidation type="list" allowBlank="1" showInputMessage="1" showErrorMessage="1" sqref="N16" xr:uid="{00000000-0002-0000-3B00-000002000000}">
      <formula1>$V$9:$Y$9</formula1>
    </dataValidation>
    <dataValidation allowBlank="1" showInputMessage="1" showErrorMessage="1" errorTitle="ערך לא חוקי" error="יש להזין ציון בין 0 ל-60" sqref="N18" xr:uid="{00000000-0002-0000-3B00-000003000000}"/>
    <dataValidation type="whole" allowBlank="1" showInputMessage="1" showErrorMessage="1" sqref="E8:F8" xr:uid="{00000000-0002-0000-3B00-000004000000}">
      <formula1>0</formula1>
      <formula2>9.99999999999999E+55</formula2>
    </dataValidation>
    <dataValidation type="list" allowBlank="1" showInputMessage="1" showErrorMessage="1" sqref="J21" xr:uid="{00000000-0002-0000-3B00-000005000000}">
      <formula1>$V$15:$W$15</formula1>
    </dataValidation>
    <dataValidation type="whole" operator="greaterThanOrEqual" allowBlank="1" showInputMessage="1" showErrorMessage="1" errorTitle="הזנה שגויה" sqref="J18 C11:E11 G11" xr:uid="{00000000-0002-0000-3B00-000006000000}">
      <formula1>0</formula1>
    </dataValidation>
    <dataValidation type="whole" allowBlank="1" showInputMessage="1" showErrorMessage="1" errorTitle="הזנה שגויה" sqref="J17" xr:uid="{00000000-0002-0000-3B00-000007000000}">
      <formula1>0</formula1>
      <formula2>J18</formula2>
    </dataValidation>
    <dataValidation operator="greaterThanOrEqual" allowBlank="1" showInputMessage="1" showErrorMessage="1" errorTitle="הזנה שגויה" sqref="C8:D8" xr:uid="{00000000-0002-0000-3B00-000008000000}"/>
    <dataValidation type="list" allowBlank="1" showInputMessage="1" showErrorMessage="1" sqref="E28:E77" xr:uid="{00000000-0002-0000-3B00-000009000000}">
      <formula1>U28:V28</formula1>
    </dataValidation>
    <dataValidation type="decimal" operator="greaterThan" allowBlank="1" showInputMessage="1" showErrorMessage="1" errorTitle="הזנה שגויה" sqref="K8:N8" xr:uid="{00000000-0002-0000-3B00-00000A000000}">
      <formula1>-999999999</formula1>
    </dataValidation>
    <dataValidation type="list" allowBlank="1" showInputMessage="1" showErrorMessage="1" sqref="I3 I24" xr:uid="{00000000-0002-0000-3B00-00000B000000}">
      <formula1>"0,1"</formula1>
    </dataValidation>
    <dataValidation type="decimal" operator="greaterThanOrEqual" allowBlank="1" showInputMessage="1" showErrorMessage="1" errorTitle="הזנה שגויה" sqref="H11" xr:uid="{00000000-0002-0000-3B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גיליון64">
    <tabColor rgb="FF002060"/>
    <pageSetUpPr fitToPage="1"/>
  </sheetPr>
  <dimension ref="C2:Z79"/>
  <sheetViews>
    <sheetView rightToLeft="1" topLeftCell="E18" zoomScale="80" zoomScaleNormal="80" zoomScaleSheetLayoutView="80" workbookViewId="0">
      <selection activeCell="I30" sqref="I30"/>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3.8554687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א.ב. חדשות השומרונים</v>
      </c>
      <c r="E3" s="624"/>
      <c r="F3" s="625"/>
      <c r="H3" s="26" t="s">
        <v>310</v>
      </c>
      <c r="I3" s="47">
        <v>1</v>
      </c>
      <c r="L3" s="222" t="s">
        <v>311</v>
      </c>
      <c r="M3" s="221" t="str">
        <f ca="1">"גיליון הזנה "&amp;INDEX('ריכוז נתונים'!$C$17:$C$76,MATCH(D3,'ריכוז נתונים'!$B$17:$B$76,0))</f>
        <v>גיליון הזנה 47</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1.3334227959477613E-2</v>
      </c>
      <c r="F8" s="436">
        <v>162810.15</v>
      </c>
      <c r="G8" s="630" t="s">
        <v>32</v>
      </c>
      <c r="H8" s="631"/>
      <c r="I8" s="632">
        <v>0</v>
      </c>
      <c r="J8" s="633"/>
      <c r="K8" s="628">
        <v>6398</v>
      </c>
      <c r="L8" s="629"/>
      <c r="M8" s="628">
        <v>0</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259498</v>
      </c>
      <c r="D11" s="633"/>
      <c r="E11" s="130">
        <v>259498</v>
      </c>
      <c r="F11" s="130">
        <v>259498</v>
      </c>
      <c r="G11" s="130">
        <v>246338</v>
      </c>
      <c r="H11" s="48">
        <v>246338</v>
      </c>
      <c r="I11" s="630">
        <v>1981</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2</v>
      </c>
      <c r="F16" s="28" t="str">
        <f t="array" ref="F16:F17">TRANSPOSE('ריכוז נתונים'!P16:Q16)</f>
        <v>מספר דפים סטטיים</v>
      </c>
      <c r="G16" s="47">
        <v>300</v>
      </c>
      <c r="I16" s="634" t="s">
        <v>72</v>
      </c>
      <c r="J16" s="635"/>
      <c r="M16" s="51" t="s">
        <v>116</v>
      </c>
      <c r="N16" s="234" t="s">
        <v>120</v>
      </c>
    </row>
    <row r="17" spans="3:26" ht="50.25" customHeight="1" x14ac:dyDescent="0.25">
      <c r="C17" s="51" t="str">
        <v>מספר הרצאות</v>
      </c>
      <c r="D17" s="47">
        <v>5</v>
      </c>
      <c r="F17" s="26" t="str">
        <v xml:space="preserve">איכות האתר </v>
      </c>
      <c r="G17" s="49" t="s">
        <v>105</v>
      </c>
      <c r="I17" s="25" t="s">
        <v>809</v>
      </c>
      <c r="J17" s="48">
        <v>61698</v>
      </c>
      <c r="M17" s="28" t="s">
        <v>160</v>
      </c>
      <c r="N17" s="233">
        <v>84</v>
      </c>
    </row>
    <row r="18" spans="3:26" ht="63" x14ac:dyDescent="0.25">
      <c r="C18" s="51" t="str">
        <v>מתוכם מספר הרצאות שנערכו על ידי מישהו בעל תואר שלישי בתחום בו ניתנה הפעילות:</v>
      </c>
      <c r="D18" s="47">
        <v>0</v>
      </c>
      <c r="I18" s="25" t="s">
        <v>810</v>
      </c>
      <c r="J18" s="136">
        <f>F11</f>
        <v>259498</v>
      </c>
      <c r="M18" s="28" t="s">
        <v>161</v>
      </c>
      <c r="N18" s="233">
        <v>300</v>
      </c>
    </row>
    <row r="19" spans="3:26" x14ac:dyDescent="0.25">
      <c r="C19" s="51" t="str">
        <v>מספר ימי עיון</v>
      </c>
      <c r="D19" s="47">
        <v>0</v>
      </c>
      <c r="M19" s="28" t="s">
        <v>162</v>
      </c>
      <c r="N19" s="288" t="s">
        <v>32</v>
      </c>
    </row>
    <row r="20" spans="3:26" ht="63" x14ac:dyDescent="0.25">
      <c r="C20" s="51" t="str">
        <v>מתוכם מספר ימי עיון שנערכו על ידי מישהו בעל תואר שלישי בתחום בו ניתנה הפעילות:</v>
      </c>
      <c r="D20" s="47">
        <v>0</v>
      </c>
      <c r="I20" s="634" t="str">
        <f>פרמטרים!B101</f>
        <v>תיעוד ושימור החומר הארכיונאי</v>
      </c>
      <c r="J20" s="635"/>
      <c r="M20" s="28" t="s">
        <v>163</v>
      </c>
      <c r="N20" s="288" t="s">
        <v>32</v>
      </c>
    </row>
    <row r="21" spans="3:26" ht="94.5" x14ac:dyDescent="0.25">
      <c r="C21" s="51" t="str">
        <v>מספר הפקות מורכבות</v>
      </c>
      <c r="D21" s="47">
        <v>0</v>
      </c>
      <c r="I21" s="26" t="str">
        <f>פרמטרים!B102</f>
        <v>היקף החומר הארכיוני בתחום המורשת אשר ברשותו הועלה לאתר האינטרנט של המוסד:</v>
      </c>
      <c r="J21" s="48" t="s">
        <v>128</v>
      </c>
      <c r="M21" s="28" t="s">
        <v>328</v>
      </c>
      <c r="N21" s="288" t="s">
        <v>32</v>
      </c>
    </row>
    <row r="22" spans="3:26" ht="31.5" x14ac:dyDescent="0.25">
      <c r="C22" s="51" t="str">
        <v>מתוכם הפקות מורכבות שהם קופרודוקציה</v>
      </c>
      <c r="D22" s="47">
        <v>0</v>
      </c>
    </row>
    <row r="23" spans="3:26" ht="31.5" x14ac:dyDescent="0.25">
      <c r="C23" s="51" t="str">
        <v>מספר הפקות מורכבות מקוריות</v>
      </c>
      <c r="D23" s="47">
        <v>0</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1</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t="s">
        <v>503</v>
      </c>
      <c r="I28" s="226">
        <v>45092</v>
      </c>
      <c r="J28" s="47">
        <v>152</v>
      </c>
      <c r="K28" s="47" t="s">
        <v>32</v>
      </c>
      <c r="L28" s="91">
        <f t="shared" ref="L28:L33" si="0">IF(H28="","",IF(P28+R28=2,Q28,0))</f>
        <v>0</v>
      </c>
      <c r="P28" s="42">
        <f>IF(AND(I28&gt;=INDEX('הוראת שעה'!$B$5:$D$18,MATCH(פרמטרים!$C$3,'הוראת שעה'!$A$5:$A$18,1),IF($I$24=1,1,3)),I28&lt;=INDEX('הוראת שעה'!C$5:$E$18,MATCH(פרמטרים!$C$3,'הוראת שעה'!$A$5:$A$18,1),IF($I$24=1,1,3))),1,0)</f>
        <v>1</v>
      </c>
      <c r="Q28" s="42">
        <f>IF(J28&gt;=פרמטרים!$B$99,פרמטרים!$C$99,IF(J28&gt;=פרמטרים!$B$98,פרמטרים!$C$98,0))</f>
        <v>1</v>
      </c>
      <c r="R28" s="42">
        <f>IF(K28=$W$27,1,0)</f>
        <v>0</v>
      </c>
      <c r="U28" s="42" t="str">
        <f t="shared" ref="U28:X47" si="1">IF($C28="","",U$27)</f>
        <v/>
      </c>
      <c r="V28" s="42" t="str">
        <f t="shared" si="1"/>
        <v/>
      </c>
      <c r="W28" s="42" t="str">
        <f t="shared" si="1"/>
        <v/>
      </c>
      <c r="X28" s="42" t="str">
        <f t="shared" si="1"/>
        <v/>
      </c>
      <c r="Z28" s="42">
        <f>IF(E28=$V$27,D28*פרמטרים!$C$40,0)</f>
        <v>0</v>
      </c>
    </row>
    <row r="29" spans="3:26" x14ac:dyDescent="0.25">
      <c r="C29" s="47"/>
      <c r="D29" s="47"/>
      <c r="E29" s="47"/>
      <c r="F29" s="91" t="str">
        <f>IF(C29="","",D29*IF(E29=$U$27,פרמטרים!$C$39,IF(E29=$V$27,פרמטרים!$C$40,0)))</f>
        <v/>
      </c>
      <c r="H29" s="47" t="s">
        <v>504</v>
      </c>
      <c r="I29" s="226">
        <v>44896</v>
      </c>
      <c r="J29" s="47">
        <v>156</v>
      </c>
      <c r="K29" s="47" t="s">
        <v>31</v>
      </c>
      <c r="L29" s="91">
        <f t="shared" si="0"/>
        <v>1</v>
      </c>
      <c r="P29" s="42">
        <f>IF(AND(I29&gt;=INDEX('הוראת שעה'!$B$5:$D$18,MATCH(פרמטרים!$C$3,'הוראת שעה'!$A$5:$A$18,1),IF($I$24=1,1,3)),I29&lt;=INDEX('הוראת שעה'!C$5:$E$18,MATCH(פרמטרים!$C$3,'הוראת שעה'!$A$5:$A$18,1),IF($I$24=1,1,3))),1,0)</f>
        <v>1</v>
      </c>
      <c r="Q29" s="42">
        <f>IF(J29&gt;=פרמטרים!$B$99,פרמטרים!$C$99,IF(J29&gt;=פרמטרים!$B$98,פרמטרים!$C$98,0))</f>
        <v>1</v>
      </c>
      <c r="R29" s="42">
        <f t="shared" ref="R29:R77" si="2">IF(K29=$W$27,1,0)</f>
        <v>1</v>
      </c>
      <c r="U29" s="42" t="str">
        <f t="shared" si="1"/>
        <v/>
      </c>
      <c r="V29" s="42" t="str">
        <f t="shared" si="1"/>
        <v/>
      </c>
      <c r="W29" s="42" t="str">
        <f t="shared" si="1"/>
        <v/>
      </c>
      <c r="X29" s="42" t="str">
        <f t="shared" si="1"/>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0"/>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1"/>
        <v/>
      </c>
      <c r="V30" s="42" t="str">
        <f t="shared" si="1"/>
        <v/>
      </c>
      <c r="W30" s="42" t="str">
        <f t="shared" si="1"/>
        <v/>
      </c>
      <c r="X30" s="42" t="str">
        <f t="shared" si="1"/>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0"/>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1"/>
        <v/>
      </c>
      <c r="V31" s="42" t="str">
        <f t="shared" si="1"/>
        <v/>
      </c>
      <c r="W31" s="42" t="str">
        <f t="shared" si="1"/>
        <v/>
      </c>
      <c r="X31" s="42" t="str">
        <f t="shared" si="1"/>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0"/>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1"/>
        <v/>
      </c>
      <c r="V32" s="42" t="str">
        <f t="shared" si="1"/>
        <v/>
      </c>
      <c r="W32" s="42" t="str">
        <f t="shared" si="1"/>
        <v/>
      </c>
      <c r="X32" s="42" t="str">
        <f t="shared" si="1"/>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0"/>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1"/>
        <v/>
      </c>
      <c r="V33" s="42" t="str">
        <f t="shared" si="1"/>
        <v/>
      </c>
      <c r="W33" s="42" t="str">
        <f t="shared" si="1"/>
        <v/>
      </c>
      <c r="X33" s="42" t="str">
        <f t="shared" si="1"/>
        <v/>
      </c>
      <c r="Z33" s="42">
        <f>IF(E33=$V$27,D33*פרמטרים!$C$40,0)</f>
        <v>0</v>
      </c>
    </row>
    <row r="34" spans="3:26" x14ac:dyDescent="0.25">
      <c r="C34" s="47"/>
      <c r="D34" s="47"/>
      <c r="E34" s="47"/>
      <c r="F34" s="91" t="str">
        <f>IF(C34="","",D34*IF(E34=$U$27,פרמטרים!$C$39,IF(E34=$V$27,פרמטרים!$C$40,0)))</f>
        <v/>
      </c>
      <c r="H34" s="47"/>
      <c r="I34" s="226"/>
      <c r="J34" s="47"/>
      <c r="K34" s="47"/>
      <c r="L34" s="91" t="str">
        <f t="shared" ref="L34:L77" si="3">IF(H34="","",IF(P34+R34=2,Q34,0))</f>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1"/>
        <v/>
      </c>
      <c r="V34" s="42" t="str">
        <f t="shared" si="1"/>
        <v/>
      </c>
      <c r="W34" s="42" t="str">
        <f t="shared" si="1"/>
        <v/>
      </c>
      <c r="X34" s="42" t="str">
        <f t="shared" si="1"/>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3"/>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1"/>
        <v/>
      </c>
      <c r="V35" s="42" t="str">
        <f t="shared" si="1"/>
        <v/>
      </c>
      <c r="W35" s="42" t="str">
        <f t="shared" si="1"/>
        <v/>
      </c>
      <c r="X35" s="42" t="str">
        <f t="shared" si="1"/>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3"/>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1"/>
        <v/>
      </c>
      <c r="V36" s="42" t="str">
        <f t="shared" si="1"/>
        <v/>
      </c>
      <c r="W36" s="42" t="str">
        <f t="shared" si="1"/>
        <v/>
      </c>
      <c r="X36" s="42" t="str">
        <f t="shared" si="1"/>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3"/>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1"/>
        <v/>
      </c>
      <c r="V37" s="42" t="str">
        <f t="shared" si="1"/>
        <v/>
      </c>
      <c r="W37" s="42" t="str">
        <f t="shared" si="1"/>
        <v/>
      </c>
      <c r="X37" s="42" t="str">
        <f t="shared" si="1"/>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3"/>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1"/>
        <v/>
      </c>
      <c r="V38" s="42" t="str">
        <f t="shared" si="1"/>
        <v/>
      </c>
      <c r="W38" s="42" t="str">
        <f t="shared" si="1"/>
        <v/>
      </c>
      <c r="X38" s="42" t="str">
        <f t="shared" si="1"/>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3"/>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1"/>
        <v/>
      </c>
      <c r="V39" s="42" t="str">
        <f t="shared" si="1"/>
        <v/>
      </c>
      <c r="W39" s="42" t="str">
        <f t="shared" si="1"/>
        <v/>
      </c>
      <c r="X39" s="42" t="str">
        <f t="shared" si="1"/>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3"/>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1"/>
        <v/>
      </c>
      <c r="V40" s="42" t="str">
        <f t="shared" si="1"/>
        <v/>
      </c>
      <c r="W40" s="42" t="str">
        <f t="shared" si="1"/>
        <v/>
      </c>
      <c r="X40" s="42" t="str">
        <f t="shared" si="1"/>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3"/>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1"/>
        <v/>
      </c>
      <c r="V41" s="42" t="str">
        <f t="shared" si="1"/>
        <v/>
      </c>
      <c r="W41" s="42" t="str">
        <f t="shared" si="1"/>
        <v/>
      </c>
      <c r="X41" s="42" t="str">
        <f t="shared" si="1"/>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3"/>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1"/>
        <v/>
      </c>
      <c r="V42" s="42" t="str">
        <f t="shared" si="1"/>
        <v/>
      </c>
      <c r="W42" s="42" t="str">
        <f t="shared" si="1"/>
        <v/>
      </c>
      <c r="X42" s="42" t="str">
        <f t="shared" si="1"/>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3"/>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1"/>
        <v/>
      </c>
      <c r="V43" s="42" t="str">
        <f t="shared" si="1"/>
        <v/>
      </c>
      <c r="W43" s="42" t="str">
        <f t="shared" si="1"/>
        <v/>
      </c>
      <c r="X43" s="42" t="str">
        <f t="shared" si="1"/>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3"/>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1"/>
        <v/>
      </c>
      <c r="V44" s="42" t="str">
        <f t="shared" si="1"/>
        <v/>
      </c>
      <c r="W44" s="42" t="str">
        <f t="shared" si="1"/>
        <v/>
      </c>
      <c r="X44" s="42" t="str">
        <f t="shared" si="1"/>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3"/>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1"/>
        <v/>
      </c>
      <c r="V45" s="42" t="str">
        <f t="shared" si="1"/>
        <v/>
      </c>
      <c r="W45" s="42" t="str">
        <f t="shared" si="1"/>
        <v/>
      </c>
      <c r="X45" s="42" t="str">
        <f t="shared" si="1"/>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3"/>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1"/>
        <v/>
      </c>
      <c r="V46" s="42" t="str">
        <f t="shared" si="1"/>
        <v/>
      </c>
      <c r="W46" s="42" t="str">
        <f t="shared" si="1"/>
        <v/>
      </c>
      <c r="X46" s="42" t="str">
        <f t="shared" si="1"/>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3"/>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1"/>
        <v/>
      </c>
      <c r="V47" s="42" t="str">
        <f t="shared" si="1"/>
        <v/>
      </c>
      <c r="W47" s="42" t="str">
        <f t="shared" si="1"/>
        <v/>
      </c>
      <c r="X47" s="42" t="str">
        <f t="shared" si="1"/>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3"/>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4">IF($C48="","",U$27)</f>
        <v/>
      </c>
      <c r="V48" s="42" t="str">
        <f t="shared" si="4"/>
        <v/>
      </c>
      <c r="W48" s="42" t="str">
        <f t="shared" si="4"/>
        <v/>
      </c>
      <c r="X48" s="42" t="str">
        <f t="shared" si="4"/>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3"/>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4"/>
        <v/>
      </c>
      <c r="V49" s="42" t="str">
        <f t="shared" si="4"/>
        <v/>
      </c>
      <c r="W49" s="42" t="str">
        <f t="shared" si="4"/>
        <v/>
      </c>
      <c r="X49" s="42" t="str">
        <f t="shared" si="4"/>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3"/>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4"/>
        <v/>
      </c>
      <c r="V50" s="42" t="str">
        <f t="shared" si="4"/>
        <v/>
      </c>
      <c r="W50" s="42" t="str">
        <f t="shared" si="4"/>
        <v/>
      </c>
      <c r="X50" s="42" t="str">
        <f t="shared" si="4"/>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3"/>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4"/>
        <v/>
      </c>
      <c r="V51" s="42" t="str">
        <f t="shared" si="4"/>
        <v/>
      </c>
      <c r="W51" s="42" t="str">
        <f t="shared" si="4"/>
        <v/>
      </c>
      <c r="X51" s="42" t="str">
        <f t="shared" si="4"/>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3"/>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4"/>
        <v/>
      </c>
      <c r="V52" s="42" t="str">
        <f t="shared" si="4"/>
        <v/>
      </c>
      <c r="W52" s="42" t="str">
        <f t="shared" si="4"/>
        <v/>
      </c>
      <c r="X52" s="42" t="str">
        <f t="shared" si="4"/>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3"/>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4"/>
        <v/>
      </c>
      <c r="V53" s="42" t="str">
        <f t="shared" si="4"/>
        <v/>
      </c>
      <c r="W53" s="42" t="str">
        <f t="shared" si="4"/>
        <v/>
      </c>
      <c r="X53" s="42" t="str">
        <f t="shared" si="4"/>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3"/>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4"/>
        <v/>
      </c>
      <c r="V54" s="42" t="str">
        <f t="shared" si="4"/>
        <v/>
      </c>
      <c r="W54" s="42" t="str">
        <f t="shared" si="4"/>
        <v/>
      </c>
      <c r="X54" s="42" t="str">
        <f t="shared" si="4"/>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3"/>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4"/>
        <v/>
      </c>
      <c r="V55" s="42" t="str">
        <f t="shared" si="4"/>
        <v/>
      </c>
      <c r="W55" s="42" t="str">
        <f t="shared" si="4"/>
        <v/>
      </c>
      <c r="X55" s="42" t="str">
        <f t="shared" si="4"/>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3"/>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4"/>
        <v/>
      </c>
      <c r="V56" s="42" t="str">
        <f t="shared" si="4"/>
        <v/>
      </c>
      <c r="W56" s="42" t="str">
        <f t="shared" si="4"/>
        <v/>
      </c>
      <c r="X56" s="42" t="str">
        <f t="shared" si="4"/>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3"/>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4"/>
        <v/>
      </c>
      <c r="V57" s="42" t="str">
        <f t="shared" si="4"/>
        <v/>
      </c>
      <c r="W57" s="42" t="str">
        <f t="shared" si="4"/>
        <v/>
      </c>
      <c r="X57" s="42" t="str">
        <f t="shared" si="4"/>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3"/>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4"/>
        <v/>
      </c>
      <c r="V58" s="42" t="str">
        <f t="shared" si="4"/>
        <v/>
      </c>
      <c r="W58" s="42" t="str">
        <f t="shared" si="4"/>
        <v/>
      </c>
      <c r="X58" s="42" t="str">
        <f t="shared" si="4"/>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3"/>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4"/>
        <v/>
      </c>
      <c r="V59" s="42" t="str">
        <f t="shared" si="4"/>
        <v/>
      </c>
      <c r="W59" s="42" t="str">
        <f t="shared" si="4"/>
        <v/>
      </c>
      <c r="X59" s="42" t="str">
        <f t="shared" si="4"/>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3"/>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4"/>
        <v/>
      </c>
      <c r="V60" s="42" t="str">
        <f t="shared" si="4"/>
        <v/>
      </c>
      <c r="W60" s="42" t="str">
        <f t="shared" si="4"/>
        <v/>
      </c>
      <c r="X60" s="42" t="str">
        <f t="shared" si="4"/>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3"/>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4"/>
        <v/>
      </c>
      <c r="V61" s="42" t="str">
        <f t="shared" si="4"/>
        <v/>
      </c>
      <c r="W61" s="42" t="str">
        <f t="shared" si="4"/>
        <v/>
      </c>
      <c r="X61" s="42" t="str">
        <f t="shared" si="4"/>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3"/>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4"/>
        <v/>
      </c>
      <c r="V62" s="42" t="str">
        <f t="shared" si="4"/>
        <v/>
      </c>
      <c r="W62" s="42" t="str">
        <f t="shared" si="4"/>
        <v/>
      </c>
      <c r="X62" s="42" t="str">
        <f t="shared" si="4"/>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3"/>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4"/>
        <v/>
      </c>
      <c r="V63" s="42" t="str">
        <f t="shared" si="4"/>
        <v/>
      </c>
      <c r="W63" s="42" t="str">
        <f t="shared" si="4"/>
        <v/>
      </c>
      <c r="X63" s="42" t="str">
        <f t="shared" si="4"/>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3"/>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4"/>
        <v/>
      </c>
      <c r="V64" s="42" t="str">
        <f t="shared" si="4"/>
        <v/>
      </c>
      <c r="W64" s="42" t="str">
        <f t="shared" si="4"/>
        <v/>
      </c>
      <c r="X64" s="42" t="str">
        <f t="shared" si="4"/>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3"/>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4"/>
        <v/>
      </c>
      <c r="V65" s="42" t="str">
        <f t="shared" si="4"/>
        <v/>
      </c>
      <c r="W65" s="42" t="str">
        <f t="shared" si="4"/>
        <v/>
      </c>
      <c r="X65" s="42" t="str">
        <f t="shared" si="4"/>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3"/>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4"/>
        <v/>
      </c>
      <c r="V66" s="42" t="str">
        <f t="shared" si="4"/>
        <v/>
      </c>
      <c r="W66" s="42" t="str">
        <f t="shared" si="4"/>
        <v/>
      </c>
      <c r="X66" s="42" t="str">
        <f t="shared" si="4"/>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3"/>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4"/>
        <v/>
      </c>
      <c r="V67" s="42" t="str">
        <f t="shared" si="4"/>
        <v/>
      </c>
      <c r="W67" s="42" t="str">
        <f t="shared" si="4"/>
        <v/>
      </c>
      <c r="X67" s="42" t="str">
        <f t="shared" si="4"/>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3"/>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5">IF($C68="","",U$27)</f>
        <v/>
      </c>
      <c r="V68" s="42" t="str">
        <f t="shared" si="5"/>
        <v/>
      </c>
      <c r="W68" s="42" t="str">
        <f t="shared" si="5"/>
        <v/>
      </c>
      <c r="X68" s="42" t="str">
        <f t="shared" si="5"/>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3"/>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5"/>
        <v/>
      </c>
      <c r="V69" s="42" t="str">
        <f t="shared" si="5"/>
        <v/>
      </c>
      <c r="W69" s="42" t="str">
        <f t="shared" si="5"/>
        <v/>
      </c>
      <c r="X69" s="42" t="str">
        <f t="shared" si="5"/>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3"/>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5"/>
        <v/>
      </c>
      <c r="V70" s="42" t="str">
        <f t="shared" si="5"/>
        <v/>
      </c>
      <c r="W70" s="42" t="str">
        <f t="shared" si="5"/>
        <v/>
      </c>
      <c r="X70" s="42" t="str">
        <f t="shared" si="5"/>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3"/>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5"/>
        <v/>
      </c>
      <c r="V71" s="42" t="str">
        <f t="shared" si="5"/>
        <v/>
      </c>
      <c r="W71" s="42" t="str">
        <f t="shared" si="5"/>
        <v/>
      </c>
      <c r="X71" s="42" t="str">
        <f t="shared" si="5"/>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3"/>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5"/>
        <v/>
      </c>
      <c r="V72" s="42" t="str">
        <f t="shared" si="5"/>
        <v/>
      </c>
      <c r="W72" s="42" t="str">
        <f t="shared" si="5"/>
        <v/>
      </c>
      <c r="X72" s="42" t="str">
        <f t="shared" si="5"/>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3"/>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5"/>
        <v/>
      </c>
      <c r="V73" s="42" t="str">
        <f t="shared" si="5"/>
        <v/>
      </c>
      <c r="W73" s="42" t="str">
        <f t="shared" si="5"/>
        <v/>
      </c>
      <c r="X73" s="42" t="str">
        <f t="shared" si="5"/>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3"/>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5"/>
        <v/>
      </c>
      <c r="V74" s="42" t="str">
        <f t="shared" si="5"/>
        <v/>
      </c>
      <c r="W74" s="42" t="str">
        <f t="shared" si="5"/>
        <v/>
      </c>
      <c r="X74" s="42" t="str">
        <f t="shared" si="5"/>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3"/>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5"/>
        <v/>
      </c>
      <c r="V75" s="42" t="str">
        <f t="shared" si="5"/>
        <v/>
      </c>
      <c r="W75" s="42" t="str">
        <f t="shared" si="5"/>
        <v/>
      </c>
      <c r="X75" s="42" t="str">
        <f t="shared" si="5"/>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3"/>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5"/>
        <v/>
      </c>
      <c r="V76" s="42" t="str">
        <f t="shared" si="5"/>
        <v/>
      </c>
      <c r="W76" s="42" t="str">
        <f t="shared" si="5"/>
        <v/>
      </c>
      <c r="X76" s="42" t="str">
        <f t="shared" si="5"/>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3"/>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5"/>
        <v/>
      </c>
      <c r="V77" s="42" t="str">
        <f t="shared" si="5"/>
        <v/>
      </c>
      <c r="W77" s="42" t="str">
        <f t="shared" si="5"/>
        <v/>
      </c>
      <c r="X77" s="42" t="str">
        <f t="shared" si="5"/>
        <v/>
      </c>
      <c r="Z77" s="42">
        <f>IF(E77=$V$27,D77*פרמטרים!$C$40,0)</f>
        <v>0</v>
      </c>
    </row>
    <row r="78" spans="3:26" x14ac:dyDescent="0.25">
      <c r="F78" s="92">
        <f>SUMIF(E28:E77,U27,F28:F77)+IFERROR(LARGE(Z28:Z77,1),0)+IFERROR(LARGE(Z28:Z77,2),0)+IFERROR(LARGE(Z28:Z77,פרמטרים!$D$40),0)</f>
        <v>0</v>
      </c>
      <c r="L78" s="92">
        <f>SUM(L28:L77)</f>
        <v>1</v>
      </c>
    </row>
    <row r="79" spans="3:26" x14ac:dyDescent="0.25">
      <c r="F79" s="42">
        <f>COUNTIF(H78:H78,"מתחלפת")</f>
        <v>0</v>
      </c>
    </row>
  </sheetData>
  <sheetProtection algorithmName="SHA-512" hashValue="6vNls5dCglFxvcbw12QtzVjzlT8+os5fuj0lkAnEoJ4BKLdIKDLKrmpZnsWfQYEo/eHn8S5mopGkYCFJf2Sm+g==" saltValue="Ib+wBRLi58z3WCdluNgEcQ=="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3" priority="1">
      <formula>IF($C8="",0,1)</formula>
    </cfRule>
  </conditionalFormatting>
  <dataValidations count="13">
    <dataValidation type="list" allowBlank="1" showInputMessage="1" showErrorMessage="1" sqref="N16" xr:uid="{00000000-0002-0000-3C00-000000000000}">
      <formula1>$V$9:$Y$9</formula1>
    </dataValidation>
    <dataValidation type="list" allowBlank="1" showInputMessage="1" showErrorMessage="1" sqref="G17" xr:uid="{00000000-0002-0000-3C00-000001000000}">
      <formula1>$V$7:$X$7</formula1>
    </dataValidation>
    <dataValidation type="list" allowBlank="1" showInputMessage="1" showErrorMessage="1" sqref="K11:L11 K28:K77 G8 N19:N21" xr:uid="{00000000-0002-0000-3C00-000002000000}">
      <formula1>$V$5:$W$5</formula1>
    </dataValidation>
    <dataValidation allowBlank="1" showInputMessage="1" showErrorMessage="1" errorTitle="ערך לא חוקי" error="יש להזין ציון בין 0 ל-60" sqref="N18" xr:uid="{00000000-0002-0000-3C00-000003000000}"/>
    <dataValidation type="whole" allowBlank="1" showInputMessage="1" showErrorMessage="1" sqref="E8:F8" xr:uid="{00000000-0002-0000-3C00-000004000000}">
      <formula1>0</formula1>
      <formula2>9.99999999999999E+55</formula2>
    </dataValidation>
    <dataValidation type="list" allowBlank="1" showInputMessage="1" showErrorMessage="1" sqref="J21" xr:uid="{00000000-0002-0000-3C00-000005000000}">
      <formula1>$V$15:$W$15</formula1>
    </dataValidation>
    <dataValidation type="whole" operator="greaterThanOrEqual" allowBlank="1" showInputMessage="1" showErrorMessage="1" errorTitle="הזנה שגויה" sqref="J18 C11:E11 G11" xr:uid="{00000000-0002-0000-3C00-000006000000}">
      <formula1>0</formula1>
    </dataValidation>
    <dataValidation type="whole" allowBlank="1" showInputMessage="1" showErrorMessage="1" errorTitle="הזנה שגויה" sqref="J17" xr:uid="{00000000-0002-0000-3C00-000007000000}">
      <formula1>0</formula1>
      <formula2>J18</formula2>
    </dataValidation>
    <dataValidation operator="greaterThanOrEqual" allowBlank="1" showInputMessage="1" showErrorMessage="1" errorTitle="הזנה שגויה" sqref="C8:D8" xr:uid="{00000000-0002-0000-3C00-000008000000}"/>
    <dataValidation type="list" allowBlank="1" showInputMessage="1" showErrorMessage="1" sqref="E28:E77" xr:uid="{00000000-0002-0000-3C00-000009000000}">
      <formula1>U28:V28</formula1>
    </dataValidation>
    <dataValidation type="decimal" operator="greaterThan" allowBlank="1" showInputMessage="1" showErrorMessage="1" errorTitle="הזנה שגויה" sqref="K8:N8" xr:uid="{00000000-0002-0000-3C00-00000A000000}">
      <formula1>-999999999</formula1>
    </dataValidation>
    <dataValidation type="list" allowBlank="1" showInputMessage="1" showErrorMessage="1" sqref="I3 I24" xr:uid="{00000000-0002-0000-3C00-00000B000000}">
      <formula1>"0,1"</formula1>
    </dataValidation>
    <dataValidation type="decimal" operator="greaterThanOrEqual" allowBlank="1" showInputMessage="1" showErrorMessage="1" errorTitle="הזנה שגויה" sqref="H11" xr:uid="{00000000-0002-0000-3C00-00000C000000}">
      <formula1>0</formula1>
    </dataValidation>
  </dataValidations>
  <pageMargins left="0.70866141732283472" right="0.70866141732283472" top="0.74803149606299213" bottom="0.74803149606299213" header="0.31496062992125984" footer="0.31496062992125984"/>
  <pageSetup paperSize="9" scale="41" orientation="portrait" r:id="rId1"/>
  <headerFooter>
    <oddFooter>&amp;C&amp;"David,מודגש"א. חפץ ושות'
ייעוץ כלכלי</oddFooter>
  </headerFooter>
  <colBreaks count="1" manualBreakCount="1">
    <brk id="6" max="78" man="1"/>
  </col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גיליון47">
    <tabColor theme="8" tint="-0.249977111117893"/>
    <pageSetUpPr fitToPage="1"/>
  </sheetPr>
  <dimension ref="C2:Z79"/>
  <sheetViews>
    <sheetView rightToLeft="1" view="pageBreakPreview" zoomScale="75" zoomScaleNormal="8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30</v>
      </c>
      <c r="E3" s="624"/>
      <c r="F3" s="625"/>
      <c r="H3" s="26" t="s">
        <v>310</v>
      </c>
      <c r="I3" s="47">
        <v>1</v>
      </c>
      <c r="L3" s="222" t="s">
        <v>311</v>
      </c>
      <c r="M3" s="221" t="str">
        <f ca="1">"גיליון הזנה "&amp;INDEX('ריכוז נתונים'!$C$17:$C$76,MATCH(D3,'ריכוז נתונים'!$B$17:$B$76,0))</f>
        <v>גיליון הזנה 30</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v>0</v>
      </c>
      <c r="G8" s="630" t="s">
        <v>31</v>
      </c>
      <c r="H8" s="631"/>
      <c r="I8" s="632">
        <v>0</v>
      </c>
      <c r="J8" s="633"/>
      <c r="K8" s="628">
        <v>-775884</v>
      </c>
      <c r="L8" s="629"/>
      <c r="M8" s="628">
        <v>-536291</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5505949</v>
      </c>
      <c r="D11" s="633"/>
      <c r="E11" s="130">
        <v>280000</v>
      </c>
      <c r="F11" s="130">
        <v>280000</v>
      </c>
      <c r="G11" s="130">
        <v>6114867</v>
      </c>
      <c r="H11" s="48">
        <v>278480</v>
      </c>
      <c r="I11" s="630">
        <v>1983</v>
      </c>
      <c r="J11" s="631"/>
      <c r="K11" s="630" t="s">
        <v>32</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1</v>
      </c>
      <c r="F16" s="28" t="str">
        <f t="array" ref="F16:F17">TRANSPOSE('ריכוז נתונים'!P16:Q16)</f>
        <v>מספר דפים סטטיים</v>
      </c>
      <c r="G16" s="47">
        <v>10</v>
      </c>
      <c r="I16" s="634" t="s">
        <v>72</v>
      </c>
      <c r="J16" s="635"/>
      <c r="M16" s="51" t="s">
        <v>116</v>
      </c>
      <c r="N16" s="50"/>
    </row>
    <row r="17" spans="3:26" ht="50.25" customHeight="1" x14ac:dyDescent="0.25">
      <c r="C17" s="51" t="str">
        <v>מספר הרצאות</v>
      </c>
      <c r="D17" s="47">
        <v>0</v>
      </c>
      <c r="F17" s="26" t="str">
        <v xml:space="preserve">איכות האתר </v>
      </c>
      <c r="G17" s="49" t="s">
        <v>105</v>
      </c>
      <c r="I17" s="25" t="s">
        <v>809</v>
      </c>
      <c r="J17" s="48">
        <v>280000</v>
      </c>
      <c r="M17" s="28" t="s">
        <v>160</v>
      </c>
      <c r="N17" s="47"/>
    </row>
    <row r="18" spans="3:26" ht="63" x14ac:dyDescent="0.25">
      <c r="C18" s="51" t="str">
        <v>מתוכם מספר הרצאות שנערכו על ידי מישהו בעל תואר שלישי בתחום בו ניתנה הפעילות:</v>
      </c>
      <c r="D18" s="47">
        <v>0</v>
      </c>
      <c r="I18" s="25" t="s">
        <v>810</v>
      </c>
      <c r="J18" s="136">
        <f>F11</f>
        <v>280000</v>
      </c>
      <c r="M18" s="28" t="s">
        <v>161</v>
      </c>
      <c r="N18" s="47"/>
    </row>
    <row r="19" spans="3:26" x14ac:dyDescent="0.25">
      <c r="C19" s="51" t="str">
        <v>מספר ימי עיון</v>
      </c>
      <c r="D19" s="47">
        <v>2</v>
      </c>
      <c r="M19" s="28" t="s">
        <v>162</v>
      </c>
      <c r="N19" s="47"/>
    </row>
    <row r="20" spans="3:26" ht="63" x14ac:dyDescent="0.25">
      <c r="C20" s="51" t="str">
        <v>מתוכם מספר ימי עיון שנערכו על ידי מישהו בעל תואר שלישי בתחום בו ניתנה הפעילות:</v>
      </c>
      <c r="D20" s="47">
        <v>0</v>
      </c>
      <c r="I20" s="634" t="str">
        <f>פרמטרים!B101</f>
        <v>תיעוד ושימור החומר הארכיונאי</v>
      </c>
      <c r="J20" s="635"/>
      <c r="M20" s="28" t="s">
        <v>163</v>
      </c>
      <c r="N20" s="47"/>
    </row>
    <row r="21" spans="3:26" ht="94.5" x14ac:dyDescent="0.25">
      <c r="C21" s="51" t="str">
        <v>מספר הפקות מורכבות</v>
      </c>
      <c r="D21" s="47">
        <v>1</v>
      </c>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v>0</v>
      </c>
    </row>
    <row r="23" spans="3:26" ht="31.5" x14ac:dyDescent="0.25">
      <c r="C23" s="51" t="str">
        <v>מספר הפקות מורכבות מקוריות</v>
      </c>
      <c r="D23" s="47">
        <v>1</v>
      </c>
    </row>
    <row r="24" spans="3:26" ht="47.25" x14ac:dyDescent="0.25">
      <c r="C24" s="51" t="str">
        <v>מתוכם הפקות מורכבות מקוריות שהם קופרודוקציה</v>
      </c>
      <c r="D24" s="47">
        <v>0</v>
      </c>
      <c r="H24" s="51" t="s">
        <v>329</v>
      </c>
      <c r="I24" s="47"/>
    </row>
    <row r="25" spans="3:26" x14ac:dyDescent="0.25">
      <c r="C25" s="51" t="str">
        <v>ארוע רב משתתפים</v>
      </c>
      <c r="D25" s="47">
        <v>2</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t="s">
        <v>505</v>
      </c>
      <c r="D28" s="47">
        <v>500</v>
      </c>
      <c r="E28" s="47" t="s">
        <v>340</v>
      </c>
      <c r="F28" s="91">
        <f>IF(C28="","",D28*IF(E28=$U$27,פרמטרים!$C$39,IF(E28=$V$27,פרמטרים!$C$40,0)))</f>
        <v>1000</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xml:space="preserve">קבועה </v>
      </c>
      <c r="V28" s="42" t="str">
        <f t="shared" si="0"/>
        <v>מתחלפת</v>
      </c>
      <c r="W28" s="42" t="str">
        <f t="shared" si="0"/>
        <v>כן</v>
      </c>
      <c r="X28" s="42" t="str">
        <f t="shared" si="0"/>
        <v>לא</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1000</v>
      </c>
      <c r="L78" s="92">
        <f>SUM(L28:L77)</f>
        <v>0</v>
      </c>
    </row>
    <row r="79" spans="3:26" x14ac:dyDescent="0.25">
      <c r="F79" s="42">
        <f>COUNTIF(H78:H78,"מתחלפת")</f>
        <v>0</v>
      </c>
    </row>
  </sheetData>
  <sheetProtection algorithmName="SHA-512" hashValue="5brmw8puzjtUNvZ4jUTnGiQVFviGfp8LyIV4mar37Aht7iD0SQkPHNbOtfmtiXwmiTEXMuTCe8lo58fKQLe6Fg==" saltValue="KSbPi8WHBbCqR4WparLo5w=="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N16" xr:uid="{00000000-0002-0000-3D00-000000000000}">
      <formula1>$V$9:$Y$9</formula1>
    </dataValidation>
    <dataValidation type="list" allowBlank="1" showInputMessage="1" showErrorMessage="1" sqref="G17" xr:uid="{00000000-0002-0000-3D00-000001000000}">
      <formula1>$V$7:$X$7</formula1>
    </dataValidation>
    <dataValidation type="list" allowBlank="1" showInputMessage="1" showErrorMessage="1" sqref="K11:L11 K28:K77 G8 N19:N21" xr:uid="{00000000-0002-0000-3D00-000002000000}">
      <formula1>$V$5:$W$5</formula1>
    </dataValidation>
    <dataValidation allowBlank="1" showInputMessage="1" showErrorMessage="1" errorTitle="ערך לא חוקי" error="יש להזין ציון בין 0 ל-60" sqref="N18" xr:uid="{00000000-0002-0000-3D00-000003000000}"/>
    <dataValidation type="whole" allowBlank="1" showInputMessage="1" showErrorMessage="1" sqref="E8:F8" xr:uid="{00000000-0002-0000-3D00-000004000000}">
      <formula1>0</formula1>
      <formula2>9.99999999999999E+55</formula2>
    </dataValidation>
    <dataValidation type="list" allowBlank="1" showInputMessage="1" showErrorMessage="1" sqref="J21" xr:uid="{00000000-0002-0000-3D00-000005000000}">
      <formula1>$V$15:$W$15</formula1>
    </dataValidation>
    <dataValidation type="whole" operator="greaterThanOrEqual" allowBlank="1" showInputMessage="1" showErrorMessage="1" errorTitle="הזנה שגויה" sqref="J18 C11:E11 G11" xr:uid="{00000000-0002-0000-3D00-000006000000}">
      <formula1>0</formula1>
    </dataValidation>
    <dataValidation type="whole" allowBlank="1" showInputMessage="1" showErrorMessage="1" errorTitle="הזנה שגויה" sqref="J17" xr:uid="{00000000-0002-0000-3D00-000007000000}">
      <formula1>0</formula1>
      <formula2>J18</formula2>
    </dataValidation>
    <dataValidation operator="greaterThanOrEqual" allowBlank="1" showInputMessage="1" showErrorMessage="1" errorTitle="הזנה שגויה" sqref="C8:D8" xr:uid="{00000000-0002-0000-3D00-000008000000}"/>
    <dataValidation type="list" allowBlank="1" showInputMessage="1" showErrorMessage="1" sqref="E28:E77" xr:uid="{00000000-0002-0000-3D00-000009000000}">
      <formula1>U28:V28</formula1>
    </dataValidation>
    <dataValidation type="decimal" operator="greaterThan" allowBlank="1" showInputMessage="1" showErrorMessage="1" errorTitle="הזנה שגויה" sqref="K8:N8" xr:uid="{00000000-0002-0000-3D00-00000A000000}">
      <formula1>-999999999</formula1>
    </dataValidation>
    <dataValidation type="list" allowBlank="1" showInputMessage="1" showErrorMessage="1" sqref="I3 I24" xr:uid="{00000000-0002-0000-3D00-00000B000000}">
      <formula1>"0,1"</formula1>
    </dataValidation>
    <dataValidation type="decimal" operator="greaterThanOrEqual" allowBlank="1" showInputMessage="1" showErrorMessage="1" errorTitle="הזנה שגויה" sqref="H11" xr:uid="{00000000-0002-0000-3D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גיליון69">
    <tabColor rgb="FF002060"/>
    <pageSetUpPr fitToPage="1"/>
  </sheetPr>
  <dimension ref="C2:Z79"/>
  <sheetViews>
    <sheetView rightToLeft="1" view="pageBreakPreview" topLeftCell="A20" zoomScale="75" zoomScaleNormal="8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עמותת הנני</v>
      </c>
      <c r="E3" s="624"/>
      <c r="F3" s="625"/>
      <c r="H3" s="26" t="s">
        <v>310</v>
      </c>
      <c r="I3" s="47">
        <v>1</v>
      </c>
      <c r="L3" s="222" t="s">
        <v>311</v>
      </c>
      <c r="M3" s="221" t="str">
        <f ca="1">"גיליון הזנה "&amp;INDEX('ריכוז נתונים'!$C$17:$C$76,MATCH(D3,'ריכוז נתונים'!$B$17:$B$76,0))</f>
        <v>גיליון הזנה 52</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3.6042527474741487E-2</v>
      </c>
      <c r="F8" s="436">
        <v>440077.17</v>
      </c>
      <c r="G8" s="630" t="s">
        <v>32</v>
      </c>
      <c r="H8" s="631"/>
      <c r="I8" s="632">
        <v>0</v>
      </c>
      <c r="J8" s="633"/>
      <c r="K8" s="628">
        <v>62275</v>
      </c>
      <c r="L8" s="629"/>
      <c r="M8" s="628">
        <v>110732</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1658278</v>
      </c>
      <c r="D11" s="633"/>
      <c r="E11" s="130">
        <v>987464</v>
      </c>
      <c r="F11" s="130">
        <v>713227</v>
      </c>
      <c r="G11" s="130">
        <v>1529472</v>
      </c>
      <c r="H11" s="48">
        <v>713227</v>
      </c>
      <c r="I11" s="630">
        <v>1998</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0</v>
      </c>
      <c r="F16" s="28" t="str">
        <f t="array" ref="F16:F17">TRANSPOSE('ריכוז נתונים'!P16:Q16)</f>
        <v>מספר דפים סטטיים</v>
      </c>
      <c r="G16" s="47">
        <v>7</v>
      </c>
      <c r="I16" s="634" t="s">
        <v>72</v>
      </c>
      <c r="J16" s="635"/>
      <c r="M16" s="51" t="s">
        <v>116</v>
      </c>
      <c r="N16" s="50"/>
    </row>
    <row r="17" spans="3:26" ht="50.25" customHeight="1" x14ac:dyDescent="0.25">
      <c r="C17" s="51" t="str">
        <v>מספר הרצאות</v>
      </c>
      <c r="D17" s="47">
        <v>21</v>
      </c>
      <c r="F17" s="26" t="str">
        <v xml:space="preserve">איכות האתר </v>
      </c>
      <c r="G17" s="49"/>
      <c r="I17" s="25" t="s">
        <v>809</v>
      </c>
      <c r="J17" s="48">
        <v>104493</v>
      </c>
      <c r="M17" s="28" t="s">
        <v>160</v>
      </c>
      <c r="N17" s="47"/>
    </row>
    <row r="18" spans="3:26" ht="63" x14ac:dyDescent="0.25">
      <c r="C18" s="51" t="str">
        <v>מתוכם מספר הרצאות שנערכו על ידי מישהו בעל תואר שלישי בתחום בו ניתנה הפעילות:</v>
      </c>
      <c r="D18" s="47">
        <v>0</v>
      </c>
      <c r="I18" s="25" t="s">
        <v>810</v>
      </c>
      <c r="J18" s="136">
        <f>F11</f>
        <v>713227</v>
      </c>
      <c r="M18" s="28" t="s">
        <v>161</v>
      </c>
      <c r="N18" s="47"/>
    </row>
    <row r="19" spans="3:26" x14ac:dyDescent="0.25">
      <c r="C19" s="51" t="str">
        <v>מספר ימי עיון</v>
      </c>
      <c r="D19" s="47">
        <v>113</v>
      </c>
      <c r="M19" s="28" t="s">
        <v>162</v>
      </c>
      <c r="N19" s="47"/>
    </row>
    <row r="20" spans="3:26" ht="63" x14ac:dyDescent="0.25">
      <c r="C20" s="51" t="str">
        <v>מתוכם מספר ימי עיון שנערכו על ידי מישהו בעל תואר שלישי בתחום בו ניתנה הפעילות:</v>
      </c>
      <c r="D20" s="47">
        <v>0</v>
      </c>
      <c r="I20" s="634" t="str">
        <f>פרמטרים!B101</f>
        <v>תיעוד ושימור החומר הארכיונאי</v>
      </c>
      <c r="J20" s="635"/>
      <c r="M20" s="28" t="s">
        <v>163</v>
      </c>
      <c r="N20" s="47"/>
    </row>
    <row r="21" spans="3:26" ht="94.5" x14ac:dyDescent="0.25">
      <c r="C21" s="51" t="str">
        <v>מספר הפקות מורכבות</v>
      </c>
      <c r="D21" s="47">
        <v>0</v>
      </c>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v>0</v>
      </c>
    </row>
    <row r="23" spans="3:26" ht="31.5" x14ac:dyDescent="0.25">
      <c r="C23" s="51" t="str">
        <v>מספר הפקות מורכבות מקוריות</v>
      </c>
      <c r="D23" s="47">
        <v>0</v>
      </c>
    </row>
    <row r="24" spans="3:26" ht="47.25" x14ac:dyDescent="0.25">
      <c r="C24" s="51" t="str">
        <v>מתוכם הפקות מורכבות מקוריות שהם קופרודוקציה</v>
      </c>
      <c r="D24" s="47">
        <v>0</v>
      </c>
      <c r="H24" s="51" t="s">
        <v>329</v>
      </c>
      <c r="I24" s="47"/>
    </row>
    <row r="25" spans="3:26" x14ac:dyDescent="0.25">
      <c r="C25" s="51" t="str">
        <v>ארוע רב משתתפים</v>
      </c>
      <c r="D25" s="47">
        <v>12</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lgDvqLlioX41iOyCw5r5sGf5ZCU1rF4DtXdFltEpDJ2xND2WDzd8AoUFJb8MJxapdTj/XpOdwTEQFmSUORwirQ==" saltValue="m0YAA1gsif9o4BHfkPJwaw=="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2" priority="1">
      <formula>IF($C8="",0,1)</formula>
    </cfRule>
  </conditionalFormatting>
  <dataValidations count="13">
    <dataValidation type="list" allowBlank="1" showInputMessage="1" showErrorMessage="1" sqref="K11:L11 K28:K77 G8 N19:N21" xr:uid="{00000000-0002-0000-3E00-000000000000}">
      <formula1>$V$5:$W$5</formula1>
    </dataValidation>
    <dataValidation type="list" allowBlank="1" showInputMessage="1" showErrorMessage="1" sqref="G17" xr:uid="{00000000-0002-0000-3E00-000001000000}">
      <formula1>$V$7:$X$7</formula1>
    </dataValidation>
    <dataValidation type="list" allowBlank="1" showInputMessage="1" showErrorMessage="1" sqref="N16" xr:uid="{00000000-0002-0000-3E00-000002000000}">
      <formula1>$V$9:$Y$9</formula1>
    </dataValidation>
    <dataValidation allowBlank="1" showInputMessage="1" showErrorMessage="1" errorTitle="ערך לא חוקי" error="יש להזין ציון בין 0 ל-60" sqref="N18" xr:uid="{00000000-0002-0000-3E00-000003000000}"/>
    <dataValidation type="whole" allowBlank="1" showInputMessage="1" showErrorMessage="1" sqref="E8:F8" xr:uid="{00000000-0002-0000-3E00-000004000000}">
      <formula1>0</formula1>
      <formula2>9.99999999999999E+55</formula2>
    </dataValidation>
    <dataValidation type="list" allowBlank="1" showInputMessage="1" showErrorMessage="1" sqref="J21" xr:uid="{00000000-0002-0000-3E00-000005000000}">
      <formula1>$V$15:$W$15</formula1>
    </dataValidation>
    <dataValidation type="whole" operator="greaterThanOrEqual" allowBlank="1" showInputMessage="1" showErrorMessage="1" errorTitle="הזנה שגויה" sqref="J18 C11:E11 G11" xr:uid="{00000000-0002-0000-3E00-000006000000}">
      <formula1>0</formula1>
    </dataValidation>
    <dataValidation type="whole" allowBlank="1" showInputMessage="1" showErrorMessage="1" errorTitle="הזנה שגויה" sqref="J17" xr:uid="{00000000-0002-0000-3E00-000007000000}">
      <formula1>0</formula1>
      <formula2>J18</formula2>
    </dataValidation>
    <dataValidation operator="greaterThanOrEqual" allowBlank="1" showInputMessage="1" showErrorMessage="1" errorTitle="הזנה שגויה" sqref="C8:D8" xr:uid="{00000000-0002-0000-3E00-000008000000}"/>
    <dataValidation type="list" allowBlank="1" showInputMessage="1" showErrorMessage="1" sqref="E28:E77" xr:uid="{00000000-0002-0000-3E00-000009000000}">
      <formula1>U28:V28</formula1>
    </dataValidation>
    <dataValidation type="decimal" operator="greaterThan" allowBlank="1" showInputMessage="1" showErrorMessage="1" errorTitle="הזנה שגויה" sqref="K8:N8" xr:uid="{00000000-0002-0000-3E00-00000A000000}">
      <formula1>-999999999</formula1>
    </dataValidation>
    <dataValidation type="list" allowBlank="1" showInputMessage="1" showErrorMessage="1" sqref="I3 I24" xr:uid="{00000000-0002-0000-3E00-00000B000000}">
      <formula1>"0,1"</formula1>
    </dataValidation>
    <dataValidation type="decimal" operator="greaterThanOrEqual" allowBlank="1" showInputMessage="1" showErrorMessage="1" errorTitle="הזנה שגויה" sqref="H11" xr:uid="{00000000-0002-0000-3E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גיליון77">
    <tabColor rgb="FF002060"/>
    <pageSetUpPr fitToPage="1"/>
  </sheetPr>
  <dimension ref="C2:Z79"/>
  <sheetViews>
    <sheetView rightToLeft="1" view="pageBreakPreview" zoomScale="80" zoomScaleNormal="80" zoomScaleSheetLayoutView="80"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שרשרת הדורות</v>
      </c>
      <c r="E3" s="624"/>
      <c r="F3" s="625"/>
      <c r="H3" s="26" t="s">
        <v>310</v>
      </c>
      <c r="I3" s="47">
        <v>1</v>
      </c>
      <c r="L3" s="222" t="s">
        <v>311</v>
      </c>
      <c r="M3" s="221" t="str">
        <f ca="1">"גיליון הזנה "&amp;INDEX('ריכוז נתונים'!$C$17:$C$76,MATCH(D3,'ריכוז נתונים'!$B$17:$B$76,0))</f>
        <v>גיליון הזנה 60</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7.3060740173868152E-3</v>
      </c>
      <c r="F8" s="436">
        <v>89206.74</v>
      </c>
      <c r="G8" s="630" t="s">
        <v>32</v>
      </c>
      <c r="H8" s="631"/>
      <c r="I8" s="632">
        <v>0</v>
      </c>
      <c r="J8" s="633"/>
      <c r="K8" s="628">
        <v>99255</v>
      </c>
      <c r="L8" s="629"/>
      <c r="M8" s="628">
        <v>91005</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501310</v>
      </c>
      <c r="D11" s="633"/>
      <c r="E11" s="130">
        <v>501310</v>
      </c>
      <c r="F11" s="130">
        <v>501310</v>
      </c>
      <c r="G11" s="130">
        <v>353075</v>
      </c>
      <c r="H11" s="48">
        <v>353075</v>
      </c>
      <c r="I11" s="630">
        <v>2011</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3</v>
      </c>
      <c r="F16" s="28" t="str">
        <f t="array" ref="F16:F17">TRANSPOSE('ריכוז נתונים'!P16:Q16)</f>
        <v>מספר דפים סטטיים</v>
      </c>
      <c r="G16" s="47">
        <v>9</v>
      </c>
      <c r="I16" s="634" t="s">
        <v>72</v>
      </c>
      <c r="J16" s="635"/>
      <c r="M16" s="51" t="s">
        <v>116</v>
      </c>
      <c r="N16" s="50"/>
    </row>
    <row r="17" spans="3:26" ht="50.25" customHeight="1" x14ac:dyDescent="0.25">
      <c r="C17" s="51" t="str">
        <v>מספר הרצאות</v>
      </c>
      <c r="D17" s="47">
        <v>4</v>
      </c>
      <c r="F17" s="26" t="str">
        <v xml:space="preserve">איכות האתר </v>
      </c>
      <c r="G17" s="49"/>
      <c r="I17" s="25" t="s">
        <v>809</v>
      </c>
      <c r="J17" s="48">
        <v>372269</v>
      </c>
      <c r="M17" s="28" t="s">
        <v>160</v>
      </c>
      <c r="N17" s="47"/>
    </row>
    <row r="18" spans="3:26" ht="63" x14ac:dyDescent="0.25">
      <c r="C18" s="51" t="str">
        <v>מתוכם מספר הרצאות שנערכו על ידי מישהו בעל תואר שלישי בתחום בו ניתנה הפעילות:</v>
      </c>
      <c r="D18" s="47">
        <v>1</v>
      </c>
      <c r="I18" s="25" t="s">
        <v>810</v>
      </c>
      <c r="J18" s="136">
        <f>F11</f>
        <v>501310</v>
      </c>
      <c r="M18" s="28" t="s">
        <v>161</v>
      </c>
      <c r="N18" s="47"/>
    </row>
    <row r="19" spans="3:26" x14ac:dyDescent="0.25">
      <c r="C19" s="51" t="str">
        <v>מספר ימי עיון</v>
      </c>
      <c r="D19" s="47">
        <v>1</v>
      </c>
      <c r="M19" s="28" t="s">
        <v>162</v>
      </c>
      <c r="N19" s="47"/>
    </row>
    <row r="20" spans="3:26" ht="63" x14ac:dyDescent="0.25">
      <c r="C20" s="51" t="str">
        <v>מתוכם מספר ימי עיון שנערכו על ידי מישהו בעל תואר שלישי בתחום בו ניתנה הפעילות:</v>
      </c>
      <c r="D20" s="47">
        <v>0</v>
      </c>
      <c r="I20" s="634" t="str">
        <f>פרמטרים!B101</f>
        <v>תיעוד ושימור החומר הארכיונאי</v>
      </c>
      <c r="J20" s="635"/>
      <c r="M20" s="28" t="s">
        <v>163</v>
      </c>
      <c r="N20" s="47"/>
    </row>
    <row r="21" spans="3:26" ht="94.5" x14ac:dyDescent="0.25">
      <c r="C21" s="51" t="str">
        <v>מספר הפקות מורכבות</v>
      </c>
      <c r="D21" s="47">
        <v>12</v>
      </c>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v>0</v>
      </c>
    </row>
    <row r="23" spans="3:26" ht="31.5" x14ac:dyDescent="0.25">
      <c r="C23" s="51" t="str">
        <v>מספר הפקות מורכבות מקוריות</v>
      </c>
      <c r="D23" s="47">
        <v>11</v>
      </c>
    </row>
    <row r="24" spans="3:26" ht="47.25" x14ac:dyDescent="0.25">
      <c r="C24" s="51" t="str">
        <v>מתוכם הפקות מורכבות מקוריות שהם קופרודוקציה</v>
      </c>
      <c r="D24" s="47">
        <v>0</v>
      </c>
      <c r="H24" s="51" t="s">
        <v>329</v>
      </c>
      <c r="I24" s="47">
        <v>1</v>
      </c>
    </row>
    <row r="25" spans="3:26" x14ac:dyDescent="0.25">
      <c r="C25" s="51" t="str">
        <v>ארוע רב משתתפים</v>
      </c>
      <c r="D25" s="47">
        <v>5</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pQD0+w2iX2w8haU6eu1YLXmIW/YRKM/RfWikmccI0w2qc02Nl0Mau86Ipr33aP6N0ps0BxC4AiN+WEkw+CEoZA==" saltValue="vfgOq5WfKjWPGEBAT6UP4Q=="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conditionalFormatting sqref="F8">
    <cfRule type="expression" dxfId="1" priority="1">
      <formula>IF($C8="",0,1)</formula>
    </cfRule>
  </conditionalFormatting>
  <dataValidations count="13">
    <dataValidation type="list" allowBlank="1" showInputMessage="1" showErrorMessage="1" sqref="K11:L11 K28:K77 G8 N19:N21" xr:uid="{00000000-0002-0000-3F00-000000000000}">
      <formula1>$V$5:$W$5</formula1>
    </dataValidation>
    <dataValidation type="list" allowBlank="1" showInputMessage="1" showErrorMessage="1" sqref="G17" xr:uid="{00000000-0002-0000-3F00-000001000000}">
      <formula1>$V$7:$X$7</formula1>
    </dataValidation>
    <dataValidation type="list" allowBlank="1" showInputMessage="1" showErrorMessage="1" sqref="N16" xr:uid="{00000000-0002-0000-3F00-000002000000}">
      <formula1>$V$9:$Y$9</formula1>
    </dataValidation>
    <dataValidation allowBlank="1" showInputMessage="1" showErrorMessage="1" errorTitle="ערך לא חוקי" error="יש להזין ציון בין 0 ל-60" sqref="N18" xr:uid="{00000000-0002-0000-3F00-000003000000}"/>
    <dataValidation type="whole" allowBlank="1" showInputMessage="1" showErrorMessage="1" sqref="E8:F8" xr:uid="{00000000-0002-0000-3F00-000004000000}">
      <formula1>0</formula1>
      <formula2>9.99999999999999E+55</formula2>
    </dataValidation>
    <dataValidation type="list" allowBlank="1" showInputMessage="1" showErrorMessage="1" sqref="J21" xr:uid="{00000000-0002-0000-3F00-000005000000}">
      <formula1>$V$15:$W$15</formula1>
    </dataValidation>
    <dataValidation type="whole" operator="greaterThanOrEqual" allowBlank="1" showInputMessage="1" showErrorMessage="1" errorTitle="הזנה שגויה" sqref="J18 C11:E11 G11" xr:uid="{00000000-0002-0000-3F00-000006000000}">
      <formula1>0</formula1>
    </dataValidation>
    <dataValidation type="whole" allowBlank="1" showInputMessage="1" showErrorMessage="1" errorTitle="הזנה שגויה" sqref="J17" xr:uid="{00000000-0002-0000-3F00-000007000000}">
      <formula1>0</formula1>
      <formula2>J18</formula2>
    </dataValidation>
    <dataValidation operator="greaterThanOrEqual" allowBlank="1" showInputMessage="1" showErrorMessage="1" errorTitle="הזנה שגויה" sqref="C8:D8" xr:uid="{00000000-0002-0000-3F00-000008000000}"/>
    <dataValidation type="list" allowBlank="1" showInputMessage="1" showErrorMessage="1" sqref="E28:E77" xr:uid="{00000000-0002-0000-3F00-000009000000}">
      <formula1>U28:V28</formula1>
    </dataValidation>
    <dataValidation type="decimal" operator="greaterThan" allowBlank="1" showInputMessage="1" showErrorMessage="1" errorTitle="הזנה שגויה" sqref="K8:N8" xr:uid="{00000000-0002-0000-3F00-00000A000000}">
      <formula1>-999999999</formula1>
    </dataValidation>
    <dataValidation type="list" allowBlank="1" showInputMessage="1" showErrorMessage="1" sqref="I3 I24" xr:uid="{00000000-0002-0000-3F00-00000B000000}">
      <formula1>"0,1"</formula1>
    </dataValidation>
    <dataValidation type="decimal" operator="greaterThanOrEqual" allowBlank="1" showInputMessage="1" showErrorMessage="1" errorTitle="הזנה שגויה" sqref="H11" xr:uid="{00000000-0002-0000-3F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גיליון46">
    <tabColor theme="8" tint="-0.249977111117893"/>
    <pageSetUpPr fitToPage="1"/>
  </sheetPr>
  <dimension ref="C2:Z79"/>
  <sheetViews>
    <sheetView rightToLeft="1" view="pageBreakPreview" zoomScale="90" zoomScaleNormal="80" zoomScaleSheetLayoutView="90"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29</v>
      </c>
      <c r="E3" s="624"/>
      <c r="F3" s="625"/>
      <c r="H3" s="26" t="s">
        <v>310</v>
      </c>
      <c r="I3" s="47">
        <v>0</v>
      </c>
      <c r="L3" s="222" t="s">
        <v>311</v>
      </c>
      <c r="M3" s="221" t="str">
        <f ca="1">"גיליון הזנה "&amp;INDEX('ריכוז נתונים'!$C$17:$C$76,MATCH(D3,'ריכוז נתונים'!$B$17:$B$76,0))</f>
        <v>גיליון הזנה 29</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56</v>
      </c>
      <c r="F16" s="28" t="str">
        <f t="array" ref="F16:F17">TRANSPOSE('ריכוז נתונים'!P16:Q16)</f>
        <v>מספר דפים סטטיים</v>
      </c>
      <c r="G16" s="47">
        <v>65</v>
      </c>
      <c r="I16" s="634" t="s">
        <v>72</v>
      </c>
      <c r="J16" s="635"/>
      <c r="M16" s="51" t="s">
        <v>116</v>
      </c>
      <c r="N16" s="50"/>
    </row>
    <row r="17" spans="3:26" ht="50.25" customHeight="1" x14ac:dyDescent="0.25">
      <c r="C17" s="51" t="str">
        <v>מספר הרצאות</v>
      </c>
      <c r="D17" s="47">
        <v>1</v>
      </c>
      <c r="F17" s="26" t="str">
        <v xml:space="preserve">איכות האתר </v>
      </c>
      <c r="G17" s="49"/>
      <c r="I17" s="25" t="s">
        <v>809</v>
      </c>
      <c r="J17" s="48">
        <v>1100000</v>
      </c>
      <c r="M17" s="28" t="s">
        <v>160</v>
      </c>
      <c r="N17" s="47"/>
    </row>
    <row r="18" spans="3:26" ht="63" x14ac:dyDescent="0.25">
      <c r="C18" s="51" t="str">
        <v>מתוכם מספר הרצאות שנערכו על ידי מישהו בעל תואר שלישי בתחום בו ניתנה הפעילות:</v>
      </c>
      <c r="D18" s="47">
        <v>0</v>
      </c>
      <c r="I18" s="25" t="s">
        <v>810</v>
      </c>
      <c r="J18" s="136">
        <f>F11</f>
        <v>0</v>
      </c>
      <c r="M18" s="28" t="s">
        <v>161</v>
      </c>
      <c r="N18" s="47"/>
    </row>
    <row r="19" spans="3:26" x14ac:dyDescent="0.25">
      <c r="C19" s="51" t="str">
        <v>מספר ימי עיון</v>
      </c>
      <c r="D19" s="47">
        <v>1</v>
      </c>
      <c r="M19" s="28" t="s">
        <v>162</v>
      </c>
      <c r="N19" s="47"/>
    </row>
    <row r="20" spans="3:26" ht="63" x14ac:dyDescent="0.25">
      <c r="C20" s="51" t="str">
        <v>מתוכם מספר ימי עיון שנערכו על ידי מישהו בעל תואר שלישי בתחום בו ניתנה הפעילות:</v>
      </c>
      <c r="D20" s="47">
        <v>0</v>
      </c>
      <c r="I20" s="634" t="str">
        <f>פרמטרים!B101</f>
        <v>תיעוד ושימור החומר הארכיונאי</v>
      </c>
      <c r="J20" s="635"/>
      <c r="M20" s="28" t="s">
        <v>163</v>
      </c>
      <c r="N20" s="47"/>
    </row>
    <row r="21" spans="3:26" ht="94.5" x14ac:dyDescent="0.25">
      <c r="C21" s="51" t="str">
        <v>מספר הפקות מורכבות</v>
      </c>
      <c r="D21" s="47">
        <v>14</v>
      </c>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v>0</v>
      </c>
    </row>
    <row r="23" spans="3:26" ht="31.5" x14ac:dyDescent="0.25">
      <c r="C23" s="51" t="str">
        <v>מספר הפקות מורכבות מקוריות</v>
      </c>
      <c r="D23" s="47">
        <v>0</v>
      </c>
    </row>
    <row r="24" spans="3:26" ht="47.25" x14ac:dyDescent="0.25">
      <c r="C24" s="51" t="str">
        <v>מתוכם הפקות מורכבות מקוריות שהם קופרודוקציה</v>
      </c>
      <c r="D24" s="47">
        <v>0</v>
      </c>
      <c r="H24" s="51" t="s">
        <v>329</v>
      </c>
      <c r="I24" s="47">
        <v>0</v>
      </c>
    </row>
    <row r="25" spans="3:26" x14ac:dyDescent="0.25">
      <c r="C25" s="51" t="str">
        <v>ארוע רב משתתפים</v>
      </c>
      <c r="D25" s="47">
        <v>1</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Ht9dD/kTcYZr9YltRliDx1NWb3oqZyg8X37I3bz1a6jjDis3ntdDXmP7ql94A3NdputR54+rKSVhOkPTHs+gzw==" saltValue="H1JFKL0NCpYLEaWAVOnPNg=="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4400-000000000000}">
      <formula1>$V$5:$W$5</formula1>
    </dataValidation>
    <dataValidation type="list" allowBlank="1" showInputMessage="1" showErrorMessage="1" sqref="G17" xr:uid="{00000000-0002-0000-4400-000001000000}">
      <formula1>$V$7:$X$7</formula1>
    </dataValidation>
    <dataValidation type="list" allowBlank="1" showInputMessage="1" showErrorMessage="1" sqref="N16" xr:uid="{00000000-0002-0000-4400-000002000000}">
      <formula1>$V$9:$Y$9</formula1>
    </dataValidation>
    <dataValidation allowBlank="1" showInputMessage="1" showErrorMessage="1" errorTitle="ערך לא חוקי" error="יש להזין ציון בין 0 ל-60" sqref="N18" xr:uid="{00000000-0002-0000-4400-000003000000}"/>
    <dataValidation type="whole" allowBlank="1" showInputMessage="1" showErrorMessage="1" sqref="E8:F8" xr:uid="{00000000-0002-0000-4400-000004000000}">
      <formula1>0</formula1>
      <formula2>9.99999999999999E+55</formula2>
    </dataValidation>
    <dataValidation type="list" allowBlank="1" showInputMessage="1" showErrorMessage="1" sqref="J21" xr:uid="{00000000-0002-0000-4400-000005000000}">
      <formula1>$V$15:$W$15</formula1>
    </dataValidation>
    <dataValidation type="whole" operator="greaterThanOrEqual" allowBlank="1" showInputMessage="1" showErrorMessage="1" errorTitle="הזנה שגויה" sqref="J18 C11:E11 G11" xr:uid="{00000000-0002-0000-4400-000006000000}">
      <formula1>0</formula1>
    </dataValidation>
    <dataValidation type="whole" allowBlank="1" showInputMessage="1" showErrorMessage="1" errorTitle="הזנה שגויה" sqref="J17" xr:uid="{00000000-0002-0000-4400-000007000000}">
      <formula1>0</formula1>
      <formula2>J18</formula2>
    </dataValidation>
    <dataValidation operator="greaterThanOrEqual" allowBlank="1" showInputMessage="1" showErrorMessage="1" errorTitle="הזנה שגויה" sqref="C8:D8" xr:uid="{00000000-0002-0000-4400-000008000000}"/>
    <dataValidation type="list" allowBlank="1" showInputMessage="1" showErrorMessage="1" sqref="E28:E77" xr:uid="{00000000-0002-0000-4400-000009000000}">
      <formula1>U28:V28</formula1>
    </dataValidation>
    <dataValidation type="decimal" operator="greaterThan" allowBlank="1" showInputMessage="1" showErrorMessage="1" errorTitle="הזנה שגויה" sqref="K8:N8" xr:uid="{00000000-0002-0000-4400-00000A000000}">
      <formula1>-999999999</formula1>
    </dataValidation>
    <dataValidation type="list" allowBlank="1" showInputMessage="1" showErrorMessage="1" sqref="I3 I24" xr:uid="{00000000-0002-0000-4400-00000B000000}">
      <formula1>"0,1"</formula1>
    </dataValidation>
    <dataValidation type="decimal" operator="greaterThanOrEqual" allowBlank="1" showInputMessage="1" showErrorMessage="1" errorTitle="הזנה שגויה" sqref="H11" xr:uid="{00000000-0002-0000-44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גיליון48">
    <tabColor theme="8" tint="-0.249977111117893"/>
    <pageSetUpPr fitToPage="1"/>
  </sheetPr>
  <dimension ref="C2:Z79"/>
  <sheetViews>
    <sheetView rightToLeft="1" view="pageBreakPreview" topLeftCell="B10" zoomScale="80" zoomScaleNormal="80" zoomScaleSheetLayoutView="80" workbookViewId="0">
      <selection activeCell="C10" sqref="C10:D10"/>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כולנא</v>
      </c>
      <c r="E3" s="624"/>
      <c r="F3" s="625"/>
      <c r="H3" s="26" t="s">
        <v>310</v>
      </c>
      <c r="I3" s="47">
        <v>1</v>
      </c>
      <c r="L3" s="222" t="s">
        <v>311</v>
      </c>
      <c r="M3" s="221" t="str">
        <f ca="1">"גיליון הזנה "&amp;INDEX('ריכוז נתונים'!$C$17:$C$76,MATCH(D3,'ריכוז נתונים'!$B$17:$B$76,0))</f>
        <v>גיליון הזנה 31</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str">
        <f ca="1">VLOOKUP(D3,'ריכוז נתונים כללים'!D17:X76,8,FALSE)</f>
        <v>כן</v>
      </c>
      <c r="D8" s="627"/>
      <c r="E8" s="132">
        <f ca="1">VLOOKUP(D3,'ריכוז נתונים כללים'!D17:M76,10,FALSE)</f>
        <v>3.0097705623826878E-2</v>
      </c>
      <c r="F8" s="126">
        <v>0</v>
      </c>
      <c r="G8" s="630" t="s">
        <v>31</v>
      </c>
      <c r="H8" s="631"/>
      <c r="I8" s="632">
        <v>0</v>
      </c>
      <c r="J8" s="633"/>
      <c r="K8" s="628">
        <v>100000</v>
      </c>
      <c r="L8" s="629"/>
      <c r="M8" s="628">
        <v>953000</v>
      </c>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v>11500000</v>
      </c>
      <c r="D11" s="633"/>
      <c r="E11" s="130">
        <v>1750000</v>
      </c>
      <c r="F11" s="130">
        <v>1750000</v>
      </c>
      <c r="G11" s="130">
        <v>10700000</v>
      </c>
      <c r="H11" s="48">
        <v>1844100</v>
      </c>
      <c r="I11" s="630">
        <v>2020</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v>36</v>
      </c>
      <c r="F16" s="28" t="str">
        <f t="array" ref="F16:F17">TRANSPOSE('ריכוז נתונים'!P16:Q16)</f>
        <v>מספר דפים סטטיים</v>
      </c>
      <c r="G16" s="47">
        <v>14</v>
      </c>
      <c r="I16" s="634" t="s">
        <v>72</v>
      </c>
      <c r="J16" s="635"/>
      <c r="M16" s="51" t="s">
        <v>116</v>
      </c>
      <c r="N16" s="50" t="s">
        <v>117</v>
      </c>
    </row>
    <row r="17" spans="3:26" ht="50.25" customHeight="1" x14ac:dyDescent="0.25">
      <c r="C17" s="51" t="str">
        <v>מספר הרצאות</v>
      </c>
      <c r="D17" s="47">
        <v>20</v>
      </c>
      <c r="F17" s="26" t="str">
        <v xml:space="preserve">איכות האתר </v>
      </c>
      <c r="G17" s="49" t="s">
        <v>105</v>
      </c>
      <c r="I17" s="25" t="s">
        <v>809</v>
      </c>
      <c r="J17" s="48">
        <v>120000</v>
      </c>
      <c r="M17" s="28" t="s">
        <v>160</v>
      </c>
      <c r="N17" s="47">
        <v>80</v>
      </c>
    </row>
    <row r="18" spans="3:26" ht="63" x14ac:dyDescent="0.25">
      <c r="C18" s="51" t="str">
        <v>מתוכם מספר הרצאות שנערכו על ידי מישהו בעל תואר שלישי בתחום בו ניתנה הפעילות:</v>
      </c>
      <c r="D18" s="47">
        <v>6</v>
      </c>
      <c r="I18" s="25" t="s">
        <v>810</v>
      </c>
      <c r="J18" s="136">
        <f>F11</f>
        <v>1750000</v>
      </c>
      <c r="M18" s="28" t="s">
        <v>161</v>
      </c>
      <c r="N18" s="47">
        <v>150</v>
      </c>
    </row>
    <row r="19" spans="3:26" x14ac:dyDescent="0.25">
      <c r="C19" s="51" t="str">
        <v>מספר ימי עיון</v>
      </c>
      <c r="D19" s="47">
        <v>43</v>
      </c>
      <c r="M19" s="28" t="s">
        <v>162</v>
      </c>
      <c r="N19" s="47" t="s">
        <v>32</v>
      </c>
    </row>
    <row r="20" spans="3:26" ht="63" x14ac:dyDescent="0.25">
      <c r="C20" s="51" t="str">
        <v>מתוכם מספר ימי עיון שנערכו על ידי מישהו בעל תואר שלישי בתחום בו ניתנה הפעילות:</v>
      </c>
      <c r="D20" s="47">
        <v>15</v>
      </c>
      <c r="I20" s="634" t="str">
        <f>פרמטרים!B101</f>
        <v>תיעוד ושימור החומר הארכיונאי</v>
      </c>
      <c r="J20" s="635"/>
      <c r="M20" s="28" t="s">
        <v>163</v>
      </c>
      <c r="N20" s="47" t="s">
        <v>32</v>
      </c>
    </row>
    <row r="21" spans="3:26" ht="94.5" x14ac:dyDescent="0.25">
      <c r="C21" s="51" t="str">
        <v>מספר הפקות מורכבות</v>
      </c>
      <c r="D21" s="47">
        <v>15</v>
      </c>
      <c r="I21" s="26" t="str">
        <f>פרמטרים!B102</f>
        <v>היקף החומר הארכיוני בתחום המורשת אשר ברשותו הועלה לאתר האינטרנט של המוסד:</v>
      </c>
      <c r="J21" s="48"/>
      <c r="M21" s="28" t="s">
        <v>328</v>
      </c>
      <c r="N21" s="47" t="s">
        <v>32</v>
      </c>
    </row>
    <row r="22" spans="3:26" ht="31.5" x14ac:dyDescent="0.25">
      <c r="C22" s="51" t="str">
        <v>מתוכם הפקות מורכבות שהם קופרודוקציה</v>
      </c>
      <c r="D22" s="47">
        <v>2</v>
      </c>
    </row>
    <row r="23" spans="3:26" ht="31.5" x14ac:dyDescent="0.25">
      <c r="C23" s="51" t="str">
        <v>מספר הפקות מורכבות מקוריות</v>
      </c>
      <c r="D23" s="47">
        <v>15</v>
      </c>
    </row>
    <row r="24" spans="3:26" ht="47.25" x14ac:dyDescent="0.25">
      <c r="C24" s="51" t="str">
        <v>מתוכם הפקות מורכבות מקוריות שהם קופרודוקציה</v>
      </c>
      <c r="D24" s="47">
        <v>2</v>
      </c>
      <c r="H24" s="51" t="s">
        <v>329</v>
      </c>
      <c r="I24" s="47"/>
    </row>
    <row r="25" spans="3:26" x14ac:dyDescent="0.25">
      <c r="C25" s="51" t="str">
        <v>ארוע רב משתתפים</v>
      </c>
      <c r="D25" s="47">
        <v>7</v>
      </c>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t="s">
        <v>805</v>
      </c>
      <c r="D28" s="47">
        <v>150</v>
      </c>
      <c r="E28" s="47" t="s">
        <v>340</v>
      </c>
      <c r="F28" s="91">
        <f>IF(C28="","",D28*IF(E28=$U$27,פרמטרים!$C$39,IF(E28=$V$27,פרמטרים!$C$40,0)))</f>
        <v>300</v>
      </c>
      <c r="H28" s="47" t="s">
        <v>806</v>
      </c>
      <c r="I28" s="226">
        <v>44941</v>
      </c>
      <c r="J28" s="47">
        <v>250</v>
      </c>
      <c r="K28" s="47" t="s">
        <v>31</v>
      </c>
      <c r="L28" s="91">
        <f>IF(H28="","",IF(P28+R28=2,Q28,0))</f>
        <v>0</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1</v>
      </c>
      <c r="R28" s="42">
        <f>IF(K28=$W$27,1,0)</f>
        <v>1</v>
      </c>
      <c r="U28" s="42" t="str">
        <f t="shared" ref="U28:X47" si="0">IF($C28="","",U$27)</f>
        <v xml:space="preserve">קבועה </v>
      </c>
      <c r="V28" s="42" t="str">
        <f t="shared" si="0"/>
        <v>מתחלפת</v>
      </c>
      <c r="W28" s="42" t="str">
        <f t="shared" si="0"/>
        <v>כן</v>
      </c>
      <c r="X28" s="42" t="str">
        <f t="shared" si="0"/>
        <v>לא</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300</v>
      </c>
      <c r="L78" s="92">
        <f>SUM(L28:L77)</f>
        <v>0</v>
      </c>
    </row>
    <row r="79" spans="3:26" x14ac:dyDescent="0.25">
      <c r="F79" s="42">
        <f>COUNTIF(H78:H78,"מתחלפת")</f>
        <v>0</v>
      </c>
    </row>
  </sheetData>
  <sheetProtection algorithmName="SHA-512" hashValue="n8zqx0+9pww6iNTJ1LyLRx9mYh8S6W/1U2BddF5SUiz/EcOUZjIilZQUASjo+e/3I+WuFy/UEcf4fMDmFZRUYg==" saltValue="6RoJ+jO54H9bmhGOjJrp7Q=="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4000-000000000000}">
      <formula1>$V$5:$W$5</formula1>
    </dataValidation>
    <dataValidation type="list" allowBlank="1" showInputMessage="1" showErrorMessage="1" sqref="G17" xr:uid="{00000000-0002-0000-4000-000001000000}">
      <formula1>$V$7:$X$7</formula1>
    </dataValidation>
    <dataValidation type="list" allowBlank="1" showInputMessage="1" showErrorMessage="1" sqref="N16" xr:uid="{00000000-0002-0000-4000-000002000000}">
      <formula1>$V$9:$Y$9</formula1>
    </dataValidation>
    <dataValidation allowBlank="1" showInputMessage="1" showErrorMessage="1" errorTitle="ערך לא חוקי" error="יש להזין ציון בין 0 ל-60" sqref="N18" xr:uid="{00000000-0002-0000-4000-000003000000}"/>
    <dataValidation type="whole" allowBlank="1" showInputMessage="1" showErrorMessage="1" sqref="E8:F8" xr:uid="{00000000-0002-0000-4000-000004000000}">
      <formula1>0</formula1>
      <formula2>9.99999999999999E+55</formula2>
    </dataValidation>
    <dataValidation type="list" allowBlank="1" showInputMessage="1" showErrorMessage="1" sqref="J21" xr:uid="{00000000-0002-0000-4000-000005000000}">
      <formula1>$V$15:$W$15</formula1>
    </dataValidation>
    <dataValidation type="whole" operator="greaterThanOrEqual" allowBlank="1" showInputMessage="1" showErrorMessage="1" errorTitle="הזנה שגויה" sqref="J18 C11:E11 G11" xr:uid="{00000000-0002-0000-4000-000006000000}">
      <formula1>0</formula1>
    </dataValidation>
    <dataValidation type="whole" allowBlank="1" showInputMessage="1" showErrorMessage="1" errorTitle="הזנה שגויה" sqref="J17" xr:uid="{00000000-0002-0000-4000-000007000000}">
      <formula1>0</formula1>
      <formula2>J18</formula2>
    </dataValidation>
    <dataValidation operator="greaterThanOrEqual" allowBlank="1" showInputMessage="1" showErrorMessage="1" errorTitle="הזנה שגויה" sqref="C8:D8" xr:uid="{00000000-0002-0000-4000-000008000000}"/>
    <dataValidation type="list" allowBlank="1" showInputMessage="1" showErrorMessage="1" sqref="E28:E77" xr:uid="{00000000-0002-0000-4000-000009000000}">
      <formula1>U28:V28</formula1>
    </dataValidation>
    <dataValidation type="decimal" operator="greaterThan" allowBlank="1" showInputMessage="1" showErrorMessage="1" errorTitle="הזנה שגויה" sqref="K8:N8" xr:uid="{00000000-0002-0000-4000-00000A000000}">
      <formula1>-999999999</formula1>
    </dataValidation>
    <dataValidation type="list" allowBlank="1" showInputMessage="1" showErrorMessage="1" sqref="I3 I24" xr:uid="{00000000-0002-0000-4000-00000B000000}">
      <formula1>"0,1"</formula1>
    </dataValidation>
    <dataValidation type="decimal" operator="greaterThanOrEqual" allowBlank="1" showInputMessage="1" showErrorMessage="1" errorTitle="הזנה שגויה" sqref="H11" xr:uid="{00000000-0002-0000-40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גיליון49">
    <tabColor theme="8" tint="-0.249977111117893"/>
    <pageSetUpPr fitToPage="1"/>
  </sheetPr>
  <dimension ref="C2:Z79"/>
  <sheetViews>
    <sheetView rightToLeft="1" view="pageBreakPreview" zoomScale="75" zoomScaleNormal="8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32</v>
      </c>
      <c r="E3" s="624"/>
      <c r="F3" s="625"/>
      <c r="H3" s="26" t="s">
        <v>310</v>
      </c>
      <c r="I3" s="47"/>
      <c r="L3" s="222" t="s">
        <v>311</v>
      </c>
      <c r="M3" s="221" t="str">
        <f ca="1">"גיליון הזנה "&amp;INDEX('ריכוז נתונים'!$C$17:$C$76,MATCH(D3,'ריכוז נתונים'!$B$17:$B$76,0))</f>
        <v>גיליון הזנה 32</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ye+QfL21Kwraxs9dEdZhDBpoFUiMplTwXI7nEmkgrQ9VyomUZcPgHyMkfUGntyYW+O3VA4kg1HR6upaIv7V8qQ==" saltValue="ny5ge1Li98qpuhke0X9cQQ=="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4100-000000000000}">
      <formula1>$V$5:$W$5</formula1>
    </dataValidation>
    <dataValidation type="list" allowBlank="1" showInputMessage="1" showErrorMessage="1" sqref="G17" xr:uid="{00000000-0002-0000-4100-000001000000}">
      <formula1>$V$7:$X$7</formula1>
    </dataValidation>
    <dataValidation type="list" allowBlank="1" showInputMessage="1" showErrorMessage="1" sqref="N16" xr:uid="{00000000-0002-0000-4100-000002000000}">
      <formula1>$V$9:$Y$9</formula1>
    </dataValidation>
    <dataValidation allowBlank="1" showInputMessage="1" showErrorMessage="1" errorTitle="ערך לא חוקי" error="יש להזין ציון בין 0 ל-60" sqref="N18" xr:uid="{00000000-0002-0000-4100-000003000000}"/>
    <dataValidation type="whole" allowBlank="1" showInputMessage="1" showErrorMessage="1" sqref="E8:F8" xr:uid="{00000000-0002-0000-4100-000004000000}">
      <formula1>0</formula1>
      <formula2>9.99999999999999E+55</formula2>
    </dataValidation>
    <dataValidation type="list" allowBlank="1" showInputMessage="1" showErrorMessage="1" sqref="J21" xr:uid="{00000000-0002-0000-4100-000005000000}">
      <formula1>$V$15:$W$15</formula1>
    </dataValidation>
    <dataValidation type="whole" operator="greaterThanOrEqual" allowBlank="1" showInputMessage="1" showErrorMessage="1" errorTitle="הזנה שגויה" sqref="J18 C11:E11 G11" xr:uid="{00000000-0002-0000-4100-000006000000}">
      <formula1>0</formula1>
    </dataValidation>
    <dataValidation type="whole" allowBlank="1" showInputMessage="1" showErrorMessage="1" errorTitle="הזנה שגויה" sqref="J17" xr:uid="{00000000-0002-0000-4100-000007000000}">
      <formula1>0</formula1>
      <formula2>J18</formula2>
    </dataValidation>
    <dataValidation operator="greaterThanOrEqual" allowBlank="1" showInputMessage="1" showErrorMessage="1" errorTitle="הזנה שגויה" sqref="C8:D8" xr:uid="{00000000-0002-0000-4100-000008000000}"/>
    <dataValidation type="list" allowBlank="1" showInputMessage="1" showErrorMessage="1" sqref="E28:E77" xr:uid="{00000000-0002-0000-4100-000009000000}">
      <formula1>U28:V28</formula1>
    </dataValidation>
    <dataValidation type="decimal" operator="greaterThan" allowBlank="1" showInputMessage="1" showErrorMessage="1" errorTitle="הזנה שגויה" sqref="K8:N8" xr:uid="{00000000-0002-0000-4100-00000A000000}">
      <formula1>-999999999</formula1>
    </dataValidation>
    <dataValidation type="list" allowBlank="1" showInputMessage="1" showErrorMessage="1" sqref="I3 I24" xr:uid="{00000000-0002-0000-4100-00000B000000}">
      <formula1>"0,1"</formula1>
    </dataValidation>
    <dataValidation type="decimal" operator="greaterThanOrEqual" allowBlank="1" showInputMessage="1" showErrorMessage="1" errorTitle="הזנה שגויה" sqref="H11" xr:uid="{00000000-0002-0000-41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גיליון50">
    <tabColor theme="8" tint="-0.249977111117893"/>
    <pageSetUpPr fitToPage="1"/>
  </sheetPr>
  <dimension ref="C2:Z79"/>
  <sheetViews>
    <sheetView rightToLeft="1" view="pageBreakPreview" zoomScale="75" zoomScaleNormal="80" zoomScaleSheetLayoutView="75" workbookViewId="0">
      <selection activeCell="N17" sqref="N17"/>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33</v>
      </c>
      <c r="E3" s="624"/>
      <c r="F3" s="625"/>
      <c r="H3" s="26" t="s">
        <v>310</v>
      </c>
      <c r="I3" s="47"/>
      <c r="L3" s="222" t="s">
        <v>311</v>
      </c>
      <c r="M3" s="221" t="str">
        <f ca="1">"גיליון הזנה "&amp;INDEX('ריכוז נתונים'!$C$17:$C$76,MATCH(D3,'ריכוז נתונים'!$B$17:$B$76,0))</f>
        <v>גיליון הזנה 33</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l3mQU+p0tjO6c0CSjwMbu7p9Bbqx0FXj4NmJIlWPbtxeXcibwIfy8DS+N+AMdWJnsb0lzsjFcrKhwJVNWFf+gw==" saltValue="fEMnMUWJHINrgO64m8tljw=="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N16" xr:uid="{00000000-0002-0000-4200-000000000000}">
      <formula1>$V$9:$Y$9</formula1>
    </dataValidation>
    <dataValidation type="list" allowBlank="1" showInputMessage="1" showErrorMessage="1" sqref="G17" xr:uid="{00000000-0002-0000-4200-000001000000}">
      <formula1>$V$7:$X$7</formula1>
    </dataValidation>
    <dataValidation type="list" allowBlank="1" showInputMessage="1" showErrorMessage="1" sqref="K11:L11 K28:K77 G8 N19:N21" xr:uid="{00000000-0002-0000-4200-000002000000}">
      <formula1>$V$5:$W$5</formula1>
    </dataValidation>
    <dataValidation allowBlank="1" showInputMessage="1" showErrorMessage="1" errorTitle="ערך לא חוקי" error="יש להזין ציון בין 0 ל-60" sqref="N18" xr:uid="{00000000-0002-0000-4200-000003000000}"/>
    <dataValidation type="whole" allowBlank="1" showInputMessage="1" showErrorMessage="1" sqref="E8:F8" xr:uid="{00000000-0002-0000-4200-000004000000}">
      <formula1>0</formula1>
      <formula2>9.99999999999999E+55</formula2>
    </dataValidation>
    <dataValidation type="list" allowBlank="1" showInputMessage="1" showErrorMessage="1" sqref="J21" xr:uid="{00000000-0002-0000-4200-000005000000}">
      <formula1>$V$15:$W$15</formula1>
    </dataValidation>
    <dataValidation type="whole" operator="greaterThanOrEqual" allowBlank="1" showInputMessage="1" showErrorMessage="1" errorTitle="הזנה שגויה" sqref="J18 C11:E11 G11" xr:uid="{00000000-0002-0000-4200-000006000000}">
      <formula1>0</formula1>
    </dataValidation>
    <dataValidation type="whole" allowBlank="1" showInputMessage="1" showErrorMessage="1" errorTitle="הזנה שגויה" sqref="J17" xr:uid="{00000000-0002-0000-4200-000007000000}">
      <formula1>0</formula1>
      <formula2>J18</formula2>
    </dataValidation>
    <dataValidation operator="greaterThanOrEqual" allowBlank="1" showInputMessage="1" showErrorMessage="1" errorTitle="הזנה שגויה" sqref="C8:D8" xr:uid="{00000000-0002-0000-4200-000008000000}"/>
    <dataValidation type="list" allowBlank="1" showInputMessage="1" showErrorMessage="1" sqref="E28:E77" xr:uid="{00000000-0002-0000-4200-000009000000}">
      <formula1>U28:V28</formula1>
    </dataValidation>
    <dataValidation type="decimal" operator="greaterThan" allowBlank="1" showInputMessage="1" showErrorMessage="1" errorTitle="הזנה שגויה" sqref="K8:N8" xr:uid="{00000000-0002-0000-4200-00000A000000}">
      <formula1>-999999999</formula1>
    </dataValidation>
    <dataValidation type="list" allowBlank="1" showInputMessage="1" showErrorMessage="1" sqref="I3 I24" xr:uid="{00000000-0002-0000-4200-00000B000000}">
      <formula1>"0,1"</formula1>
    </dataValidation>
    <dataValidation type="decimal" operator="greaterThanOrEqual" allowBlank="1" showInputMessage="1" showErrorMessage="1" errorTitle="הזנה שגויה" sqref="H11" xr:uid="{00000000-0002-0000-42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גיליון51">
    <tabColor theme="8" tint="-0.249977111117893"/>
    <pageSetUpPr fitToPage="1"/>
  </sheetPr>
  <dimension ref="C2:Z79"/>
  <sheetViews>
    <sheetView rightToLeft="1" view="pageBreakPreview" topLeftCell="F12" zoomScale="75" zoomScaleNormal="8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34</v>
      </c>
      <c r="E3" s="624"/>
      <c r="F3" s="625"/>
      <c r="H3" s="26" t="s">
        <v>310</v>
      </c>
      <c r="I3" s="47">
        <v>1</v>
      </c>
      <c r="L3" s="222" t="s">
        <v>311</v>
      </c>
      <c r="M3" s="221" t="str">
        <f ca="1">"גיליון הזנה "&amp;INDEX('ריכוז נתונים'!$C$17:$C$76,MATCH(D3,'ריכוז נתונים'!$B$17:$B$76,0))</f>
        <v>גיליון הזנה 34</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TVmx4cTIvcRDvM3R+zHsZkd874EG1RERFmlBh9Eue5jt0ouktaHcJekRb36K7rfXirvooiLFDCpq+zpV8pSow==" saltValue="73BjYqKJyEqlVr4erwZ93Q=="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4300-000000000000}">
      <formula1>$V$5:$W$5</formula1>
    </dataValidation>
    <dataValidation type="list" allowBlank="1" showInputMessage="1" showErrorMessage="1" sqref="G17" xr:uid="{00000000-0002-0000-4300-000001000000}">
      <formula1>$V$7:$X$7</formula1>
    </dataValidation>
    <dataValidation type="list" allowBlank="1" showInputMessage="1" showErrorMessage="1" sqref="N16" xr:uid="{00000000-0002-0000-4300-000002000000}">
      <formula1>$V$9:$Y$9</formula1>
    </dataValidation>
    <dataValidation allowBlank="1" showInputMessage="1" showErrorMessage="1" errorTitle="ערך לא חוקי" error="יש להזין ציון בין 0 ל-60" sqref="N18" xr:uid="{00000000-0002-0000-4300-000003000000}"/>
    <dataValidation type="whole" allowBlank="1" showInputMessage="1" showErrorMessage="1" sqref="E8:F8" xr:uid="{00000000-0002-0000-4300-000004000000}">
      <formula1>0</formula1>
      <formula2>9.99999999999999E+55</formula2>
    </dataValidation>
    <dataValidation type="list" allowBlank="1" showInputMessage="1" showErrorMessage="1" sqref="J21" xr:uid="{00000000-0002-0000-4300-000005000000}">
      <formula1>$V$15:$W$15</formula1>
    </dataValidation>
    <dataValidation type="whole" operator="greaterThanOrEqual" allowBlank="1" showInputMessage="1" showErrorMessage="1" errorTitle="הזנה שגויה" sqref="J18 C11:E11 G11" xr:uid="{00000000-0002-0000-4300-000006000000}">
      <formula1>0</formula1>
    </dataValidation>
    <dataValidation type="whole" allowBlank="1" showInputMessage="1" showErrorMessage="1" errorTitle="הזנה שגויה" sqref="J17" xr:uid="{00000000-0002-0000-4300-000007000000}">
      <formula1>0</formula1>
      <formula2>J18</formula2>
    </dataValidation>
    <dataValidation operator="greaterThanOrEqual" allowBlank="1" showInputMessage="1" showErrorMessage="1" errorTitle="הזנה שגויה" sqref="C8:D8" xr:uid="{00000000-0002-0000-4300-000008000000}"/>
    <dataValidation type="list" allowBlank="1" showInputMessage="1" showErrorMessage="1" sqref="E28:E77" xr:uid="{00000000-0002-0000-4300-000009000000}">
      <formula1>U28:V28</formula1>
    </dataValidation>
    <dataValidation type="decimal" operator="greaterThan" allowBlank="1" showInputMessage="1" showErrorMessage="1" errorTitle="הזנה שגויה" sqref="K8:N8" xr:uid="{00000000-0002-0000-4300-00000A000000}">
      <formula1>-999999999</formula1>
    </dataValidation>
    <dataValidation type="list" allowBlank="1" showInputMessage="1" showErrorMessage="1" sqref="I3 I24" xr:uid="{00000000-0002-0000-4300-00000B000000}">
      <formula1>"0,1"</formula1>
    </dataValidation>
    <dataValidation type="decimal" operator="greaterThanOrEqual" allowBlank="1" showInputMessage="1" showErrorMessage="1" errorTitle="הזנה שגויה" sqref="H11" xr:uid="{00000000-0002-0000-43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גיליון52">
    <tabColor theme="8" tint="-0.249977111117893"/>
    <pageSetUpPr fitToPage="1"/>
  </sheetPr>
  <dimension ref="C2:Z79"/>
  <sheetViews>
    <sheetView rightToLeft="1" view="pageBreakPreview" topLeftCell="F1" zoomScale="75" zoomScaleNormal="8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35</v>
      </c>
      <c r="E3" s="624"/>
      <c r="F3" s="625"/>
      <c r="H3" s="26" t="s">
        <v>310</v>
      </c>
      <c r="I3" s="47">
        <v>1</v>
      </c>
      <c r="L3" s="222" t="s">
        <v>311</v>
      </c>
      <c r="M3" s="221" t="str">
        <f ca="1">"גיליון הזנה "&amp;INDEX('ריכוז נתונים'!$C$17:$C$76,MATCH(D3,'ריכוז נתונים'!$B$17:$B$76,0))</f>
        <v>גיליון הזנה 35</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wMfae94Isvf7et/YnZSvM8d9wQIFepZwaFEF31zn4iOVH0U/L6yG3siroOOQrmxtZx/XJG/gC6ctTs+s/Uq27Q==" saltValue="cNCNSp9fhMaHX4V+Q3rn7A=="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N16" xr:uid="{00000000-0002-0000-4500-000000000000}">
      <formula1>$V$9:$Y$9</formula1>
    </dataValidation>
    <dataValidation type="list" allowBlank="1" showInputMessage="1" showErrorMessage="1" sqref="G17" xr:uid="{00000000-0002-0000-4500-000001000000}">
      <formula1>$V$7:$X$7</formula1>
    </dataValidation>
    <dataValidation type="list" allowBlank="1" showInputMessage="1" showErrorMessage="1" sqref="K11:L11 K28:K77 G8 N19:N21" xr:uid="{00000000-0002-0000-4500-000002000000}">
      <formula1>$V$5:$W$5</formula1>
    </dataValidation>
    <dataValidation allowBlank="1" showInputMessage="1" showErrorMessage="1" errorTitle="ערך לא חוקי" error="יש להזין ציון בין 0 ל-60" sqref="N18" xr:uid="{00000000-0002-0000-4500-000003000000}"/>
    <dataValidation type="whole" allowBlank="1" showInputMessage="1" showErrorMessage="1" sqref="E8:F8" xr:uid="{00000000-0002-0000-4500-000004000000}">
      <formula1>0</formula1>
      <formula2>9.99999999999999E+55</formula2>
    </dataValidation>
    <dataValidation type="list" allowBlank="1" showInputMessage="1" showErrorMessage="1" sqref="J21" xr:uid="{00000000-0002-0000-4500-000005000000}">
      <formula1>$V$15:$W$15</formula1>
    </dataValidation>
    <dataValidation type="whole" operator="greaterThanOrEqual" allowBlank="1" showInputMessage="1" showErrorMessage="1" errorTitle="הזנה שגויה" sqref="J18 C11:E11 G11" xr:uid="{00000000-0002-0000-4500-000006000000}">
      <formula1>0</formula1>
    </dataValidation>
    <dataValidation type="whole" allowBlank="1" showInputMessage="1" showErrorMessage="1" errorTitle="הזנה שגויה" sqref="J17" xr:uid="{00000000-0002-0000-4500-000007000000}">
      <formula1>0</formula1>
      <formula2>J18</formula2>
    </dataValidation>
    <dataValidation operator="greaterThanOrEqual" allowBlank="1" showInputMessage="1" showErrorMessage="1" errorTitle="הזנה שגויה" sqref="C8:D8" xr:uid="{00000000-0002-0000-4500-000008000000}"/>
    <dataValidation type="list" allowBlank="1" showInputMessage="1" showErrorMessage="1" sqref="E28:E77" xr:uid="{00000000-0002-0000-4500-000009000000}">
      <formula1>U28:V28</formula1>
    </dataValidation>
    <dataValidation type="decimal" operator="greaterThan" allowBlank="1" showInputMessage="1" showErrorMessage="1" errorTitle="הזנה שגויה" sqref="K8:N8" xr:uid="{00000000-0002-0000-4500-00000A000000}">
      <formula1>-999999999</formula1>
    </dataValidation>
    <dataValidation type="list" allowBlank="1" showInputMessage="1" showErrorMessage="1" sqref="I3 I24" xr:uid="{00000000-0002-0000-4500-00000B000000}">
      <formula1>"0,1"</formula1>
    </dataValidation>
    <dataValidation type="decimal" operator="greaterThanOrEqual" allowBlank="1" showInputMessage="1" showErrorMessage="1" errorTitle="הזנה שגויה" sqref="H11" xr:uid="{00000000-0002-0000-45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גיליון53">
    <tabColor rgb="FF002060"/>
    <pageSetUpPr fitToPage="1"/>
  </sheetPr>
  <dimension ref="C2:Z79"/>
  <sheetViews>
    <sheetView rightToLeft="1" view="pageBreakPreview" zoomScale="75" zoomScaleNormal="80" zoomScaleSheetLayoutView="75" workbookViewId="0">
      <selection activeCell="N16" sqref="N16:N21"/>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42578125"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36</v>
      </c>
      <c r="E3" s="624"/>
      <c r="F3" s="625"/>
      <c r="H3" s="26" t="s">
        <v>310</v>
      </c>
      <c r="I3" s="47">
        <v>0</v>
      </c>
      <c r="L3" s="222" t="s">
        <v>311</v>
      </c>
      <c r="M3" s="221" t="str">
        <f ca="1">"גיליון הזנה "&amp;INDEX('ריכוז נתונים'!$C$17:$C$76,MATCH(D3,'ריכוז נתונים'!$B$17:$B$76,0))</f>
        <v>גיליון הזנה 36</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Txr9wrbPUusb1+pa1AB/nRzW9KoB3A/zyOjAQ8+35sxnOaAUPorHXh5cRvfjEovE6XZeX/sh4wm6tbfvW+etKg==" saltValue="DYzuw90Ek9AZWkv+Zuo4KA=="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4700-000000000000}">
      <formula1>$V$5:$W$5</formula1>
    </dataValidation>
    <dataValidation type="list" allowBlank="1" showInputMessage="1" showErrorMessage="1" sqref="G17" xr:uid="{00000000-0002-0000-4700-000001000000}">
      <formula1>$V$7:$X$7</formula1>
    </dataValidation>
    <dataValidation type="list" allowBlank="1" showInputMessage="1" showErrorMessage="1" sqref="N16" xr:uid="{00000000-0002-0000-4700-000002000000}">
      <formula1>$V$9:$Y$9</formula1>
    </dataValidation>
    <dataValidation allowBlank="1" showInputMessage="1" showErrorMessage="1" errorTitle="ערך לא חוקי" error="יש להזין ציון בין 0 ל-60" sqref="N18" xr:uid="{00000000-0002-0000-4700-000003000000}"/>
    <dataValidation type="whole" allowBlank="1" showInputMessage="1" showErrorMessage="1" sqref="E8:F8" xr:uid="{00000000-0002-0000-4700-000004000000}">
      <formula1>0</formula1>
      <formula2>9.99999999999999E+55</formula2>
    </dataValidation>
    <dataValidation type="list" allowBlank="1" showInputMessage="1" showErrorMessage="1" sqref="J21" xr:uid="{00000000-0002-0000-4700-000005000000}">
      <formula1>$V$15:$W$15</formula1>
    </dataValidation>
    <dataValidation type="whole" operator="greaterThanOrEqual" allowBlank="1" showInputMessage="1" showErrorMessage="1" errorTitle="הזנה שגויה" sqref="J18 C11:E11 G11" xr:uid="{00000000-0002-0000-4700-000006000000}">
      <formula1>0</formula1>
    </dataValidation>
    <dataValidation type="whole" allowBlank="1" showInputMessage="1" showErrorMessage="1" errorTitle="הזנה שגויה" sqref="J17" xr:uid="{00000000-0002-0000-4700-000007000000}">
      <formula1>0</formula1>
      <formula2>J18</formula2>
    </dataValidation>
    <dataValidation operator="greaterThanOrEqual" allowBlank="1" showInputMessage="1" showErrorMessage="1" errorTitle="הזנה שגויה" sqref="C8:D8" xr:uid="{00000000-0002-0000-4700-000008000000}"/>
    <dataValidation type="list" allowBlank="1" showInputMessage="1" showErrorMessage="1" sqref="E28:E77" xr:uid="{00000000-0002-0000-4700-000009000000}">
      <formula1>U28:V28</formula1>
    </dataValidation>
    <dataValidation type="decimal" operator="greaterThan" allowBlank="1" showInputMessage="1" showErrorMessage="1" errorTitle="הזנה שגויה" sqref="K8:N8" xr:uid="{00000000-0002-0000-4700-00000A000000}">
      <formula1>-999999999</formula1>
    </dataValidation>
    <dataValidation type="list" allowBlank="1" showInputMessage="1" showErrorMessage="1" sqref="I3 I24" xr:uid="{00000000-0002-0000-4700-00000B000000}">
      <formula1>"0,1"</formula1>
    </dataValidation>
    <dataValidation type="decimal" operator="greaterThanOrEqual" allowBlank="1" showInputMessage="1" showErrorMessage="1" errorTitle="הזנה שגויה" sqref="H11" xr:uid="{00000000-0002-0000-47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4" man="1"/>
  </col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גיליון54">
    <tabColor theme="8" tint="-0.249977111117893"/>
    <pageSetUpPr fitToPage="1"/>
  </sheetPr>
  <dimension ref="C2:Z79"/>
  <sheetViews>
    <sheetView rightToLeft="1" view="pageBreakPreview" zoomScale="75" zoomScaleNormal="8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42578125"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37</v>
      </c>
      <c r="E3" s="624"/>
      <c r="F3" s="625"/>
      <c r="H3" s="26" t="s">
        <v>310</v>
      </c>
      <c r="I3" s="47"/>
      <c r="L3" s="222" t="s">
        <v>311</v>
      </c>
      <c r="M3" s="221" t="str">
        <f ca="1">"גיליון הזנה "&amp;INDEX('ריכוז נתונים'!$C$17:$C$76,MATCH(D3,'ריכוז נתונים'!$B$17:$B$76,0))</f>
        <v>גיליון הזנה 37</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v>0</v>
      </c>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7YBGaIRMWgRUpAauk333VluH0aYYfitcZgDaTp1G7pcArFsOF7i5dMo3xQ8BdWWAr+qS4IsTwdvHkFUYgsIbGA==" saltValue="wAeSgk5jYex8SRvD7f8LFg=="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4600-000000000000}">
      <formula1>$V$5:$W$5</formula1>
    </dataValidation>
    <dataValidation type="list" allowBlank="1" showInputMessage="1" showErrorMessage="1" sqref="G17" xr:uid="{00000000-0002-0000-4600-000001000000}">
      <formula1>$V$7:$X$7</formula1>
    </dataValidation>
    <dataValidation type="list" allowBlank="1" showInputMessage="1" showErrorMessage="1" sqref="N16" xr:uid="{00000000-0002-0000-4600-000002000000}">
      <formula1>$V$9:$Y$9</formula1>
    </dataValidation>
    <dataValidation allowBlank="1" showInputMessage="1" showErrorMessage="1" errorTitle="ערך לא חוקי" error="יש להזין ציון בין 0 ל-60" sqref="N18" xr:uid="{00000000-0002-0000-4600-000003000000}"/>
    <dataValidation type="whole" allowBlank="1" showInputMessage="1" showErrorMessage="1" sqref="E8:F8" xr:uid="{00000000-0002-0000-4600-000004000000}">
      <formula1>0</formula1>
      <formula2>9.99999999999999E+55</formula2>
    </dataValidation>
    <dataValidation type="list" allowBlank="1" showInputMessage="1" showErrorMessage="1" sqref="J21" xr:uid="{00000000-0002-0000-4600-000005000000}">
      <formula1>$V$15:$W$15</formula1>
    </dataValidation>
    <dataValidation type="whole" operator="greaterThanOrEqual" allowBlank="1" showInputMessage="1" showErrorMessage="1" errorTitle="הזנה שגויה" sqref="J18 C11:E11 G11" xr:uid="{00000000-0002-0000-4600-000006000000}">
      <formula1>0</formula1>
    </dataValidation>
    <dataValidation type="whole" allowBlank="1" showInputMessage="1" showErrorMessage="1" errorTitle="הזנה שגויה" sqref="J17" xr:uid="{00000000-0002-0000-4600-000007000000}">
      <formula1>0</formula1>
      <formula2>J18</formula2>
    </dataValidation>
    <dataValidation operator="greaterThanOrEqual" allowBlank="1" showInputMessage="1" showErrorMessage="1" errorTitle="הזנה שגויה" sqref="C8:D8" xr:uid="{00000000-0002-0000-4600-000008000000}"/>
    <dataValidation type="list" allowBlank="1" showInputMessage="1" showErrorMessage="1" sqref="E28:E77" xr:uid="{00000000-0002-0000-4600-000009000000}">
      <formula1>U28:V28</formula1>
    </dataValidation>
    <dataValidation type="decimal" operator="greaterThan" allowBlank="1" showInputMessage="1" showErrorMessage="1" errorTitle="הזנה שגויה" sqref="K8:N8" xr:uid="{00000000-0002-0000-4600-00000A000000}">
      <formula1>-999999999</formula1>
    </dataValidation>
    <dataValidation type="list" allowBlank="1" showInputMessage="1" showErrorMessage="1" sqref="I3 I24" xr:uid="{00000000-0002-0000-4600-00000B000000}">
      <formula1>"0,1"</formula1>
    </dataValidation>
    <dataValidation type="decimal" operator="greaterThanOrEqual" allowBlank="1" showInputMessage="1" showErrorMessage="1" errorTitle="הזנה שגויה" sqref="H11" xr:uid="{00000000-0002-0000-46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גיליון55">
    <tabColor theme="8" tint="-0.249977111117893"/>
    <pageSetUpPr fitToPage="1"/>
  </sheetPr>
  <dimension ref="C2:Z79"/>
  <sheetViews>
    <sheetView rightToLeft="1" view="pageBreakPreview" zoomScale="75" zoomScaleNormal="8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38</v>
      </c>
      <c r="E3" s="624"/>
      <c r="F3" s="625"/>
      <c r="H3" s="26" t="s">
        <v>310</v>
      </c>
      <c r="I3" s="47"/>
      <c r="L3" s="222" t="s">
        <v>311</v>
      </c>
      <c r="M3" s="221" t="str">
        <f ca="1">"גיליון הזנה "&amp;INDEX('ריכוז נתונים'!$C$17:$C$76,MATCH(D3,'ריכוז נתונים'!$B$17:$B$76,0))</f>
        <v>גיליון הזנה 38</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v>0</v>
      </c>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J0TPSztprotiul/a8/UHgpkHXpMfNvKJ7Fd7DFSmNQlLJDDRcM7sEkTU1HfKiKeEbObMOWlyTaolhzqrtoJmPQ==" saltValue="Z6YEz1XsOOwmsL1Up/Mk0w=="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N16" xr:uid="{00000000-0002-0000-4800-000000000000}">
      <formula1>$V$9:$Y$9</formula1>
    </dataValidation>
    <dataValidation type="list" allowBlank="1" showInputMessage="1" showErrorMessage="1" sqref="G17" xr:uid="{00000000-0002-0000-4800-000001000000}">
      <formula1>$V$7:$X$7</formula1>
    </dataValidation>
    <dataValidation type="list" allowBlank="1" showInputMessage="1" showErrorMessage="1" sqref="K11:L11 K28:K77 G8 N19:N21" xr:uid="{00000000-0002-0000-4800-000002000000}">
      <formula1>$V$5:$W$5</formula1>
    </dataValidation>
    <dataValidation allowBlank="1" showInputMessage="1" showErrorMessage="1" errorTitle="ערך לא חוקי" error="יש להזין ציון בין 0 ל-60" sqref="N18" xr:uid="{00000000-0002-0000-4800-000003000000}"/>
    <dataValidation type="whole" allowBlank="1" showInputMessage="1" showErrorMessage="1" sqref="E8:F8" xr:uid="{00000000-0002-0000-4800-000004000000}">
      <formula1>0</formula1>
      <formula2>9.99999999999999E+55</formula2>
    </dataValidation>
    <dataValidation type="list" allowBlank="1" showInputMessage="1" showErrorMessage="1" sqref="J21" xr:uid="{00000000-0002-0000-4800-000005000000}">
      <formula1>$V$15:$W$15</formula1>
    </dataValidation>
    <dataValidation type="whole" operator="greaterThanOrEqual" allowBlank="1" showInputMessage="1" showErrorMessage="1" errorTitle="הזנה שגויה" sqref="J18 C11:E11 G11" xr:uid="{00000000-0002-0000-4800-000006000000}">
      <formula1>0</formula1>
    </dataValidation>
    <dataValidation type="whole" allowBlank="1" showInputMessage="1" showErrorMessage="1" errorTitle="הזנה שגויה" sqref="J17" xr:uid="{00000000-0002-0000-4800-000007000000}">
      <formula1>0</formula1>
      <formula2>J18</formula2>
    </dataValidation>
    <dataValidation operator="greaterThanOrEqual" allowBlank="1" showInputMessage="1" showErrorMessage="1" errorTitle="הזנה שגויה" sqref="C8:D8" xr:uid="{00000000-0002-0000-4800-000008000000}"/>
    <dataValidation type="list" allowBlank="1" showInputMessage="1" showErrorMessage="1" sqref="E28:E77" xr:uid="{00000000-0002-0000-4800-000009000000}">
      <formula1>U28:V28</formula1>
    </dataValidation>
    <dataValidation type="decimal" operator="greaterThan" allowBlank="1" showInputMessage="1" showErrorMessage="1" errorTitle="הזנה שגויה" sqref="K8:N8" xr:uid="{00000000-0002-0000-4800-00000A000000}">
      <formula1>-999999999</formula1>
    </dataValidation>
    <dataValidation type="list" allowBlank="1" showInputMessage="1" showErrorMessage="1" sqref="I3 I24" xr:uid="{00000000-0002-0000-4800-00000B000000}">
      <formula1>"0,1"</formula1>
    </dataValidation>
    <dataValidation type="decimal" operator="greaterThanOrEqual" allowBlank="1" showInputMessage="1" showErrorMessage="1" errorTitle="הזנה שגויה" sqref="H11" xr:uid="{00000000-0002-0000-48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4" man="1"/>
  </col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גיליון56">
    <tabColor theme="8" tint="-0.249977111117893"/>
    <pageSetUpPr fitToPage="1"/>
  </sheetPr>
  <dimension ref="C2:Z79"/>
  <sheetViews>
    <sheetView rightToLeft="1" view="pageBreakPreview" topLeftCell="B16" zoomScale="75" zoomScaleNormal="8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39</v>
      </c>
      <c r="E3" s="624"/>
      <c r="F3" s="625"/>
      <c r="H3" s="26" t="s">
        <v>310</v>
      </c>
      <c r="I3" s="47"/>
      <c r="L3" s="222" t="s">
        <v>311</v>
      </c>
      <c r="M3" s="221" t="str">
        <f ca="1">"גיליון הזנה "&amp;INDEX('ריכוז נתונים'!$C$17:$C$76,MATCH(D3,'ריכוז נתונים'!$B$17:$B$76,0))</f>
        <v>גיליון הזנה 39</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v>0</v>
      </c>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etA+Eijn2euAzTxv7h7EGsBkQ9WUYWaH1t1TFo/Q0bA5H6iMvjTYTRZHvl/2WwDdqO9yJyiibV/srIYYF1d5gQ==" saltValue="INaDfjAvWymVqjuRc5Uupw=="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4900-000000000000}">
      <formula1>$V$5:$W$5</formula1>
    </dataValidation>
    <dataValidation type="list" allowBlank="1" showInputMessage="1" showErrorMessage="1" sqref="G17" xr:uid="{00000000-0002-0000-4900-000001000000}">
      <formula1>$V$7:$X$7</formula1>
    </dataValidation>
    <dataValidation type="list" allowBlank="1" showInputMessage="1" showErrorMessage="1" sqref="N16" xr:uid="{00000000-0002-0000-4900-000002000000}">
      <formula1>$V$9:$Y$9</formula1>
    </dataValidation>
    <dataValidation allowBlank="1" showInputMessage="1" showErrorMessage="1" errorTitle="ערך לא חוקי" error="יש להזין ציון בין 0 ל-60" sqref="N18" xr:uid="{00000000-0002-0000-4900-000003000000}"/>
    <dataValidation type="whole" allowBlank="1" showInputMessage="1" showErrorMessage="1" sqref="E8:F8" xr:uid="{00000000-0002-0000-4900-000004000000}">
      <formula1>0</formula1>
      <formula2>9.99999999999999E+55</formula2>
    </dataValidation>
    <dataValidation type="list" allowBlank="1" showInputMessage="1" showErrorMessage="1" sqref="J21" xr:uid="{00000000-0002-0000-4900-000005000000}">
      <formula1>$V$15:$W$15</formula1>
    </dataValidation>
    <dataValidation type="whole" operator="greaterThanOrEqual" allowBlank="1" showInputMessage="1" showErrorMessage="1" errorTitle="הזנה שגויה" sqref="J18 C11:E11 G11" xr:uid="{00000000-0002-0000-4900-000006000000}">
      <formula1>0</formula1>
    </dataValidation>
    <dataValidation type="whole" allowBlank="1" showInputMessage="1" showErrorMessage="1" errorTitle="הזנה שגויה" sqref="J17" xr:uid="{00000000-0002-0000-4900-000007000000}">
      <formula1>0</formula1>
      <formula2>J18</formula2>
    </dataValidation>
    <dataValidation operator="greaterThanOrEqual" allowBlank="1" showInputMessage="1" showErrorMessage="1" errorTitle="הזנה שגויה" sqref="C8:D8" xr:uid="{00000000-0002-0000-4900-000008000000}"/>
    <dataValidation type="list" allowBlank="1" showInputMessage="1" showErrorMessage="1" sqref="E28:E77" xr:uid="{00000000-0002-0000-4900-000009000000}">
      <formula1>U28:V28</formula1>
    </dataValidation>
    <dataValidation type="decimal" operator="greaterThan" allowBlank="1" showInputMessage="1" showErrorMessage="1" errorTitle="הזנה שגויה" sqref="K8:N8" xr:uid="{00000000-0002-0000-4900-00000A000000}">
      <formula1>-999999999</formula1>
    </dataValidation>
    <dataValidation type="list" allowBlank="1" showInputMessage="1" showErrorMessage="1" sqref="I3 I24" xr:uid="{00000000-0002-0000-4900-00000B000000}">
      <formula1>"0,1"</formula1>
    </dataValidation>
    <dataValidation type="decimal" operator="greaterThanOrEqual" allowBlank="1" showInputMessage="1" showErrorMessage="1" errorTitle="הזנה שגויה" sqref="H11" xr:uid="{00000000-0002-0000-49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גיליון58">
    <tabColor theme="8" tint="-0.249977111117893"/>
    <pageSetUpPr fitToPage="1"/>
  </sheetPr>
  <dimension ref="C2:Z79"/>
  <sheetViews>
    <sheetView rightToLeft="1" view="pageBreakPreview" topLeftCell="D13" zoomScale="75" zoomScaleNormal="8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41</v>
      </c>
      <c r="E3" s="624"/>
      <c r="F3" s="625"/>
      <c r="H3" s="26" t="s">
        <v>310</v>
      </c>
      <c r="I3" s="47">
        <v>0</v>
      </c>
      <c r="L3" s="222" t="s">
        <v>311</v>
      </c>
      <c r="M3" s="221" t="str">
        <f ca="1">"גיליון הזנה "&amp;INDEX('ריכוז נתונים'!$C$17:$C$76,MATCH(D3,'ריכוז נתונים'!$B$17:$B$76,0))</f>
        <v>גיליון הזנה 41</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v>0</v>
      </c>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v>1991</v>
      </c>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t="s">
        <v>105</v>
      </c>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qzMRavN86h9CZzbryvhrIypz5Gbtc/Pyae9usswZcuHT40YNaBBDbno6xVRiEFaPHacQRaDv54FGRlCAnTynFA==" saltValue="G6f/1ivYPbJ9GCNuL2l34A=="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N16" xr:uid="{00000000-0002-0000-4A00-000000000000}">
      <formula1>$V$9:$Y$9</formula1>
    </dataValidation>
    <dataValidation type="list" allowBlank="1" showInputMessage="1" showErrorMessage="1" sqref="G17" xr:uid="{00000000-0002-0000-4A00-000001000000}">
      <formula1>$V$7:$X$7</formula1>
    </dataValidation>
    <dataValidation type="list" allowBlank="1" showInputMessage="1" showErrorMessage="1" sqref="K11:L11 K28:K77 G8 N19:N21" xr:uid="{00000000-0002-0000-4A00-000002000000}">
      <formula1>$V$5:$W$5</formula1>
    </dataValidation>
    <dataValidation allowBlank="1" showInputMessage="1" showErrorMessage="1" errorTitle="ערך לא חוקי" error="יש להזין ציון בין 0 ל-60" sqref="N18" xr:uid="{00000000-0002-0000-4A00-000003000000}"/>
    <dataValidation type="whole" allowBlank="1" showInputMessage="1" showErrorMessage="1" sqref="E8:F8" xr:uid="{00000000-0002-0000-4A00-000004000000}">
      <formula1>0</formula1>
      <formula2>9.99999999999999E+55</formula2>
    </dataValidation>
    <dataValidation type="list" allowBlank="1" showInputMessage="1" showErrorMessage="1" sqref="J21" xr:uid="{00000000-0002-0000-4A00-000005000000}">
      <formula1>$V$15:$W$15</formula1>
    </dataValidation>
    <dataValidation type="whole" operator="greaterThanOrEqual" allowBlank="1" showInputMessage="1" showErrorMessage="1" errorTitle="הזנה שגויה" sqref="J18 C11:E11 G11" xr:uid="{00000000-0002-0000-4A00-000006000000}">
      <formula1>0</formula1>
    </dataValidation>
    <dataValidation type="whole" allowBlank="1" showInputMessage="1" showErrorMessage="1" errorTitle="הזנה שגויה" sqref="J17" xr:uid="{00000000-0002-0000-4A00-000007000000}">
      <formula1>0</formula1>
      <formula2>J18</formula2>
    </dataValidation>
    <dataValidation operator="greaterThanOrEqual" allowBlank="1" showInputMessage="1" showErrorMessage="1" errorTitle="הזנה שגויה" sqref="C8:D8" xr:uid="{00000000-0002-0000-4A00-000008000000}"/>
    <dataValidation type="list" allowBlank="1" showInputMessage="1" showErrorMessage="1" sqref="E28:E77" xr:uid="{00000000-0002-0000-4A00-000009000000}">
      <formula1>U28:V28</formula1>
    </dataValidation>
    <dataValidation type="decimal" operator="greaterThan" allowBlank="1" showInputMessage="1" showErrorMessage="1" errorTitle="הזנה שגויה" sqref="K8:N8" xr:uid="{00000000-0002-0000-4A00-00000A000000}">
      <formula1>-999999999</formula1>
    </dataValidation>
    <dataValidation type="list" allowBlank="1" showInputMessage="1" showErrorMessage="1" sqref="I3 I24" xr:uid="{00000000-0002-0000-4A00-00000B000000}">
      <formula1>"0,1"</formula1>
    </dataValidation>
    <dataValidation type="decimal" operator="greaterThanOrEqual" allowBlank="1" showInputMessage="1" showErrorMessage="1" errorTitle="הזנה שגויה" sqref="H11" xr:uid="{00000000-0002-0000-4A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גיליון59">
    <tabColor theme="8" tint="-0.249977111117893"/>
    <pageSetUpPr fitToPage="1"/>
  </sheetPr>
  <dimension ref="C2:Z79"/>
  <sheetViews>
    <sheetView rightToLeft="1" view="pageBreakPreview" topLeftCell="B13" zoomScale="75" zoomScaleNormal="8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42</v>
      </c>
      <c r="E3" s="624"/>
      <c r="F3" s="625"/>
      <c r="H3" s="26" t="s">
        <v>310</v>
      </c>
      <c r="I3" s="47">
        <v>1</v>
      </c>
      <c r="L3" s="222" t="s">
        <v>311</v>
      </c>
      <c r="M3" s="221" t="str">
        <f ca="1">"גיליון הזנה "&amp;INDEX('ריכוז נתונים'!$C$17:$C$76,MATCH(D3,'ריכוז נתונים'!$B$17:$B$76,0))</f>
        <v>גיליון הזנה 42</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t="s">
        <v>31</v>
      </c>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t="s">
        <v>352</v>
      </c>
      <c r="I28" s="226"/>
      <c r="J28" s="47"/>
      <c r="K28" s="47"/>
      <c r="L28" s="91">
        <f>IF(H28="","",IF(P28+R28=2,Q28,0))</f>
        <v>0</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t="s">
        <v>352</v>
      </c>
      <c r="I29" s="226"/>
      <c r="J29" s="47"/>
      <c r="K29" s="47"/>
      <c r="L29" s="91">
        <f t="shared" ref="L29:L77" si="1">IF(H29="","",IF(P29+R29=2,Q29,0))</f>
        <v>0</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t="s">
        <v>352</v>
      </c>
      <c r="I30" s="226"/>
      <c r="J30" s="47"/>
      <c r="K30" s="47"/>
      <c r="L30" s="91">
        <f t="shared" si="1"/>
        <v>0</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t="s">
        <v>352</v>
      </c>
      <c r="I31" s="226"/>
      <c r="J31" s="47"/>
      <c r="K31" s="47"/>
      <c r="L31" s="91">
        <f t="shared" si="1"/>
        <v>0</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t="s">
        <v>352</v>
      </c>
      <c r="I32" s="226"/>
      <c r="J32" s="47"/>
      <c r="K32" s="47"/>
      <c r="L32" s="91">
        <f t="shared" si="1"/>
        <v>0</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t="s">
        <v>352</v>
      </c>
      <c r="I33" s="226"/>
      <c r="J33" s="47"/>
      <c r="K33" s="47"/>
      <c r="L33" s="91">
        <f t="shared" si="1"/>
        <v>0</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t="s">
        <v>352</v>
      </c>
      <c r="I34" s="226"/>
      <c r="J34" s="47"/>
      <c r="K34" s="47"/>
      <c r="L34" s="91">
        <f t="shared" si="1"/>
        <v>0</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t="s">
        <v>352</v>
      </c>
      <c r="I35" s="226"/>
      <c r="J35" s="47"/>
      <c r="K35" s="47"/>
      <c r="L35" s="91">
        <f t="shared" si="1"/>
        <v>0</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t="s">
        <v>352</v>
      </c>
      <c r="I36" s="226"/>
      <c r="J36" s="47"/>
      <c r="K36" s="47"/>
      <c r="L36" s="91">
        <f t="shared" si="1"/>
        <v>0</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t="s">
        <v>352</v>
      </c>
      <c r="I37" s="226"/>
      <c r="J37" s="47"/>
      <c r="K37" s="47"/>
      <c r="L37" s="91">
        <f t="shared" si="1"/>
        <v>0</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t="s">
        <v>352</v>
      </c>
      <c r="I38" s="226"/>
      <c r="J38" s="47"/>
      <c r="K38" s="47"/>
      <c r="L38" s="91">
        <f t="shared" si="1"/>
        <v>0</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t="s">
        <v>352</v>
      </c>
      <c r="I39" s="226"/>
      <c r="J39" s="47"/>
      <c r="K39" s="47"/>
      <c r="L39" s="91">
        <f t="shared" si="1"/>
        <v>0</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t="s">
        <v>352</v>
      </c>
      <c r="I40" s="226"/>
      <c r="J40" s="47"/>
      <c r="K40" s="47"/>
      <c r="L40" s="91">
        <f t="shared" si="1"/>
        <v>0</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t="s">
        <v>352</v>
      </c>
      <c r="I41" s="226"/>
      <c r="J41" s="47"/>
      <c r="K41" s="47"/>
      <c r="L41" s="91">
        <f t="shared" si="1"/>
        <v>0</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t="s">
        <v>352</v>
      </c>
      <c r="I42" s="226"/>
      <c r="J42" s="47"/>
      <c r="K42" s="47"/>
      <c r="L42" s="91">
        <f t="shared" si="1"/>
        <v>0</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t="s">
        <v>352</v>
      </c>
      <c r="I43" s="226"/>
      <c r="J43" s="47"/>
      <c r="K43" s="47"/>
      <c r="L43" s="91">
        <f t="shared" si="1"/>
        <v>0</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t="s">
        <v>352</v>
      </c>
      <c r="I44" s="226"/>
      <c r="J44" s="47"/>
      <c r="K44" s="47"/>
      <c r="L44" s="91">
        <f t="shared" si="1"/>
        <v>0</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t="s">
        <v>352</v>
      </c>
      <c r="I45" s="226"/>
      <c r="J45" s="47"/>
      <c r="K45" s="47"/>
      <c r="L45" s="91">
        <f t="shared" si="1"/>
        <v>0</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uPyQtaG2xlNGeXPtvB/52q4G+XXCzHzqogWYEJJlCvJkfpV8lhkhHeQxcKDBg/0k18vj7BDvz+Nt/Zddwk0zAA==" saltValue="L7nNOJNOXBF3xtf/ces8eg=="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4B00-000000000000}">
      <formula1>$V$5:$W$5</formula1>
    </dataValidation>
    <dataValidation type="list" allowBlank="1" showInputMessage="1" showErrorMessage="1" sqref="G17" xr:uid="{00000000-0002-0000-4B00-000001000000}">
      <formula1>$V$7:$X$7</formula1>
    </dataValidation>
    <dataValidation type="list" allowBlank="1" showInputMessage="1" showErrorMessage="1" sqref="N16" xr:uid="{00000000-0002-0000-4B00-000002000000}">
      <formula1>$V$9:$Y$9</formula1>
    </dataValidation>
    <dataValidation allowBlank="1" showInputMessage="1" showErrorMessage="1" errorTitle="ערך לא חוקי" error="יש להזין ציון בין 0 ל-60" sqref="N18" xr:uid="{00000000-0002-0000-4B00-000003000000}"/>
    <dataValidation type="whole" allowBlank="1" showInputMessage="1" showErrorMessage="1" sqref="E8:F8" xr:uid="{00000000-0002-0000-4B00-000004000000}">
      <formula1>0</formula1>
      <formula2>9.99999999999999E+55</formula2>
    </dataValidation>
    <dataValidation type="list" allowBlank="1" showInputMessage="1" showErrorMessage="1" sqref="J21" xr:uid="{00000000-0002-0000-4B00-000005000000}">
      <formula1>$V$15:$W$15</formula1>
    </dataValidation>
    <dataValidation type="whole" operator="greaterThanOrEqual" allowBlank="1" showInputMessage="1" showErrorMessage="1" errorTitle="הזנה שגויה" sqref="J18 C11:E11 G11" xr:uid="{00000000-0002-0000-4B00-000006000000}">
      <formula1>0</formula1>
    </dataValidation>
    <dataValidation type="whole" allowBlank="1" showInputMessage="1" showErrorMessage="1" errorTitle="הזנה שגויה" sqref="J17" xr:uid="{00000000-0002-0000-4B00-000007000000}">
      <formula1>0</formula1>
      <formula2>J18</formula2>
    </dataValidation>
    <dataValidation operator="greaterThanOrEqual" allowBlank="1" showInputMessage="1" showErrorMessage="1" errorTitle="הזנה שגויה" sqref="C8:D8" xr:uid="{00000000-0002-0000-4B00-000008000000}"/>
    <dataValidation type="list" allowBlank="1" showInputMessage="1" showErrorMessage="1" sqref="E28:E77" xr:uid="{00000000-0002-0000-4B00-000009000000}">
      <formula1>U28:V28</formula1>
    </dataValidation>
    <dataValidation type="decimal" operator="greaterThan" allowBlank="1" showInputMessage="1" showErrorMessage="1" errorTitle="הזנה שגויה" sqref="K8:N8" xr:uid="{00000000-0002-0000-4B00-00000A000000}">
      <formula1>-999999999</formula1>
    </dataValidation>
    <dataValidation type="list" allowBlank="1" showInputMessage="1" showErrorMessage="1" sqref="I3 I24" xr:uid="{00000000-0002-0000-4B00-00000B000000}">
      <formula1>"0,1"</formula1>
    </dataValidation>
    <dataValidation type="decimal" operator="greaterThanOrEqual" allowBlank="1" showInputMessage="1" showErrorMessage="1" errorTitle="הזנה שגויה" sqref="H11" xr:uid="{00000000-0002-0000-4B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גיליון72">
    <tabColor theme="8" tint="-0.249977111117893"/>
    <pageSetUpPr fitToPage="1"/>
  </sheetPr>
  <dimension ref="C2:Z79"/>
  <sheetViews>
    <sheetView rightToLeft="1" view="pageBreakPreview" zoomScale="75" zoomScaleNormal="8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43</v>
      </c>
      <c r="E3" s="624"/>
      <c r="F3" s="625"/>
      <c r="H3" s="26" t="s">
        <v>310</v>
      </c>
      <c r="I3" s="47">
        <v>0</v>
      </c>
      <c r="L3" s="222" t="s">
        <v>311</v>
      </c>
      <c r="M3" s="221" t="str">
        <f ca="1">"גיליון הזנה "&amp;INDEX('ריכוז נתונים'!$C$17:$C$76,MATCH(D3,'ריכוז נתונים'!$B$17:$B$76,0))</f>
        <v>גיליון הזנה 55</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yK3l/5xdmJga95YNY4HLnhd0AiHJgL/Ub9yizCv8K/SarSzqZs40s4JGuvyq5NRkS8RwFugKOu9hGLPTnCfTRw==" saltValue="CkkXosUPCQmGuyGWjm5cYg=="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4C00-000000000000}">
      <formula1>$V$5:$W$5</formula1>
    </dataValidation>
    <dataValidation type="list" allowBlank="1" showInputMessage="1" showErrorMessage="1" sqref="G17" xr:uid="{00000000-0002-0000-4C00-000001000000}">
      <formula1>$V$7:$X$7</formula1>
    </dataValidation>
    <dataValidation type="list" allowBlank="1" showInputMessage="1" showErrorMessage="1" sqref="N16" xr:uid="{00000000-0002-0000-4C00-000002000000}">
      <formula1>$V$9:$Y$9</formula1>
    </dataValidation>
    <dataValidation allowBlank="1" showInputMessage="1" showErrorMessage="1" errorTitle="ערך לא חוקי" error="יש להזין ציון בין 0 ל-60" sqref="N18" xr:uid="{00000000-0002-0000-4C00-000003000000}"/>
    <dataValidation type="whole" allowBlank="1" showInputMessage="1" showErrorMessage="1" sqref="E8:F8" xr:uid="{00000000-0002-0000-4C00-000004000000}">
      <formula1>0</formula1>
      <formula2>9.99999999999999E+55</formula2>
    </dataValidation>
    <dataValidation type="list" allowBlank="1" showInputMessage="1" showErrorMessage="1" sqref="J21" xr:uid="{00000000-0002-0000-4C00-000005000000}">
      <formula1>$V$15:$W$15</formula1>
    </dataValidation>
    <dataValidation type="whole" operator="greaterThanOrEqual" allowBlank="1" showInputMessage="1" showErrorMessage="1" errorTitle="הזנה שגויה" sqref="J18 C11:E11 G11" xr:uid="{00000000-0002-0000-4C00-000006000000}">
      <formula1>0</formula1>
    </dataValidation>
    <dataValidation type="whole" allowBlank="1" showInputMessage="1" showErrorMessage="1" errorTitle="הזנה שגויה" sqref="J17" xr:uid="{00000000-0002-0000-4C00-000007000000}">
      <formula1>0</formula1>
      <formula2>J18</formula2>
    </dataValidation>
    <dataValidation operator="greaterThanOrEqual" allowBlank="1" showInputMessage="1" showErrorMessage="1" errorTitle="הזנה שגויה" sqref="C8:D8" xr:uid="{00000000-0002-0000-4C00-000008000000}"/>
    <dataValidation type="list" allowBlank="1" showInputMessage="1" showErrorMessage="1" sqref="E28:E77" xr:uid="{00000000-0002-0000-4C00-000009000000}">
      <formula1>U28:V28</formula1>
    </dataValidation>
    <dataValidation type="decimal" operator="greaterThan" allowBlank="1" showInputMessage="1" showErrorMessage="1" errorTitle="הזנה שגויה" sqref="K8:N8" xr:uid="{00000000-0002-0000-4C00-00000A000000}">
      <formula1>-999999999</formula1>
    </dataValidation>
    <dataValidation type="list" allowBlank="1" showInputMessage="1" showErrorMessage="1" sqref="I3 I24" xr:uid="{00000000-0002-0000-4C00-00000B000000}">
      <formula1>"0,1"</formula1>
    </dataValidation>
    <dataValidation type="decimal" operator="greaterThanOrEqual" allowBlank="1" showInputMessage="1" showErrorMessage="1" errorTitle="הזנה שגויה" sqref="H11" xr:uid="{00000000-0002-0000-4C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גיליון60">
    <tabColor theme="8" tint="-0.249977111117893"/>
    <pageSetUpPr fitToPage="1"/>
  </sheetPr>
  <dimension ref="C2:Z79"/>
  <sheetViews>
    <sheetView rightToLeft="1" view="pageBreakPreview" zoomScale="75" zoomScaleNormal="8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44</v>
      </c>
      <c r="E3" s="624"/>
      <c r="F3" s="625"/>
      <c r="H3" s="26" t="s">
        <v>310</v>
      </c>
      <c r="I3" s="47">
        <v>0</v>
      </c>
      <c r="L3" s="222" t="s">
        <v>311</v>
      </c>
      <c r="M3" s="221" t="str">
        <f ca="1">"גיליון הזנה "&amp;INDEX('ריכוז נתונים'!$C$17:$C$76,MATCH(D3,'ריכוז נתונים'!$B$17:$B$76,0))</f>
        <v>גיליון הזנה 43</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v>0</v>
      </c>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t="s">
        <v>352</v>
      </c>
      <c r="I28" s="226"/>
      <c r="J28" s="47"/>
      <c r="K28" s="47"/>
      <c r="L28" s="91">
        <f>IF(H28="","",IF(P28+R28=2,Q28,0))</f>
        <v>0</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t="s">
        <v>352</v>
      </c>
      <c r="I29" s="226"/>
      <c r="J29" s="47"/>
      <c r="K29" s="47"/>
      <c r="L29" s="91">
        <f t="shared" ref="L29:L77" si="1">IF(H29="","",IF(P29+R29=2,Q29,0))</f>
        <v>0</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t="s">
        <v>352</v>
      </c>
      <c r="I30" s="226"/>
      <c r="J30" s="47"/>
      <c r="K30" s="47"/>
      <c r="L30" s="91">
        <f t="shared" si="1"/>
        <v>0</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t="s">
        <v>352</v>
      </c>
      <c r="I31" s="226"/>
      <c r="J31" s="47"/>
      <c r="K31" s="47"/>
      <c r="L31" s="91">
        <f t="shared" si="1"/>
        <v>0</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t="s">
        <v>352</v>
      </c>
      <c r="I32" s="226"/>
      <c r="J32" s="47"/>
      <c r="K32" s="47"/>
      <c r="L32" s="91">
        <f t="shared" si="1"/>
        <v>0</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t="s">
        <v>352</v>
      </c>
      <c r="I33" s="226"/>
      <c r="J33" s="47"/>
      <c r="K33" s="47"/>
      <c r="L33" s="91">
        <f t="shared" si="1"/>
        <v>0</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t="s">
        <v>352</v>
      </c>
      <c r="I34" s="226"/>
      <c r="J34" s="47"/>
      <c r="K34" s="47"/>
      <c r="L34" s="91">
        <f t="shared" si="1"/>
        <v>0</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t="s">
        <v>352</v>
      </c>
      <c r="I35" s="226"/>
      <c r="J35" s="47"/>
      <c r="K35" s="47"/>
      <c r="L35" s="91">
        <f t="shared" si="1"/>
        <v>0</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t="s">
        <v>352</v>
      </c>
      <c r="I36" s="226"/>
      <c r="J36" s="47"/>
      <c r="K36" s="47"/>
      <c r="L36" s="91">
        <f t="shared" si="1"/>
        <v>0</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t="s">
        <v>352</v>
      </c>
      <c r="I37" s="226"/>
      <c r="J37" s="47"/>
      <c r="K37" s="47"/>
      <c r="L37" s="91">
        <f t="shared" si="1"/>
        <v>0</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t="s">
        <v>352</v>
      </c>
      <c r="I38" s="226"/>
      <c r="J38" s="47"/>
      <c r="K38" s="47"/>
      <c r="L38" s="91">
        <f t="shared" si="1"/>
        <v>0</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t="s">
        <v>352</v>
      </c>
      <c r="I39" s="226"/>
      <c r="J39" s="47"/>
      <c r="K39" s="47"/>
      <c r="L39" s="91">
        <f t="shared" si="1"/>
        <v>0</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t="s">
        <v>352</v>
      </c>
      <c r="I40" s="226"/>
      <c r="J40" s="47"/>
      <c r="K40" s="47"/>
      <c r="L40" s="91">
        <f t="shared" si="1"/>
        <v>0</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t="s">
        <v>352</v>
      </c>
      <c r="I41" s="226"/>
      <c r="J41" s="47"/>
      <c r="K41" s="47"/>
      <c r="L41" s="91">
        <f t="shared" si="1"/>
        <v>0</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t="s">
        <v>352</v>
      </c>
      <c r="I42" s="226"/>
      <c r="J42" s="47"/>
      <c r="K42" s="47"/>
      <c r="L42" s="91">
        <f t="shared" si="1"/>
        <v>0</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t="s">
        <v>352</v>
      </c>
      <c r="I43" s="226"/>
      <c r="J43" s="47"/>
      <c r="K43" s="47"/>
      <c r="L43" s="91">
        <f t="shared" si="1"/>
        <v>0</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t="s">
        <v>352</v>
      </c>
      <c r="I44" s="226"/>
      <c r="J44" s="47"/>
      <c r="K44" s="47"/>
      <c r="L44" s="91">
        <f t="shared" si="1"/>
        <v>0</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t="s">
        <v>352</v>
      </c>
      <c r="I45" s="226"/>
      <c r="J45" s="47"/>
      <c r="K45" s="47"/>
      <c r="L45" s="91">
        <f t="shared" si="1"/>
        <v>0</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ozeYxRYMyfAcwR4EXgspgR/b5ldmmUWQL4hSBgi8rDweWYVZwcJ3zA2vQbxM8P5VALtvDF2Y0aQEAZCEYSBUVw==" saltValue="MHEW05x1YDgk3BuqxuPpRw=="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4D00-000000000000}">
      <formula1>$V$5:$W$5</formula1>
    </dataValidation>
    <dataValidation type="list" allowBlank="1" showInputMessage="1" showErrorMessage="1" sqref="G17" xr:uid="{00000000-0002-0000-4D00-000001000000}">
      <formula1>$V$7:$X$7</formula1>
    </dataValidation>
    <dataValidation type="list" allowBlank="1" showInputMessage="1" showErrorMessage="1" sqref="N16" xr:uid="{00000000-0002-0000-4D00-000002000000}">
      <formula1>$V$9:$Y$9</formula1>
    </dataValidation>
    <dataValidation allowBlank="1" showInputMessage="1" showErrorMessage="1" errorTitle="ערך לא חוקי" error="יש להזין ציון בין 0 ל-60" sqref="N18" xr:uid="{00000000-0002-0000-4D00-000003000000}"/>
    <dataValidation type="whole" allowBlank="1" showInputMessage="1" showErrorMessage="1" sqref="E8:F8" xr:uid="{00000000-0002-0000-4D00-000004000000}">
      <formula1>0</formula1>
      <formula2>9.99999999999999E+55</formula2>
    </dataValidation>
    <dataValidation type="list" allowBlank="1" showInputMessage="1" showErrorMessage="1" sqref="J21" xr:uid="{00000000-0002-0000-4D00-000005000000}">
      <formula1>$V$15:$W$15</formula1>
    </dataValidation>
    <dataValidation type="whole" operator="greaterThanOrEqual" allowBlank="1" showInputMessage="1" showErrorMessage="1" errorTitle="הזנה שגויה" sqref="J18 C11:E11 G11" xr:uid="{00000000-0002-0000-4D00-000006000000}">
      <formula1>0</formula1>
    </dataValidation>
    <dataValidation type="whole" allowBlank="1" showInputMessage="1" showErrorMessage="1" errorTitle="הזנה שגויה" sqref="J17" xr:uid="{00000000-0002-0000-4D00-000007000000}">
      <formula1>0</formula1>
      <formula2>J18</formula2>
    </dataValidation>
    <dataValidation operator="greaterThanOrEqual" allowBlank="1" showInputMessage="1" showErrorMessage="1" errorTitle="הזנה שגויה" sqref="C8:D8" xr:uid="{00000000-0002-0000-4D00-000008000000}"/>
    <dataValidation type="list" allowBlank="1" showInputMessage="1" showErrorMessage="1" sqref="E28:E77" xr:uid="{00000000-0002-0000-4D00-000009000000}">
      <formula1>U28:V28</formula1>
    </dataValidation>
    <dataValidation type="decimal" operator="greaterThan" allowBlank="1" showInputMessage="1" showErrorMessage="1" errorTitle="הזנה שגויה" sqref="K8:N8" xr:uid="{00000000-0002-0000-4D00-00000A000000}">
      <formula1>-999999999</formula1>
    </dataValidation>
    <dataValidation type="list" allowBlank="1" showInputMessage="1" showErrorMessage="1" sqref="I3 I24" xr:uid="{00000000-0002-0000-4D00-00000B000000}">
      <formula1>"0,1"</formula1>
    </dataValidation>
    <dataValidation type="decimal" operator="greaterThanOrEqual" allowBlank="1" showInputMessage="1" showErrorMessage="1" errorTitle="הזנה שגויה" sqref="H11" xr:uid="{00000000-0002-0000-4D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גיליון65">
    <tabColor rgb="FF002060"/>
    <pageSetUpPr fitToPage="1"/>
  </sheetPr>
  <dimension ref="C2:Z79"/>
  <sheetViews>
    <sheetView rightToLeft="1" view="pageBreakPreview" topLeftCell="B1" zoomScale="75" zoomScaleNormal="8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48</v>
      </c>
      <c r="E3" s="624"/>
      <c r="F3" s="625"/>
      <c r="H3" s="26" t="s">
        <v>310</v>
      </c>
      <c r="I3" s="47"/>
      <c r="L3" s="222" t="s">
        <v>311</v>
      </c>
      <c r="M3" s="221" t="str">
        <f ca="1">"גיליון הזנה "&amp;INDEX('ריכוז נתונים'!$C$17:$C$76,MATCH(D3,'ריכוז נתונים'!$B$17:$B$76,0))</f>
        <v>גיליון הזנה 48</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vN2R47Slb5EdtLXlENOoXSgXny9q2fWsJdq9ARDMecwDDpyQonDoTC0LZ9eCdU+/SLD40EK+wkrnw2MmWaMlKQ==" saltValue="OiTPAoeyKU6wD3DL6SSkCQ=="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4E00-000000000000}">
      <formula1>$V$5:$W$5</formula1>
    </dataValidation>
    <dataValidation type="list" allowBlank="1" showInputMessage="1" showErrorMessage="1" sqref="G17" xr:uid="{00000000-0002-0000-4E00-000001000000}">
      <formula1>$V$7:$X$7</formula1>
    </dataValidation>
    <dataValidation type="list" allowBlank="1" showInputMessage="1" showErrorMessage="1" sqref="N16" xr:uid="{00000000-0002-0000-4E00-000002000000}">
      <formula1>$V$9:$Y$9</formula1>
    </dataValidation>
    <dataValidation allowBlank="1" showInputMessage="1" showErrorMessage="1" errorTitle="ערך לא חוקי" error="יש להזין ציון בין 0 ל-60" sqref="N18" xr:uid="{00000000-0002-0000-4E00-000003000000}"/>
    <dataValidation type="whole" allowBlank="1" showInputMessage="1" showErrorMessage="1" sqref="E8:F8" xr:uid="{00000000-0002-0000-4E00-000004000000}">
      <formula1>0</formula1>
      <formula2>9.99999999999999E+55</formula2>
    </dataValidation>
    <dataValidation type="list" allowBlank="1" showInputMessage="1" showErrorMessage="1" sqref="J21" xr:uid="{00000000-0002-0000-4E00-000005000000}">
      <formula1>$V$15:$W$15</formula1>
    </dataValidation>
    <dataValidation type="whole" operator="greaterThanOrEqual" allowBlank="1" showInputMessage="1" showErrorMessage="1" errorTitle="הזנה שגויה" sqref="J18 C11:E11 G11" xr:uid="{00000000-0002-0000-4E00-000006000000}">
      <formula1>0</formula1>
    </dataValidation>
    <dataValidation type="whole" allowBlank="1" showInputMessage="1" showErrorMessage="1" errorTitle="הזנה שגויה" sqref="J17" xr:uid="{00000000-0002-0000-4E00-000007000000}">
      <formula1>0</formula1>
      <formula2>J18</formula2>
    </dataValidation>
    <dataValidation operator="greaterThanOrEqual" allowBlank="1" showInputMessage="1" showErrorMessage="1" errorTitle="הזנה שגויה" sqref="C8:D8" xr:uid="{00000000-0002-0000-4E00-000008000000}"/>
    <dataValidation type="list" allowBlank="1" showInputMessage="1" showErrorMessage="1" sqref="E28:E77" xr:uid="{00000000-0002-0000-4E00-000009000000}">
      <formula1>U28:V28</formula1>
    </dataValidation>
    <dataValidation type="decimal" operator="greaterThan" allowBlank="1" showInputMessage="1" showErrorMessage="1" errorTitle="הזנה שגויה" sqref="K8:N8" xr:uid="{00000000-0002-0000-4E00-00000A000000}">
      <formula1>-999999999</formula1>
    </dataValidation>
    <dataValidation type="list" allowBlank="1" showInputMessage="1" showErrorMessage="1" sqref="I3 I24" xr:uid="{00000000-0002-0000-4E00-00000B000000}">
      <formula1>"0,1"</formula1>
    </dataValidation>
    <dataValidation type="decimal" operator="greaterThanOrEqual" allowBlank="1" showInputMessage="1" showErrorMessage="1" errorTitle="הזנה שגויה" sqref="H11" xr:uid="{00000000-0002-0000-4E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גיליון66">
    <tabColor theme="8" tint="-0.249977111117893"/>
    <pageSetUpPr fitToPage="1"/>
  </sheetPr>
  <dimension ref="C2:Z79"/>
  <sheetViews>
    <sheetView rightToLeft="1" view="pageBreakPreview" zoomScale="75" zoomScaleNormal="8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49</v>
      </c>
      <c r="E3" s="624"/>
      <c r="F3" s="625"/>
      <c r="H3" s="26" t="s">
        <v>310</v>
      </c>
      <c r="I3" s="47">
        <v>0</v>
      </c>
      <c r="L3" s="222" t="s">
        <v>311</v>
      </c>
      <c r="M3" s="221" t="str">
        <f ca="1">"גיליון הזנה "&amp;INDEX('ריכוז נתונים'!$C$17:$C$76,MATCH(D3,'ריכוז נתונים'!$B$17:$B$76,0))</f>
        <v>גיליון הזנה 49</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t="s">
        <v>352</v>
      </c>
      <c r="I28" s="226"/>
      <c r="J28" s="47"/>
      <c r="K28" s="47"/>
      <c r="L28" s="91">
        <f>IF(H28="","",IF(P28+R28=2,Q28,0))</f>
        <v>0</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t="s">
        <v>352</v>
      </c>
      <c r="I29" s="226"/>
      <c r="J29" s="47"/>
      <c r="K29" s="47"/>
      <c r="L29" s="91">
        <f t="shared" ref="L29:L77" si="1">IF(H29="","",IF(P29+R29=2,Q29,0))</f>
        <v>0</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t="s">
        <v>352</v>
      </c>
      <c r="I30" s="226"/>
      <c r="J30" s="47"/>
      <c r="K30" s="47"/>
      <c r="L30" s="91">
        <f t="shared" si="1"/>
        <v>0</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t="s">
        <v>352</v>
      </c>
      <c r="I31" s="226"/>
      <c r="J31" s="47"/>
      <c r="K31" s="47"/>
      <c r="L31" s="91">
        <f t="shared" si="1"/>
        <v>0</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t="s">
        <v>352</v>
      </c>
      <c r="I32" s="226"/>
      <c r="J32" s="47"/>
      <c r="K32" s="47"/>
      <c r="L32" s="91">
        <f t="shared" si="1"/>
        <v>0</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t="s">
        <v>352</v>
      </c>
      <c r="I33" s="226"/>
      <c r="J33" s="47"/>
      <c r="K33" s="47"/>
      <c r="L33" s="91">
        <f t="shared" si="1"/>
        <v>0</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t="s">
        <v>352</v>
      </c>
      <c r="I34" s="226"/>
      <c r="J34" s="47"/>
      <c r="K34" s="47"/>
      <c r="L34" s="91">
        <f t="shared" si="1"/>
        <v>0</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t="s">
        <v>352</v>
      </c>
      <c r="I35" s="226"/>
      <c r="J35" s="47"/>
      <c r="K35" s="47"/>
      <c r="L35" s="91">
        <f t="shared" si="1"/>
        <v>0</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t="s">
        <v>352</v>
      </c>
      <c r="I36" s="226"/>
      <c r="J36" s="47"/>
      <c r="K36" s="47"/>
      <c r="L36" s="91">
        <f t="shared" si="1"/>
        <v>0</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t="s">
        <v>352</v>
      </c>
      <c r="I37" s="226"/>
      <c r="J37" s="47"/>
      <c r="K37" s="47"/>
      <c r="L37" s="91">
        <f t="shared" si="1"/>
        <v>0</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t="s">
        <v>352</v>
      </c>
      <c r="I38" s="226"/>
      <c r="J38" s="47"/>
      <c r="K38" s="47"/>
      <c r="L38" s="91">
        <f t="shared" si="1"/>
        <v>0</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t="s">
        <v>352</v>
      </c>
      <c r="I39" s="226"/>
      <c r="J39" s="47"/>
      <c r="K39" s="47"/>
      <c r="L39" s="91">
        <f t="shared" si="1"/>
        <v>0</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t="s">
        <v>352</v>
      </c>
      <c r="I40" s="226"/>
      <c r="J40" s="47"/>
      <c r="K40" s="47"/>
      <c r="L40" s="91">
        <f t="shared" si="1"/>
        <v>0</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t="s">
        <v>352</v>
      </c>
      <c r="I41" s="226"/>
      <c r="J41" s="47"/>
      <c r="K41" s="47"/>
      <c r="L41" s="91">
        <f t="shared" si="1"/>
        <v>0</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t="s">
        <v>352</v>
      </c>
      <c r="I42" s="226"/>
      <c r="J42" s="47"/>
      <c r="K42" s="47"/>
      <c r="L42" s="91">
        <f t="shared" si="1"/>
        <v>0</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t="s">
        <v>352</v>
      </c>
      <c r="I43" s="226"/>
      <c r="J43" s="47"/>
      <c r="K43" s="47"/>
      <c r="L43" s="91">
        <f t="shared" si="1"/>
        <v>0</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t="s">
        <v>352</v>
      </c>
      <c r="I44" s="226"/>
      <c r="J44" s="47"/>
      <c r="K44" s="47"/>
      <c r="L44" s="91">
        <f t="shared" si="1"/>
        <v>0</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t="s">
        <v>352</v>
      </c>
      <c r="I45" s="226"/>
      <c r="J45" s="47"/>
      <c r="K45" s="47"/>
      <c r="L45" s="91">
        <f t="shared" si="1"/>
        <v>0</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s7isLrJ7deYjLfyZaYD/cqAXgSCzLyZiBbSwyo3kcoDM03+EjMOWxGAFc2ZQtC/oTv6XbpbjeDZv2d9DnWZlYw==" saltValue="TbQXYAoLD9sr+obmNN8mvA=="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4F00-000000000000}">
      <formula1>$V$5:$W$5</formula1>
    </dataValidation>
    <dataValidation type="list" allowBlank="1" showInputMessage="1" showErrorMessage="1" sqref="G17" xr:uid="{00000000-0002-0000-4F00-000001000000}">
      <formula1>$V$7:$X$7</formula1>
    </dataValidation>
    <dataValidation type="list" allowBlank="1" showInputMessage="1" showErrorMessage="1" sqref="N16" xr:uid="{00000000-0002-0000-4F00-000002000000}">
      <formula1>$V$9:$Y$9</formula1>
    </dataValidation>
    <dataValidation allowBlank="1" showInputMessage="1" showErrorMessage="1" errorTitle="ערך לא חוקי" error="יש להזין ציון בין 0 ל-60" sqref="N18" xr:uid="{00000000-0002-0000-4F00-000003000000}"/>
    <dataValidation type="whole" allowBlank="1" showInputMessage="1" showErrorMessage="1" sqref="E8:F8" xr:uid="{00000000-0002-0000-4F00-000004000000}">
      <formula1>0</formula1>
      <formula2>9.99999999999999E+55</formula2>
    </dataValidation>
    <dataValidation type="list" allowBlank="1" showInputMessage="1" showErrorMessage="1" sqref="J21" xr:uid="{00000000-0002-0000-4F00-000005000000}">
      <formula1>$V$15:$W$15</formula1>
    </dataValidation>
    <dataValidation type="whole" operator="greaterThanOrEqual" allowBlank="1" showInputMessage="1" showErrorMessage="1" errorTitle="הזנה שגויה" sqref="J18 C11:E11 G11" xr:uid="{00000000-0002-0000-4F00-000006000000}">
      <formula1>0</formula1>
    </dataValidation>
    <dataValidation type="whole" allowBlank="1" showInputMessage="1" showErrorMessage="1" errorTitle="הזנה שגויה" sqref="J17" xr:uid="{00000000-0002-0000-4F00-000007000000}">
      <formula1>0</formula1>
      <formula2>J18</formula2>
    </dataValidation>
    <dataValidation type="whole" allowBlank="1" showInputMessage="1" showErrorMessage="1" errorTitle="הזנה שגויה" sqref="H11" xr:uid="{00000000-0002-0000-4F00-000008000000}">
      <formula1>0</formula1>
      <formula2>C11</formula2>
    </dataValidation>
    <dataValidation operator="greaterThanOrEqual" allowBlank="1" showInputMessage="1" showErrorMessage="1" errorTitle="הזנה שגויה" sqref="C8:D8" xr:uid="{00000000-0002-0000-4F00-000009000000}"/>
    <dataValidation type="list" allowBlank="1" showInputMessage="1" showErrorMessage="1" sqref="E28:E77" xr:uid="{00000000-0002-0000-4F00-00000A000000}">
      <formula1>U28:V28</formula1>
    </dataValidation>
    <dataValidation type="decimal" operator="greaterThan" allowBlank="1" showInputMessage="1" showErrorMessage="1" errorTitle="הזנה שגויה" sqref="K8:N8" xr:uid="{00000000-0002-0000-4F00-00000B000000}">
      <formula1>-999999999</formula1>
    </dataValidation>
    <dataValidation type="list" allowBlank="1" showInputMessage="1" showErrorMessage="1" sqref="I3 I24" xr:uid="{00000000-0002-0000-4F00-00000C000000}">
      <formula1>"0,1"</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גיליון67">
    <tabColor theme="8" tint="-0.249977111117893"/>
    <pageSetUpPr fitToPage="1"/>
  </sheetPr>
  <dimension ref="C2:Z79"/>
  <sheetViews>
    <sheetView rightToLeft="1" view="pageBreakPreview" zoomScale="75" zoomScaleNormal="80" zoomScaleSheetLayoutView="75" workbookViewId="0">
      <selection activeCell="I19" sqref="I19"/>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52</v>
      </c>
      <c r="E3" s="624"/>
      <c r="F3" s="625"/>
      <c r="H3" s="26" t="s">
        <v>310</v>
      </c>
      <c r="I3" s="47"/>
      <c r="L3" s="222" t="s">
        <v>311</v>
      </c>
      <c r="M3" s="221" t="str">
        <f ca="1">"גיליון הזנה "&amp;INDEX('ריכוז נתונים'!$C$17:$C$76,MATCH(D3,'ריכוז נתונים'!$B$17:$B$76,0))</f>
        <v>גיליון הזנה 50</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t="s">
        <v>105</v>
      </c>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OjkC+WqMdE8fMC7pNAudjSiwriYT39WZXd/eJ0bCgwAIMNoLUCnA+8s+9EafeAZmG6fsqed4sDIHYbiL5Q7+zg==" saltValue="kootOsdmLiMgIAwBXKlquw=="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N16" xr:uid="{00000000-0002-0000-5000-000000000000}">
      <formula1>$V$9:$Y$9</formula1>
    </dataValidation>
    <dataValidation type="list" allowBlank="1" showInputMessage="1" showErrorMessage="1" sqref="G17" xr:uid="{00000000-0002-0000-5000-000001000000}">
      <formula1>$V$7:$X$7</formula1>
    </dataValidation>
    <dataValidation type="list" allowBlank="1" showInputMessage="1" showErrorMessage="1" sqref="K11:L11 K28:K77 G8 N19:N21" xr:uid="{00000000-0002-0000-5000-000002000000}">
      <formula1>$V$5:$W$5</formula1>
    </dataValidation>
    <dataValidation allowBlank="1" showInputMessage="1" showErrorMessage="1" errorTitle="ערך לא חוקי" error="יש להזין ציון בין 0 ל-60" sqref="N18" xr:uid="{00000000-0002-0000-5000-000003000000}"/>
    <dataValidation type="whole" allowBlank="1" showInputMessage="1" showErrorMessage="1" sqref="E8:F8" xr:uid="{00000000-0002-0000-5000-000004000000}">
      <formula1>0</formula1>
      <formula2>9.99999999999999E+55</formula2>
    </dataValidation>
    <dataValidation type="list" allowBlank="1" showInputMessage="1" showErrorMessage="1" sqref="J21" xr:uid="{00000000-0002-0000-5000-000005000000}">
      <formula1>$V$15:$W$15</formula1>
    </dataValidation>
    <dataValidation type="whole" operator="greaterThanOrEqual" allowBlank="1" showInputMessage="1" showErrorMessage="1" errorTitle="הזנה שגויה" sqref="J18 C11:E11 G11" xr:uid="{00000000-0002-0000-5000-000006000000}">
      <formula1>0</formula1>
    </dataValidation>
    <dataValidation type="whole" allowBlank="1" showInputMessage="1" showErrorMessage="1" errorTitle="הזנה שגויה" sqref="J17" xr:uid="{00000000-0002-0000-5000-000007000000}">
      <formula1>0</formula1>
      <formula2>J18</formula2>
    </dataValidation>
    <dataValidation operator="greaterThanOrEqual" allowBlank="1" showInputMessage="1" showErrorMessage="1" errorTitle="הזנה שגויה" sqref="C8:D8" xr:uid="{00000000-0002-0000-5000-000008000000}"/>
    <dataValidation type="list" allowBlank="1" showInputMessage="1" showErrorMessage="1" sqref="E28:E77" xr:uid="{00000000-0002-0000-5000-000009000000}">
      <formula1>U28:V28</formula1>
    </dataValidation>
    <dataValidation type="decimal" operator="greaterThan" allowBlank="1" showInputMessage="1" showErrorMessage="1" errorTitle="הזנה שגויה" sqref="K8:N8" xr:uid="{00000000-0002-0000-5000-00000A000000}">
      <formula1>-999999999</formula1>
    </dataValidation>
    <dataValidation type="list" allowBlank="1" showInputMessage="1" showErrorMessage="1" sqref="I3 I24" xr:uid="{00000000-0002-0000-5000-00000B000000}">
      <formula1>"0,1"</formula1>
    </dataValidation>
    <dataValidation type="decimal" operator="greaterThanOrEqual" allowBlank="1" showInputMessage="1" showErrorMessage="1" errorTitle="הזנה שגויה" sqref="H11" xr:uid="{00000000-0002-0000-50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גיליון68">
    <tabColor theme="8" tint="-0.249977111117893"/>
    <pageSetUpPr fitToPage="1"/>
  </sheetPr>
  <dimension ref="C2:Z79"/>
  <sheetViews>
    <sheetView rightToLeft="1" view="pageBreakPreview" zoomScale="75" zoomScaleNormal="80" zoomScaleSheetLayoutView="75" workbookViewId="0">
      <selection activeCell="H11" sqref="H11"/>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51</v>
      </c>
      <c r="E3" s="624"/>
      <c r="F3" s="625"/>
      <c r="H3" s="26" t="s">
        <v>310</v>
      </c>
      <c r="I3" s="47">
        <v>1</v>
      </c>
      <c r="L3" s="222" t="s">
        <v>311</v>
      </c>
      <c r="M3" s="221" t="str">
        <f ca="1">"גיליון הזנה "&amp;INDEX('ריכוז נתונים'!$C$17:$C$76,MATCH(D3,'ריכוז נתונים'!$B$17:$B$76,0))</f>
        <v>גיליון הזנה 51</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DM/i4QvPruEzrkbh8//3CsuZ3y4fL9z+EuNyzrdFzDXzN9NI3Yuw8sljO8a7pLtdKks+oQy7U61vzJbrHfQV4w==" saltValue="WnXwjWdNF2l1nlb+9Op99g=="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5100-000000000000}">
      <formula1>$V$5:$W$5</formula1>
    </dataValidation>
    <dataValidation type="list" allowBlank="1" showInputMessage="1" showErrorMessage="1" sqref="G17" xr:uid="{00000000-0002-0000-5100-000001000000}">
      <formula1>$V$7:$X$7</formula1>
    </dataValidation>
    <dataValidation type="list" allowBlank="1" showInputMessage="1" showErrorMessage="1" sqref="N16" xr:uid="{00000000-0002-0000-5100-000002000000}">
      <formula1>$V$9:$Y$9</formula1>
    </dataValidation>
    <dataValidation allowBlank="1" showInputMessage="1" showErrorMessage="1" errorTitle="ערך לא חוקי" error="יש להזין ציון בין 0 ל-60" sqref="N18" xr:uid="{00000000-0002-0000-5100-000003000000}"/>
    <dataValidation type="whole" allowBlank="1" showInputMessage="1" showErrorMessage="1" sqref="E8:F8" xr:uid="{00000000-0002-0000-5100-000004000000}">
      <formula1>0</formula1>
      <formula2>9.99999999999999E+55</formula2>
    </dataValidation>
    <dataValidation type="list" allowBlank="1" showInputMessage="1" showErrorMessage="1" sqref="J21" xr:uid="{00000000-0002-0000-5100-000005000000}">
      <formula1>$V$15:$W$15</formula1>
    </dataValidation>
    <dataValidation type="whole" operator="greaterThanOrEqual" allowBlank="1" showInputMessage="1" showErrorMessage="1" errorTitle="הזנה שגויה" sqref="J18 C11:E11 G11" xr:uid="{00000000-0002-0000-5100-000006000000}">
      <formula1>0</formula1>
    </dataValidation>
    <dataValidation type="whole" allowBlank="1" showInputMessage="1" showErrorMessage="1" errorTitle="הזנה שגויה" sqref="J17" xr:uid="{00000000-0002-0000-5100-000007000000}">
      <formula1>0</formula1>
      <formula2>J18</formula2>
    </dataValidation>
    <dataValidation operator="greaterThanOrEqual" allowBlank="1" showInputMessage="1" showErrorMessage="1" errorTitle="הזנה שגויה" sqref="C8:D8" xr:uid="{00000000-0002-0000-5100-000008000000}"/>
    <dataValidation type="list" allowBlank="1" showInputMessage="1" showErrorMessage="1" sqref="E28:E77" xr:uid="{00000000-0002-0000-5100-000009000000}">
      <formula1>U28:V28</formula1>
    </dataValidation>
    <dataValidation type="decimal" operator="greaterThan" allowBlank="1" showInputMessage="1" showErrorMessage="1" errorTitle="הזנה שגויה" sqref="K8:N8" xr:uid="{00000000-0002-0000-5100-00000A000000}">
      <formula1>-999999999</formula1>
    </dataValidation>
    <dataValidation type="list" allowBlank="1" showInputMessage="1" showErrorMessage="1" sqref="I3 I24" xr:uid="{00000000-0002-0000-5100-00000B000000}">
      <formula1>"0,1"</formula1>
    </dataValidation>
    <dataValidation type="decimal" operator="greaterThanOrEqual" allowBlank="1" showInputMessage="1" showErrorMessage="1" errorTitle="הזנה שגויה" sqref="H11" xr:uid="{00000000-0002-0000-51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גיליון70">
    <tabColor theme="8" tint="-0.249977111117893"/>
    <pageSetUpPr fitToPage="1"/>
  </sheetPr>
  <dimension ref="C2:Z79"/>
  <sheetViews>
    <sheetView rightToLeft="1" view="pageBreakPreview" topLeftCell="D7" zoomScale="75" zoomScaleNormal="80" zoomScaleSheetLayoutView="75" workbookViewId="0">
      <selection activeCell="H11" sqref="H11"/>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53</v>
      </c>
      <c r="E3" s="624"/>
      <c r="F3" s="625"/>
      <c r="H3" s="26" t="s">
        <v>310</v>
      </c>
      <c r="I3" s="47">
        <v>0</v>
      </c>
      <c r="L3" s="222" t="s">
        <v>311</v>
      </c>
      <c r="M3" s="221" t="str">
        <f ca="1">"גיליון הזנה "&amp;INDEX('ריכוז נתונים'!$C$17:$C$76,MATCH(D3,'ריכוז נתונים'!$B$17:$B$76,0))</f>
        <v>גיליון הזנה 53</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t="s">
        <v>105</v>
      </c>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6RztRjopGw0JEb3/zYMHZujA1M0nxcHRKoum48omu+VDiCDF/Vx/DvlIJ7exeZf+tFOQd4GkQjUwvvbK0dtZCw==" saltValue="3tq85UZm/fxOum95MyeFTw=="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N16" xr:uid="{00000000-0002-0000-5200-000000000000}">
      <formula1>$V$9:$Y$9</formula1>
    </dataValidation>
    <dataValidation type="list" allowBlank="1" showInputMessage="1" showErrorMessage="1" sqref="G17" xr:uid="{00000000-0002-0000-5200-000001000000}">
      <formula1>$V$7:$X$7</formula1>
    </dataValidation>
    <dataValidation type="list" allowBlank="1" showInputMessage="1" showErrorMessage="1" sqref="K11:L11 K28:K77 G8 N19:N21" xr:uid="{00000000-0002-0000-5200-000002000000}">
      <formula1>$V$5:$W$5</formula1>
    </dataValidation>
    <dataValidation allowBlank="1" showInputMessage="1" showErrorMessage="1" errorTitle="ערך לא חוקי" error="יש להזין ציון בין 0 ל-60" sqref="N18" xr:uid="{00000000-0002-0000-5200-000003000000}"/>
    <dataValidation type="whole" allowBlank="1" showInputMessage="1" showErrorMessage="1" sqref="E8:F8" xr:uid="{00000000-0002-0000-5200-000004000000}">
      <formula1>0</formula1>
      <formula2>9.99999999999999E+55</formula2>
    </dataValidation>
    <dataValidation type="list" allowBlank="1" showInputMessage="1" showErrorMessage="1" sqref="J21" xr:uid="{00000000-0002-0000-5200-000005000000}">
      <formula1>$V$15:$W$15</formula1>
    </dataValidation>
    <dataValidation type="whole" operator="greaterThanOrEqual" allowBlank="1" showInputMessage="1" showErrorMessage="1" errorTitle="הזנה שגויה" sqref="J18 C11:E11 G11" xr:uid="{00000000-0002-0000-5200-000006000000}">
      <formula1>0</formula1>
    </dataValidation>
    <dataValidation type="whole" allowBlank="1" showInputMessage="1" showErrorMessage="1" errorTitle="הזנה שגויה" sqref="J17" xr:uid="{00000000-0002-0000-5200-000007000000}">
      <formula1>0</formula1>
      <formula2>J18</formula2>
    </dataValidation>
    <dataValidation operator="greaterThanOrEqual" allowBlank="1" showInputMessage="1" showErrorMessage="1" errorTitle="הזנה שגויה" sqref="C8:D8" xr:uid="{00000000-0002-0000-5200-000008000000}"/>
    <dataValidation type="list" allowBlank="1" showInputMessage="1" showErrorMessage="1" sqref="E28:E77" xr:uid="{00000000-0002-0000-5200-000009000000}">
      <formula1>U28:V28</formula1>
    </dataValidation>
    <dataValidation type="decimal" operator="greaterThan" allowBlank="1" showInputMessage="1" showErrorMessage="1" errorTitle="הזנה שגויה" sqref="K8:N8" xr:uid="{00000000-0002-0000-5200-00000A000000}">
      <formula1>-999999999</formula1>
    </dataValidation>
    <dataValidation type="list" allowBlank="1" showInputMessage="1" showErrorMessage="1" sqref="I3 I24" xr:uid="{00000000-0002-0000-5200-00000B000000}">
      <formula1>"0,1"</formula1>
    </dataValidation>
    <dataValidation type="decimal" operator="greaterThanOrEqual" allowBlank="1" showInputMessage="1" showErrorMessage="1" errorTitle="הזנה שגויה" sqref="H11" xr:uid="{00000000-0002-0000-52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גיליון71">
    <tabColor theme="8" tint="-0.249977111117893"/>
    <pageSetUpPr fitToPage="1"/>
  </sheetPr>
  <dimension ref="C2:Z79"/>
  <sheetViews>
    <sheetView rightToLeft="1" view="pageBreakPreview" zoomScale="75" zoomScaleNormal="80" zoomScaleSheetLayoutView="75" workbookViewId="0">
      <selection activeCell="H11" sqref="H11"/>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54</v>
      </c>
      <c r="E3" s="624"/>
      <c r="F3" s="625"/>
      <c r="H3" s="26" t="s">
        <v>310</v>
      </c>
      <c r="I3" s="47"/>
      <c r="L3" s="222" t="s">
        <v>311</v>
      </c>
      <c r="M3" s="221" t="str">
        <f ca="1">"גיליון הזנה "&amp;INDEX('ריכוז נתונים'!$C$17:$C$76,MATCH(D3,'ריכוז נתונים'!$B$17:$B$76,0))</f>
        <v>גיליון הזנה 54</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yyDdLeO3qeVyy1oP6ilzmTiY0DehCgnmx5taUs+SK0aJv08mO5Iw3fcZgav4lt8zMRyei1uzX+Mqi61z6LE+2A==" saltValue="N5RoJRmlPjZURlPKinftuA=="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N16" xr:uid="{00000000-0002-0000-5300-000000000000}">
      <formula1>$V$9:$Y$9</formula1>
    </dataValidation>
    <dataValidation type="list" allowBlank="1" showInputMessage="1" showErrorMessage="1" sqref="G17" xr:uid="{00000000-0002-0000-5300-000001000000}">
      <formula1>$V$7:$X$7</formula1>
    </dataValidation>
    <dataValidation type="list" allowBlank="1" showInputMessage="1" showErrorMessage="1" sqref="K11:L11 K28:K77 G8 N19:N21" xr:uid="{00000000-0002-0000-5300-000002000000}">
      <formula1>$V$5:$W$5</formula1>
    </dataValidation>
    <dataValidation allowBlank="1" showInputMessage="1" showErrorMessage="1" errorTitle="ערך לא חוקי" error="יש להזין ציון בין 0 ל-60" sqref="N18" xr:uid="{00000000-0002-0000-5300-000003000000}"/>
    <dataValidation type="whole" allowBlank="1" showInputMessage="1" showErrorMessage="1" sqref="E8:F8" xr:uid="{00000000-0002-0000-5300-000004000000}">
      <formula1>0</formula1>
      <formula2>9.99999999999999E+55</formula2>
    </dataValidation>
    <dataValidation type="list" allowBlank="1" showInputMessage="1" showErrorMessage="1" sqref="J21" xr:uid="{00000000-0002-0000-5300-000005000000}">
      <formula1>$V$15:$W$15</formula1>
    </dataValidation>
    <dataValidation type="whole" operator="greaterThanOrEqual" allowBlank="1" showInputMessage="1" showErrorMessage="1" errorTitle="הזנה שגויה" sqref="J18 C11:E11 G11" xr:uid="{00000000-0002-0000-5300-000006000000}">
      <formula1>0</formula1>
    </dataValidation>
    <dataValidation type="whole" allowBlank="1" showInputMessage="1" showErrorMessage="1" errorTitle="הזנה שגויה" sqref="J17" xr:uid="{00000000-0002-0000-5300-000007000000}">
      <formula1>0</formula1>
      <formula2>J18</formula2>
    </dataValidation>
    <dataValidation operator="greaterThanOrEqual" allowBlank="1" showInputMessage="1" showErrorMessage="1" errorTitle="הזנה שגויה" sqref="C8:D8" xr:uid="{00000000-0002-0000-5300-000008000000}"/>
    <dataValidation type="list" allowBlank="1" showInputMessage="1" showErrorMessage="1" sqref="E28:E77" xr:uid="{00000000-0002-0000-5300-000009000000}">
      <formula1>U28:V28</formula1>
    </dataValidation>
    <dataValidation type="decimal" operator="greaterThan" allowBlank="1" showInputMessage="1" showErrorMessage="1" errorTitle="הזנה שגויה" sqref="K8:N8" xr:uid="{00000000-0002-0000-5300-00000A000000}">
      <formula1>-999999999</formula1>
    </dataValidation>
    <dataValidation type="list" allowBlank="1" showInputMessage="1" showErrorMessage="1" sqref="I3 I24" xr:uid="{00000000-0002-0000-5300-00000B000000}">
      <formula1>"0,1"</formula1>
    </dataValidation>
    <dataValidation type="decimal" operator="greaterThanOrEqual" allowBlank="1" showInputMessage="1" showErrorMessage="1" errorTitle="הזנה שגויה" sqref="H11" xr:uid="{00000000-0002-0000-53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גיליון61">
    <tabColor theme="8" tint="-0.249977111117893"/>
    <pageSetUpPr fitToPage="1"/>
  </sheetPr>
  <dimension ref="C2:Z79"/>
  <sheetViews>
    <sheetView rightToLeft="1" view="pageBreakPreview" topLeftCell="F8" zoomScale="75" zoomScaleNormal="80" zoomScaleSheetLayoutView="75" workbookViewId="0">
      <selection activeCell="G18" sqref="G18"/>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55</v>
      </c>
      <c r="E3" s="624"/>
      <c r="F3" s="625"/>
      <c r="H3" s="26" t="s">
        <v>310</v>
      </c>
      <c r="I3" s="47">
        <v>0</v>
      </c>
      <c r="L3" s="222" t="s">
        <v>311</v>
      </c>
      <c r="M3" s="221" t="str">
        <f ca="1">"גיליון הזנה "&amp;INDEX('ריכוז נתונים'!$C$17:$C$76,MATCH(D3,'ריכוז נתונים'!$B$17:$B$76,0))</f>
        <v>גיליון הזנה 44</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v>0</v>
      </c>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t="s">
        <v>352</v>
      </c>
      <c r="I28" s="226"/>
      <c r="J28" s="47"/>
      <c r="K28" s="47"/>
      <c r="L28" s="91">
        <f>IF(H28="","",IF(P28+R28=2,Q28,0))</f>
        <v>0</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t="s">
        <v>352</v>
      </c>
      <c r="I29" s="226"/>
      <c r="J29" s="47"/>
      <c r="K29" s="47"/>
      <c r="L29" s="91">
        <f t="shared" ref="L29:L77" si="1">IF(H29="","",IF(P29+R29=2,Q29,0))</f>
        <v>0</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t="s">
        <v>352</v>
      </c>
      <c r="I30" s="226"/>
      <c r="J30" s="47"/>
      <c r="K30" s="47"/>
      <c r="L30" s="91">
        <f t="shared" si="1"/>
        <v>0</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t="s">
        <v>352</v>
      </c>
      <c r="I31" s="226"/>
      <c r="J31" s="47"/>
      <c r="K31" s="47"/>
      <c r="L31" s="91">
        <f t="shared" si="1"/>
        <v>0</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t="s">
        <v>352</v>
      </c>
      <c r="I32" s="226"/>
      <c r="J32" s="47"/>
      <c r="K32" s="47"/>
      <c r="L32" s="91">
        <f t="shared" si="1"/>
        <v>0</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t="s">
        <v>352</v>
      </c>
      <c r="I33" s="226"/>
      <c r="J33" s="47"/>
      <c r="K33" s="47"/>
      <c r="L33" s="91">
        <f t="shared" si="1"/>
        <v>0</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t="s">
        <v>352</v>
      </c>
      <c r="I34" s="226"/>
      <c r="J34" s="47"/>
      <c r="K34" s="47"/>
      <c r="L34" s="91">
        <f t="shared" si="1"/>
        <v>0</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t="s">
        <v>352</v>
      </c>
      <c r="I35" s="226"/>
      <c r="J35" s="47"/>
      <c r="K35" s="47"/>
      <c r="L35" s="91">
        <f t="shared" si="1"/>
        <v>0</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t="s">
        <v>352</v>
      </c>
      <c r="I36" s="226"/>
      <c r="J36" s="47"/>
      <c r="K36" s="47"/>
      <c r="L36" s="91">
        <f t="shared" si="1"/>
        <v>0</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t="s">
        <v>352</v>
      </c>
      <c r="I37" s="226"/>
      <c r="J37" s="47"/>
      <c r="K37" s="47"/>
      <c r="L37" s="91">
        <f t="shared" si="1"/>
        <v>0</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t="s">
        <v>352</v>
      </c>
      <c r="I38" s="226"/>
      <c r="J38" s="47"/>
      <c r="K38" s="47"/>
      <c r="L38" s="91">
        <f t="shared" si="1"/>
        <v>0</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t="s">
        <v>352</v>
      </c>
      <c r="I39" s="226"/>
      <c r="J39" s="47"/>
      <c r="K39" s="47"/>
      <c r="L39" s="91">
        <f t="shared" si="1"/>
        <v>0</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t="s">
        <v>352</v>
      </c>
      <c r="I40" s="226"/>
      <c r="J40" s="47"/>
      <c r="K40" s="47"/>
      <c r="L40" s="91">
        <f t="shared" si="1"/>
        <v>0</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t="s">
        <v>352</v>
      </c>
      <c r="I41" s="226"/>
      <c r="J41" s="47"/>
      <c r="K41" s="47"/>
      <c r="L41" s="91">
        <f t="shared" si="1"/>
        <v>0</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t="s">
        <v>352</v>
      </c>
      <c r="I42" s="226"/>
      <c r="J42" s="47"/>
      <c r="K42" s="47"/>
      <c r="L42" s="91">
        <f t="shared" si="1"/>
        <v>0</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t="s">
        <v>352</v>
      </c>
      <c r="I43" s="226"/>
      <c r="J43" s="47"/>
      <c r="K43" s="47"/>
      <c r="L43" s="91">
        <f t="shared" si="1"/>
        <v>0</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t="s">
        <v>352</v>
      </c>
      <c r="I44" s="226"/>
      <c r="J44" s="47"/>
      <c r="K44" s="47"/>
      <c r="L44" s="91">
        <f t="shared" si="1"/>
        <v>0</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t="s">
        <v>352</v>
      </c>
      <c r="I45" s="226"/>
      <c r="J45" s="47"/>
      <c r="K45" s="47"/>
      <c r="L45" s="91">
        <f t="shared" si="1"/>
        <v>0</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A1vfTW/Ind8BXkzG2Jv3Rhyi6EczhD0o5JXFzVfy1G6yfV5KW1v/TYvopltk1hpyR6S+EPZ4q14gt8tgNXEeOQ==" saltValue="QsDvGMYAxrcCf7TGWZn4FQ=="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N16" xr:uid="{00000000-0002-0000-5400-000000000000}">
      <formula1>$V$9:$Y$9</formula1>
    </dataValidation>
    <dataValidation type="list" allowBlank="1" showInputMessage="1" showErrorMessage="1" sqref="G17" xr:uid="{00000000-0002-0000-5400-000001000000}">
      <formula1>$V$7:$X$7</formula1>
    </dataValidation>
    <dataValidation type="list" allowBlank="1" showInputMessage="1" showErrorMessage="1" sqref="K11:L11 K28:K77 G8 N19:N21" xr:uid="{00000000-0002-0000-5400-000002000000}">
      <formula1>$V$5:$W$5</formula1>
    </dataValidation>
    <dataValidation allowBlank="1" showInputMessage="1" showErrorMessage="1" errorTitle="ערך לא חוקי" error="יש להזין ציון בין 0 ל-60" sqref="N18" xr:uid="{00000000-0002-0000-5400-000003000000}"/>
    <dataValidation type="whole" allowBlank="1" showInputMessage="1" showErrorMessage="1" sqref="E8:F8" xr:uid="{00000000-0002-0000-5400-000004000000}">
      <formula1>0</formula1>
      <formula2>9.99999999999999E+55</formula2>
    </dataValidation>
    <dataValidation type="list" allowBlank="1" showInputMessage="1" showErrorMessage="1" sqref="J21" xr:uid="{00000000-0002-0000-5400-000005000000}">
      <formula1>$V$15:$W$15</formula1>
    </dataValidation>
    <dataValidation type="whole" operator="greaterThanOrEqual" allowBlank="1" showInputMessage="1" showErrorMessage="1" errorTitle="הזנה שגויה" sqref="J18 C11:E11 G11" xr:uid="{00000000-0002-0000-5400-000006000000}">
      <formula1>0</formula1>
    </dataValidation>
    <dataValidation type="whole" allowBlank="1" showInputMessage="1" showErrorMessage="1" errorTitle="הזנה שגויה" sqref="J17" xr:uid="{00000000-0002-0000-5400-000007000000}">
      <formula1>0</formula1>
      <formula2>J18</formula2>
    </dataValidation>
    <dataValidation operator="greaterThanOrEqual" allowBlank="1" showInputMessage="1" showErrorMessage="1" errorTitle="הזנה שגויה" sqref="C8:D8" xr:uid="{00000000-0002-0000-5400-000008000000}"/>
    <dataValidation type="list" allowBlank="1" showInputMessage="1" showErrorMessage="1" sqref="E28:E77" xr:uid="{00000000-0002-0000-5400-000009000000}">
      <formula1>U28:V28</formula1>
    </dataValidation>
    <dataValidation type="decimal" operator="greaterThan" allowBlank="1" showInputMessage="1" showErrorMessage="1" errorTitle="הזנה שגויה" sqref="K8:N8" xr:uid="{00000000-0002-0000-5400-00000A000000}">
      <formula1>-999999999</formula1>
    </dataValidation>
    <dataValidation type="list" allowBlank="1" showInputMessage="1" showErrorMessage="1" sqref="I3 I24" xr:uid="{00000000-0002-0000-5400-00000B000000}">
      <formula1>"0,1"</formula1>
    </dataValidation>
    <dataValidation type="decimal" operator="greaterThanOrEqual" allowBlank="1" showInputMessage="1" showErrorMessage="1" errorTitle="הזנה שגויה" sqref="H11" xr:uid="{00000000-0002-0000-54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גיליון73">
    <tabColor theme="8" tint="-0.249977111117893"/>
    <pageSetUpPr fitToPage="1"/>
  </sheetPr>
  <dimension ref="C2:Z79"/>
  <sheetViews>
    <sheetView rightToLeft="1" view="pageBreakPreview" topLeftCell="D4" zoomScale="75" zoomScaleNormal="80" zoomScaleSheetLayoutView="75" workbookViewId="0">
      <selection activeCell="G18" sqref="G18"/>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56</v>
      </c>
      <c r="E3" s="624"/>
      <c r="F3" s="625"/>
      <c r="H3" s="26" t="s">
        <v>310</v>
      </c>
      <c r="I3" s="47">
        <v>0</v>
      </c>
      <c r="L3" s="222" t="s">
        <v>311</v>
      </c>
      <c r="M3" s="221" t="str">
        <f ca="1">"גיליון הזנה "&amp;INDEX('ריכוז נתונים'!$C$17:$C$76,MATCH(D3,'ריכוז נתונים'!$B$17:$B$76,0))</f>
        <v>גיליון הזנה 56</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Sw3yZexk4iiB0fu1dWbAwQ9Vrw0+sWN7zDOuy+xFe9Y1QH3vcVCVU8xFxqAn4smZzRjAj0/77gPmKdqaxh5NGw==" saltValue="Dti8LZnymhnhT/RRWa3JUg=="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N16" xr:uid="{00000000-0002-0000-5500-000000000000}">
      <formula1>$V$9:$Y$9</formula1>
    </dataValidation>
    <dataValidation type="list" allowBlank="1" showInputMessage="1" showErrorMessage="1" sqref="G17" xr:uid="{00000000-0002-0000-5500-000001000000}">
      <formula1>$V$7:$X$7</formula1>
    </dataValidation>
    <dataValidation type="list" allowBlank="1" showInputMessage="1" showErrorMessage="1" sqref="K11:L11 K28:K77 G8 N19:N21" xr:uid="{00000000-0002-0000-5500-000002000000}">
      <formula1>$V$5:$W$5</formula1>
    </dataValidation>
    <dataValidation allowBlank="1" showInputMessage="1" showErrorMessage="1" errorTitle="ערך לא חוקי" error="יש להזין ציון בין 0 ל-60" sqref="N18" xr:uid="{00000000-0002-0000-5500-000003000000}"/>
    <dataValidation type="whole" allowBlank="1" showInputMessage="1" showErrorMessage="1" sqref="E8:F8" xr:uid="{00000000-0002-0000-5500-000004000000}">
      <formula1>0</formula1>
      <formula2>9.99999999999999E+55</formula2>
    </dataValidation>
    <dataValidation type="list" allowBlank="1" showInputMessage="1" showErrorMessage="1" sqref="J21" xr:uid="{00000000-0002-0000-5500-000005000000}">
      <formula1>$V$15:$W$15</formula1>
    </dataValidation>
    <dataValidation type="whole" operator="greaterThanOrEqual" allowBlank="1" showInputMessage="1" showErrorMessage="1" errorTitle="הזנה שגויה" sqref="J18 C11:E11 G11" xr:uid="{00000000-0002-0000-5500-000006000000}">
      <formula1>0</formula1>
    </dataValidation>
    <dataValidation type="whole" allowBlank="1" showInputMessage="1" showErrorMessage="1" errorTitle="הזנה שגויה" sqref="J17" xr:uid="{00000000-0002-0000-5500-000007000000}">
      <formula1>0</formula1>
      <formula2>J18</formula2>
    </dataValidation>
    <dataValidation operator="greaterThanOrEqual" allowBlank="1" showInputMessage="1" showErrorMessage="1" errorTitle="הזנה שגויה" sqref="C8:D8" xr:uid="{00000000-0002-0000-5500-000008000000}"/>
    <dataValidation type="list" allowBlank="1" showInputMessage="1" showErrorMessage="1" sqref="E28:E77" xr:uid="{00000000-0002-0000-5500-000009000000}">
      <formula1>U28:V28</formula1>
    </dataValidation>
    <dataValidation type="decimal" operator="greaterThan" allowBlank="1" showInputMessage="1" showErrorMessage="1" errorTitle="הזנה שגויה" sqref="K8:N8" xr:uid="{00000000-0002-0000-5500-00000A000000}">
      <formula1>-999999999</formula1>
    </dataValidation>
    <dataValidation type="list" allowBlank="1" showInputMessage="1" showErrorMessage="1" sqref="I3 I24" xr:uid="{00000000-0002-0000-5500-00000B000000}">
      <formula1>"0,1"</formula1>
    </dataValidation>
    <dataValidation type="decimal" operator="greaterThanOrEqual" allowBlank="1" showInputMessage="1" showErrorMessage="1" errorTitle="הזנה שגויה" sqref="H11" xr:uid="{00000000-0002-0000-55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גיליון74">
    <tabColor theme="8" tint="-0.249977111117893"/>
    <pageSetUpPr fitToPage="1"/>
  </sheetPr>
  <dimension ref="C2:Z79"/>
  <sheetViews>
    <sheetView rightToLeft="1" view="pageBreakPreview" topLeftCell="I10" zoomScale="75" zoomScaleNormal="80" zoomScaleSheetLayoutView="75" workbookViewId="0">
      <selection activeCell="G18" sqref="G18"/>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57</v>
      </c>
      <c r="E3" s="624"/>
      <c r="F3" s="625"/>
      <c r="H3" s="26" t="s">
        <v>310</v>
      </c>
      <c r="I3" s="47">
        <v>0</v>
      </c>
      <c r="L3" s="222" t="s">
        <v>311</v>
      </c>
      <c r="M3" s="221" t="str">
        <f ca="1">"גיליון הזנה "&amp;INDEX('ריכוז נתונים'!$C$17:$C$76,MATCH(D3,'ריכוז נתונים'!$B$17:$B$76,0))</f>
        <v>גיליון הזנה 57</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3XkWcFUOz+1pyUGJl86xweJAQdUWHLb6339TMus6MVsgc83DOW9W37ngYWnwCxxHhloQuB9Mx+s/fg/1zPcFvQ==" saltValue="ZlZ4aVEmOxl+PKsyRfQGQg=="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5600-000000000000}">
      <formula1>$V$5:$W$5</formula1>
    </dataValidation>
    <dataValidation type="list" allowBlank="1" showInputMessage="1" showErrorMessage="1" sqref="G17" xr:uid="{00000000-0002-0000-5600-000001000000}">
      <formula1>$V$7:$X$7</formula1>
    </dataValidation>
    <dataValidation type="list" allowBlank="1" showInputMessage="1" showErrorMessage="1" sqref="N16" xr:uid="{00000000-0002-0000-5600-000002000000}">
      <formula1>$V$9:$Y$9</formula1>
    </dataValidation>
    <dataValidation allowBlank="1" showInputMessage="1" showErrorMessage="1" errorTitle="ערך לא חוקי" error="יש להזין ציון בין 0 ל-60" sqref="N18" xr:uid="{00000000-0002-0000-5600-000003000000}"/>
    <dataValidation type="whole" allowBlank="1" showInputMessage="1" showErrorMessage="1" sqref="E8:F8" xr:uid="{00000000-0002-0000-5600-000004000000}">
      <formula1>0</formula1>
      <formula2>9.99999999999999E+55</formula2>
    </dataValidation>
    <dataValidation type="list" allowBlank="1" showInputMessage="1" showErrorMessage="1" sqref="J21" xr:uid="{00000000-0002-0000-5600-000005000000}">
      <formula1>$V$15:$W$15</formula1>
    </dataValidation>
    <dataValidation type="whole" operator="greaterThanOrEqual" allowBlank="1" showInputMessage="1" showErrorMessage="1" errorTitle="הזנה שגויה" sqref="J18 C11:E11 G11" xr:uid="{00000000-0002-0000-5600-000006000000}">
      <formula1>0</formula1>
    </dataValidation>
    <dataValidation type="whole" allowBlank="1" showInputMessage="1" showErrorMessage="1" errorTitle="הזנה שגויה" sqref="J17" xr:uid="{00000000-0002-0000-5600-000007000000}">
      <formula1>0</formula1>
      <formula2>J18</formula2>
    </dataValidation>
    <dataValidation operator="greaterThanOrEqual" allowBlank="1" showInputMessage="1" showErrorMessage="1" errorTitle="הזנה שגויה" sqref="C8:D8" xr:uid="{00000000-0002-0000-5600-000008000000}"/>
    <dataValidation type="list" allowBlank="1" showInputMessage="1" showErrorMessage="1" sqref="E28:E77" xr:uid="{00000000-0002-0000-5600-000009000000}">
      <formula1>U28:V28</formula1>
    </dataValidation>
    <dataValidation type="decimal" operator="greaterThan" allowBlank="1" showInputMessage="1" showErrorMessage="1" errorTitle="הזנה שגויה" sqref="K8:N8" xr:uid="{00000000-0002-0000-5600-00000A000000}">
      <formula1>-999999999</formula1>
    </dataValidation>
    <dataValidation type="list" allowBlank="1" showInputMessage="1" showErrorMessage="1" sqref="I3 I24" xr:uid="{00000000-0002-0000-5600-00000B000000}">
      <formula1>"0,1"</formula1>
    </dataValidation>
    <dataValidation type="decimal" operator="greaterThanOrEqual" allowBlank="1" showInputMessage="1" showErrorMessage="1" errorTitle="הזנה שגויה" sqref="H11" xr:uid="{00000000-0002-0000-56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גיליון75">
    <tabColor theme="8" tint="-0.249977111117893"/>
    <pageSetUpPr fitToPage="1"/>
  </sheetPr>
  <dimension ref="C2:Z79"/>
  <sheetViews>
    <sheetView rightToLeft="1" view="pageBreakPreview" zoomScale="75" zoomScaleNormal="80" zoomScaleSheetLayoutView="75" workbookViewId="0">
      <selection activeCell="G18" sqref="G18"/>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58</v>
      </c>
      <c r="E3" s="624"/>
      <c r="F3" s="625"/>
      <c r="H3" s="26" t="s">
        <v>310</v>
      </c>
      <c r="I3" s="47">
        <v>1</v>
      </c>
      <c r="L3" s="222" t="s">
        <v>311</v>
      </c>
      <c r="M3" s="221" t="str">
        <f ca="1">"גיליון הזנה "&amp;INDEX('ריכוז נתונים'!$C$17:$C$76,MATCH(D3,'ריכוז נתונים'!$B$17:$B$76,0))</f>
        <v>גיליון הזנה 58</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ic/1PdacVAAW+5GsMdswaQFo+0s03jg8KugswtDx3lNVYIrUb+CDh/L7ABFR8hUyNFGZGsq7Gxk9ZeOTXxk3TQ==" saltValue="lsxx8RFg+J0ndU9aFYrSdQ=="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K11:L11 K28:K77 G8 N19:N21" xr:uid="{00000000-0002-0000-5700-000000000000}">
      <formula1>$V$5:$W$5</formula1>
    </dataValidation>
    <dataValidation type="list" allowBlank="1" showInputMessage="1" showErrorMessage="1" sqref="G17" xr:uid="{00000000-0002-0000-5700-000001000000}">
      <formula1>$V$7:$X$7</formula1>
    </dataValidation>
    <dataValidation type="list" allowBlank="1" showInputMessage="1" showErrorMessage="1" sqref="N16" xr:uid="{00000000-0002-0000-5700-000002000000}">
      <formula1>$V$9:$Y$9</formula1>
    </dataValidation>
    <dataValidation allowBlank="1" showInputMessage="1" showErrorMessage="1" errorTitle="ערך לא חוקי" error="יש להזין ציון בין 0 ל-60" sqref="N18" xr:uid="{00000000-0002-0000-5700-000003000000}"/>
    <dataValidation type="whole" allowBlank="1" showInputMessage="1" showErrorMessage="1" sqref="E8:F8" xr:uid="{00000000-0002-0000-5700-000004000000}">
      <formula1>0</formula1>
      <formula2>9.99999999999999E+55</formula2>
    </dataValidation>
    <dataValidation type="list" allowBlank="1" showInputMessage="1" showErrorMessage="1" sqref="J21" xr:uid="{00000000-0002-0000-5700-000005000000}">
      <formula1>$V$15:$W$15</formula1>
    </dataValidation>
    <dataValidation type="whole" operator="greaterThanOrEqual" allowBlank="1" showInputMessage="1" showErrorMessage="1" errorTitle="הזנה שגויה" sqref="J18 C11:E11 G11" xr:uid="{00000000-0002-0000-5700-000006000000}">
      <formula1>0</formula1>
    </dataValidation>
    <dataValidation type="whole" allowBlank="1" showInputMessage="1" showErrorMessage="1" errorTitle="הזנה שגויה" sqref="J17" xr:uid="{00000000-0002-0000-5700-000007000000}">
      <formula1>0</formula1>
      <formula2>J18</formula2>
    </dataValidation>
    <dataValidation operator="greaterThanOrEqual" allowBlank="1" showInputMessage="1" showErrorMessage="1" errorTitle="הזנה שגויה" sqref="C8:D8" xr:uid="{00000000-0002-0000-5700-000008000000}"/>
    <dataValidation type="list" allowBlank="1" showInputMessage="1" showErrorMessage="1" sqref="E28:E77" xr:uid="{00000000-0002-0000-5700-000009000000}">
      <formula1>U28:V28</formula1>
    </dataValidation>
    <dataValidation type="decimal" operator="greaterThan" allowBlank="1" showInputMessage="1" showErrorMessage="1" errorTitle="הזנה שגויה" sqref="K8:N8" xr:uid="{00000000-0002-0000-5700-00000A000000}">
      <formula1>-999999999</formula1>
    </dataValidation>
    <dataValidation type="list" allowBlank="1" showInputMessage="1" showErrorMessage="1" sqref="I3 I24" xr:uid="{00000000-0002-0000-5700-00000B000000}">
      <formula1>"0,1"</formula1>
    </dataValidation>
    <dataValidation type="decimal" operator="greaterThanOrEqual" allowBlank="1" showInputMessage="1" showErrorMessage="1" errorTitle="הזנה שגויה" sqref="H11" xr:uid="{00000000-0002-0000-57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גיליון76">
    <tabColor theme="8" tint="-0.249977111117893"/>
    <pageSetUpPr fitToPage="1"/>
  </sheetPr>
  <dimension ref="C2:Z79"/>
  <sheetViews>
    <sheetView rightToLeft="1" view="pageBreakPreview" topLeftCell="E6" zoomScale="75" zoomScaleNormal="80" zoomScaleSheetLayoutView="75" workbookViewId="0">
      <selection activeCell="G18" sqref="G18"/>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59</v>
      </c>
      <c r="E3" s="624"/>
      <c r="F3" s="625"/>
      <c r="H3" s="26" t="s">
        <v>310</v>
      </c>
      <c r="I3" s="47">
        <v>0</v>
      </c>
      <c r="L3" s="222" t="s">
        <v>311</v>
      </c>
      <c r="M3" s="221" t="str">
        <f ca="1">"גיליון הזנה "&amp;INDEX('ריכוז נתונים'!$C$17:$C$76,MATCH(D3,'ריכוז נתונים'!$B$17:$B$76,0))</f>
        <v>גיליון הזנה 59</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כללים'!D17:X76,8,FALSE)</f>
        <v>#N/A</v>
      </c>
      <c r="D8" s="627"/>
      <c r="E8" s="132" t="e">
        <f ca="1">VLOOKUP(D3,'ריכוז נתונים כללים'!D17:M76,10,FALSE)</f>
        <v>#N/A</v>
      </c>
      <c r="F8" s="126"/>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337</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s461CtuyZLYTpqHN8nCuUZE4pOwUXQnDm1mFb1/bNBNnORL+QPqaXDtR7/MmTH0e6EI0PgAm8kvy2r3yvwwXqg==" saltValue="vGgpBa4zpKcVDBr2pUuP0Q==" spinCount="100000" sheet="1" scenarios="1" formatColumns="0" formatRows="0" autoFilter="0"/>
  <mergeCells count="27">
    <mergeCell ref="M8:N8"/>
    <mergeCell ref="D3:F3"/>
    <mergeCell ref="C8:D8"/>
    <mergeCell ref="G8:H8"/>
    <mergeCell ref="I8:J8"/>
    <mergeCell ref="K8:L8"/>
    <mergeCell ref="V3:Z3"/>
    <mergeCell ref="C5:N5"/>
    <mergeCell ref="C7:D7"/>
    <mergeCell ref="G7:H7"/>
    <mergeCell ref="I7:J7"/>
    <mergeCell ref="K7:L7"/>
    <mergeCell ref="M7:N7"/>
    <mergeCell ref="I20:J20"/>
    <mergeCell ref="C26:F26"/>
    <mergeCell ref="H26:L26"/>
    <mergeCell ref="C11:D11"/>
    <mergeCell ref="C10:D10"/>
    <mergeCell ref="I16:J16"/>
    <mergeCell ref="C13:N13"/>
    <mergeCell ref="C15:D15"/>
    <mergeCell ref="F15:G15"/>
    <mergeCell ref="M15:N15"/>
    <mergeCell ref="I10:J10"/>
    <mergeCell ref="I11:J11"/>
    <mergeCell ref="K10:L10"/>
    <mergeCell ref="K11:L11"/>
  </mergeCells>
  <dataValidations count="13">
    <dataValidation type="list" allowBlank="1" showInputMessage="1" showErrorMessage="1" sqref="N16" xr:uid="{00000000-0002-0000-5800-000000000000}">
      <formula1>$V$9:$Y$9</formula1>
    </dataValidation>
    <dataValidation type="list" allowBlank="1" showInputMessage="1" showErrorMessage="1" sqref="G17" xr:uid="{00000000-0002-0000-5800-000001000000}">
      <formula1>$V$7:$X$7</formula1>
    </dataValidation>
    <dataValidation type="list" allowBlank="1" showInputMessage="1" showErrorMessage="1" sqref="K11:L11 K28:K77 G8 N19:N21" xr:uid="{00000000-0002-0000-5800-000002000000}">
      <formula1>$V$5:$W$5</formula1>
    </dataValidation>
    <dataValidation allowBlank="1" showInputMessage="1" showErrorMessage="1" errorTitle="ערך לא חוקי" error="יש להזין ציון בין 0 ל-60" sqref="N18" xr:uid="{00000000-0002-0000-5800-000003000000}"/>
    <dataValidation type="whole" allowBlank="1" showInputMessage="1" showErrorMessage="1" sqref="E8:F8" xr:uid="{00000000-0002-0000-5800-000004000000}">
      <formula1>0</formula1>
      <formula2>9.99999999999999E+55</formula2>
    </dataValidation>
    <dataValidation type="list" allowBlank="1" showInputMessage="1" showErrorMessage="1" sqref="J21" xr:uid="{00000000-0002-0000-5800-000005000000}">
      <formula1>$V$15:$W$15</formula1>
    </dataValidation>
    <dataValidation type="whole" operator="greaterThanOrEqual" allowBlank="1" showInputMessage="1" showErrorMessage="1" errorTitle="הזנה שגויה" sqref="J18 C11:E11 G11" xr:uid="{00000000-0002-0000-5800-000006000000}">
      <formula1>0</formula1>
    </dataValidation>
    <dataValidation type="whole" allowBlank="1" showInputMessage="1" showErrorMessage="1" errorTitle="הזנה שגויה" sqref="J17" xr:uid="{00000000-0002-0000-5800-000007000000}">
      <formula1>0</formula1>
      <formula2>J18</formula2>
    </dataValidation>
    <dataValidation operator="greaterThanOrEqual" allowBlank="1" showInputMessage="1" showErrorMessage="1" errorTitle="הזנה שגויה" sqref="C8:D8" xr:uid="{00000000-0002-0000-5800-000008000000}"/>
    <dataValidation type="list" allowBlank="1" showInputMessage="1" showErrorMessage="1" sqref="E28:E77" xr:uid="{00000000-0002-0000-5800-000009000000}">
      <formula1>U28:V28</formula1>
    </dataValidation>
    <dataValidation type="decimal" operator="greaterThan" allowBlank="1" showInputMessage="1" showErrorMessage="1" errorTitle="הזנה שגויה" sqref="K8:N8" xr:uid="{00000000-0002-0000-5800-00000A000000}">
      <formula1>-999999999</formula1>
    </dataValidation>
    <dataValidation type="list" allowBlank="1" showInputMessage="1" showErrorMessage="1" sqref="I3 I24" xr:uid="{00000000-0002-0000-5800-00000B000000}">
      <formula1>"0,1"</formula1>
    </dataValidation>
    <dataValidation type="decimal" operator="greaterThanOrEqual" allowBlank="1" showInputMessage="1" showErrorMessage="1" errorTitle="הזנה שגויה" sqref="H11" xr:uid="{00000000-0002-0000-58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rgb="FF002060"/>
    <pageSetUpPr fitToPage="1"/>
  </sheetPr>
  <dimension ref="C2:Z79"/>
  <sheetViews>
    <sheetView rightToLeft="1" view="pageBreakPreview" zoomScale="75" zoomScaleNormal="80" zoomScaleSheetLayoutView="75" workbookViewId="0">
      <selection activeCell="G18" sqref="G18"/>
    </sheetView>
  </sheetViews>
  <sheetFormatPr defaultColWidth="9.140625" defaultRowHeight="15.75" x14ac:dyDescent="0.25"/>
  <cols>
    <col min="1" max="2" width="9.140625" style="42"/>
    <col min="3" max="3" width="24" style="42" customWidth="1"/>
    <col min="4" max="4" width="13.85546875" style="42" bestFit="1" customWidth="1"/>
    <col min="5" max="5" width="23" style="42" customWidth="1"/>
    <col min="6" max="6" width="20" style="42" customWidth="1"/>
    <col min="7" max="7" width="15" style="42" customWidth="1"/>
    <col min="8" max="8" width="21.140625" style="42" customWidth="1"/>
    <col min="9" max="9" width="17.5703125" style="42" customWidth="1"/>
    <col min="10" max="10" width="12" style="42" bestFit="1" customWidth="1"/>
    <col min="11" max="11" width="14.140625" style="42" customWidth="1"/>
    <col min="12" max="12" width="15.42578125" style="42" customWidth="1"/>
    <col min="13" max="13" width="26.42578125" style="42" bestFit="1" customWidth="1"/>
    <col min="14" max="14" width="9.140625" style="42"/>
    <col min="15" max="18" width="9.140625" style="42" hidden="1" customWidth="1"/>
    <col min="19" max="19" width="9.140625" style="42" customWidth="1"/>
    <col min="20" max="23" width="9.140625" style="42" hidden="1" customWidth="1"/>
    <col min="24" max="24" width="15.140625" style="42" hidden="1" customWidth="1"/>
    <col min="25" max="26" width="9.140625" style="42" hidden="1" customWidth="1"/>
    <col min="27" max="16384" width="9.140625" style="42"/>
  </cols>
  <sheetData>
    <row r="2" spans="3:26" ht="15.75" customHeight="1" x14ac:dyDescent="0.25">
      <c r="C2" s="93" t="s">
        <v>309</v>
      </c>
    </row>
    <row r="3" spans="3:26" ht="31.5" x14ac:dyDescent="0.25">
      <c r="C3" s="38" t="s">
        <v>146</v>
      </c>
      <c r="D3" s="623" t="str">
        <f ca="1">MID(CELL("filename",C15),FIND("]",CELL("filename",C15),1)+1,99)</f>
        <v>גיליון הזנה 62</v>
      </c>
      <c r="E3" s="624"/>
      <c r="F3" s="625"/>
      <c r="H3" s="26" t="s">
        <v>310</v>
      </c>
      <c r="I3" s="47"/>
      <c r="L3" s="222" t="s">
        <v>311</v>
      </c>
      <c r="M3" s="221" t="str">
        <f ca="1">"גיליון הזנה "&amp;INDEX('ריכוז נתונים'!$C$17:$C$79,MATCH(D3,'ריכוז נתונים'!$B$17:$B$79,0))</f>
        <v>גיליון הזנה 62</v>
      </c>
      <c r="V3" s="615" t="s">
        <v>312</v>
      </c>
      <c r="W3" s="615"/>
      <c r="X3" s="615"/>
      <c r="Y3" s="615"/>
      <c r="Z3" s="615"/>
    </row>
    <row r="5" spans="3:26" ht="15.75" customHeight="1" x14ac:dyDescent="0.25">
      <c r="C5" s="477" t="s">
        <v>165</v>
      </c>
      <c r="D5" s="487"/>
      <c r="E5" s="487"/>
      <c r="F5" s="487"/>
      <c r="G5" s="487"/>
      <c r="H5" s="487"/>
      <c r="I5" s="487"/>
      <c r="J5" s="487"/>
      <c r="K5" s="487"/>
      <c r="L5" s="487"/>
      <c r="M5" s="487"/>
      <c r="N5" s="478"/>
      <c r="V5" s="94" t="str">
        <f>'גיליון עזר'!$B$6</f>
        <v>כן</v>
      </c>
      <c r="W5" s="94" t="str">
        <f>'גיליון עזר'!$C$6</f>
        <v>לא</v>
      </c>
    </row>
    <row r="7" spans="3:26" ht="44.25" customHeight="1" x14ac:dyDescent="0.25">
      <c r="C7" s="538" t="s">
        <v>313</v>
      </c>
      <c r="D7" s="539"/>
      <c r="E7" s="26" t="str">
        <f>"שיעור תמיכה של המשרד בשנה קודמת "&amp;"-"&amp;פרמטרים!$C$3-1&amp;" (₪)"</f>
        <v>שיעור תמיכה של המשרד בשנה קודמת -2024 (₪)</v>
      </c>
      <c r="F7" s="26" t="str">
        <f>"סכום תמיכה של המשרד בשנה קודמת "&amp;"-"&amp;פרמטרים!$C$3-1&amp;" (₪)"</f>
        <v>סכום תמיכה של המשרד בשנה קודמת -2024 (₪)</v>
      </c>
      <c r="G7" s="538" t="s">
        <v>314</v>
      </c>
      <c r="H7" s="539"/>
      <c r="I7" s="538" t="s">
        <v>172</v>
      </c>
      <c r="J7" s="539"/>
      <c r="K7" s="538" t="s">
        <v>315</v>
      </c>
      <c r="L7" s="539"/>
      <c r="M7" s="538" t="s">
        <v>316</v>
      </c>
      <c r="N7" s="539"/>
      <c r="V7" s="2" t="s">
        <v>105</v>
      </c>
      <c r="W7" s="2" t="s">
        <v>106</v>
      </c>
      <c r="X7" s="32" t="s">
        <v>107</v>
      </c>
    </row>
    <row r="8" spans="3:26" x14ac:dyDescent="0.25">
      <c r="C8" s="626" t="e">
        <f ca="1">VLOOKUP(D3,'ריכוז נתונים כללים'!D17:X79,8,FALSE)</f>
        <v>#N/A</v>
      </c>
      <c r="D8" s="627"/>
      <c r="E8" s="132" t="e">
        <f ca="1">VLOOKUP(D3,'ריכוז נתונים כללים'!D17:M79,10,FALSE)</f>
        <v>#N/A</v>
      </c>
      <c r="F8" s="289"/>
      <c r="G8" s="630"/>
      <c r="H8" s="631"/>
      <c r="I8" s="632"/>
      <c r="J8" s="633"/>
      <c r="K8" s="628"/>
      <c r="L8" s="629"/>
      <c r="M8" s="628"/>
      <c r="N8" s="629"/>
    </row>
    <row r="9" spans="3:26" ht="20.25" customHeight="1" x14ac:dyDescent="0.25">
      <c r="V9" s="46" t="str">
        <f t="array" ref="V9:Y9">TRANSPOSE(פרמטרים!$B$80:$B$83)</f>
        <v>אחד בשנה</v>
      </c>
      <c r="W9" s="46" t="str">
        <v>שניים בשנה</v>
      </c>
      <c r="X9" s="46" t="str">
        <v>שלוש בשנה</v>
      </c>
      <c r="Y9" s="46" t="str">
        <v>מעל 4 בשנה</v>
      </c>
    </row>
    <row r="10" spans="3:26" ht="55.5" customHeight="1" x14ac:dyDescent="0.25">
      <c r="C10" s="538" t="s">
        <v>317</v>
      </c>
      <c r="D10" s="539"/>
      <c r="E10" s="27" t="s">
        <v>318</v>
      </c>
      <c r="F10" s="27" t="s">
        <v>319</v>
      </c>
      <c r="G10" s="25" t="s">
        <v>320</v>
      </c>
      <c r="H10" s="26" t="s">
        <v>321</v>
      </c>
      <c r="I10" s="538" t="s">
        <v>322</v>
      </c>
      <c r="J10" s="539"/>
      <c r="K10" s="538" t="s">
        <v>323</v>
      </c>
      <c r="L10" s="539"/>
      <c r="V10" s="46"/>
      <c r="W10" s="46"/>
      <c r="X10" s="46"/>
      <c r="Y10" s="46"/>
    </row>
    <row r="11" spans="3:26" ht="20.25" customHeight="1" x14ac:dyDescent="0.25">
      <c r="C11" s="632"/>
      <c r="D11" s="633"/>
      <c r="E11" s="130"/>
      <c r="F11" s="130"/>
      <c r="G11" s="130"/>
      <c r="H11" s="48"/>
      <c r="I11" s="630"/>
      <c r="J11" s="631"/>
      <c r="K11" s="630"/>
      <c r="L11" s="631"/>
      <c r="V11" s="46"/>
      <c r="W11" s="46"/>
      <c r="X11" s="46"/>
      <c r="Y11" s="46"/>
    </row>
    <row r="12" spans="3:26" ht="20.25" customHeight="1" x14ac:dyDescent="0.25">
      <c r="V12" s="46"/>
      <c r="W12" s="46"/>
      <c r="X12" s="46"/>
      <c r="Y12" s="46"/>
    </row>
    <row r="13" spans="3:26" x14ac:dyDescent="0.25">
      <c r="C13" s="477" t="s">
        <v>324</v>
      </c>
      <c r="D13" s="487"/>
      <c r="E13" s="487"/>
      <c r="F13" s="487"/>
      <c r="G13" s="487"/>
      <c r="H13" s="487"/>
      <c r="I13" s="487"/>
      <c r="J13" s="487"/>
      <c r="K13" s="487"/>
      <c r="L13" s="487"/>
      <c r="M13" s="487"/>
      <c r="N13" s="478"/>
    </row>
    <row r="15" spans="3:26" ht="63" customHeight="1" x14ac:dyDescent="0.25">
      <c r="C15" s="616" t="s">
        <v>67</v>
      </c>
      <c r="D15" s="636"/>
      <c r="F15" s="622" t="s">
        <v>325</v>
      </c>
      <c r="G15" s="480"/>
      <c r="M15" s="620" t="s">
        <v>112</v>
      </c>
      <c r="N15" s="621"/>
      <c r="V15" s="42" t="str">
        <f t="array" ref="V15:W15">TRANSPOSE(פרמטרים!B103:B104)</f>
        <v>מעל 20%</v>
      </c>
      <c r="W15" s="42" t="str">
        <v>מעל 50%</v>
      </c>
    </row>
    <row r="16" spans="3:26" ht="60.75" customHeight="1" x14ac:dyDescent="0.25">
      <c r="C16" s="51" t="str">
        <f t="array" ref="C16:C25">TRANSPOSE('ריכוז נתונים'!E16:N16)</f>
        <v>מספר כינוסים</v>
      </c>
      <c r="D16" s="47"/>
      <c r="F16" s="28" t="str">
        <f t="array" ref="F16:F17">TRANSPOSE('ריכוז נתונים'!P16:Q16)</f>
        <v>מספר דפים סטטיים</v>
      </c>
      <c r="G16" s="47"/>
      <c r="I16" s="634" t="s">
        <v>72</v>
      </c>
      <c r="J16" s="635"/>
      <c r="M16" s="51" t="s">
        <v>116</v>
      </c>
      <c r="N16" s="50"/>
    </row>
    <row r="17" spans="3:26" ht="50.25" customHeight="1" x14ac:dyDescent="0.25">
      <c r="C17" s="51" t="str">
        <v>מספר הרצאות</v>
      </c>
      <c r="D17" s="47"/>
      <c r="F17" s="26" t="str">
        <v xml:space="preserve">איכות האתר </v>
      </c>
      <c r="G17" s="49"/>
      <c r="I17" s="25" t="s">
        <v>809</v>
      </c>
      <c r="J17" s="48"/>
      <c r="M17" s="28" t="s">
        <v>160</v>
      </c>
      <c r="N17" s="47"/>
    </row>
    <row r="18" spans="3:26" ht="63" x14ac:dyDescent="0.25">
      <c r="C18" s="51" t="str">
        <v>מתוכם מספר הרצאות שנערכו על ידי מישהו בעל תואר שלישי בתחום בו ניתנה הפעילות:</v>
      </c>
      <c r="D18" s="47"/>
      <c r="I18" s="25" t="s">
        <v>810</v>
      </c>
      <c r="J18" s="136">
        <f>F11</f>
        <v>0</v>
      </c>
      <c r="M18" s="28" t="s">
        <v>161</v>
      </c>
      <c r="N18" s="47"/>
    </row>
    <row r="19" spans="3:26" x14ac:dyDescent="0.25">
      <c r="C19" s="51" t="str">
        <v>מספר ימי עיון</v>
      </c>
      <c r="D19" s="47"/>
      <c r="M19" s="28" t="s">
        <v>162</v>
      </c>
      <c r="N19" s="47"/>
    </row>
    <row r="20" spans="3:26" ht="63" x14ac:dyDescent="0.25">
      <c r="C20" s="51" t="str">
        <v>מתוכם מספר ימי עיון שנערכו על ידי מישהו בעל תואר שלישי בתחום בו ניתנה הפעילות:</v>
      </c>
      <c r="D20" s="47"/>
      <c r="I20" s="634" t="str">
        <f>פרמטרים!B101</f>
        <v>תיעוד ושימור החומר הארכיונאי</v>
      </c>
      <c r="J20" s="635"/>
      <c r="M20" s="28" t="s">
        <v>163</v>
      </c>
      <c r="N20" s="47"/>
    </row>
    <row r="21" spans="3:26" ht="94.5" x14ac:dyDescent="0.25">
      <c r="C21" s="51" t="str">
        <v>מספר הפקות מורכבות</v>
      </c>
      <c r="D21" s="47"/>
      <c r="I21" s="26" t="str">
        <f>פרמטרים!B102</f>
        <v>היקף החומר הארכיוני בתחום המורשת אשר ברשותו הועלה לאתר האינטרנט של המוסד:</v>
      </c>
      <c r="J21" s="48"/>
      <c r="M21" s="28" t="s">
        <v>328</v>
      </c>
      <c r="N21" s="47"/>
    </row>
    <row r="22" spans="3:26" ht="31.5" x14ac:dyDescent="0.25">
      <c r="C22" s="51" t="str">
        <v>מתוכם הפקות מורכבות שהם קופרודוקציה</v>
      </c>
      <c r="D22" s="47"/>
    </row>
    <row r="23" spans="3:26" ht="31.5" x14ac:dyDescent="0.25">
      <c r="C23" s="51" t="str">
        <v>מספר הפקות מורכבות מקוריות</v>
      </c>
      <c r="D23" s="47"/>
    </row>
    <row r="24" spans="3:26" ht="47.25" x14ac:dyDescent="0.25">
      <c r="C24" s="51" t="str">
        <v>מתוכם הפקות מורכבות מקוריות שהם קופרודוקציה</v>
      </c>
      <c r="D24" s="47"/>
      <c r="H24" s="51" t="s">
        <v>329</v>
      </c>
      <c r="I24" s="47"/>
    </row>
    <row r="25" spans="3:26" x14ac:dyDescent="0.25">
      <c r="C25" s="51" t="str">
        <v>ארוע רב משתתפים</v>
      </c>
      <c r="D25" s="47"/>
    </row>
    <row r="26" spans="3:26" x14ac:dyDescent="0.25">
      <c r="C26" s="616" t="s">
        <v>68</v>
      </c>
      <c r="D26" s="617"/>
      <c r="E26" s="617"/>
      <c r="F26" s="617"/>
      <c r="H26" s="616" t="s">
        <v>124</v>
      </c>
      <c r="I26" s="617"/>
      <c r="J26" s="617"/>
      <c r="K26" s="617"/>
      <c r="L26" s="636"/>
    </row>
    <row r="27" spans="3:26" ht="94.5" x14ac:dyDescent="0.25">
      <c r="C27" s="30" t="s">
        <v>330</v>
      </c>
      <c r="D27" s="34" t="s">
        <v>331</v>
      </c>
      <c r="E27" s="34" t="s">
        <v>332</v>
      </c>
      <c r="F27" s="34" t="s">
        <v>333</v>
      </c>
      <c r="H27" s="30" t="s">
        <v>334</v>
      </c>
      <c r="I27" s="30" t="s">
        <v>335</v>
      </c>
      <c r="J27" s="30" t="s">
        <v>336</v>
      </c>
      <c r="K27" s="30" t="s">
        <v>353</v>
      </c>
      <c r="L27" s="34" t="s">
        <v>338</v>
      </c>
      <c r="P27" s="30" t="s">
        <v>339</v>
      </c>
      <c r="Q27" s="30" t="s">
        <v>336</v>
      </c>
      <c r="R27" s="30" t="s">
        <v>337</v>
      </c>
      <c r="U27" s="42" t="s">
        <v>340</v>
      </c>
      <c r="V27" s="42" t="s">
        <v>341</v>
      </c>
      <c r="W27" s="42" t="s">
        <v>31</v>
      </c>
      <c r="X27" s="42" t="s">
        <v>32</v>
      </c>
      <c r="Z27" s="21" t="s">
        <v>342</v>
      </c>
    </row>
    <row r="28" spans="3:26" x14ac:dyDescent="0.25">
      <c r="C28" s="47"/>
      <c r="D28" s="47"/>
      <c r="E28" s="47"/>
      <c r="F28" s="91" t="str">
        <f>IF(C28="","",D28*IF(E28=$U$27,פרמטרים!$C$39,IF(E28=$V$27,פרמטרים!$C$40,0)))</f>
        <v/>
      </c>
      <c r="H28" s="47"/>
      <c r="I28" s="226"/>
      <c r="J28" s="47"/>
      <c r="K28" s="47"/>
      <c r="L28" s="91" t="str">
        <f>IF(H28="","",IF(P28+R28=2,Q28,0))</f>
        <v/>
      </c>
      <c r="P28" s="42">
        <f>IF(AND(I28&gt;=INDEX('הוראת שעה'!$B$5:$D$18,MATCH(פרמטרים!$C$3,'הוראת שעה'!$A$5:$A$18,1),IF($I$24=1,1,3)),I28&lt;=INDEX('הוראת שעה'!C$5:$E$18,MATCH(פרמטרים!$C$3,'הוראת שעה'!$A$5:$A$18,1),IF($I$24=1,1,3))),1,0)</f>
        <v>0</v>
      </c>
      <c r="Q28" s="42">
        <f>IF(J28&gt;=פרמטרים!$B$99,פרמטרים!$C$99,IF(J28&gt;=פרמטרים!$B$98,פרמטרים!$C$98,0))</f>
        <v>0</v>
      </c>
      <c r="R28" s="42">
        <f>IF(K28=$W$27,1,0)</f>
        <v>0</v>
      </c>
      <c r="U28" s="42" t="str">
        <f t="shared" ref="U28:X47" si="0">IF($C28="","",U$27)</f>
        <v/>
      </c>
      <c r="V28" s="42" t="str">
        <f t="shared" si="0"/>
        <v/>
      </c>
      <c r="W28" s="42" t="str">
        <f t="shared" si="0"/>
        <v/>
      </c>
      <c r="X28" s="42" t="str">
        <f t="shared" si="0"/>
        <v/>
      </c>
      <c r="Z28" s="42">
        <f>IF(E28=$V$27,D28*פרמטרים!$C$40,0)</f>
        <v>0</v>
      </c>
    </row>
    <row r="29" spans="3:26" x14ac:dyDescent="0.25">
      <c r="C29" s="47"/>
      <c r="D29" s="47"/>
      <c r="E29" s="47"/>
      <c r="F29" s="91" t="str">
        <f>IF(C29="","",D29*IF(E29=$U$27,פרמטרים!$C$39,IF(E29=$V$27,פרמטרים!$C$40,0)))</f>
        <v/>
      </c>
      <c r="H29" s="47"/>
      <c r="I29" s="226"/>
      <c r="J29" s="47"/>
      <c r="K29" s="47"/>
      <c r="L29" s="91" t="str">
        <f t="shared" ref="L29:L77" si="1">IF(H29="","",IF(P29+R29=2,Q29,0))</f>
        <v/>
      </c>
      <c r="P29" s="42">
        <f>IF(AND(I29&gt;=INDEX('הוראת שעה'!$B$5:$D$18,MATCH(פרמטרים!$C$3,'הוראת שעה'!$A$5:$A$18,1),IF($I$24=1,1,3)),I29&lt;=INDEX('הוראת שעה'!C$5:$E$18,MATCH(פרמטרים!$C$3,'הוראת שעה'!$A$5:$A$18,1),IF($I$24=1,1,3))),1,0)</f>
        <v>0</v>
      </c>
      <c r="Q29" s="42">
        <f>IF(J29&gt;=פרמטרים!$B$99,פרמטרים!$C$99,IF(J29&gt;=פרמטרים!$B$98,פרמטרים!$C$98,0))</f>
        <v>0</v>
      </c>
      <c r="R29" s="42">
        <f t="shared" ref="R29:R77" si="2">IF(K29=$W$27,1,0)</f>
        <v>0</v>
      </c>
      <c r="U29" s="42" t="str">
        <f t="shared" si="0"/>
        <v/>
      </c>
      <c r="V29" s="42" t="str">
        <f t="shared" si="0"/>
        <v/>
      </c>
      <c r="W29" s="42" t="str">
        <f t="shared" si="0"/>
        <v/>
      </c>
      <c r="X29" s="42" t="str">
        <f t="shared" si="0"/>
        <v/>
      </c>
      <c r="Z29" s="42">
        <f>IF(E29=$V$27,D29*פרמטרים!$C$40,0)</f>
        <v>0</v>
      </c>
    </row>
    <row r="30" spans="3:26" x14ac:dyDescent="0.25">
      <c r="C30" s="47"/>
      <c r="D30" s="47"/>
      <c r="E30" s="47"/>
      <c r="F30" s="91" t="str">
        <f>IF(C30="","",D30*IF(E30=$U$27,פרמטרים!$C$39,IF(E30=$V$27,פרמטרים!$C$40,0)))</f>
        <v/>
      </c>
      <c r="H30" s="47"/>
      <c r="I30" s="226"/>
      <c r="J30" s="47"/>
      <c r="K30" s="47"/>
      <c r="L30" s="91" t="str">
        <f t="shared" si="1"/>
        <v/>
      </c>
      <c r="P30" s="42">
        <f>IF(AND(I30&gt;=INDEX('הוראת שעה'!$B$5:$D$18,MATCH(פרמטרים!$C$3,'הוראת שעה'!$A$5:$A$18,1),IF($I$24=1,1,3)),I30&lt;=INDEX('הוראת שעה'!C$5:$E$18,MATCH(פרמטרים!$C$3,'הוראת שעה'!$A$5:$A$18,1),IF($I$24=1,1,3))),1,0)</f>
        <v>0</v>
      </c>
      <c r="Q30" s="42">
        <f>IF(J30&gt;=פרמטרים!$B$99,פרמטרים!$C$99,IF(J30&gt;=פרמטרים!$B$98,פרמטרים!$C$98,0))</f>
        <v>0</v>
      </c>
      <c r="R30" s="42">
        <f t="shared" si="2"/>
        <v>0</v>
      </c>
      <c r="U30" s="42" t="str">
        <f t="shared" si="0"/>
        <v/>
      </c>
      <c r="V30" s="42" t="str">
        <f t="shared" si="0"/>
        <v/>
      </c>
      <c r="W30" s="42" t="str">
        <f t="shared" si="0"/>
        <v/>
      </c>
      <c r="X30" s="42" t="str">
        <f t="shared" si="0"/>
        <v/>
      </c>
      <c r="Z30" s="42">
        <f>IF(E30=$V$27,D30*פרמטרים!$C$40,0)</f>
        <v>0</v>
      </c>
    </row>
    <row r="31" spans="3:26" x14ac:dyDescent="0.25">
      <c r="C31" s="47"/>
      <c r="D31" s="47"/>
      <c r="E31" s="47"/>
      <c r="F31" s="91" t="str">
        <f>IF(C31="","",D31*IF(E31=$U$27,פרמטרים!$C$39,IF(E31=$V$27,פרמטרים!$C$40,0)))</f>
        <v/>
      </c>
      <c r="H31" s="47"/>
      <c r="I31" s="226"/>
      <c r="J31" s="47"/>
      <c r="K31" s="47"/>
      <c r="L31" s="91" t="str">
        <f t="shared" si="1"/>
        <v/>
      </c>
      <c r="P31" s="42">
        <f>IF(AND(I31&gt;=INDEX('הוראת שעה'!$B$5:$D$18,MATCH(פרמטרים!$C$3,'הוראת שעה'!$A$5:$A$18,1),IF($I$24=1,1,3)),I31&lt;=INDEX('הוראת שעה'!C$5:$E$18,MATCH(פרמטרים!$C$3,'הוראת שעה'!$A$5:$A$18,1),IF($I$24=1,1,3))),1,0)</f>
        <v>0</v>
      </c>
      <c r="Q31" s="42">
        <f>IF(J31&gt;=פרמטרים!$B$99,פרמטרים!$C$99,IF(J31&gt;=פרמטרים!$B$98,פרמטרים!$C$98,0))</f>
        <v>0</v>
      </c>
      <c r="R31" s="42">
        <f t="shared" si="2"/>
        <v>0</v>
      </c>
      <c r="U31" s="42" t="str">
        <f t="shared" si="0"/>
        <v/>
      </c>
      <c r="V31" s="42" t="str">
        <f t="shared" si="0"/>
        <v/>
      </c>
      <c r="W31" s="42" t="str">
        <f t="shared" si="0"/>
        <v/>
      </c>
      <c r="X31" s="42" t="str">
        <f t="shared" si="0"/>
        <v/>
      </c>
      <c r="Z31" s="42">
        <f>IF(E31=$V$27,D31*פרמטרים!$C$40,0)</f>
        <v>0</v>
      </c>
    </row>
    <row r="32" spans="3:26" x14ac:dyDescent="0.25">
      <c r="C32" s="47"/>
      <c r="D32" s="47"/>
      <c r="E32" s="47"/>
      <c r="F32" s="91" t="str">
        <f>IF(C32="","",D32*IF(E32=$U$27,פרמטרים!$C$39,IF(E32=$V$27,פרמטרים!$C$40,0)))</f>
        <v/>
      </c>
      <c r="H32" s="47"/>
      <c r="I32" s="226"/>
      <c r="J32" s="47"/>
      <c r="K32" s="47"/>
      <c r="L32" s="91" t="str">
        <f t="shared" si="1"/>
        <v/>
      </c>
      <c r="P32" s="42">
        <f>IF(AND(I32&gt;=INDEX('הוראת שעה'!$B$5:$D$18,MATCH(פרמטרים!$C$3,'הוראת שעה'!$A$5:$A$18,1),IF($I$24=1,1,3)),I32&lt;=INDEX('הוראת שעה'!C$5:$E$18,MATCH(פרמטרים!$C$3,'הוראת שעה'!$A$5:$A$18,1),IF($I$24=1,1,3))),1,0)</f>
        <v>0</v>
      </c>
      <c r="Q32" s="42">
        <f>IF(J32&gt;=פרמטרים!$B$99,פרמטרים!$C$99,IF(J32&gt;=פרמטרים!$B$98,פרמטרים!$C$98,0))</f>
        <v>0</v>
      </c>
      <c r="R32" s="42">
        <f t="shared" si="2"/>
        <v>0</v>
      </c>
      <c r="U32" s="42" t="str">
        <f t="shared" si="0"/>
        <v/>
      </c>
      <c r="V32" s="42" t="str">
        <f t="shared" si="0"/>
        <v/>
      </c>
      <c r="W32" s="42" t="str">
        <f t="shared" si="0"/>
        <v/>
      </c>
      <c r="X32" s="42" t="str">
        <f t="shared" si="0"/>
        <v/>
      </c>
      <c r="Z32" s="42">
        <f>IF(E32=$V$27,D32*פרמטרים!$C$40,0)</f>
        <v>0</v>
      </c>
    </row>
    <row r="33" spans="3:26" x14ac:dyDescent="0.25">
      <c r="C33" s="47"/>
      <c r="D33" s="47"/>
      <c r="E33" s="47"/>
      <c r="F33" s="91" t="str">
        <f>IF(C33="","",D33*IF(E33=$U$27,פרמטרים!$C$39,IF(E33=$V$27,פרמטרים!$C$40,0)))</f>
        <v/>
      </c>
      <c r="H33" s="47"/>
      <c r="I33" s="226"/>
      <c r="J33" s="47"/>
      <c r="K33" s="47"/>
      <c r="L33" s="91" t="str">
        <f t="shared" si="1"/>
        <v/>
      </c>
      <c r="P33" s="42">
        <f>IF(AND(I33&gt;=INDEX('הוראת שעה'!$B$5:$D$18,MATCH(פרמטרים!$C$3,'הוראת שעה'!$A$5:$A$18,1),IF($I$24=1,1,3)),I33&lt;=INDEX('הוראת שעה'!C$5:$E$18,MATCH(פרמטרים!$C$3,'הוראת שעה'!$A$5:$A$18,1),IF($I$24=1,1,3))),1,0)</f>
        <v>0</v>
      </c>
      <c r="Q33" s="42">
        <f>IF(J33&gt;=פרמטרים!$B$99,פרמטרים!$C$99,IF(J33&gt;=פרמטרים!$B$98,פרמטרים!$C$98,0))</f>
        <v>0</v>
      </c>
      <c r="R33" s="42">
        <f t="shared" si="2"/>
        <v>0</v>
      </c>
      <c r="U33" s="42" t="str">
        <f t="shared" si="0"/>
        <v/>
      </c>
      <c r="V33" s="42" t="str">
        <f t="shared" si="0"/>
        <v/>
      </c>
      <c r="W33" s="42" t="str">
        <f t="shared" si="0"/>
        <v/>
      </c>
      <c r="X33" s="42" t="str">
        <f t="shared" si="0"/>
        <v/>
      </c>
      <c r="Z33" s="42">
        <f>IF(E33=$V$27,D33*פרמטרים!$C$40,0)</f>
        <v>0</v>
      </c>
    </row>
    <row r="34" spans="3:26" x14ac:dyDescent="0.25">
      <c r="C34" s="47"/>
      <c r="D34" s="47"/>
      <c r="E34" s="47"/>
      <c r="F34" s="91" t="str">
        <f>IF(C34="","",D34*IF(E34=$U$27,פרמטרים!$C$39,IF(E34=$V$27,פרמטרים!$C$40,0)))</f>
        <v/>
      </c>
      <c r="H34" s="47"/>
      <c r="I34" s="226"/>
      <c r="J34" s="47"/>
      <c r="K34" s="47"/>
      <c r="L34" s="91" t="str">
        <f t="shared" si="1"/>
        <v/>
      </c>
      <c r="P34" s="42">
        <f>IF(AND(I34&gt;=INDEX('הוראת שעה'!$B$5:$D$18,MATCH(פרמטרים!$C$3,'הוראת שעה'!$A$5:$A$18,1),IF($I$24=1,1,3)),I34&lt;=INDEX('הוראת שעה'!C$5:$E$18,MATCH(פרמטרים!$C$3,'הוראת שעה'!$A$5:$A$18,1),IF($I$24=1,1,3))),1,0)</f>
        <v>0</v>
      </c>
      <c r="Q34" s="42">
        <f>IF(J34&gt;=פרמטרים!$B$99,פרמטרים!$C$99,IF(J34&gt;=פרמטרים!$B$98,פרמטרים!$C$98,0))</f>
        <v>0</v>
      </c>
      <c r="R34" s="42">
        <f t="shared" si="2"/>
        <v>0</v>
      </c>
      <c r="U34" s="42" t="str">
        <f t="shared" si="0"/>
        <v/>
      </c>
      <c r="V34" s="42" t="str">
        <f t="shared" si="0"/>
        <v/>
      </c>
      <c r="W34" s="42" t="str">
        <f t="shared" si="0"/>
        <v/>
      </c>
      <c r="X34" s="42" t="str">
        <f t="shared" si="0"/>
        <v/>
      </c>
      <c r="Z34" s="42">
        <f>IF(E34=$V$27,D34*פרמטרים!$C$40,0)</f>
        <v>0</v>
      </c>
    </row>
    <row r="35" spans="3:26" x14ac:dyDescent="0.25">
      <c r="C35" s="47"/>
      <c r="D35" s="47"/>
      <c r="E35" s="47"/>
      <c r="F35" s="91" t="str">
        <f>IF(C35="","",D35*IF(E35=$U$27,פרמטרים!$C$39,IF(E35=$V$27,פרמטרים!$C$40,0)))</f>
        <v/>
      </c>
      <c r="H35" s="47"/>
      <c r="I35" s="226"/>
      <c r="J35" s="47"/>
      <c r="K35" s="47"/>
      <c r="L35" s="91" t="str">
        <f t="shared" si="1"/>
        <v/>
      </c>
      <c r="P35" s="42">
        <f>IF(AND(I35&gt;=INDEX('הוראת שעה'!$B$5:$D$18,MATCH(פרמטרים!$C$3,'הוראת שעה'!$A$5:$A$18,1),IF($I$24=1,1,3)),I35&lt;=INDEX('הוראת שעה'!C$5:$E$18,MATCH(פרמטרים!$C$3,'הוראת שעה'!$A$5:$A$18,1),IF($I$24=1,1,3))),1,0)</f>
        <v>0</v>
      </c>
      <c r="Q35" s="42">
        <f>IF(J35&gt;=פרמטרים!$B$99,פרמטרים!$C$99,IF(J35&gt;=פרמטרים!$B$98,פרמטרים!$C$98,0))</f>
        <v>0</v>
      </c>
      <c r="R35" s="42">
        <f t="shared" si="2"/>
        <v>0</v>
      </c>
      <c r="U35" s="42" t="str">
        <f t="shared" si="0"/>
        <v/>
      </c>
      <c r="V35" s="42" t="str">
        <f t="shared" si="0"/>
        <v/>
      </c>
      <c r="W35" s="42" t="str">
        <f t="shared" si="0"/>
        <v/>
      </c>
      <c r="X35" s="42" t="str">
        <f t="shared" si="0"/>
        <v/>
      </c>
      <c r="Z35" s="42">
        <f>IF(E35=$V$27,D35*פרמטרים!$C$40,0)</f>
        <v>0</v>
      </c>
    </row>
    <row r="36" spans="3:26" x14ac:dyDescent="0.25">
      <c r="C36" s="47"/>
      <c r="D36" s="47"/>
      <c r="E36" s="47"/>
      <c r="F36" s="91" t="str">
        <f>IF(C36="","",D36*IF(E36=$U$27,פרמטרים!$C$39,IF(E36=$V$27,פרמטרים!$C$40,0)))</f>
        <v/>
      </c>
      <c r="H36" s="47"/>
      <c r="I36" s="226"/>
      <c r="J36" s="47"/>
      <c r="K36" s="47"/>
      <c r="L36" s="91" t="str">
        <f t="shared" si="1"/>
        <v/>
      </c>
      <c r="P36" s="42">
        <f>IF(AND(I36&gt;=INDEX('הוראת שעה'!$B$5:$D$18,MATCH(פרמטרים!$C$3,'הוראת שעה'!$A$5:$A$18,1),IF($I$24=1,1,3)),I36&lt;=INDEX('הוראת שעה'!C$5:$E$18,MATCH(פרמטרים!$C$3,'הוראת שעה'!$A$5:$A$18,1),IF($I$24=1,1,3))),1,0)</f>
        <v>0</v>
      </c>
      <c r="Q36" s="42">
        <f>IF(J36&gt;=פרמטרים!$B$99,פרמטרים!$C$99,IF(J36&gt;=פרמטרים!$B$98,פרמטרים!$C$98,0))</f>
        <v>0</v>
      </c>
      <c r="R36" s="42">
        <f t="shared" si="2"/>
        <v>0</v>
      </c>
      <c r="U36" s="42" t="str">
        <f t="shared" si="0"/>
        <v/>
      </c>
      <c r="V36" s="42" t="str">
        <f t="shared" si="0"/>
        <v/>
      </c>
      <c r="W36" s="42" t="str">
        <f t="shared" si="0"/>
        <v/>
      </c>
      <c r="X36" s="42" t="str">
        <f t="shared" si="0"/>
        <v/>
      </c>
      <c r="Z36" s="42">
        <f>IF(E36=$V$27,D36*פרמטרים!$C$40,0)</f>
        <v>0</v>
      </c>
    </row>
    <row r="37" spans="3:26" x14ac:dyDescent="0.25">
      <c r="C37" s="47"/>
      <c r="D37" s="47"/>
      <c r="E37" s="47"/>
      <c r="F37" s="91" t="str">
        <f>IF(C37="","",D37*IF(E37=$U$27,פרמטרים!$C$39,IF(E37=$V$27,פרמטרים!$C$40,0)))</f>
        <v/>
      </c>
      <c r="H37" s="47"/>
      <c r="I37" s="226"/>
      <c r="J37" s="47"/>
      <c r="K37" s="47"/>
      <c r="L37" s="91" t="str">
        <f t="shared" si="1"/>
        <v/>
      </c>
      <c r="P37" s="42">
        <f>IF(AND(I37&gt;=INDEX('הוראת שעה'!$B$5:$D$18,MATCH(פרמטרים!$C$3,'הוראת שעה'!$A$5:$A$18,1),IF($I$24=1,1,3)),I37&lt;=INDEX('הוראת שעה'!C$5:$E$18,MATCH(פרמטרים!$C$3,'הוראת שעה'!$A$5:$A$18,1),IF($I$24=1,1,3))),1,0)</f>
        <v>0</v>
      </c>
      <c r="Q37" s="42">
        <f>IF(J37&gt;=פרמטרים!$B$99,פרמטרים!$C$99,IF(J37&gt;=פרמטרים!$B$98,פרמטרים!$C$98,0))</f>
        <v>0</v>
      </c>
      <c r="R37" s="42">
        <f t="shared" si="2"/>
        <v>0</v>
      </c>
      <c r="U37" s="42" t="str">
        <f t="shared" si="0"/>
        <v/>
      </c>
      <c r="V37" s="42" t="str">
        <f t="shared" si="0"/>
        <v/>
      </c>
      <c r="W37" s="42" t="str">
        <f t="shared" si="0"/>
        <v/>
      </c>
      <c r="X37" s="42" t="str">
        <f t="shared" si="0"/>
        <v/>
      </c>
      <c r="Z37" s="42">
        <f>IF(E37=$V$27,D37*פרמטרים!$C$40,0)</f>
        <v>0</v>
      </c>
    </row>
    <row r="38" spans="3:26" x14ac:dyDescent="0.25">
      <c r="C38" s="47"/>
      <c r="D38" s="47"/>
      <c r="E38" s="47"/>
      <c r="F38" s="91" t="str">
        <f>IF(C38="","",D38*IF(E38=$U$27,פרמטרים!$C$39,IF(E38=$V$27,פרמטרים!$C$40,0)))</f>
        <v/>
      </c>
      <c r="H38" s="47"/>
      <c r="I38" s="226"/>
      <c r="J38" s="47"/>
      <c r="K38" s="47"/>
      <c r="L38" s="91" t="str">
        <f t="shared" si="1"/>
        <v/>
      </c>
      <c r="P38" s="42">
        <f>IF(AND(I38&gt;=INDEX('הוראת שעה'!$B$5:$D$18,MATCH(פרמטרים!$C$3,'הוראת שעה'!$A$5:$A$18,1),IF($I$24=1,1,3)),I38&lt;=INDEX('הוראת שעה'!C$5:$E$18,MATCH(פרמטרים!$C$3,'הוראת שעה'!$A$5:$A$18,1),IF($I$24=1,1,3))),1,0)</f>
        <v>0</v>
      </c>
      <c r="Q38" s="42">
        <f>IF(J38&gt;=פרמטרים!$B$99,פרמטרים!$C$99,IF(J38&gt;=פרמטרים!$B$98,פרמטרים!$C$98,0))</f>
        <v>0</v>
      </c>
      <c r="R38" s="42">
        <f t="shared" si="2"/>
        <v>0</v>
      </c>
      <c r="U38" s="42" t="str">
        <f t="shared" si="0"/>
        <v/>
      </c>
      <c r="V38" s="42" t="str">
        <f t="shared" si="0"/>
        <v/>
      </c>
      <c r="W38" s="42" t="str">
        <f t="shared" si="0"/>
        <v/>
      </c>
      <c r="X38" s="42" t="str">
        <f t="shared" si="0"/>
        <v/>
      </c>
      <c r="Z38" s="42">
        <f>IF(E38=$V$27,D38*פרמטרים!$C$40,0)</f>
        <v>0</v>
      </c>
    </row>
    <row r="39" spans="3:26" x14ac:dyDescent="0.25">
      <c r="C39" s="47"/>
      <c r="D39" s="47"/>
      <c r="E39" s="47"/>
      <c r="F39" s="91" t="str">
        <f>IF(C39="","",D39*IF(E39=$U$27,פרמטרים!$C$39,IF(E39=$V$27,פרמטרים!$C$40,0)))</f>
        <v/>
      </c>
      <c r="H39" s="47"/>
      <c r="I39" s="226"/>
      <c r="J39" s="47"/>
      <c r="K39" s="47"/>
      <c r="L39" s="91" t="str">
        <f t="shared" si="1"/>
        <v/>
      </c>
      <c r="P39" s="42">
        <f>IF(AND(I39&gt;=INDEX('הוראת שעה'!$B$5:$D$18,MATCH(פרמטרים!$C$3,'הוראת שעה'!$A$5:$A$18,1),IF($I$24=1,1,3)),I39&lt;=INDEX('הוראת שעה'!C$5:$E$18,MATCH(פרמטרים!$C$3,'הוראת שעה'!$A$5:$A$18,1),IF($I$24=1,1,3))),1,0)</f>
        <v>0</v>
      </c>
      <c r="Q39" s="42">
        <f>IF(J39&gt;=פרמטרים!$B$99,פרמטרים!$C$99,IF(J39&gt;=פרמטרים!$B$98,פרמטרים!$C$98,0))</f>
        <v>0</v>
      </c>
      <c r="R39" s="42">
        <f t="shared" si="2"/>
        <v>0</v>
      </c>
      <c r="U39" s="42" t="str">
        <f t="shared" si="0"/>
        <v/>
      </c>
      <c r="V39" s="42" t="str">
        <f t="shared" si="0"/>
        <v/>
      </c>
      <c r="W39" s="42" t="str">
        <f t="shared" si="0"/>
        <v/>
      </c>
      <c r="X39" s="42" t="str">
        <f t="shared" si="0"/>
        <v/>
      </c>
      <c r="Z39" s="42">
        <f>IF(E39=$V$27,D39*פרמטרים!$C$40,0)</f>
        <v>0</v>
      </c>
    </row>
    <row r="40" spans="3:26" x14ac:dyDescent="0.25">
      <c r="C40" s="47"/>
      <c r="D40" s="47"/>
      <c r="E40" s="47"/>
      <c r="F40" s="91" t="str">
        <f>IF(C40="","",D40*IF(E40=$U$27,פרמטרים!$C$39,IF(E40=$V$27,פרמטרים!$C$40,0)))</f>
        <v/>
      </c>
      <c r="H40" s="47"/>
      <c r="I40" s="226"/>
      <c r="J40" s="47"/>
      <c r="K40" s="47"/>
      <c r="L40" s="91" t="str">
        <f t="shared" si="1"/>
        <v/>
      </c>
      <c r="P40" s="42">
        <f>IF(AND(I40&gt;=INDEX('הוראת שעה'!$B$5:$D$18,MATCH(פרמטרים!$C$3,'הוראת שעה'!$A$5:$A$18,1),IF($I$24=1,1,3)),I40&lt;=INDEX('הוראת שעה'!C$5:$E$18,MATCH(פרמטרים!$C$3,'הוראת שעה'!$A$5:$A$18,1),IF($I$24=1,1,3))),1,0)</f>
        <v>0</v>
      </c>
      <c r="Q40" s="42">
        <f>IF(J40&gt;=פרמטרים!$B$99,פרמטרים!$C$99,IF(J40&gt;=פרמטרים!$B$98,פרמטרים!$C$98,0))</f>
        <v>0</v>
      </c>
      <c r="R40" s="42">
        <f t="shared" si="2"/>
        <v>0</v>
      </c>
      <c r="U40" s="42" t="str">
        <f t="shared" si="0"/>
        <v/>
      </c>
      <c r="V40" s="42" t="str">
        <f t="shared" si="0"/>
        <v/>
      </c>
      <c r="W40" s="42" t="str">
        <f t="shared" si="0"/>
        <v/>
      </c>
      <c r="X40" s="42" t="str">
        <f t="shared" si="0"/>
        <v/>
      </c>
      <c r="Z40" s="42">
        <f>IF(E40=$V$27,D40*פרמטרים!$C$40,0)</f>
        <v>0</v>
      </c>
    </row>
    <row r="41" spans="3:26" x14ac:dyDescent="0.25">
      <c r="C41" s="47"/>
      <c r="D41" s="47"/>
      <c r="E41" s="47"/>
      <c r="F41" s="91" t="str">
        <f>IF(C41="","",D41*IF(E41=$U$27,פרמטרים!$C$39,IF(E41=$V$27,פרמטרים!$C$40,0)))</f>
        <v/>
      </c>
      <c r="H41" s="47"/>
      <c r="I41" s="226"/>
      <c r="J41" s="47"/>
      <c r="K41" s="47"/>
      <c r="L41" s="91" t="str">
        <f t="shared" si="1"/>
        <v/>
      </c>
      <c r="P41" s="42">
        <f>IF(AND(I41&gt;=INDEX('הוראת שעה'!$B$5:$D$18,MATCH(פרמטרים!$C$3,'הוראת שעה'!$A$5:$A$18,1),IF($I$24=1,1,3)),I41&lt;=INDEX('הוראת שעה'!C$5:$E$18,MATCH(פרמטרים!$C$3,'הוראת שעה'!$A$5:$A$18,1),IF($I$24=1,1,3))),1,0)</f>
        <v>0</v>
      </c>
      <c r="Q41" s="42">
        <f>IF(J41&gt;=פרמטרים!$B$99,פרמטרים!$C$99,IF(J41&gt;=פרמטרים!$B$98,פרמטרים!$C$98,0))</f>
        <v>0</v>
      </c>
      <c r="R41" s="42">
        <f t="shared" si="2"/>
        <v>0</v>
      </c>
      <c r="U41" s="42" t="str">
        <f t="shared" si="0"/>
        <v/>
      </c>
      <c r="V41" s="42" t="str">
        <f t="shared" si="0"/>
        <v/>
      </c>
      <c r="W41" s="42" t="str">
        <f t="shared" si="0"/>
        <v/>
      </c>
      <c r="X41" s="42" t="str">
        <f t="shared" si="0"/>
        <v/>
      </c>
      <c r="Z41" s="42">
        <f>IF(E41=$V$27,D41*פרמטרים!$C$40,0)</f>
        <v>0</v>
      </c>
    </row>
    <row r="42" spans="3:26" x14ac:dyDescent="0.25">
      <c r="C42" s="47"/>
      <c r="D42" s="47"/>
      <c r="E42" s="47"/>
      <c r="F42" s="91" t="str">
        <f>IF(C42="","",D42*IF(E42=$U$27,פרמטרים!$C$39,IF(E42=$V$27,פרמטרים!$C$40,0)))</f>
        <v/>
      </c>
      <c r="H42" s="47"/>
      <c r="I42" s="226"/>
      <c r="J42" s="47"/>
      <c r="K42" s="47"/>
      <c r="L42" s="91" t="str">
        <f t="shared" si="1"/>
        <v/>
      </c>
      <c r="P42" s="42">
        <f>IF(AND(I42&gt;=INDEX('הוראת שעה'!$B$5:$D$18,MATCH(פרמטרים!$C$3,'הוראת שעה'!$A$5:$A$18,1),IF($I$24=1,1,3)),I42&lt;=INDEX('הוראת שעה'!C$5:$E$18,MATCH(פרמטרים!$C$3,'הוראת שעה'!$A$5:$A$18,1),IF($I$24=1,1,3))),1,0)</f>
        <v>0</v>
      </c>
      <c r="Q42" s="42">
        <f>IF(J42&gt;=פרמטרים!$B$99,פרמטרים!$C$99,IF(J42&gt;=פרמטרים!$B$98,פרמטרים!$C$98,0))</f>
        <v>0</v>
      </c>
      <c r="R42" s="42">
        <f t="shared" si="2"/>
        <v>0</v>
      </c>
      <c r="U42" s="42" t="str">
        <f t="shared" si="0"/>
        <v/>
      </c>
      <c r="V42" s="42" t="str">
        <f t="shared" si="0"/>
        <v/>
      </c>
      <c r="W42" s="42" t="str">
        <f t="shared" si="0"/>
        <v/>
      </c>
      <c r="X42" s="42" t="str">
        <f t="shared" si="0"/>
        <v/>
      </c>
      <c r="Z42" s="42">
        <f>IF(E42=$V$27,D42*פרמטרים!$C$40,0)</f>
        <v>0</v>
      </c>
    </row>
    <row r="43" spans="3:26" x14ac:dyDescent="0.25">
      <c r="C43" s="47"/>
      <c r="D43" s="47"/>
      <c r="E43" s="47"/>
      <c r="F43" s="91" t="str">
        <f>IF(C43="","",D43*IF(E43=$U$27,פרמטרים!$C$39,IF(E43=$V$27,פרמטרים!$C$40,0)))</f>
        <v/>
      </c>
      <c r="H43" s="47"/>
      <c r="I43" s="226"/>
      <c r="J43" s="47"/>
      <c r="K43" s="47"/>
      <c r="L43" s="91" t="str">
        <f t="shared" si="1"/>
        <v/>
      </c>
      <c r="P43" s="42">
        <f>IF(AND(I43&gt;=INDEX('הוראת שעה'!$B$5:$D$18,MATCH(פרמטרים!$C$3,'הוראת שעה'!$A$5:$A$18,1),IF($I$24=1,1,3)),I43&lt;=INDEX('הוראת שעה'!C$5:$E$18,MATCH(פרמטרים!$C$3,'הוראת שעה'!$A$5:$A$18,1),IF($I$24=1,1,3))),1,0)</f>
        <v>0</v>
      </c>
      <c r="Q43" s="42">
        <f>IF(J43&gt;=פרמטרים!$B$99,פרמטרים!$C$99,IF(J43&gt;=פרמטרים!$B$98,פרמטרים!$C$98,0))</f>
        <v>0</v>
      </c>
      <c r="R43" s="42">
        <f t="shared" si="2"/>
        <v>0</v>
      </c>
      <c r="U43" s="42" t="str">
        <f t="shared" si="0"/>
        <v/>
      </c>
      <c r="V43" s="42" t="str">
        <f t="shared" si="0"/>
        <v/>
      </c>
      <c r="W43" s="42" t="str">
        <f t="shared" si="0"/>
        <v/>
      </c>
      <c r="X43" s="42" t="str">
        <f t="shared" si="0"/>
        <v/>
      </c>
      <c r="Z43" s="42">
        <f>IF(E43=$V$27,D43*פרמטרים!$C$40,0)</f>
        <v>0</v>
      </c>
    </row>
    <row r="44" spans="3:26" x14ac:dyDescent="0.25">
      <c r="C44" s="47"/>
      <c r="D44" s="47"/>
      <c r="E44" s="47"/>
      <c r="F44" s="91" t="str">
        <f>IF(C44="","",D44*IF(E44=$U$27,פרמטרים!$C$39,IF(E44=$V$27,פרמטרים!$C$40,0)))</f>
        <v/>
      </c>
      <c r="H44" s="47"/>
      <c r="I44" s="226"/>
      <c r="J44" s="47"/>
      <c r="K44" s="47"/>
      <c r="L44" s="91" t="str">
        <f t="shared" si="1"/>
        <v/>
      </c>
      <c r="P44" s="42">
        <f>IF(AND(I44&gt;=INDEX('הוראת שעה'!$B$5:$D$18,MATCH(פרמטרים!$C$3,'הוראת שעה'!$A$5:$A$18,1),IF($I$24=1,1,3)),I44&lt;=INDEX('הוראת שעה'!C$5:$E$18,MATCH(פרמטרים!$C$3,'הוראת שעה'!$A$5:$A$18,1),IF($I$24=1,1,3))),1,0)</f>
        <v>0</v>
      </c>
      <c r="Q44" s="42">
        <f>IF(J44&gt;=פרמטרים!$B$99,פרמטרים!$C$99,IF(J44&gt;=פרמטרים!$B$98,פרמטרים!$C$98,0))</f>
        <v>0</v>
      </c>
      <c r="R44" s="42">
        <f t="shared" si="2"/>
        <v>0</v>
      </c>
      <c r="U44" s="42" t="str">
        <f t="shared" si="0"/>
        <v/>
      </c>
      <c r="V44" s="42" t="str">
        <f t="shared" si="0"/>
        <v/>
      </c>
      <c r="W44" s="42" t="str">
        <f t="shared" si="0"/>
        <v/>
      </c>
      <c r="X44" s="42" t="str">
        <f t="shared" si="0"/>
        <v/>
      </c>
      <c r="Z44" s="42">
        <f>IF(E44=$V$27,D44*פרמטרים!$C$40,0)</f>
        <v>0</v>
      </c>
    </row>
    <row r="45" spans="3:26" x14ac:dyDescent="0.25">
      <c r="C45" s="47"/>
      <c r="D45" s="47"/>
      <c r="E45" s="47"/>
      <c r="F45" s="91" t="str">
        <f>IF(C45="","",D45*IF(E45=$U$27,פרמטרים!$C$39,IF(E45=$V$27,פרמטרים!$C$40,0)))</f>
        <v/>
      </c>
      <c r="H45" s="47"/>
      <c r="I45" s="226"/>
      <c r="J45" s="47"/>
      <c r="K45" s="47"/>
      <c r="L45" s="91" t="str">
        <f t="shared" si="1"/>
        <v/>
      </c>
      <c r="P45" s="42">
        <f>IF(AND(I45&gt;=INDEX('הוראת שעה'!$B$5:$D$18,MATCH(פרמטרים!$C$3,'הוראת שעה'!$A$5:$A$18,1),IF($I$24=1,1,3)),I45&lt;=INDEX('הוראת שעה'!C$5:$E$18,MATCH(פרמטרים!$C$3,'הוראת שעה'!$A$5:$A$18,1),IF($I$24=1,1,3))),1,0)</f>
        <v>0</v>
      </c>
      <c r="Q45" s="42">
        <f>IF(J45&gt;=פרמטרים!$B$99,פרמטרים!$C$99,IF(J45&gt;=פרמטרים!$B$98,פרמטרים!$C$98,0))</f>
        <v>0</v>
      </c>
      <c r="R45" s="42">
        <f t="shared" si="2"/>
        <v>0</v>
      </c>
      <c r="U45" s="42" t="str">
        <f t="shared" si="0"/>
        <v/>
      </c>
      <c r="V45" s="42" t="str">
        <f t="shared" si="0"/>
        <v/>
      </c>
      <c r="W45" s="42" t="str">
        <f t="shared" si="0"/>
        <v/>
      </c>
      <c r="X45" s="42" t="str">
        <f t="shared" si="0"/>
        <v/>
      </c>
      <c r="Z45" s="42">
        <f>IF(E45=$V$27,D45*פרמטרים!$C$40,0)</f>
        <v>0</v>
      </c>
    </row>
    <row r="46" spans="3:26" x14ac:dyDescent="0.25">
      <c r="C46" s="47"/>
      <c r="D46" s="47"/>
      <c r="E46" s="47"/>
      <c r="F46" s="91" t="str">
        <f>IF(C46="","",D46*IF(E46=$U$27,פרמטרים!$C$39,IF(E46=$V$27,פרמטרים!$C$40,0)))</f>
        <v/>
      </c>
      <c r="H46" s="47"/>
      <c r="I46" s="226"/>
      <c r="J46" s="47"/>
      <c r="K46" s="47"/>
      <c r="L46" s="91" t="str">
        <f t="shared" si="1"/>
        <v/>
      </c>
      <c r="P46" s="42">
        <f>IF(AND(I46&gt;=INDEX('הוראת שעה'!$B$5:$D$18,MATCH(פרמטרים!$C$3,'הוראת שעה'!$A$5:$A$18,1),IF($I$24=1,1,3)),I46&lt;=INDEX('הוראת שעה'!C$5:$E$18,MATCH(פרמטרים!$C$3,'הוראת שעה'!$A$5:$A$18,1),IF($I$24=1,1,3))),1,0)</f>
        <v>0</v>
      </c>
      <c r="Q46" s="42">
        <f>IF(J46&gt;=פרמטרים!$B$99,פרמטרים!$C$99,IF(J46&gt;=פרמטרים!$B$98,פרמטרים!$C$98,0))</f>
        <v>0</v>
      </c>
      <c r="R46" s="42">
        <f t="shared" si="2"/>
        <v>0</v>
      </c>
      <c r="U46" s="42" t="str">
        <f t="shared" si="0"/>
        <v/>
      </c>
      <c r="V46" s="42" t="str">
        <f t="shared" si="0"/>
        <v/>
      </c>
      <c r="W46" s="42" t="str">
        <f t="shared" si="0"/>
        <v/>
      </c>
      <c r="X46" s="42" t="str">
        <f t="shared" si="0"/>
        <v/>
      </c>
      <c r="Z46" s="42">
        <f>IF(E46=$V$27,D46*פרמטרים!$C$40,0)</f>
        <v>0</v>
      </c>
    </row>
    <row r="47" spans="3:26" x14ac:dyDescent="0.25">
      <c r="C47" s="47"/>
      <c r="D47" s="47"/>
      <c r="E47" s="47"/>
      <c r="F47" s="91" t="str">
        <f>IF(C47="","",D47*IF(E47=$U$27,פרמטרים!$C$39,IF(E47=$V$27,פרמטרים!$C$40,0)))</f>
        <v/>
      </c>
      <c r="H47" s="47"/>
      <c r="I47" s="226"/>
      <c r="J47" s="47"/>
      <c r="K47" s="47"/>
      <c r="L47" s="91" t="str">
        <f t="shared" si="1"/>
        <v/>
      </c>
      <c r="P47" s="42">
        <f>IF(AND(I47&gt;=INDEX('הוראת שעה'!$B$5:$D$18,MATCH(פרמטרים!$C$3,'הוראת שעה'!$A$5:$A$18,1),IF($I$24=1,1,3)),I47&lt;=INDEX('הוראת שעה'!C$5:$E$18,MATCH(פרמטרים!$C$3,'הוראת שעה'!$A$5:$A$18,1),IF($I$24=1,1,3))),1,0)</f>
        <v>0</v>
      </c>
      <c r="Q47" s="42">
        <f>IF(J47&gt;=פרמטרים!$B$99,פרמטרים!$C$99,IF(J47&gt;=פרמטרים!$B$98,פרמטרים!$C$98,0))</f>
        <v>0</v>
      </c>
      <c r="R47" s="42">
        <f t="shared" si="2"/>
        <v>0</v>
      </c>
      <c r="U47" s="42" t="str">
        <f t="shared" si="0"/>
        <v/>
      </c>
      <c r="V47" s="42" t="str">
        <f t="shared" si="0"/>
        <v/>
      </c>
      <c r="W47" s="42" t="str">
        <f t="shared" si="0"/>
        <v/>
      </c>
      <c r="X47" s="42" t="str">
        <f t="shared" si="0"/>
        <v/>
      </c>
      <c r="Z47" s="42">
        <f>IF(E47=$V$27,D47*פרמטרים!$C$40,0)</f>
        <v>0</v>
      </c>
    </row>
    <row r="48" spans="3:26" x14ac:dyDescent="0.25">
      <c r="C48" s="47"/>
      <c r="D48" s="47"/>
      <c r="E48" s="47"/>
      <c r="F48" s="91" t="str">
        <f>IF(C48="","",D48*IF(E48=$U$27,פרמטרים!$C$39,IF(E48=$V$27,פרמטרים!$C$40,0)))</f>
        <v/>
      </c>
      <c r="H48" s="47"/>
      <c r="I48" s="226"/>
      <c r="J48" s="47"/>
      <c r="K48" s="47"/>
      <c r="L48" s="91" t="str">
        <f t="shared" si="1"/>
        <v/>
      </c>
      <c r="P48" s="42">
        <f>IF(AND(I48&gt;=INDEX('הוראת שעה'!$B$5:$D$18,MATCH(פרמטרים!$C$3,'הוראת שעה'!$A$5:$A$18,1),IF($I$24=1,1,3)),I48&lt;=INDEX('הוראת שעה'!C$5:$E$18,MATCH(פרמטרים!$C$3,'הוראת שעה'!$A$5:$A$18,1),IF($I$24=1,1,3))),1,0)</f>
        <v>0</v>
      </c>
      <c r="Q48" s="42">
        <f>IF(J48&gt;=פרמטרים!$B$99,פרמטרים!$C$99,IF(J48&gt;=פרמטרים!$B$98,פרמטרים!$C$98,0))</f>
        <v>0</v>
      </c>
      <c r="R48" s="42">
        <f t="shared" si="2"/>
        <v>0</v>
      </c>
      <c r="U48" s="42" t="str">
        <f t="shared" ref="U48:X67" si="3">IF($C48="","",U$27)</f>
        <v/>
      </c>
      <c r="V48" s="42" t="str">
        <f t="shared" si="3"/>
        <v/>
      </c>
      <c r="W48" s="42" t="str">
        <f t="shared" si="3"/>
        <v/>
      </c>
      <c r="X48" s="42" t="str">
        <f t="shared" si="3"/>
        <v/>
      </c>
      <c r="Z48" s="42">
        <f>IF(E48=$V$27,D48*פרמטרים!$C$40,0)</f>
        <v>0</v>
      </c>
    </row>
    <row r="49" spans="3:26" x14ac:dyDescent="0.25">
      <c r="C49" s="47"/>
      <c r="D49" s="47"/>
      <c r="E49" s="47"/>
      <c r="F49" s="91" t="str">
        <f>IF(C49="","",D49*IF(E49=$U$27,פרמטרים!$C$39,IF(E49=$V$27,פרמטרים!$C$40,0)))</f>
        <v/>
      </c>
      <c r="H49" s="47"/>
      <c r="I49" s="226"/>
      <c r="J49" s="47"/>
      <c r="K49" s="47"/>
      <c r="L49" s="91" t="str">
        <f t="shared" si="1"/>
        <v/>
      </c>
      <c r="P49" s="42">
        <f>IF(AND(I49&gt;=INDEX('הוראת שעה'!$B$5:$D$18,MATCH(פרמטרים!$C$3,'הוראת שעה'!$A$5:$A$18,1),IF($I$24=1,1,3)),I49&lt;=INDEX('הוראת שעה'!C$5:$E$18,MATCH(פרמטרים!$C$3,'הוראת שעה'!$A$5:$A$18,1),IF($I$24=1,1,3))),1,0)</f>
        <v>0</v>
      </c>
      <c r="Q49" s="42">
        <f>IF(J49&gt;=פרמטרים!$B$99,פרמטרים!$C$99,IF(J49&gt;=פרמטרים!$B$98,פרמטרים!$C$98,0))</f>
        <v>0</v>
      </c>
      <c r="R49" s="42">
        <f t="shared" si="2"/>
        <v>0</v>
      </c>
      <c r="U49" s="42" t="str">
        <f t="shared" si="3"/>
        <v/>
      </c>
      <c r="V49" s="42" t="str">
        <f t="shared" si="3"/>
        <v/>
      </c>
      <c r="W49" s="42" t="str">
        <f t="shared" si="3"/>
        <v/>
      </c>
      <c r="X49" s="42" t="str">
        <f t="shared" si="3"/>
        <v/>
      </c>
      <c r="Z49" s="42">
        <f>IF(E49=$V$27,D49*פרמטרים!$C$40,0)</f>
        <v>0</v>
      </c>
    </row>
    <row r="50" spans="3:26" x14ac:dyDescent="0.25">
      <c r="C50" s="47"/>
      <c r="D50" s="47"/>
      <c r="E50" s="47"/>
      <c r="F50" s="91" t="str">
        <f>IF(C50="","",D50*IF(E50=$U$27,פרמטרים!$C$39,IF(E50=$V$27,פרמטרים!$C$40,0)))</f>
        <v/>
      </c>
      <c r="H50" s="47"/>
      <c r="I50" s="226"/>
      <c r="J50" s="47"/>
      <c r="K50" s="47"/>
      <c r="L50" s="91" t="str">
        <f t="shared" si="1"/>
        <v/>
      </c>
      <c r="P50" s="42">
        <f>IF(AND(I50&gt;=INDEX('הוראת שעה'!$B$5:$D$18,MATCH(פרמטרים!$C$3,'הוראת שעה'!$A$5:$A$18,1),IF($I$24=1,1,3)),I50&lt;=INDEX('הוראת שעה'!C$5:$E$18,MATCH(פרמטרים!$C$3,'הוראת שעה'!$A$5:$A$18,1),IF($I$24=1,1,3))),1,0)</f>
        <v>0</v>
      </c>
      <c r="Q50" s="42">
        <f>IF(J50&gt;=פרמטרים!$B$99,פרמטרים!$C$99,IF(J50&gt;=פרמטרים!$B$98,פרמטרים!$C$98,0))</f>
        <v>0</v>
      </c>
      <c r="R50" s="42">
        <f t="shared" si="2"/>
        <v>0</v>
      </c>
      <c r="U50" s="42" t="str">
        <f t="shared" si="3"/>
        <v/>
      </c>
      <c r="V50" s="42" t="str">
        <f t="shared" si="3"/>
        <v/>
      </c>
      <c r="W50" s="42" t="str">
        <f t="shared" si="3"/>
        <v/>
      </c>
      <c r="X50" s="42" t="str">
        <f t="shared" si="3"/>
        <v/>
      </c>
      <c r="Z50" s="42">
        <f>IF(E50=$V$27,D50*פרמטרים!$C$40,0)</f>
        <v>0</v>
      </c>
    </row>
    <row r="51" spans="3:26" x14ac:dyDescent="0.25">
      <c r="C51" s="47"/>
      <c r="D51" s="47"/>
      <c r="E51" s="47"/>
      <c r="F51" s="91" t="str">
        <f>IF(C51="","",D51*IF(E51=$U$27,פרמטרים!$C$39,IF(E51=$V$27,פרמטרים!$C$40,0)))</f>
        <v/>
      </c>
      <c r="H51" s="47"/>
      <c r="I51" s="226"/>
      <c r="J51" s="47"/>
      <c r="K51" s="47"/>
      <c r="L51" s="91" t="str">
        <f t="shared" si="1"/>
        <v/>
      </c>
      <c r="P51" s="42">
        <f>IF(AND(I51&gt;=INDEX('הוראת שעה'!$B$5:$D$18,MATCH(פרמטרים!$C$3,'הוראת שעה'!$A$5:$A$18,1),IF($I$24=1,1,3)),I51&lt;=INDEX('הוראת שעה'!C$5:$E$18,MATCH(פרמטרים!$C$3,'הוראת שעה'!$A$5:$A$18,1),IF($I$24=1,1,3))),1,0)</f>
        <v>0</v>
      </c>
      <c r="Q51" s="42">
        <f>IF(J51&gt;=פרמטרים!$B$99,פרמטרים!$C$99,IF(J51&gt;=פרמטרים!$B$98,פרמטרים!$C$98,0))</f>
        <v>0</v>
      </c>
      <c r="R51" s="42">
        <f t="shared" si="2"/>
        <v>0</v>
      </c>
      <c r="U51" s="42" t="str">
        <f t="shared" si="3"/>
        <v/>
      </c>
      <c r="V51" s="42" t="str">
        <f t="shared" si="3"/>
        <v/>
      </c>
      <c r="W51" s="42" t="str">
        <f t="shared" si="3"/>
        <v/>
      </c>
      <c r="X51" s="42" t="str">
        <f t="shared" si="3"/>
        <v/>
      </c>
      <c r="Z51" s="42">
        <f>IF(E51=$V$27,D51*פרמטרים!$C$40,0)</f>
        <v>0</v>
      </c>
    </row>
    <row r="52" spans="3:26" x14ac:dyDescent="0.25">
      <c r="C52" s="47"/>
      <c r="D52" s="47"/>
      <c r="E52" s="47"/>
      <c r="F52" s="91" t="str">
        <f>IF(C52="","",D52*IF(E52=$U$27,פרמטרים!$C$39,IF(E52=$V$27,פרמטרים!$C$40,0)))</f>
        <v/>
      </c>
      <c r="H52" s="47"/>
      <c r="I52" s="226"/>
      <c r="J52" s="47"/>
      <c r="K52" s="47"/>
      <c r="L52" s="91" t="str">
        <f t="shared" si="1"/>
        <v/>
      </c>
      <c r="P52" s="42">
        <f>IF(AND(I52&gt;=INDEX('הוראת שעה'!$B$5:$D$18,MATCH(פרמטרים!$C$3,'הוראת שעה'!$A$5:$A$18,1),IF($I$24=1,1,3)),I52&lt;=INDEX('הוראת שעה'!C$5:$E$18,MATCH(פרמטרים!$C$3,'הוראת שעה'!$A$5:$A$18,1),IF($I$24=1,1,3))),1,0)</f>
        <v>0</v>
      </c>
      <c r="Q52" s="42">
        <f>IF(J52&gt;=פרמטרים!$B$99,פרמטרים!$C$99,IF(J52&gt;=פרמטרים!$B$98,פרמטרים!$C$98,0))</f>
        <v>0</v>
      </c>
      <c r="R52" s="42">
        <f t="shared" si="2"/>
        <v>0</v>
      </c>
      <c r="U52" s="42" t="str">
        <f t="shared" si="3"/>
        <v/>
      </c>
      <c r="V52" s="42" t="str">
        <f t="shared" si="3"/>
        <v/>
      </c>
      <c r="W52" s="42" t="str">
        <f t="shared" si="3"/>
        <v/>
      </c>
      <c r="X52" s="42" t="str">
        <f t="shared" si="3"/>
        <v/>
      </c>
      <c r="Z52" s="42">
        <f>IF(E52=$V$27,D52*פרמטרים!$C$40,0)</f>
        <v>0</v>
      </c>
    </row>
    <row r="53" spans="3:26" x14ac:dyDescent="0.25">
      <c r="C53" s="47"/>
      <c r="D53" s="47"/>
      <c r="E53" s="47"/>
      <c r="F53" s="91" t="str">
        <f>IF(C53="","",D53*IF(E53=$U$27,פרמטרים!$C$39,IF(E53=$V$27,פרמטרים!$C$40,0)))</f>
        <v/>
      </c>
      <c r="H53" s="47"/>
      <c r="I53" s="226"/>
      <c r="J53" s="47"/>
      <c r="K53" s="47"/>
      <c r="L53" s="91" t="str">
        <f t="shared" si="1"/>
        <v/>
      </c>
      <c r="P53" s="42">
        <f>IF(AND(I53&gt;=INDEX('הוראת שעה'!$B$5:$D$18,MATCH(פרמטרים!$C$3,'הוראת שעה'!$A$5:$A$18,1),IF($I$24=1,1,3)),I53&lt;=INDEX('הוראת שעה'!C$5:$E$18,MATCH(פרמטרים!$C$3,'הוראת שעה'!$A$5:$A$18,1),IF($I$24=1,1,3))),1,0)</f>
        <v>0</v>
      </c>
      <c r="Q53" s="42">
        <f>IF(J53&gt;=פרמטרים!$B$99,פרמטרים!$C$99,IF(J53&gt;=פרמטרים!$B$98,פרמטרים!$C$98,0))</f>
        <v>0</v>
      </c>
      <c r="R53" s="42">
        <f t="shared" si="2"/>
        <v>0</v>
      </c>
      <c r="U53" s="42" t="str">
        <f t="shared" si="3"/>
        <v/>
      </c>
      <c r="V53" s="42" t="str">
        <f t="shared" si="3"/>
        <v/>
      </c>
      <c r="W53" s="42" t="str">
        <f t="shared" si="3"/>
        <v/>
      </c>
      <c r="X53" s="42" t="str">
        <f t="shared" si="3"/>
        <v/>
      </c>
      <c r="Z53" s="42">
        <f>IF(E53=$V$27,D53*פרמטרים!$C$40,0)</f>
        <v>0</v>
      </c>
    </row>
    <row r="54" spans="3:26" x14ac:dyDescent="0.25">
      <c r="C54" s="47"/>
      <c r="D54" s="47"/>
      <c r="E54" s="47"/>
      <c r="F54" s="91" t="str">
        <f>IF(C54="","",D54*IF(E54=$U$27,פרמטרים!$C$39,IF(E54=$V$27,פרמטרים!$C$40,0)))</f>
        <v/>
      </c>
      <c r="H54" s="47"/>
      <c r="I54" s="226"/>
      <c r="J54" s="47"/>
      <c r="K54" s="47"/>
      <c r="L54" s="91" t="str">
        <f t="shared" si="1"/>
        <v/>
      </c>
      <c r="P54" s="42">
        <f>IF(AND(I54&gt;=INDEX('הוראת שעה'!$B$5:$D$18,MATCH(פרמטרים!$C$3,'הוראת שעה'!$A$5:$A$18,1),IF($I$24=1,1,3)),I54&lt;=INDEX('הוראת שעה'!C$5:$E$18,MATCH(פרמטרים!$C$3,'הוראת שעה'!$A$5:$A$18,1),IF($I$24=1,1,3))),1,0)</f>
        <v>0</v>
      </c>
      <c r="Q54" s="42">
        <f>IF(J54&gt;=פרמטרים!$B$99,פרמטרים!$C$99,IF(J54&gt;=פרמטרים!$B$98,פרמטרים!$C$98,0))</f>
        <v>0</v>
      </c>
      <c r="R54" s="42">
        <f t="shared" si="2"/>
        <v>0</v>
      </c>
      <c r="U54" s="42" t="str">
        <f t="shared" si="3"/>
        <v/>
      </c>
      <c r="V54" s="42" t="str">
        <f t="shared" si="3"/>
        <v/>
      </c>
      <c r="W54" s="42" t="str">
        <f t="shared" si="3"/>
        <v/>
      </c>
      <c r="X54" s="42" t="str">
        <f t="shared" si="3"/>
        <v/>
      </c>
      <c r="Z54" s="42">
        <f>IF(E54=$V$27,D54*פרמטרים!$C$40,0)</f>
        <v>0</v>
      </c>
    </row>
    <row r="55" spans="3:26" x14ac:dyDescent="0.25">
      <c r="C55" s="47"/>
      <c r="D55" s="47"/>
      <c r="E55" s="47"/>
      <c r="F55" s="91" t="str">
        <f>IF(C55="","",D55*IF(E55=$U$27,פרמטרים!$C$39,IF(E55=$V$27,פרמטרים!$C$40,0)))</f>
        <v/>
      </c>
      <c r="H55" s="47"/>
      <c r="I55" s="226"/>
      <c r="J55" s="47"/>
      <c r="K55" s="47"/>
      <c r="L55" s="91" t="str">
        <f t="shared" si="1"/>
        <v/>
      </c>
      <c r="P55" s="42">
        <f>IF(AND(I55&gt;=INDEX('הוראת שעה'!$B$5:$D$18,MATCH(פרמטרים!$C$3,'הוראת שעה'!$A$5:$A$18,1),IF($I$24=1,1,3)),I55&lt;=INDEX('הוראת שעה'!C$5:$E$18,MATCH(פרמטרים!$C$3,'הוראת שעה'!$A$5:$A$18,1),IF($I$24=1,1,3))),1,0)</f>
        <v>0</v>
      </c>
      <c r="Q55" s="42">
        <f>IF(J55&gt;=פרמטרים!$B$99,פרמטרים!$C$99,IF(J55&gt;=פרמטרים!$B$98,פרמטרים!$C$98,0))</f>
        <v>0</v>
      </c>
      <c r="R55" s="42">
        <f t="shared" si="2"/>
        <v>0</v>
      </c>
      <c r="U55" s="42" t="str">
        <f t="shared" si="3"/>
        <v/>
      </c>
      <c r="V55" s="42" t="str">
        <f t="shared" si="3"/>
        <v/>
      </c>
      <c r="W55" s="42" t="str">
        <f t="shared" si="3"/>
        <v/>
      </c>
      <c r="X55" s="42" t="str">
        <f t="shared" si="3"/>
        <v/>
      </c>
      <c r="Z55" s="42">
        <f>IF(E55=$V$27,D55*פרמטרים!$C$40,0)</f>
        <v>0</v>
      </c>
    </row>
    <row r="56" spans="3:26" x14ac:dyDescent="0.25">
      <c r="C56" s="47"/>
      <c r="D56" s="47"/>
      <c r="E56" s="47"/>
      <c r="F56" s="91" t="str">
        <f>IF(C56="","",D56*IF(E56=$U$27,פרמטרים!$C$39,IF(E56=$V$27,פרמטרים!$C$40,0)))</f>
        <v/>
      </c>
      <c r="H56" s="47"/>
      <c r="I56" s="226"/>
      <c r="J56" s="47"/>
      <c r="K56" s="47"/>
      <c r="L56" s="91" t="str">
        <f t="shared" si="1"/>
        <v/>
      </c>
      <c r="P56" s="42">
        <f>IF(AND(I56&gt;=INDEX('הוראת שעה'!$B$5:$D$18,MATCH(פרמטרים!$C$3,'הוראת שעה'!$A$5:$A$18,1),IF($I$24=1,1,3)),I56&lt;=INDEX('הוראת שעה'!C$5:$E$18,MATCH(פרמטרים!$C$3,'הוראת שעה'!$A$5:$A$18,1),IF($I$24=1,1,3))),1,0)</f>
        <v>0</v>
      </c>
      <c r="Q56" s="42">
        <f>IF(J56&gt;=פרמטרים!$B$99,פרמטרים!$C$99,IF(J56&gt;=פרמטרים!$B$98,פרמטרים!$C$98,0))</f>
        <v>0</v>
      </c>
      <c r="R56" s="42">
        <f t="shared" si="2"/>
        <v>0</v>
      </c>
      <c r="U56" s="42" t="str">
        <f t="shared" si="3"/>
        <v/>
      </c>
      <c r="V56" s="42" t="str">
        <f t="shared" si="3"/>
        <v/>
      </c>
      <c r="W56" s="42" t="str">
        <f t="shared" si="3"/>
        <v/>
      </c>
      <c r="X56" s="42" t="str">
        <f t="shared" si="3"/>
        <v/>
      </c>
      <c r="Z56" s="42">
        <f>IF(E56=$V$27,D56*פרמטרים!$C$40,0)</f>
        <v>0</v>
      </c>
    </row>
    <row r="57" spans="3:26" x14ac:dyDescent="0.25">
      <c r="C57" s="47"/>
      <c r="D57" s="47"/>
      <c r="E57" s="47"/>
      <c r="F57" s="91" t="str">
        <f>IF(C57="","",D57*IF(E57=$U$27,פרמטרים!$C$39,IF(E57=$V$27,פרמטרים!$C$40,0)))</f>
        <v/>
      </c>
      <c r="H57" s="47"/>
      <c r="I57" s="226"/>
      <c r="J57" s="47"/>
      <c r="K57" s="47"/>
      <c r="L57" s="91" t="str">
        <f t="shared" si="1"/>
        <v/>
      </c>
      <c r="P57" s="42">
        <f>IF(AND(I57&gt;=INDEX('הוראת שעה'!$B$5:$D$18,MATCH(פרמטרים!$C$3,'הוראת שעה'!$A$5:$A$18,1),IF($I$24=1,1,3)),I57&lt;=INDEX('הוראת שעה'!C$5:$E$18,MATCH(פרמטרים!$C$3,'הוראת שעה'!$A$5:$A$18,1),IF($I$24=1,1,3))),1,0)</f>
        <v>0</v>
      </c>
      <c r="Q57" s="42">
        <f>IF(J57&gt;=פרמטרים!$B$99,פרמטרים!$C$99,IF(J57&gt;=פרמטרים!$B$98,פרמטרים!$C$98,0))</f>
        <v>0</v>
      </c>
      <c r="R57" s="42">
        <f t="shared" si="2"/>
        <v>0</v>
      </c>
      <c r="U57" s="42" t="str">
        <f t="shared" si="3"/>
        <v/>
      </c>
      <c r="V57" s="42" t="str">
        <f t="shared" si="3"/>
        <v/>
      </c>
      <c r="W57" s="42" t="str">
        <f t="shared" si="3"/>
        <v/>
      </c>
      <c r="X57" s="42" t="str">
        <f t="shared" si="3"/>
        <v/>
      </c>
      <c r="Z57" s="42">
        <f>IF(E57=$V$27,D57*פרמטרים!$C$40,0)</f>
        <v>0</v>
      </c>
    </row>
    <row r="58" spans="3:26" x14ac:dyDescent="0.25">
      <c r="C58" s="47"/>
      <c r="D58" s="47"/>
      <c r="E58" s="47"/>
      <c r="F58" s="91" t="str">
        <f>IF(C58="","",D58*IF(E58=$U$27,פרמטרים!$C$39,IF(E58=$V$27,פרמטרים!$C$40,0)))</f>
        <v/>
      </c>
      <c r="H58" s="47"/>
      <c r="I58" s="226"/>
      <c r="J58" s="47"/>
      <c r="K58" s="47"/>
      <c r="L58" s="91" t="str">
        <f t="shared" si="1"/>
        <v/>
      </c>
      <c r="P58" s="42">
        <f>IF(AND(I58&gt;=INDEX('הוראת שעה'!$B$5:$D$18,MATCH(פרמטרים!$C$3,'הוראת שעה'!$A$5:$A$18,1),IF($I$24=1,1,3)),I58&lt;=INDEX('הוראת שעה'!C$5:$E$18,MATCH(פרמטרים!$C$3,'הוראת שעה'!$A$5:$A$18,1),IF($I$24=1,1,3))),1,0)</f>
        <v>0</v>
      </c>
      <c r="Q58" s="42">
        <f>IF(J58&gt;=פרמטרים!$B$99,פרמטרים!$C$99,IF(J58&gt;=פרמטרים!$B$98,פרמטרים!$C$98,0))</f>
        <v>0</v>
      </c>
      <c r="R58" s="42">
        <f t="shared" si="2"/>
        <v>0</v>
      </c>
      <c r="U58" s="42" t="str">
        <f t="shared" si="3"/>
        <v/>
      </c>
      <c r="V58" s="42" t="str">
        <f t="shared" si="3"/>
        <v/>
      </c>
      <c r="W58" s="42" t="str">
        <f t="shared" si="3"/>
        <v/>
      </c>
      <c r="X58" s="42" t="str">
        <f t="shared" si="3"/>
        <v/>
      </c>
      <c r="Z58" s="42">
        <f>IF(E58=$V$27,D58*פרמטרים!$C$40,0)</f>
        <v>0</v>
      </c>
    </row>
    <row r="59" spans="3:26" x14ac:dyDescent="0.25">
      <c r="C59" s="47"/>
      <c r="D59" s="47"/>
      <c r="E59" s="47"/>
      <c r="F59" s="91" t="str">
        <f>IF(C59="","",D59*IF(E59=$U$27,פרמטרים!$C$39,IF(E59=$V$27,פרמטרים!$C$40,0)))</f>
        <v/>
      </c>
      <c r="H59" s="47"/>
      <c r="I59" s="226"/>
      <c r="J59" s="47"/>
      <c r="K59" s="47"/>
      <c r="L59" s="91" t="str">
        <f t="shared" si="1"/>
        <v/>
      </c>
      <c r="P59" s="42">
        <f>IF(AND(I59&gt;=INDEX('הוראת שעה'!$B$5:$D$18,MATCH(פרמטרים!$C$3,'הוראת שעה'!$A$5:$A$18,1),IF($I$24=1,1,3)),I59&lt;=INDEX('הוראת שעה'!C$5:$E$18,MATCH(פרמטרים!$C$3,'הוראת שעה'!$A$5:$A$18,1),IF($I$24=1,1,3))),1,0)</f>
        <v>0</v>
      </c>
      <c r="Q59" s="42">
        <f>IF(J59&gt;=פרמטרים!$B$99,פרמטרים!$C$99,IF(J59&gt;=פרמטרים!$B$98,פרמטרים!$C$98,0))</f>
        <v>0</v>
      </c>
      <c r="R59" s="42">
        <f t="shared" si="2"/>
        <v>0</v>
      </c>
      <c r="U59" s="42" t="str">
        <f t="shared" si="3"/>
        <v/>
      </c>
      <c r="V59" s="42" t="str">
        <f t="shared" si="3"/>
        <v/>
      </c>
      <c r="W59" s="42" t="str">
        <f t="shared" si="3"/>
        <v/>
      </c>
      <c r="X59" s="42" t="str">
        <f t="shared" si="3"/>
        <v/>
      </c>
      <c r="Z59" s="42">
        <f>IF(E59=$V$27,D59*פרמטרים!$C$40,0)</f>
        <v>0</v>
      </c>
    </row>
    <row r="60" spans="3:26" x14ac:dyDescent="0.25">
      <c r="C60" s="47"/>
      <c r="D60" s="47"/>
      <c r="E60" s="47"/>
      <c r="F60" s="91" t="str">
        <f>IF(C60="","",D60*IF(E60=$U$27,פרמטרים!$C$39,IF(E60=$V$27,פרמטרים!$C$40,0)))</f>
        <v/>
      </c>
      <c r="H60" s="47"/>
      <c r="I60" s="226"/>
      <c r="J60" s="47"/>
      <c r="K60" s="47"/>
      <c r="L60" s="91" t="str">
        <f t="shared" si="1"/>
        <v/>
      </c>
      <c r="P60" s="42">
        <f>IF(AND(I60&gt;=INDEX('הוראת שעה'!$B$5:$D$18,MATCH(פרמטרים!$C$3,'הוראת שעה'!$A$5:$A$18,1),IF($I$24=1,1,3)),I60&lt;=INDEX('הוראת שעה'!C$5:$E$18,MATCH(פרמטרים!$C$3,'הוראת שעה'!$A$5:$A$18,1),IF($I$24=1,1,3))),1,0)</f>
        <v>0</v>
      </c>
      <c r="Q60" s="42">
        <f>IF(J60&gt;=פרמטרים!$B$99,פרמטרים!$C$99,IF(J60&gt;=פרמטרים!$B$98,פרמטרים!$C$98,0))</f>
        <v>0</v>
      </c>
      <c r="R60" s="42">
        <f t="shared" si="2"/>
        <v>0</v>
      </c>
      <c r="U60" s="42" t="str">
        <f t="shared" si="3"/>
        <v/>
      </c>
      <c r="V60" s="42" t="str">
        <f t="shared" si="3"/>
        <v/>
      </c>
      <c r="W60" s="42" t="str">
        <f t="shared" si="3"/>
        <v/>
      </c>
      <c r="X60" s="42" t="str">
        <f t="shared" si="3"/>
        <v/>
      </c>
      <c r="Z60" s="42">
        <f>IF(E60=$V$27,D60*פרמטרים!$C$40,0)</f>
        <v>0</v>
      </c>
    </row>
    <row r="61" spans="3:26" x14ac:dyDescent="0.25">
      <c r="C61" s="47"/>
      <c r="D61" s="47"/>
      <c r="E61" s="47"/>
      <c r="F61" s="91" t="str">
        <f>IF(C61="","",D61*IF(E61=$U$27,פרמטרים!$C$39,IF(E61=$V$27,פרמטרים!$C$40,0)))</f>
        <v/>
      </c>
      <c r="H61" s="47"/>
      <c r="I61" s="226"/>
      <c r="J61" s="47"/>
      <c r="K61" s="47"/>
      <c r="L61" s="91" t="str">
        <f t="shared" si="1"/>
        <v/>
      </c>
      <c r="P61" s="42">
        <f>IF(AND(I61&gt;=INDEX('הוראת שעה'!$B$5:$D$18,MATCH(פרמטרים!$C$3,'הוראת שעה'!$A$5:$A$18,1),IF($I$24=1,1,3)),I61&lt;=INDEX('הוראת שעה'!C$5:$E$18,MATCH(פרמטרים!$C$3,'הוראת שעה'!$A$5:$A$18,1),IF($I$24=1,1,3))),1,0)</f>
        <v>0</v>
      </c>
      <c r="Q61" s="42">
        <f>IF(J61&gt;=פרמטרים!$B$99,פרמטרים!$C$99,IF(J61&gt;=פרמטרים!$B$98,פרמטרים!$C$98,0))</f>
        <v>0</v>
      </c>
      <c r="R61" s="42">
        <f t="shared" si="2"/>
        <v>0</v>
      </c>
      <c r="U61" s="42" t="str">
        <f t="shared" si="3"/>
        <v/>
      </c>
      <c r="V61" s="42" t="str">
        <f t="shared" si="3"/>
        <v/>
      </c>
      <c r="W61" s="42" t="str">
        <f t="shared" si="3"/>
        <v/>
      </c>
      <c r="X61" s="42" t="str">
        <f t="shared" si="3"/>
        <v/>
      </c>
      <c r="Z61" s="42">
        <f>IF(E61=$V$27,D61*פרמטרים!$C$40,0)</f>
        <v>0</v>
      </c>
    </row>
    <row r="62" spans="3:26" x14ac:dyDescent="0.25">
      <c r="C62" s="47"/>
      <c r="D62" s="47"/>
      <c r="E62" s="47"/>
      <c r="F62" s="91" t="str">
        <f>IF(C62="","",D62*IF(E62=$U$27,פרמטרים!$C$39,IF(E62=$V$27,פרמטרים!$C$40,0)))</f>
        <v/>
      </c>
      <c r="H62" s="47"/>
      <c r="I62" s="226"/>
      <c r="J62" s="47"/>
      <c r="K62" s="47"/>
      <c r="L62" s="91" t="str">
        <f t="shared" si="1"/>
        <v/>
      </c>
      <c r="P62" s="42">
        <f>IF(AND(I62&gt;=INDEX('הוראת שעה'!$B$5:$D$18,MATCH(פרמטרים!$C$3,'הוראת שעה'!$A$5:$A$18,1),IF($I$24=1,1,3)),I62&lt;=INDEX('הוראת שעה'!C$5:$E$18,MATCH(פרמטרים!$C$3,'הוראת שעה'!$A$5:$A$18,1),IF($I$24=1,1,3))),1,0)</f>
        <v>0</v>
      </c>
      <c r="Q62" s="42">
        <f>IF(J62&gt;=פרמטרים!$B$99,פרמטרים!$C$99,IF(J62&gt;=פרמטרים!$B$98,פרמטרים!$C$98,0))</f>
        <v>0</v>
      </c>
      <c r="R62" s="42">
        <f t="shared" si="2"/>
        <v>0</v>
      </c>
      <c r="U62" s="42" t="str">
        <f t="shared" si="3"/>
        <v/>
      </c>
      <c r="V62" s="42" t="str">
        <f t="shared" si="3"/>
        <v/>
      </c>
      <c r="W62" s="42" t="str">
        <f t="shared" si="3"/>
        <v/>
      </c>
      <c r="X62" s="42" t="str">
        <f t="shared" si="3"/>
        <v/>
      </c>
      <c r="Z62" s="42">
        <f>IF(E62=$V$27,D62*פרמטרים!$C$40,0)</f>
        <v>0</v>
      </c>
    </row>
    <row r="63" spans="3:26" x14ac:dyDescent="0.25">
      <c r="C63" s="47"/>
      <c r="D63" s="47"/>
      <c r="E63" s="47"/>
      <c r="F63" s="91" t="str">
        <f>IF(C63="","",D63*IF(E63=$U$27,פרמטרים!$C$39,IF(E63=$V$27,פרמטרים!$C$40,0)))</f>
        <v/>
      </c>
      <c r="H63" s="47"/>
      <c r="I63" s="226"/>
      <c r="J63" s="47"/>
      <c r="K63" s="47"/>
      <c r="L63" s="91" t="str">
        <f t="shared" si="1"/>
        <v/>
      </c>
      <c r="P63" s="42">
        <f>IF(AND(I63&gt;=INDEX('הוראת שעה'!$B$5:$D$18,MATCH(פרמטרים!$C$3,'הוראת שעה'!$A$5:$A$18,1),IF($I$24=1,1,3)),I63&lt;=INDEX('הוראת שעה'!C$5:$E$18,MATCH(פרמטרים!$C$3,'הוראת שעה'!$A$5:$A$18,1),IF($I$24=1,1,3))),1,0)</f>
        <v>0</v>
      </c>
      <c r="Q63" s="42">
        <f>IF(J63&gt;=פרמטרים!$B$99,פרמטרים!$C$99,IF(J63&gt;=פרמטרים!$B$98,פרמטרים!$C$98,0))</f>
        <v>0</v>
      </c>
      <c r="R63" s="42">
        <f t="shared" si="2"/>
        <v>0</v>
      </c>
      <c r="U63" s="42" t="str">
        <f t="shared" si="3"/>
        <v/>
      </c>
      <c r="V63" s="42" t="str">
        <f t="shared" si="3"/>
        <v/>
      </c>
      <c r="W63" s="42" t="str">
        <f t="shared" si="3"/>
        <v/>
      </c>
      <c r="X63" s="42" t="str">
        <f t="shared" si="3"/>
        <v/>
      </c>
      <c r="Z63" s="42">
        <f>IF(E63=$V$27,D63*פרמטרים!$C$40,0)</f>
        <v>0</v>
      </c>
    </row>
    <row r="64" spans="3:26" x14ac:dyDescent="0.25">
      <c r="C64" s="47"/>
      <c r="D64" s="47"/>
      <c r="E64" s="47"/>
      <c r="F64" s="91" t="str">
        <f>IF(C64="","",D64*IF(E64=$U$27,פרמטרים!$C$39,IF(E64=$V$27,פרמטרים!$C$40,0)))</f>
        <v/>
      </c>
      <c r="H64" s="47"/>
      <c r="I64" s="226"/>
      <c r="J64" s="47"/>
      <c r="K64" s="47"/>
      <c r="L64" s="91" t="str">
        <f t="shared" si="1"/>
        <v/>
      </c>
      <c r="P64" s="42">
        <f>IF(AND(I64&gt;=INDEX('הוראת שעה'!$B$5:$D$18,MATCH(פרמטרים!$C$3,'הוראת שעה'!$A$5:$A$18,1),IF($I$24=1,1,3)),I64&lt;=INDEX('הוראת שעה'!C$5:$E$18,MATCH(פרמטרים!$C$3,'הוראת שעה'!$A$5:$A$18,1),IF($I$24=1,1,3))),1,0)</f>
        <v>0</v>
      </c>
      <c r="Q64" s="42">
        <f>IF(J64&gt;=פרמטרים!$B$99,פרמטרים!$C$99,IF(J64&gt;=פרמטרים!$B$98,פרמטרים!$C$98,0))</f>
        <v>0</v>
      </c>
      <c r="R64" s="42">
        <f t="shared" si="2"/>
        <v>0</v>
      </c>
      <c r="U64" s="42" t="str">
        <f t="shared" si="3"/>
        <v/>
      </c>
      <c r="V64" s="42" t="str">
        <f t="shared" si="3"/>
        <v/>
      </c>
      <c r="W64" s="42" t="str">
        <f t="shared" si="3"/>
        <v/>
      </c>
      <c r="X64" s="42" t="str">
        <f t="shared" si="3"/>
        <v/>
      </c>
      <c r="Z64" s="42">
        <f>IF(E64=$V$27,D64*פרמטרים!$C$40,0)</f>
        <v>0</v>
      </c>
    </row>
    <row r="65" spans="3:26" x14ac:dyDescent="0.25">
      <c r="C65" s="47"/>
      <c r="D65" s="47"/>
      <c r="E65" s="47"/>
      <c r="F65" s="91" t="str">
        <f>IF(C65="","",D65*IF(E65=$U$27,פרמטרים!$C$39,IF(E65=$V$27,פרמטרים!$C$40,0)))</f>
        <v/>
      </c>
      <c r="H65" s="47"/>
      <c r="I65" s="226"/>
      <c r="J65" s="47"/>
      <c r="K65" s="47"/>
      <c r="L65" s="91" t="str">
        <f t="shared" si="1"/>
        <v/>
      </c>
      <c r="P65" s="42">
        <f>IF(AND(I65&gt;=INDEX('הוראת שעה'!$B$5:$D$18,MATCH(פרמטרים!$C$3,'הוראת שעה'!$A$5:$A$18,1),IF($I$24=1,1,3)),I65&lt;=INDEX('הוראת שעה'!C$5:$E$18,MATCH(פרמטרים!$C$3,'הוראת שעה'!$A$5:$A$18,1),IF($I$24=1,1,3))),1,0)</f>
        <v>0</v>
      </c>
      <c r="Q65" s="42">
        <f>IF(J65&gt;=פרמטרים!$B$99,פרמטרים!$C$99,IF(J65&gt;=פרמטרים!$B$98,פרמטרים!$C$98,0))</f>
        <v>0</v>
      </c>
      <c r="R65" s="42">
        <f t="shared" si="2"/>
        <v>0</v>
      </c>
      <c r="U65" s="42" t="str">
        <f t="shared" si="3"/>
        <v/>
      </c>
      <c r="V65" s="42" t="str">
        <f t="shared" si="3"/>
        <v/>
      </c>
      <c r="W65" s="42" t="str">
        <f t="shared" si="3"/>
        <v/>
      </c>
      <c r="X65" s="42" t="str">
        <f t="shared" si="3"/>
        <v/>
      </c>
      <c r="Z65" s="42">
        <f>IF(E65=$V$27,D65*פרמטרים!$C$40,0)</f>
        <v>0</v>
      </c>
    </row>
    <row r="66" spans="3:26" x14ac:dyDescent="0.25">
      <c r="C66" s="47"/>
      <c r="D66" s="47"/>
      <c r="E66" s="47"/>
      <c r="F66" s="91" t="str">
        <f>IF(C66="","",D66*IF(E66=$U$27,פרמטרים!$C$39,IF(E66=$V$27,פרמטרים!$C$40,0)))</f>
        <v/>
      </c>
      <c r="H66" s="47"/>
      <c r="I66" s="226"/>
      <c r="J66" s="47"/>
      <c r="K66" s="47"/>
      <c r="L66" s="91" t="str">
        <f t="shared" si="1"/>
        <v/>
      </c>
      <c r="P66" s="42">
        <f>IF(AND(I66&gt;=INDEX('הוראת שעה'!$B$5:$D$18,MATCH(פרמטרים!$C$3,'הוראת שעה'!$A$5:$A$18,1),IF($I$24=1,1,3)),I66&lt;=INDEX('הוראת שעה'!C$5:$E$18,MATCH(פרמטרים!$C$3,'הוראת שעה'!$A$5:$A$18,1),IF($I$24=1,1,3))),1,0)</f>
        <v>0</v>
      </c>
      <c r="Q66" s="42">
        <f>IF(J66&gt;=פרמטרים!$B$99,פרמטרים!$C$99,IF(J66&gt;=פרמטרים!$B$98,פרמטרים!$C$98,0))</f>
        <v>0</v>
      </c>
      <c r="R66" s="42">
        <f t="shared" si="2"/>
        <v>0</v>
      </c>
      <c r="U66" s="42" t="str">
        <f t="shared" si="3"/>
        <v/>
      </c>
      <c r="V66" s="42" t="str">
        <f t="shared" si="3"/>
        <v/>
      </c>
      <c r="W66" s="42" t="str">
        <f t="shared" si="3"/>
        <v/>
      </c>
      <c r="X66" s="42" t="str">
        <f t="shared" si="3"/>
        <v/>
      </c>
      <c r="Z66" s="42">
        <f>IF(E66=$V$27,D66*פרמטרים!$C$40,0)</f>
        <v>0</v>
      </c>
    </row>
    <row r="67" spans="3:26" x14ac:dyDescent="0.25">
      <c r="C67" s="47"/>
      <c r="D67" s="47"/>
      <c r="E67" s="47"/>
      <c r="F67" s="91" t="str">
        <f>IF(C67="","",D67*IF(E67=$U$27,פרמטרים!$C$39,IF(E67=$V$27,פרמטרים!$C$40,0)))</f>
        <v/>
      </c>
      <c r="H67" s="47"/>
      <c r="I67" s="226"/>
      <c r="J67" s="47"/>
      <c r="K67" s="47"/>
      <c r="L67" s="91" t="str">
        <f t="shared" si="1"/>
        <v/>
      </c>
      <c r="P67" s="42">
        <f>IF(AND(I67&gt;=INDEX('הוראת שעה'!$B$5:$D$18,MATCH(פרמטרים!$C$3,'הוראת שעה'!$A$5:$A$18,1),IF($I$24=1,1,3)),I67&lt;=INDEX('הוראת שעה'!C$5:$E$18,MATCH(פרמטרים!$C$3,'הוראת שעה'!$A$5:$A$18,1),IF($I$24=1,1,3))),1,0)</f>
        <v>0</v>
      </c>
      <c r="Q67" s="42">
        <f>IF(J67&gt;=פרמטרים!$B$99,פרמטרים!$C$99,IF(J67&gt;=פרמטרים!$B$98,פרמטרים!$C$98,0))</f>
        <v>0</v>
      </c>
      <c r="R67" s="42">
        <f t="shared" si="2"/>
        <v>0</v>
      </c>
      <c r="U67" s="42" t="str">
        <f t="shared" si="3"/>
        <v/>
      </c>
      <c r="V67" s="42" t="str">
        <f t="shared" si="3"/>
        <v/>
      </c>
      <c r="W67" s="42" t="str">
        <f t="shared" si="3"/>
        <v/>
      </c>
      <c r="X67" s="42" t="str">
        <f t="shared" si="3"/>
        <v/>
      </c>
      <c r="Z67" s="42">
        <f>IF(E67=$V$27,D67*פרמטרים!$C$40,0)</f>
        <v>0</v>
      </c>
    </row>
    <row r="68" spans="3:26" x14ac:dyDescent="0.25">
      <c r="C68" s="47"/>
      <c r="D68" s="47"/>
      <c r="E68" s="47"/>
      <c r="F68" s="91" t="str">
        <f>IF(C68="","",D68*IF(E68=$U$27,פרמטרים!$C$39,IF(E68=$V$27,פרמטרים!$C$40,0)))</f>
        <v/>
      </c>
      <c r="H68" s="47"/>
      <c r="I68" s="226"/>
      <c r="J68" s="47"/>
      <c r="K68" s="47"/>
      <c r="L68" s="91" t="str">
        <f t="shared" si="1"/>
        <v/>
      </c>
      <c r="P68" s="42">
        <f>IF(AND(I68&gt;=INDEX('הוראת שעה'!$B$5:$D$18,MATCH(פרמטרים!$C$3,'הוראת שעה'!$A$5:$A$18,1),IF($I$24=1,1,3)),I68&lt;=INDEX('הוראת שעה'!C$5:$E$18,MATCH(פרמטרים!$C$3,'הוראת שעה'!$A$5:$A$18,1),IF($I$24=1,1,3))),1,0)</f>
        <v>0</v>
      </c>
      <c r="Q68" s="42">
        <f>IF(J68&gt;=פרמטרים!$B$99,פרמטרים!$C$99,IF(J68&gt;=פרמטרים!$B$98,פרמטרים!$C$98,0))</f>
        <v>0</v>
      </c>
      <c r="R68" s="42">
        <f t="shared" si="2"/>
        <v>0</v>
      </c>
      <c r="U68" s="42" t="str">
        <f t="shared" ref="U68:X77" si="4">IF($C68="","",U$27)</f>
        <v/>
      </c>
      <c r="V68" s="42" t="str">
        <f t="shared" si="4"/>
        <v/>
      </c>
      <c r="W68" s="42" t="str">
        <f t="shared" si="4"/>
        <v/>
      </c>
      <c r="X68" s="42" t="str">
        <f t="shared" si="4"/>
        <v/>
      </c>
      <c r="Z68" s="42">
        <f>IF(E68=$V$27,D68*פרמטרים!$C$40,0)</f>
        <v>0</v>
      </c>
    </row>
    <row r="69" spans="3:26" x14ac:dyDescent="0.25">
      <c r="C69" s="47"/>
      <c r="D69" s="47"/>
      <c r="E69" s="47"/>
      <c r="F69" s="91" t="str">
        <f>IF(C69="","",D69*IF(E69=$U$27,פרמטרים!$C$39,IF(E69=$V$27,פרמטרים!$C$40,0)))</f>
        <v/>
      </c>
      <c r="H69" s="47"/>
      <c r="I69" s="226"/>
      <c r="J69" s="47"/>
      <c r="K69" s="47"/>
      <c r="L69" s="91" t="str">
        <f t="shared" si="1"/>
        <v/>
      </c>
      <c r="P69" s="42">
        <f>IF(AND(I69&gt;=INDEX('הוראת שעה'!$B$5:$D$18,MATCH(פרמטרים!$C$3,'הוראת שעה'!$A$5:$A$18,1),IF($I$24=1,1,3)),I69&lt;=INDEX('הוראת שעה'!C$5:$E$18,MATCH(פרמטרים!$C$3,'הוראת שעה'!$A$5:$A$18,1),IF($I$24=1,1,3))),1,0)</f>
        <v>0</v>
      </c>
      <c r="Q69" s="42">
        <f>IF(J69&gt;=פרמטרים!$B$99,פרמטרים!$C$99,IF(J69&gt;=פרמטרים!$B$98,פרמטרים!$C$98,0))</f>
        <v>0</v>
      </c>
      <c r="R69" s="42">
        <f t="shared" si="2"/>
        <v>0</v>
      </c>
      <c r="U69" s="42" t="str">
        <f t="shared" si="4"/>
        <v/>
      </c>
      <c r="V69" s="42" t="str">
        <f t="shared" si="4"/>
        <v/>
      </c>
      <c r="W69" s="42" t="str">
        <f t="shared" si="4"/>
        <v/>
      </c>
      <c r="X69" s="42" t="str">
        <f t="shared" si="4"/>
        <v/>
      </c>
      <c r="Z69" s="42">
        <f>IF(E69=$V$27,D69*פרמטרים!$C$40,0)</f>
        <v>0</v>
      </c>
    </row>
    <row r="70" spans="3:26" x14ac:dyDescent="0.25">
      <c r="C70" s="47"/>
      <c r="D70" s="47"/>
      <c r="E70" s="47"/>
      <c r="F70" s="91" t="str">
        <f>IF(C70="","",D70*IF(E70=$U$27,פרמטרים!$C$39,IF(E70=$V$27,פרמטרים!$C$40,0)))</f>
        <v/>
      </c>
      <c r="H70" s="47"/>
      <c r="I70" s="226"/>
      <c r="J70" s="47"/>
      <c r="K70" s="47"/>
      <c r="L70" s="91" t="str">
        <f t="shared" si="1"/>
        <v/>
      </c>
      <c r="P70" s="42">
        <f>IF(AND(I70&gt;=INDEX('הוראת שעה'!$B$5:$D$18,MATCH(פרמטרים!$C$3,'הוראת שעה'!$A$5:$A$18,1),IF($I$24=1,1,3)),I70&lt;=INDEX('הוראת שעה'!C$5:$E$18,MATCH(פרמטרים!$C$3,'הוראת שעה'!$A$5:$A$18,1),IF($I$24=1,1,3))),1,0)</f>
        <v>0</v>
      </c>
      <c r="Q70" s="42">
        <f>IF(J70&gt;=פרמטרים!$B$99,פרמטרים!$C$99,IF(J70&gt;=פרמטרים!$B$98,פרמטרים!$C$98,0))</f>
        <v>0</v>
      </c>
      <c r="R70" s="42">
        <f t="shared" si="2"/>
        <v>0</v>
      </c>
      <c r="U70" s="42" t="str">
        <f t="shared" si="4"/>
        <v/>
      </c>
      <c r="V70" s="42" t="str">
        <f t="shared" si="4"/>
        <v/>
      </c>
      <c r="W70" s="42" t="str">
        <f t="shared" si="4"/>
        <v/>
      </c>
      <c r="X70" s="42" t="str">
        <f t="shared" si="4"/>
        <v/>
      </c>
      <c r="Z70" s="42">
        <f>IF(E70=$V$27,D70*פרמטרים!$C$40,0)</f>
        <v>0</v>
      </c>
    </row>
    <row r="71" spans="3:26" x14ac:dyDescent="0.25">
      <c r="C71" s="47"/>
      <c r="D71" s="47"/>
      <c r="E71" s="47"/>
      <c r="F71" s="91" t="str">
        <f>IF(C71="","",D71*IF(E71=$U$27,פרמטרים!$C$39,IF(E71=$V$27,פרמטרים!$C$40,0)))</f>
        <v/>
      </c>
      <c r="H71" s="47"/>
      <c r="I71" s="226"/>
      <c r="J71" s="47"/>
      <c r="K71" s="47"/>
      <c r="L71" s="91" t="str">
        <f t="shared" si="1"/>
        <v/>
      </c>
      <c r="P71" s="42">
        <f>IF(AND(I71&gt;=INDEX('הוראת שעה'!$B$5:$D$18,MATCH(פרמטרים!$C$3,'הוראת שעה'!$A$5:$A$18,1),IF($I$24=1,1,3)),I71&lt;=INDEX('הוראת שעה'!C$5:$E$18,MATCH(פרמטרים!$C$3,'הוראת שעה'!$A$5:$A$18,1),IF($I$24=1,1,3))),1,0)</f>
        <v>0</v>
      </c>
      <c r="Q71" s="42">
        <f>IF(J71&gt;=פרמטרים!$B$99,פרמטרים!$C$99,IF(J71&gt;=פרמטרים!$B$98,פרמטרים!$C$98,0))</f>
        <v>0</v>
      </c>
      <c r="R71" s="42">
        <f t="shared" si="2"/>
        <v>0</v>
      </c>
      <c r="U71" s="42" t="str">
        <f t="shared" si="4"/>
        <v/>
      </c>
      <c r="V71" s="42" t="str">
        <f t="shared" si="4"/>
        <v/>
      </c>
      <c r="W71" s="42" t="str">
        <f t="shared" si="4"/>
        <v/>
      </c>
      <c r="X71" s="42" t="str">
        <f t="shared" si="4"/>
        <v/>
      </c>
      <c r="Z71" s="42">
        <f>IF(E71=$V$27,D71*פרמטרים!$C$40,0)</f>
        <v>0</v>
      </c>
    </row>
    <row r="72" spans="3:26" x14ac:dyDescent="0.25">
      <c r="C72" s="47"/>
      <c r="D72" s="47"/>
      <c r="E72" s="47"/>
      <c r="F72" s="91" t="str">
        <f>IF(C72="","",D72*IF(E72=$U$27,פרמטרים!$C$39,IF(E72=$V$27,פרמטרים!$C$40,0)))</f>
        <v/>
      </c>
      <c r="H72" s="47"/>
      <c r="I72" s="226"/>
      <c r="J72" s="47"/>
      <c r="K72" s="47"/>
      <c r="L72" s="91" t="str">
        <f t="shared" si="1"/>
        <v/>
      </c>
      <c r="P72" s="42">
        <f>IF(AND(I72&gt;=INDEX('הוראת שעה'!$B$5:$D$18,MATCH(פרמטרים!$C$3,'הוראת שעה'!$A$5:$A$18,1),IF($I$24=1,1,3)),I72&lt;=INDEX('הוראת שעה'!C$5:$E$18,MATCH(פרמטרים!$C$3,'הוראת שעה'!$A$5:$A$18,1),IF($I$24=1,1,3))),1,0)</f>
        <v>0</v>
      </c>
      <c r="Q72" s="42">
        <f>IF(J72&gt;=פרמטרים!$B$99,פרמטרים!$C$99,IF(J72&gt;=פרמטרים!$B$98,פרמטרים!$C$98,0))</f>
        <v>0</v>
      </c>
      <c r="R72" s="42">
        <f t="shared" si="2"/>
        <v>0</v>
      </c>
      <c r="U72" s="42" t="str">
        <f t="shared" si="4"/>
        <v/>
      </c>
      <c r="V72" s="42" t="str">
        <f t="shared" si="4"/>
        <v/>
      </c>
      <c r="W72" s="42" t="str">
        <f t="shared" si="4"/>
        <v/>
      </c>
      <c r="X72" s="42" t="str">
        <f t="shared" si="4"/>
        <v/>
      </c>
      <c r="Z72" s="42">
        <f>IF(E72=$V$27,D72*פרמטרים!$C$40,0)</f>
        <v>0</v>
      </c>
    </row>
    <row r="73" spans="3:26" x14ac:dyDescent="0.25">
      <c r="C73" s="47"/>
      <c r="D73" s="47"/>
      <c r="E73" s="47"/>
      <c r="F73" s="91" t="str">
        <f>IF(C73="","",D73*IF(E73=$U$27,פרמטרים!$C$39,IF(E73=$V$27,פרמטרים!$C$40,0)))</f>
        <v/>
      </c>
      <c r="H73" s="47"/>
      <c r="I73" s="226"/>
      <c r="J73" s="47"/>
      <c r="K73" s="47"/>
      <c r="L73" s="91" t="str">
        <f t="shared" si="1"/>
        <v/>
      </c>
      <c r="P73" s="42">
        <f>IF(AND(I73&gt;=INDEX('הוראת שעה'!$B$5:$D$18,MATCH(פרמטרים!$C$3,'הוראת שעה'!$A$5:$A$18,1),IF($I$24=1,1,3)),I73&lt;=INDEX('הוראת שעה'!C$5:$E$18,MATCH(פרמטרים!$C$3,'הוראת שעה'!$A$5:$A$18,1),IF($I$24=1,1,3))),1,0)</f>
        <v>0</v>
      </c>
      <c r="Q73" s="42">
        <f>IF(J73&gt;=פרמטרים!$B$99,פרמטרים!$C$99,IF(J73&gt;=פרמטרים!$B$98,פרמטרים!$C$98,0))</f>
        <v>0</v>
      </c>
      <c r="R73" s="42">
        <f t="shared" si="2"/>
        <v>0</v>
      </c>
      <c r="U73" s="42" t="str">
        <f t="shared" si="4"/>
        <v/>
      </c>
      <c r="V73" s="42" t="str">
        <f t="shared" si="4"/>
        <v/>
      </c>
      <c r="W73" s="42" t="str">
        <f t="shared" si="4"/>
        <v/>
      </c>
      <c r="X73" s="42" t="str">
        <f t="shared" si="4"/>
        <v/>
      </c>
      <c r="Z73" s="42">
        <f>IF(E73=$V$27,D73*פרמטרים!$C$40,0)</f>
        <v>0</v>
      </c>
    </row>
    <row r="74" spans="3:26" x14ac:dyDescent="0.25">
      <c r="C74" s="47"/>
      <c r="D74" s="47"/>
      <c r="E74" s="47"/>
      <c r="F74" s="91" t="str">
        <f>IF(C74="","",D74*IF(E74=$U$27,פרמטרים!$C$39,IF(E74=$V$27,פרמטרים!$C$40,0)))</f>
        <v/>
      </c>
      <c r="H74" s="47"/>
      <c r="I74" s="226"/>
      <c r="J74" s="47"/>
      <c r="K74" s="47"/>
      <c r="L74" s="91" t="str">
        <f t="shared" si="1"/>
        <v/>
      </c>
      <c r="P74" s="42">
        <f>IF(AND(I74&gt;=INDEX('הוראת שעה'!$B$5:$D$18,MATCH(פרמטרים!$C$3,'הוראת שעה'!$A$5:$A$18,1),IF($I$24=1,1,3)),I74&lt;=INDEX('הוראת שעה'!C$5:$E$18,MATCH(פרמטרים!$C$3,'הוראת שעה'!$A$5:$A$18,1),IF($I$24=1,1,3))),1,0)</f>
        <v>0</v>
      </c>
      <c r="Q74" s="42">
        <f>IF(J74&gt;=פרמטרים!$B$99,פרמטרים!$C$99,IF(J74&gt;=פרמטרים!$B$98,פרמטרים!$C$98,0))</f>
        <v>0</v>
      </c>
      <c r="R74" s="42">
        <f t="shared" si="2"/>
        <v>0</v>
      </c>
      <c r="U74" s="42" t="str">
        <f t="shared" si="4"/>
        <v/>
      </c>
      <c r="V74" s="42" t="str">
        <f t="shared" si="4"/>
        <v/>
      </c>
      <c r="W74" s="42" t="str">
        <f t="shared" si="4"/>
        <v/>
      </c>
      <c r="X74" s="42" t="str">
        <f t="shared" si="4"/>
        <v/>
      </c>
      <c r="Z74" s="42">
        <f>IF(E74=$V$27,D74*פרמטרים!$C$40,0)</f>
        <v>0</v>
      </c>
    </row>
    <row r="75" spans="3:26" x14ac:dyDescent="0.25">
      <c r="C75" s="47"/>
      <c r="D75" s="47"/>
      <c r="E75" s="47"/>
      <c r="F75" s="91" t="str">
        <f>IF(C75="","",D75*IF(E75=$U$27,פרמטרים!$C$39,IF(E75=$V$27,פרמטרים!$C$40,0)))</f>
        <v/>
      </c>
      <c r="H75" s="47"/>
      <c r="I75" s="226"/>
      <c r="J75" s="47"/>
      <c r="K75" s="47"/>
      <c r="L75" s="91" t="str">
        <f t="shared" si="1"/>
        <v/>
      </c>
      <c r="P75" s="42">
        <f>IF(AND(I75&gt;=INDEX('הוראת שעה'!$B$5:$D$18,MATCH(פרמטרים!$C$3,'הוראת שעה'!$A$5:$A$18,1),IF($I$24=1,1,3)),I75&lt;=INDEX('הוראת שעה'!C$5:$E$18,MATCH(פרמטרים!$C$3,'הוראת שעה'!$A$5:$A$18,1),IF($I$24=1,1,3))),1,0)</f>
        <v>0</v>
      </c>
      <c r="Q75" s="42">
        <f>IF(J75&gt;=פרמטרים!$B$99,פרמטרים!$C$99,IF(J75&gt;=פרמטרים!$B$98,פרמטרים!$C$98,0))</f>
        <v>0</v>
      </c>
      <c r="R75" s="42">
        <f t="shared" si="2"/>
        <v>0</v>
      </c>
      <c r="U75" s="42" t="str">
        <f t="shared" si="4"/>
        <v/>
      </c>
      <c r="V75" s="42" t="str">
        <f t="shared" si="4"/>
        <v/>
      </c>
      <c r="W75" s="42" t="str">
        <f t="shared" si="4"/>
        <v/>
      </c>
      <c r="X75" s="42" t="str">
        <f t="shared" si="4"/>
        <v/>
      </c>
      <c r="Z75" s="42">
        <f>IF(E75=$V$27,D75*פרמטרים!$C$40,0)</f>
        <v>0</v>
      </c>
    </row>
    <row r="76" spans="3:26" x14ac:dyDescent="0.25">
      <c r="C76" s="47"/>
      <c r="D76" s="47"/>
      <c r="E76" s="47"/>
      <c r="F76" s="91" t="str">
        <f>IF(C76="","",D76*IF(E76=$U$27,פרמטרים!$C$39,IF(E76=$V$27,פרמטרים!$C$40,0)))</f>
        <v/>
      </c>
      <c r="H76" s="47"/>
      <c r="I76" s="226"/>
      <c r="J76" s="47"/>
      <c r="K76" s="47"/>
      <c r="L76" s="91" t="str">
        <f t="shared" si="1"/>
        <v/>
      </c>
      <c r="P76" s="42">
        <f>IF(AND(I76&gt;=INDEX('הוראת שעה'!$B$5:$D$18,MATCH(פרמטרים!$C$3,'הוראת שעה'!$A$5:$A$18,1),IF($I$24=1,1,3)),I76&lt;=INDEX('הוראת שעה'!C$5:$E$18,MATCH(פרמטרים!$C$3,'הוראת שעה'!$A$5:$A$18,1),IF($I$24=1,1,3))),1,0)</f>
        <v>0</v>
      </c>
      <c r="Q76" s="42">
        <f>IF(J76&gt;=פרמטרים!$B$99,פרמטרים!$C$99,IF(J76&gt;=פרמטרים!$B$98,פרמטרים!$C$98,0))</f>
        <v>0</v>
      </c>
      <c r="R76" s="42">
        <f t="shared" si="2"/>
        <v>0</v>
      </c>
      <c r="U76" s="42" t="str">
        <f t="shared" si="4"/>
        <v/>
      </c>
      <c r="V76" s="42" t="str">
        <f t="shared" si="4"/>
        <v/>
      </c>
      <c r="W76" s="42" t="str">
        <f t="shared" si="4"/>
        <v/>
      </c>
      <c r="X76" s="42" t="str">
        <f t="shared" si="4"/>
        <v/>
      </c>
      <c r="Z76" s="42">
        <f>IF(E76=$V$27,D76*פרמטרים!$C$40,0)</f>
        <v>0</v>
      </c>
    </row>
    <row r="77" spans="3:26" x14ac:dyDescent="0.25">
      <c r="C77" s="47"/>
      <c r="D77" s="47"/>
      <c r="E77" s="47"/>
      <c r="F77" s="91" t="str">
        <f>IF(C77="","",D77*IF(E77=$U$27,פרמטרים!$C$39,IF(E77=$V$27,פרמטרים!$C$40,0)))</f>
        <v/>
      </c>
      <c r="H77" s="47"/>
      <c r="I77" s="226"/>
      <c r="J77" s="47"/>
      <c r="K77" s="47"/>
      <c r="L77" s="91" t="str">
        <f t="shared" si="1"/>
        <v/>
      </c>
      <c r="P77" s="42">
        <f>IF(AND(I77&gt;=INDEX('הוראת שעה'!$B$5:$D$18,MATCH(פרמטרים!$C$3,'הוראת שעה'!$A$5:$A$18,1),IF($I$24=1,1,3)),I77&lt;=INDEX('הוראת שעה'!C$5:$E$18,MATCH(פרמטרים!$C$3,'הוראת שעה'!$A$5:$A$18,1),IF($I$24=1,1,3))),1,0)</f>
        <v>0</v>
      </c>
      <c r="Q77" s="42">
        <f>IF(J77&gt;=פרמטרים!$B$99,פרמטרים!$C$99,IF(J77&gt;=פרמטרים!$B$98,פרמטרים!$C$98,0))</f>
        <v>0</v>
      </c>
      <c r="R77" s="42">
        <f t="shared" si="2"/>
        <v>0</v>
      </c>
      <c r="U77" s="42" t="str">
        <f t="shared" si="4"/>
        <v/>
      </c>
      <c r="V77" s="42" t="str">
        <f t="shared" si="4"/>
        <v/>
      </c>
      <c r="W77" s="42" t="str">
        <f t="shared" si="4"/>
        <v/>
      </c>
      <c r="X77" s="42" t="str">
        <f t="shared" si="4"/>
        <v/>
      </c>
      <c r="Z77" s="42">
        <f>IF(E77=$V$27,D77*פרמטרים!$C$40,0)</f>
        <v>0</v>
      </c>
    </row>
    <row r="78" spans="3:26" x14ac:dyDescent="0.25">
      <c r="F78" s="92">
        <f>SUMIF(E28:E77,U27,F28:F77)+IFERROR(LARGE(Z28:Z77,1),0)+IFERROR(LARGE(Z28:Z77,2),0)+IFERROR(LARGE(Z28:Z77,פרמטרים!$D$40),0)</f>
        <v>0</v>
      </c>
      <c r="L78" s="92">
        <f>SUM(L28:L77)</f>
        <v>0</v>
      </c>
    </row>
    <row r="79" spans="3:26" x14ac:dyDescent="0.25">
      <c r="F79" s="42">
        <f>COUNTIF(H78:H78,"מתחלפת")</f>
        <v>0</v>
      </c>
    </row>
  </sheetData>
  <sheetProtection algorithmName="SHA-512" hashValue="omAug+MvPO1YkbHfCXEHWuAr9bMmUGcjuAUnQY20GWRrDNT7qyqXssMV7Mu3fwSeHZ/N/lRWarN9h/8I5s8OBg==" saltValue="cWOxtvief6URwjFDRuQUaw==" spinCount="100000" sheet="1" scenarios="1" formatColumns="0" formatRows="0" autoFilter="0"/>
  <mergeCells count="27">
    <mergeCell ref="C10:D10"/>
    <mergeCell ref="I10:J10"/>
    <mergeCell ref="K10:L10"/>
    <mergeCell ref="D3:F3"/>
    <mergeCell ref="V3:Z3"/>
    <mergeCell ref="C5:N5"/>
    <mergeCell ref="C7:D7"/>
    <mergeCell ref="G7:H7"/>
    <mergeCell ref="I7:J7"/>
    <mergeCell ref="K7:L7"/>
    <mergeCell ref="M7:N7"/>
    <mergeCell ref="C8:D8"/>
    <mergeCell ref="G8:H8"/>
    <mergeCell ref="I8:J8"/>
    <mergeCell ref="K8:L8"/>
    <mergeCell ref="M8:N8"/>
    <mergeCell ref="I16:J16"/>
    <mergeCell ref="I20:J20"/>
    <mergeCell ref="C26:F26"/>
    <mergeCell ref="H26:L26"/>
    <mergeCell ref="C11:D11"/>
    <mergeCell ref="I11:J11"/>
    <mergeCell ref="K11:L11"/>
    <mergeCell ref="C13:N13"/>
    <mergeCell ref="C15:D15"/>
    <mergeCell ref="F15:G15"/>
    <mergeCell ref="M15:N15"/>
  </mergeCells>
  <conditionalFormatting sqref="F8">
    <cfRule type="expression" dxfId="0" priority="1">
      <formula>IF($C8="",0,1)</formula>
    </cfRule>
  </conditionalFormatting>
  <dataValidations count="13">
    <dataValidation type="list" allowBlank="1" showInputMessage="1" showErrorMessage="1" sqref="K11:L11 K28:K77 G8 N19:N21" xr:uid="{00000000-0002-0000-5900-000000000000}">
      <formula1>$V$5:$W$5</formula1>
    </dataValidation>
    <dataValidation type="list" allowBlank="1" showInputMessage="1" showErrorMessage="1" sqref="G17" xr:uid="{00000000-0002-0000-5900-000001000000}">
      <formula1>$V$7:$X$7</formula1>
    </dataValidation>
    <dataValidation type="list" allowBlank="1" showInputMessage="1" showErrorMessage="1" sqref="N16" xr:uid="{00000000-0002-0000-5900-000002000000}">
      <formula1>$V$9:$Y$9</formula1>
    </dataValidation>
    <dataValidation allowBlank="1" showInputMessage="1" showErrorMessage="1" errorTitle="ערך לא חוקי" error="יש להזין ציון בין 0 ל-60" sqref="N18" xr:uid="{00000000-0002-0000-5900-000003000000}"/>
    <dataValidation type="whole" allowBlank="1" showInputMessage="1" showErrorMessage="1" sqref="F8" xr:uid="{00000000-0002-0000-5900-000004000000}">
      <formula1>0</formula1>
      <formula2>9.99999999999999E+55</formula2>
    </dataValidation>
    <dataValidation type="list" allowBlank="1" showInputMessage="1" showErrorMessage="1" sqref="J21" xr:uid="{00000000-0002-0000-5900-000005000000}">
      <formula1>$V$15:$W$15</formula1>
    </dataValidation>
    <dataValidation type="whole" operator="greaterThanOrEqual" allowBlank="1" showInputMessage="1" showErrorMessage="1" errorTitle="הזנה שגויה" sqref="J18 C11:E11 G11" xr:uid="{00000000-0002-0000-5900-000006000000}">
      <formula1>0</formula1>
    </dataValidation>
    <dataValidation type="whole" allowBlank="1" showInputMessage="1" showErrorMessage="1" errorTitle="הזנה שגויה" sqref="J17" xr:uid="{00000000-0002-0000-5900-000007000000}">
      <formula1>0</formula1>
      <formula2>J18</formula2>
    </dataValidation>
    <dataValidation operator="greaterThanOrEqual" allowBlank="1" showInputMessage="1" showErrorMessage="1" errorTitle="הזנה שגויה" sqref="C8:D8" xr:uid="{00000000-0002-0000-5900-000008000000}"/>
    <dataValidation type="list" allowBlank="1" showInputMessage="1" showErrorMessage="1" sqref="E28:E77" xr:uid="{00000000-0002-0000-5900-000009000000}">
      <formula1>U28:V28</formula1>
    </dataValidation>
    <dataValidation type="decimal" operator="greaterThan" allowBlank="1" showInputMessage="1" showErrorMessage="1" errorTitle="הזנה שגויה" sqref="K8:N8" xr:uid="{00000000-0002-0000-5900-00000A000000}">
      <formula1>-999999999</formula1>
    </dataValidation>
    <dataValidation type="list" allowBlank="1" showInputMessage="1" showErrorMessage="1" sqref="I3 I24" xr:uid="{00000000-0002-0000-5900-00000B000000}">
      <formula1>"0,1"</formula1>
    </dataValidation>
    <dataValidation type="decimal" operator="greaterThanOrEqual" allowBlank="1" showInputMessage="1" showErrorMessage="1" errorTitle="הזנה שגויה" sqref="H11" xr:uid="{00000000-0002-0000-5900-00000C000000}">
      <formula1>0</formula1>
    </dataValidation>
  </dataValidations>
  <pageMargins left="0.70866141732283472" right="0.70866141732283472" top="0.74803149606299213" bottom="0.74803149606299213" header="0.31496062992125984" footer="0.31496062992125984"/>
  <pageSetup paperSize="9" scale="40" orientation="portrait" r:id="rId1"/>
  <headerFooter>
    <oddFooter>&amp;C&amp;"David,מודגש"א. חפץ ושות'
ייעוץ כלכלי</oddFooter>
  </headerFooter>
  <colBreaks count="1" manualBreakCount="1">
    <brk id="6" max="7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a106635-b9a8-4f0b-bbd7-d236a8880032" xsi:nil="true"/>
    <lcf76f155ced4ddcb4097134ff3c332f xmlns="2254ba46-2b42-46e2-b1fb-c0e93dfa82a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מסמך" ma:contentTypeID="0x0101008AA96A946BC9DE42A81967A6D8625098" ma:contentTypeVersion="19" ma:contentTypeDescription="צור מסמך חדש." ma:contentTypeScope="" ma:versionID="8aae9b12cb00d242da59392691c74f3b">
  <xsd:schema xmlns:xsd="http://www.w3.org/2001/XMLSchema" xmlns:xs="http://www.w3.org/2001/XMLSchema" xmlns:p="http://schemas.microsoft.com/office/2006/metadata/properties" xmlns:ns2="2254ba46-2b42-46e2-b1fb-c0e93dfa82a1" xmlns:ns3="ca106635-b9a8-4f0b-bbd7-d236a8880032" targetNamespace="http://schemas.microsoft.com/office/2006/metadata/properties" ma:root="true" ma:fieldsID="d4a57581ca2b63639d1b366d606fe8ef" ns2:_="" ns3:_="">
    <xsd:import namespace="2254ba46-2b42-46e2-b1fb-c0e93dfa82a1"/>
    <xsd:import namespace="ca106635-b9a8-4f0b-bbd7-d236a888003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54ba46-2b42-46e2-b1fb-c0e93dfa82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תגיות תמונה" ma:readOnly="false" ma:fieldId="{5cf76f15-5ced-4ddc-b409-7134ff3c332f}" ma:taxonomyMulti="true" ma:sspId="249542c6-2124-448a-992c-07e7ad66b3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106635-b9a8-4f0b-bbd7-d236a8880032" elementFormDefault="qualified">
    <xsd:import namespace="http://schemas.microsoft.com/office/2006/documentManagement/types"/>
    <xsd:import namespace="http://schemas.microsoft.com/office/infopath/2007/PartnerControls"/>
    <xsd:element name="SharedWithUsers" ma:index="18"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משותף עם פרטים" ma:internalName="SharedWithDetails" ma:readOnly="true">
      <xsd:simpleType>
        <xsd:restriction base="dms:Note">
          <xsd:maxLength value="255"/>
        </xsd:restriction>
      </xsd:simpleType>
    </xsd:element>
    <xsd:element name="TaxCatchAll" ma:index="23" nillable="true" ma:displayName="Taxonomy Catch All Column" ma:hidden="true" ma:list="{a1d6ccc7-f785-47c1-8d8a-9e47eee2506d}" ma:internalName="TaxCatchAll" ma:showField="CatchAllData" ma:web="ca106635-b9a8-4f0b-bbd7-d236a88800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2A6E01-3307-4788-977F-C13772AD257B}">
  <ds:schemaRefs>
    <ds:schemaRef ds:uri="http://schemas.microsoft.com/sharepoint/v3/contenttype/forms"/>
  </ds:schemaRefs>
</ds:datastoreItem>
</file>

<file path=customXml/itemProps2.xml><?xml version="1.0" encoding="utf-8"?>
<ds:datastoreItem xmlns:ds="http://schemas.openxmlformats.org/officeDocument/2006/customXml" ds:itemID="{E9A2297A-09A1-4A85-ACB3-81D9E8C63C75}">
  <ds:schemaRefs>
    <ds:schemaRef ds:uri="2e9468b1-4d0b-4ee7-986c-bad0475cfb16"/>
    <ds:schemaRef ds:uri="http://purl.org/dc/terms/"/>
    <ds:schemaRef ds:uri="http://purl.org/dc/dcmitype/"/>
    <ds:schemaRef ds:uri="http://schemas.microsoft.com/office/infopath/2007/PartnerControls"/>
    <ds:schemaRef ds:uri="http://www.w3.org/XML/1998/namespace"/>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ca106635-b9a8-4f0b-bbd7-d236a8880032"/>
    <ds:schemaRef ds:uri="2254ba46-2b42-46e2-b1fb-c0e93dfa82a1"/>
  </ds:schemaRefs>
</ds:datastoreItem>
</file>

<file path=customXml/itemProps3.xml><?xml version="1.0" encoding="utf-8"?>
<ds:datastoreItem xmlns:ds="http://schemas.openxmlformats.org/officeDocument/2006/customXml" ds:itemID="{ABA5FA65-3F91-47EB-8663-4F34940E74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54ba46-2b42-46e2-b1fb-c0e93dfa82a1"/>
    <ds:schemaRef ds:uri="ca106635-b9a8-4f0b-bbd7-d236a88800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90</vt:i4>
      </vt:variant>
      <vt:variant>
        <vt:lpstr>טווחים בעלי שם</vt:lpstr>
      </vt:variant>
      <vt:variant>
        <vt:i4>51</vt:i4>
      </vt:variant>
    </vt:vector>
  </HeadingPairs>
  <TitlesOfParts>
    <vt:vector size="141" baseType="lpstr">
      <vt:lpstr>גיליון עזר</vt:lpstr>
      <vt:lpstr>הדרכה למשתמש</vt:lpstr>
      <vt:lpstr>פרמטרים</vt:lpstr>
      <vt:lpstr>הוראת שעה</vt:lpstr>
      <vt:lpstr>ריכוז נתונים</vt:lpstr>
      <vt:lpstr>ריכוז נתונים כללים</vt:lpstr>
      <vt:lpstr>תנאי סף</vt:lpstr>
      <vt:lpstr>ארועים</vt:lpstr>
      <vt:lpstr>תערוכות</vt:lpstr>
      <vt:lpstr>אתר אינטרנט</vt:lpstr>
      <vt:lpstr>עלונים</vt:lpstr>
      <vt:lpstr>ספרי עיון</vt:lpstr>
      <vt:lpstr>הכנסות עצמיות</vt:lpstr>
      <vt:lpstr>תיעוד ושימור</vt:lpstr>
      <vt:lpstr>תחשיב בסיסי ראשוני</vt:lpstr>
      <vt:lpstr>תחשיב בסיסי לאחר 11ב ו12ג5 </vt:lpstr>
      <vt:lpstr>ייצוב</vt:lpstr>
      <vt:lpstr>הוראת מעבר- הגנה</vt:lpstr>
      <vt:lpstr>הגנה</vt:lpstr>
      <vt:lpstr>סיכום</vt:lpstr>
      <vt:lpstr>הגבלה לסכום מבוקש (1)</vt:lpstr>
      <vt:lpstr>קיזוזים בגין איחורים</vt:lpstr>
      <vt:lpstr>קיזוזים- החלטות ועדה</vt:lpstr>
      <vt:lpstr>הגבלה לסכום מבוקש (2)</vt:lpstr>
      <vt:lpstr>גיליון1</vt:lpstr>
      <vt:lpstr>סיכום לועדה- הזנת נתונים</vt:lpstr>
      <vt:lpstr>סיכום לועדה - תוצאות</vt:lpstr>
      <vt:lpstr>מרכבה</vt:lpstr>
      <vt:lpstr>מרכז מורשת בבל</vt:lpstr>
      <vt:lpstr>מורשת יהודי צפון  אפריקה</vt:lpstr>
      <vt:lpstr>מורשת יהדות קוצין</vt:lpstr>
      <vt:lpstr>הפדרציה העולמית של יהדות תוניס</vt:lpstr>
      <vt:lpstr>התאחדות עולי מצרים</vt:lpstr>
      <vt:lpstr>יהודים יוצאי לוב</vt:lpstr>
      <vt:lpstr>הפדרציה העולמית של יהדות מרוקו</vt:lpstr>
      <vt:lpstr>אורות הגליל</vt:lpstr>
      <vt:lpstr>אלמז</vt:lpstr>
      <vt:lpstr>קונגרס יהודי בוכרה</vt:lpstr>
      <vt:lpstr>יהדות שאלוניקי יוון</vt:lpstr>
      <vt:lpstr>גיליון הזנה 12</vt:lpstr>
      <vt:lpstr>גיליון הזנה 13</vt:lpstr>
      <vt:lpstr>גיליון הזנה 14</vt:lpstr>
      <vt:lpstr>גיליון הזנה 25</vt:lpstr>
      <vt:lpstr>גיליון הזנה 40</vt:lpstr>
      <vt:lpstr>החברה לטיפוח חברה תרבות תיעוד </vt:lpstr>
      <vt:lpstr>עמותת אור שלום</vt:lpstr>
      <vt:lpstr>גיליון הזנה 17</vt:lpstr>
      <vt:lpstr>גיליון הזנה 26</vt:lpstr>
      <vt:lpstr>ישיבת קרלין סטולין</vt:lpstr>
      <vt:lpstr>גיליון הזנה 19</vt:lpstr>
      <vt:lpstr>גיליון הזנה 20</vt:lpstr>
      <vt:lpstr>ברית יוצאי מרוקו</vt:lpstr>
      <vt:lpstr>הקם - בית הקונפדרציה</vt:lpstr>
      <vt:lpstr>מוסיקה מזרח מערב</vt:lpstr>
      <vt:lpstr>אעלה בתמר</vt:lpstr>
      <vt:lpstr>מכון הברמן</vt:lpstr>
      <vt:lpstr>חיבה</vt:lpstr>
      <vt:lpstr>גיליון הזנה 45</vt:lpstr>
      <vt:lpstr>גיליון הזנה 28</vt:lpstr>
      <vt:lpstr>ענבל מרכז אתני</vt:lpstr>
      <vt:lpstr>א.ב. חדשות השומרונים</vt:lpstr>
      <vt:lpstr>גיליון הזנה 30</vt:lpstr>
      <vt:lpstr>עמותת הנני</vt:lpstr>
      <vt:lpstr>שרשרת הדורות</vt:lpstr>
      <vt:lpstr>גיליון הזנה 29</vt:lpstr>
      <vt:lpstr>כולנא</vt:lpstr>
      <vt:lpstr>גיליון הזנה 32</vt:lpstr>
      <vt:lpstr>גיליון הזנה 33</vt:lpstr>
      <vt:lpstr>גיליון הזנה 34</vt:lpstr>
      <vt:lpstr>גיליון הזנה 35</vt:lpstr>
      <vt:lpstr>גיליון הזנה 36</vt:lpstr>
      <vt:lpstr>גיליון הזנה 37</vt:lpstr>
      <vt:lpstr>גיליון הזנה 38</vt:lpstr>
      <vt:lpstr>גיליון הזנה 39</vt:lpstr>
      <vt:lpstr>גיליון הזנה 41</vt:lpstr>
      <vt:lpstr>גיליון הזנה 42</vt:lpstr>
      <vt:lpstr>גיליון הזנה 43</vt:lpstr>
      <vt:lpstr>גיליון הזנה 44</vt:lpstr>
      <vt:lpstr>גיליון הזנה 48</vt:lpstr>
      <vt:lpstr>גיליון הזנה 49</vt:lpstr>
      <vt:lpstr>גיליון הזנה 52</vt:lpstr>
      <vt:lpstr>גיליון הזנה 51</vt:lpstr>
      <vt:lpstr>גיליון הזנה 53</vt:lpstr>
      <vt:lpstr>גיליון הזנה 54</vt:lpstr>
      <vt:lpstr>גיליון הזנה 55</vt:lpstr>
      <vt:lpstr>גיליון הזנה 56</vt:lpstr>
      <vt:lpstr>גיליון הזנה 57</vt:lpstr>
      <vt:lpstr>גיליון הזנה 58</vt:lpstr>
      <vt:lpstr>גיליון הזנה 59</vt:lpstr>
      <vt:lpstr>גיליון הזנה 62</vt:lpstr>
      <vt:lpstr>ארועים!WPrint_Area_W</vt:lpstr>
      <vt:lpstr>'אתר אינטרנט'!WPrint_Area_W</vt:lpstr>
      <vt:lpstr>'הגבלה לסכום מבוקש (1)'!WPrint_Area_W</vt:lpstr>
      <vt:lpstr>'הגבלה לסכום מבוקש (2)'!WPrint_Area_W</vt:lpstr>
      <vt:lpstr>הגנה!WPrint_Area_W</vt:lpstr>
      <vt:lpstr>'הדרכה למשתמש'!WPrint_Area_W</vt:lpstr>
      <vt:lpstr>'הוראת מעבר- הגנה'!WPrint_Area_W</vt:lpstr>
      <vt:lpstr>'החברה לטיפוח חברה תרבות תיעוד '!WPrint_Area_W</vt:lpstr>
      <vt:lpstr>'הכנסות עצמיות'!WPrint_Area_W</vt:lpstr>
      <vt:lpstr>'התאחדות עולי מצרים'!WPrint_Area_W</vt:lpstr>
      <vt:lpstr>ייצוב!WPrint_Area_W</vt:lpstr>
      <vt:lpstr>'מוסיקה מזרח מערב'!WPrint_Area_W</vt:lpstr>
      <vt:lpstr>'מורשת יהדות קוצין'!WPrint_Area_W</vt:lpstr>
      <vt:lpstr>'מכון הברמן'!WPrint_Area_W</vt:lpstr>
      <vt:lpstr>סיכום!WPrint_Area_W</vt:lpstr>
      <vt:lpstr>'סיכום לועדה- הזנת נתונים'!WPrint_Area_W</vt:lpstr>
      <vt:lpstr>'סיכום לועדה - תוצאות'!WPrint_Area_W</vt:lpstr>
      <vt:lpstr>'ספרי עיון'!WPrint_Area_W</vt:lpstr>
      <vt:lpstr>עלונים!WPrint_Area_W</vt:lpstr>
      <vt:lpstr>'עמותת אור שלום'!WPrint_Area_W</vt:lpstr>
      <vt:lpstr>פרמטרים!WPrint_Area_W</vt:lpstr>
      <vt:lpstr>'קיזוזים- החלטות ועדה'!WPrint_Area_W</vt:lpstr>
      <vt:lpstr>'קיזוזים בגין איחורים'!WPrint_Area_W</vt:lpstr>
      <vt:lpstr>'ריכוז נתונים'!WPrint_Area_W</vt:lpstr>
      <vt:lpstr>'ריכוז נתונים כללים'!WPrint_Area_W</vt:lpstr>
      <vt:lpstr>'תחשיב בסיסי לאחר 11ב ו12ג5 '!WPrint_Area_W</vt:lpstr>
      <vt:lpstr>'תחשיב בסיסי ראשוני'!WPrint_Area_W</vt:lpstr>
      <vt:lpstr>'תיעוד ושימור'!WPrint_Area_W</vt:lpstr>
      <vt:lpstr>'תנאי סף'!WPrint_Area_W</vt:lpstr>
      <vt:lpstr>תערוכות!WPrint_Area_W</vt:lpstr>
      <vt:lpstr>ארועים!WPrint_TitlesW</vt:lpstr>
      <vt:lpstr>'אתר אינטרנט'!WPrint_TitlesW</vt:lpstr>
      <vt:lpstr>'הגבלה לסכום מבוקש (1)'!WPrint_TitlesW</vt:lpstr>
      <vt:lpstr>'הגבלה לסכום מבוקש (2)'!WPrint_TitlesW</vt:lpstr>
      <vt:lpstr>הגנה!WPrint_TitlesW</vt:lpstr>
      <vt:lpstr>'הוראת מעבר- הגנה'!WPrint_TitlesW</vt:lpstr>
      <vt:lpstr>'הכנסות עצמיות'!WPrint_TitlesW</vt:lpstr>
      <vt:lpstr>ייצוב!WPrint_TitlesW</vt:lpstr>
      <vt:lpstr>סיכום!WPrint_TitlesW</vt:lpstr>
      <vt:lpstr>'סיכום לועדה- הזנת נתונים'!WPrint_TitlesW</vt:lpstr>
      <vt:lpstr>'סיכום לועדה - תוצאות'!WPrint_TitlesW</vt:lpstr>
      <vt:lpstr>'ספרי עיון'!WPrint_TitlesW</vt:lpstr>
      <vt:lpstr>עלונים!WPrint_TitlesW</vt:lpstr>
      <vt:lpstr>'קיזוזים- החלטות ועדה'!WPrint_TitlesW</vt:lpstr>
      <vt:lpstr>'קיזוזים בגין איחורים'!WPrint_TitlesW</vt:lpstr>
      <vt:lpstr>'ריכוז נתונים'!WPrint_TitlesW</vt:lpstr>
      <vt:lpstr>'ריכוז נתונים כללים'!WPrint_TitlesW</vt:lpstr>
      <vt:lpstr>'תחשיב בסיסי לאחר 11ב ו12ג5 '!WPrint_TitlesW</vt:lpstr>
      <vt:lpstr>'תחשיב בסיסי ראשוני'!WPrint_TitlesW</vt:lpstr>
      <vt:lpstr>'תנאי סף'!WPrint_TitlesW</vt:lpstr>
      <vt:lpstr>תערוכות!WPrint_TitlesW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א. חפץ ושות'</dc:creator>
  <cp:keywords/>
  <dc:description/>
  <cp:lastModifiedBy>Shai Zabari</cp:lastModifiedBy>
  <cp:revision/>
  <cp:lastPrinted>2025-12-17T05:40:03Z</cp:lastPrinted>
  <dcterms:created xsi:type="dcterms:W3CDTF">2013-07-14T08:24:14Z</dcterms:created>
  <dcterms:modified xsi:type="dcterms:W3CDTF">2025-12-30T09:47:12Z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rmulaDeskUniqueName">
    <vt:lpwstr>325b70b3-551c-4ca9-88f9-fb49af08e328</vt:lpwstr>
  </property>
  <property fmtid="{D5CDD505-2E9C-101B-9397-08002B2CF9AE}" pid="3" name="ContentTypeId">
    <vt:lpwstr>0x0101008AA96A946BC9DE42A81967A6D8625098</vt:lpwstr>
  </property>
  <property fmtid="{D5CDD505-2E9C-101B-9397-08002B2CF9AE}" pid="4" name="MediaServiceImageTags">
    <vt:lpwstr/>
  </property>
</Properties>
</file>